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5" yWindow="120" windowWidth="18975" windowHeight="8025" tabRatio="863" firstSheet="18" activeTab="23"/>
  </bookViews>
  <sheets>
    <sheet name="Instructions" sheetId="31" r:id="rId1"/>
    <sheet name="Report" sheetId="87" r:id="rId2"/>
    <sheet name="Savings Calculator" sheetId="23" r:id="rId3"/>
    <sheet name="Actual-CO2 Calculations" sheetId="86" r:id="rId4"/>
    <sheet name="Fuel Equipment DD" sheetId="73" state="hidden" r:id="rId5"/>
    <sheet name="Fuel Equipment Savings Calculat" sheetId="21" state="hidden" r:id="rId6"/>
    <sheet name="Fuel Equipment" sheetId="66" r:id="rId7"/>
    <sheet name="Efficient Site Offices" sheetId="61" r:id="rId8"/>
    <sheet name="Efficient Site Offices DD &amp; Cal" sheetId="77" state="hidden" r:id="rId9"/>
    <sheet name="Power Factor Correction" sheetId="81" state="hidden" r:id="rId10"/>
    <sheet name="PFC Calculations" sheetId="83" state="hidden" r:id="rId11"/>
    <sheet name="Lighting" sheetId="62" r:id="rId12"/>
    <sheet name="Reduced Power Lighting Calculat" sheetId="28" state="hidden" r:id="rId13"/>
    <sheet name="PIR Lighting Calculations" sheetId="32" state="hidden" r:id="rId14"/>
    <sheet name="Hybrid Lighting Calculations" sheetId="29" state="hidden" r:id="rId15"/>
    <sheet name="Behaviours" sheetId="64" r:id="rId16"/>
    <sheet name="Behaviour Calculations" sheetId="27" state="hidden" r:id="rId17"/>
    <sheet name="Water Calculations" sheetId="34" state="hidden" r:id="rId18"/>
    <sheet name="Additional Initiatives" sheetId="68" r:id="rId19"/>
    <sheet name="Scope 3 Transport" sheetId="75" r:id="rId20"/>
    <sheet name="Scope 3 Embodied" sheetId="76" r:id="rId21"/>
    <sheet name="Data Entry Fuel" sheetId="6" r:id="rId22"/>
    <sheet name="Data Entry Electricity" sheetId="8" r:id="rId23"/>
    <sheet name="Reference.Evidence1" sheetId="84" r:id="rId24"/>
    <sheet name="Reference.Evidence2" sheetId="79" r:id="rId25"/>
    <sheet name="Password" sheetId="19" state="hidden" r:id="rId26"/>
    <sheet name="Cranes" sheetId="74" state="hidden" r:id="rId27"/>
    <sheet name="Dumpers" sheetId="71" state="hidden" r:id="rId28"/>
    <sheet name="Excavators" sheetId="69" state="hidden" r:id="rId29"/>
    <sheet name="Generators" sheetId="70" state="hidden" r:id="rId30"/>
    <sheet name="Scissor Lifts" sheetId="72" state="hidden" r:id="rId31"/>
  </sheets>
  <externalReferences>
    <externalReference r:id="rId32"/>
    <externalReference r:id="rId33"/>
    <externalReference r:id="rId34"/>
    <externalReference r:id="rId35"/>
  </externalReferences>
  <definedNames>
    <definedName name="Additional_Equipment" localSheetId="3">#REF!</definedName>
    <definedName name="Additional_Equipment" localSheetId="26">'[1]Additional Equipment Entry'!$A$3:$A$20</definedName>
    <definedName name="Additional_Equipment" localSheetId="27">'[1]Additional Equipment Entry'!$A$3:$A$20</definedName>
    <definedName name="Additional_Equipment" localSheetId="28">'[1]Additional Equipment Entry'!$A$3:$A$20</definedName>
    <definedName name="Additional_Equipment" localSheetId="29">'[1]Additional Equipment Entry'!$A$3:$A$20</definedName>
    <definedName name="Additional_Equipment" localSheetId="1">#REF!</definedName>
    <definedName name="Additional_Equipment" localSheetId="30">'[1]Additional Equipment Entry'!$A$3:$A$20</definedName>
    <definedName name="Additional_Equipment">#REF!</definedName>
    <definedName name="AE_MM" localSheetId="3">#REF!</definedName>
    <definedName name="AE_MM" localSheetId="1">#REF!</definedName>
    <definedName name="AE_MM">#REF!</definedName>
    <definedName name="Checked">[2]Cover!$F$11</definedName>
    <definedName name="CR_100t" localSheetId="3">#REF!</definedName>
    <definedName name="CR_100t" localSheetId="1">#REF!</definedName>
    <definedName name="CR_100t">#REF!</definedName>
    <definedName name="CR_350t" localSheetId="3">#REF!</definedName>
    <definedName name="CR_350t" localSheetId="1">#REF!</definedName>
    <definedName name="CR_350t">#REF!</definedName>
    <definedName name="CR_55t" localSheetId="3">#REF!</definedName>
    <definedName name="CR_55t" localSheetId="1">#REF!</definedName>
    <definedName name="CR_55t">#REF!</definedName>
    <definedName name="CR_60t" localSheetId="3">#REF!</definedName>
    <definedName name="CR_60t" localSheetId="1">#REF!</definedName>
    <definedName name="CR_60t">#REF!</definedName>
    <definedName name="Cranes" localSheetId="3">#REF!</definedName>
    <definedName name="Cranes" localSheetId="1">#REF!</definedName>
    <definedName name="Cranes">#REF!</definedName>
    <definedName name="Cum_With_Saving">OFFSET('Actual-CO2 Calculations'!$J$5,Report!$O$38,0,Report!$Q$38)</definedName>
    <definedName name="Cum_Without_Saving">OFFSET('Actual-CO2 Calculations'!$K$5,Report!$O$38,0,Report!$Q$38)</definedName>
    <definedName name="Date">[2]Cover!$F$13</definedName>
    <definedName name="Drawing_Reference">[2]Cover!$F$21</definedName>
    <definedName name="DU_12t" localSheetId="3">#REF!</definedName>
    <definedName name="DU_12t" localSheetId="1">#REF!</definedName>
    <definedName name="DU_12t">#REF!</definedName>
    <definedName name="DU_22t" localSheetId="3">#REF!</definedName>
    <definedName name="DU_22t" localSheetId="1">#REF!</definedName>
    <definedName name="DU_22t">#REF!</definedName>
    <definedName name="DU_25t" localSheetId="3">#REF!</definedName>
    <definedName name="DU_25t" localSheetId="1">#REF!</definedName>
    <definedName name="DU_25t">#REF!</definedName>
    <definedName name="DU_30t" localSheetId="3">#REF!</definedName>
    <definedName name="DU_30t" localSheetId="1">#REF!</definedName>
    <definedName name="DU_30t">#REF!</definedName>
    <definedName name="DU_35t" localSheetId="3">#REF!</definedName>
    <definedName name="DU_35t" localSheetId="1">#REF!</definedName>
    <definedName name="DU_35t">#REF!</definedName>
    <definedName name="DU_36t_ETC" localSheetId="3">#REF!</definedName>
    <definedName name="DU_36t_ETC" localSheetId="1">#REF!</definedName>
    <definedName name="DU_36t_ETC">#REF!</definedName>
    <definedName name="DU_3t" localSheetId="3">#REF!</definedName>
    <definedName name="DU_3t" localSheetId="1">#REF!</definedName>
    <definedName name="DU_3t">#REF!</definedName>
    <definedName name="DU_6t" localSheetId="3">#REF!</definedName>
    <definedName name="DU_6t" localSheetId="1">#REF!</definedName>
    <definedName name="DU_6t">#REF!</definedName>
    <definedName name="Dumpers" localSheetId="3">#REF!</definedName>
    <definedName name="Dumpers" localSheetId="1">#REF!</definedName>
    <definedName name="Dumpers">#REF!</definedName>
    <definedName name="Earned_Saving">OFFSET('Actual-CO2 Calculations'!$N$5,Report!$O$38,0,Report!$Q$38)</definedName>
    <definedName name="EQ_DD" localSheetId="3">#REF!</definedName>
    <definedName name="EQ_DD" localSheetId="26">'[1]Drop Down Box for SC'!#REF!</definedName>
    <definedName name="EQ_DD" localSheetId="27">'[1]Drop Down Box for SC'!#REF!</definedName>
    <definedName name="EQ_DD" localSheetId="28">'[1]Drop Down Box for SC'!#REF!</definedName>
    <definedName name="EQ_DD" localSheetId="29">'[1]Drop Down Box for SC'!#REF!</definedName>
    <definedName name="EQ_DD" localSheetId="1">#REF!</definedName>
    <definedName name="EQ_DD" localSheetId="30">'[1]Drop Down Box for SC'!#REF!</definedName>
    <definedName name="EQ_DD">#REF!</definedName>
    <definedName name="EQ_DD1" localSheetId="3">#REF!</definedName>
    <definedName name="EQ_DD1" localSheetId="26">'[1]Drop Down Box for SC'!$H$4:$H$9</definedName>
    <definedName name="EQ_DD1" localSheetId="27">'[1]Drop Down Box for SC'!$H$4:$H$9</definedName>
    <definedName name="EQ_DD1" localSheetId="28">'[1]Drop Down Box for SC'!$H$4:$H$9</definedName>
    <definedName name="EQ_DD1" localSheetId="29">'[1]Drop Down Box for SC'!$H$4:$H$9</definedName>
    <definedName name="EQ_DD1" localSheetId="1">#REF!</definedName>
    <definedName name="EQ_DD1" localSheetId="30">'[1]Drop Down Box for SC'!$H$4:$H$9</definedName>
    <definedName name="EQ_DD1">#REF!</definedName>
    <definedName name="EQ_DD2" localSheetId="3">#REF!</definedName>
    <definedName name="EQ_DD2" localSheetId="1">#REF!</definedName>
    <definedName name="EQ_DD2">#REF!</definedName>
    <definedName name="EX_12_14t" localSheetId="3">#REF!</definedName>
    <definedName name="EX_12_14t" localSheetId="1">#REF!</definedName>
    <definedName name="EX_12_14t">#REF!</definedName>
    <definedName name="EX_16t" localSheetId="3">#REF!</definedName>
    <definedName name="EX_16t" localSheetId="1">#REF!</definedName>
    <definedName name="EX_16t">#REF!</definedName>
    <definedName name="EX_18t" localSheetId="3">#REF!</definedName>
    <definedName name="EX_18t" localSheetId="1">#REF!</definedName>
    <definedName name="EX_18t">#REF!</definedName>
    <definedName name="EX_20t" localSheetId="3">#REF!</definedName>
    <definedName name="EX_20t" localSheetId="1">#REF!</definedName>
    <definedName name="EX_20t">#REF!</definedName>
    <definedName name="EX_25t" localSheetId="3">#REF!</definedName>
    <definedName name="EX_25t" localSheetId="1">#REF!</definedName>
    <definedName name="EX_25t">#REF!</definedName>
    <definedName name="EX_28_30t" localSheetId="3">#REF!</definedName>
    <definedName name="EX_28_30t" localSheetId="1">#REF!</definedName>
    <definedName name="EX_28_30t">#REF!</definedName>
    <definedName name="EX_35_36t" localSheetId="3">#REF!</definedName>
    <definedName name="EX_35_36t" localSheetId="1">#REF!</definedName>
    <definedName name="EX_35_36t">#REF!</definedName>
    <definedName name="EX_3t" localSheetId="3">#REF!</definedName>
    <definedName name="EX_3t" localSheetId="1">#REF!</definedName>
    <definedName name="EX_3t">#REF!</definedName>
    <definedName name="EX_3T1" localSheetId="3">#REF!</definedName>
    <definedName name="EX_3T1" localSheetId="1">#REF!</definedName>
    <definedName name="EX_3T1">#REF!</definedName>
    <definedName name="EX_40t" localSheetId="3">#REF!</definedName>
    <definedName name="EX_40t" localSheetId="1">#REF!</definedName>
    <definedName name="EX_40t">#REF!</definedName>
    <definedName name="EX_45t" localSheetId="3">#REF!</definedName>
    <definedName name="EX_45t" localSheetId="1">#REF!</definedName>
    <definedName name="EX_45t">#REF!</definedName>
    <definedName name="EX_49t" localSheetId="3">#REF!</definedName>
    <definedName name="EX_49t" localSheetId="1">#REF!</definedName>
    <definedName name="EX_49t">#REF!</definedName>
    <definedName name="EX_5t" localSheetId="3">#REF!</definedName>
    <definedName name="EX_5t" localSheetId="1">#REF!</definedName>
    <definedName name="EX_5t">#REF!</definedName>
    <definedName name="EX_6_8t" localSheetId="3">#REF!</definedName>
    <definedName name="EX_6_8t" localSheetId="1">#REF!</definedName>
    <definedName name="EX_6_8t">#REF!</definedName>
    <definedName name="EX_80t" localSheetId="3">#REF!</definedName>
    <definedName name="EX_80t" localSheetId="1">#REF!</definedName>
    <definedName name="EX_80t">#REF!</definedName>
    <definedName name="EX_DD" localSheetId="3">#REF!</definedName>
    <definedName name="EX_DD" localSheetId="1">#REF!</definedName>
    <definedName name="EX_DD">#REF!</definedName>
    <definedName name="Excavators" localSheetId="3">#REF!</definedName>
    <definedName name="Excavators" localSheetId="1">#REF!</definedName>
    <definedName name="Excavators">#REF!</definedName>
    <definedName name="freight_sea_type">[3]Macros!$C$83:$C$91</definedName>
    <definedName name="freight_sea_type2">[3]Macros!$C$83:$J$91</definedName>
    <definedName name="freight1">[3]Macros!$B$15:$H$22</definedName>
    <definedName name="GE_100Kva" localSheetId="3">#REF!</definedName>
    <definedName name="GE_100Kva" localSheetId="1">#REF!</definedName>
    <definedName name="GE_100Kva">#REF!</definedName>
    <definedName name="GE_125Kva" localSheetId="3">#REF!</definedName>
    <definedName name="GE_125Kva" localSheetId="1">#REF!</definedName>
    <definedName name="GE_125Kva">#REF!</definedName>
    <definedName name="GE_175Kva" localSheetId="3">#REF!</definedName>
    <definedName name="GE_175Kva" localSheetId="1">#REF!</definedName>
    <definedName name="GE_175Kva">#REF!</definedName>
    <definedName name="GE_200Kva" localSheetId="3">#REF!</definedName>
    <definedName name="GE_200Kva" localSheetId="1">#REF!</definedName>
    <definedName name="GE_200Kva">#REF!</definedName>
    <definedName name="GE_20Kva" localSheetId="3">#REF!</definedName>
    <definedName name="GE_20Kva" localSheetId="1">#REF!</definedName>
    <definedName name="GE_20Kva">#REF!</definedName>
    <definedName name="GE_250Kva" localSheetId="3">#REF!</definedName>
    <definedName name="GE_250Kva" localSheetId="1">#REF!</definedName>
    <definedName name="GE_250Kva">#REF!</definedName>
    <definedName name="GE_27Kva" localSheetId="3">#REF!</definedName>
    <definedName name="GE_27Kva" localSheetId="1">#REF!</definedName>
    <definedName name="GE_27Kva">#REF!</definedName>
    <definedName name="GE_30Kva" localSheetId="3">#REF!</definedName>
    <definedName name="GE_30Kva" localSheetId="1">#REF!</definedName>
    <definedName name="GE_30Kva">#REF!</definedName>
    <definedName name="GE_320Kva" localSheetId="3">#REF!</definedName>
    <definedName name="GE_320Kva" localSheetId="1">#REF!</definedName>
    <definedName name="GE_320Kva">#REF!</definedName>
    <definedName name="GE_350_2100Kva" localSheetId="3">#REF!</definedName>
    <definedName name="GE_350_2100Kva" localSheetId="1">#REF!</definedName>
    <definedName name="GE_350_2100Kva">#REF!</definedName>
    <definedName name="GE_60Kva" localSheetId="3">#REF!</definedName>
    <definedName name="GE_60Kva" localSheetId="1">#REF!</definedName>
    <definedName name="GE_60Kva">#REF!</definedName>
    <definedName name="GE_9_15Kva" localSheetId="3">#REF!</definedName>
    <definedName name="GE_9_15Kva" localSheetId="1">#REF!</definedName>
    <definedName name="GE_9_15Kva">#REF!</definedName>
    <definedName name="GE_DD" localSheetId="3">#REF!</definedName>
    <definedName name="GE_DD" localSheetId="1">#REF!</definedName>
    <definedName name="GE_DD">#REF!</definedName>
    <definedName name="Generators" localSheetId="3">#REF!</definedName>
    <definedName name="Generators" localSheetId="1">#REF!</definedName>
    <definedName name="Generators">#REF!</definedName>
    <definedName name="hgv_type">[3]Macros!$E$4:$E$8</definedName>
    <definedName name="hgv_type2">[3]Macros!$B$16:$B$22</definedName>
    <definedName name="JobNumber">[2]Cover!$F$7</definedName>
    <definedName name="JobTitle">[2]Cover!$F$5</definedName>
    <definedName name="MadeBy">[2]Cover!$F$9</definedName>
    <definedName name="Member_Location">[2]Cover!$F$19</definedName>
    <definedName name="mode" localSheetId="3">#REF!</definedName>
    <definedName name="mode" localSheetId="26">#REF!</definedName>
    <definedName name="mode" localSheetId="22">#REF!</definedName>
    <definedName name="mode" localSheetId="21">#REF!</definedName>
    <definedName name="mode" localSheetId="27">#REF!</definedName>
    <definedName name="mode" localSheetId="28">#REF!</definedName>
    <definedName name="mode" localSheetId="5">#REF!</definedName>
    <definedName name="mode" localSheetId="29">#REF!</definedName>
    <definedName name="mode" localSheetId="1">#REF!</definedName>
    <definedName name="mode" localSheetId="30">#REF!</definedName>
    <definedName name="mode" localSheetId="20">#REF!</definedName>
    <definedName name="mode" localSheetId="19">#REF!</definedName>
    <definedName name="mode">#REF!</definedName>
    <definedName name="Periods" localSheetId="1">OFFSET('Actual-CO2 Calculations'!$A$5,Report!$O$38,0,Report!$Q$38)</definedName>
    <definedName name="_xlnm.Print_Area" localSheetId="3">'Actual-CO2 Calculations'!$A$2:$K$95</definedName>
    <definedName name="_xlnm.Print_Area" localSheetId="5">'Fuel Equipment Savings Calculat'!$A$2:$A$92</definedName>
    <definedName name="Revision">[2]Cover!$F$48</definedName>
    <definedName name="Scissor_Lifts_Elec" localSheetId="3">#REF!</definedName>
    <definedName name="Scissor_Lifts_Elec" localSheetId="1">#REF!</definedName>
    <definedName name="Scissor_Lifts_Elec">#REF!</definedName>
    <definedName name="Scissor_Lifts_Fuel" localSheetId="3">#REF!</definedName>
    <definedName name="Scissor_Lifts_Fuel" localSheetId="1">#REF!</definedName>
    <definedName name="Scissor_Lifts_Fuel">#REF!</definedName>
    <definedName name="SheetNo">[2]Cover!$F$17</definedName>
    <definedName name="SL_E_10m" localSheetId="3">#REF!</definedName>
    <definedName name="SL_E_10m" localSheetId="1">#REF!</definedName>
    <definedName name="SL_E_10m">#REF!</definedName>
    <definedName name="SL_E_12m" localSheetId="3">#REF!</definedName>
    <definedName name="SL_E_12m" localSheetId="1">#REF!</definedName>
    <definedName name="SL_E_12m">#REF!</definedName>
    <definedName name="SL_E_14m" localSheetId="3">#REF!</definedName>
    <definedName name="SL_E_14m" localSheetId="1">#REF!</definedName>
    <definedName name="SL_E_14m">#REF!</definedName>
    <definedName name="SL_E_6m" localSheetId="3">#REF!</definedName>
    <definedName name="SL_E_6m" localSheetId="1">#REF!</definedName>
    <definedName name="SL_E_6m">#REF!</definedName>
    <definedName name="SL_E_8m" localSheetId="3">#REF!</definedName>
    <definedName name="SL_E_8m" localSheetId="1">#REF!</definedName>
    <definedName name="SL_E_8m">#REF!</definedName>
    <definedName name="SL_E_9m" localSheetId="3">#REF!</definedName>
    <definedName name="SL_E_9m" localSheetId="1">#REF!</definedName>
    <definedName name="SL_E_9m">#REF!</definedName>
    <definedName name="SL_F_10m" localSheetId="3">#REF!</definedName>
    <definedName name="SL_F_10m" localSheetId="1">#REF!</definedName>
    <definedName name="SL_F_10m">#REF!</definedName>
    <definedName name="SL_F_11m" localSheetId="3">#REF!</definedName>
    <definedName name="SL_F_11m" localSheetId="1">#REF!</definedName>
    <definedName name="SL_F_11m">#REF!</definedName>
    <definedName name="SL_F_12m" localSheetId="3">#REF!</definedName>
    <definedName name="SL_F_12m" localSheetId="1">#REF!</definedName>
    <definedName name="SL_F_12m">#REF!</definedName>
    <definedName name="SL_F_13m" localSheetId="3">#REF!</definedName>
    <definedName name="SL_F_13m" localSheetId="1">#REF!</definedName>
    <definedName name="SL_F_13m">#REF!</definedName>
    <definedName name="SL_F_14m" localSheetId="3">#REF!</definedName>
    <definedName name="SL_F_14m" localSheetId="1">#REF!</definedName>
    <definedName name="SL_F_14m">#REF!</definedName>
    <definedName name="SL_F_6m" localSheetId="3">#REF!</definedName>
    <definedName name="SL_F_6m" localSheetId="1">#REF!</definedName>
    <definedName name="SL_F_6m">#REF!</definedName>
    <definedName name="SL_F_8m" localSheetId="3">#REF!</definedName>
    <definedName name="SL_F_8m" localSheetId="1">#REF!</definedName>
    <definedName name="SL_F_8m">#REF!</definedName>
    <definedName name="Uom_Listing">[4]List!$A$2:$A$16</definedName>
  </definedNames>
  <calcPr calcId="145621"/>
</workbook>
</file>

<file path=xl/calcChain.xml><?xml version="1.0" encoding="utf-8"?>
<calcChain xmlns="http://schemas.openxmlformats.org/spreadsheetml/2006/main">
  <c r="B39" i="77" l="1"/>
  <c r="C39" i="77"/>
  <c r="D39" i="77"/>
  <c r="E39" i="77"/>
  <c r="F39" i="77"/>
  <c r="B40" i="77"/>
  <c r="C40" i="77"/>
  <c r="D40" i="77"/>
  <c r="E40" i="77"/>
  <c r="F40" i="77"/>
  <c r="B41" i="77"/>
  <c r="C41" i="77"/>
  <c r="D41" i="77"/>
  <c r="E41" i="77"/>
  <c r="F41" i="77"/>
  <c r="B42" i="77"/>
  <c r="C42" i="77"/>
  <c r="D42" i="77"/>
  <c r="E42" i="77"/>
  <c r="F42" i="77"/>
  <c r="B43" i="77"/>
  <c r="C43" i="77"/>
  <c r="D43" i="77"/>
  <c r="E43" i="77"/>
  <c r="F43" i="77"/>
  <c r="B44" i="77"/>
  <c r="C44" i="77"/>
  <c r="D44" i="77"/>
  <c r="E44" i="77"/>
  <c r="F44" i="77"/>
  <c r="B45" i="77"/>
  <c r="C45" i="77"/>
  <c r="D45" i="77"/>
  <c r="E45" i="77"/>
  <c r="F45" i="77"/>
  <c r="B46" i="77"/>
  <c r="C46" i="77"/>
  <c r="D46" i="77"/>
  <c r="E46" i="77"/>
  <c r="F46" i="77"/>
  <c r="B47" i="77"/>
  <c r="C47" i="77"/>
  <c r="D47" i="77"/>
  <c r="E47" i="77"/>
  <c r="F47" i="77"/>
  <c r="B48" i="77"/>
  <c r="C48" i="77"/>
  <c r="D48" i="77"/>
  <c r="E48" i="77"/>
  <c r="F48" i="77"/>
  <c r="B49" i="77"/>
  <c r="C49" i="77"/>
  <c r="D49" i="77"/>
  <c r="E49" i="77"/>
  <c r="F49" i="77"/>
  <c r="B50" i="77"/>
  <c r="C50" i="77"/>
  <c r="D50" i="77"/>
  <c r="E50" i="77"/>
  <c r="F50" i="77"/>
  <c r="B51" i="77"/>
  <c r="C51" i="77"/>
  <c r="D51" i="77"/>
  <c r="E51" i="77"/>
  <c r="F51" i="77"/>
  <c r="B52" i="77"/>
  <c r="C52" i="77"/>
  <c r="D52" i="77"/>
  <c r="E52" i="77"/>
  <c r="F52" i="77"/>
  <c r="B53" i="77"/>
  <c r="C53" i="77"/>
  <c r="D53" i="77"/>
  <c r="E53" i="77"/>
  <c r="F53" i="77"/>
  <c r="B54" i="77"/>
  <c r="C54" i="77"/>
  <c r="D54" i="77"/>
  <c r="E54" i="77"/>
  <c r="F54" i="77"/>
  <c r="B55" i="77"/>
  <c r="C55" i="77"/>
  <c r="D55" i="77"/>
  <c r="E55" i="77"/>
  <c r="F55" i="77"/>
  <c r="B56" i="77"/>
  <c r="C56" i="77"/>
  <c r="D56" i="77"/>
  <c r="E56" i="77"/>
  <c r="F56" i="77"/>
  <c r="B57" i="77"/>
  <c r="C57" i="77"/>
  <c r="D57" i="77"/>
  <c r="E57" i="77"/>
  <c r="F57" i="77"/>
  <c r="B58" i="77"/>
  <c r="C58" i="77"/>
  <c r="D58" i="77"/>
  <c r="E58" i="77"/>
  <c r="F58" i="77"/>
  <c r="B59" i="77"/>
  <c r="C59" i="77"/>
  <c r="D59" i="77"/>
  <c r="E59" i="77"/>
  <c r="F59" i="77"/>
  <c r="B60" i="77"/>
  <c r="C60" i="77"/>
  <c r="D60" i="77"/>
  <c r="E60" i="77"/>
  <c r="F60" i="77"/>
  <c r="B61" i="77"/>
  <c r="C61" i="77"/>
  <c r="D61" i="77"/>
  <c r="E61" i="77"/>
  <c r="F61" i="77"/>
  <c r="B62" i="77"/>
  <c r="C62" i="77"/>
  <c r="D62" i="77"/>
  <c r="E62" i="77"/>
  <c r="F62" i="77"/>
  <c r="B63" i="77"/>
  <c r="C63" i="77"/>
  <c r="D63" i="77"/>
  <c r="E63" i="77"/>
  <c r="F63" i="77"/>
  <c r="B64" i="77"/>
  <c r="C64" i="77"/>
  <c r="D64" i="77"/>
  <c r="E64" i="77"/>
  <c r="F64" i="77"/>
  <c r="B65" i="77"/>
  <c r="C65" i="77"/>
  <c r="D65" i="77"/>
  <c r="E65" i="77"/>
  <c r="F65" i="77"/>
  <c r="B66" i="77"/>
  <c r="C66" i="77"/>
  <c r="D66" i="77"/>
  <c r="E66" i="77"/>
  <c r="F66" i="77"/>
  <c r="B67" i="77"/>
  <c r="C67" i="77"/>
  <c r="D67" i="77"/>
  <c r="E67" i="77"/>
  <c r="F67" i="77"/>
  <c r="B68" i="77"/>
  <c r="C68" i="77"/>
  <c r="D68" i="77"/>
  <c r="E68" i="77"/>
  <c r="F68" i="77"/>
  <c r="B69" i="77"/>
  <c r="C69" i="77"/>
  <c r="D69" i="77"/>
  <c r="E69" i="77"/>
  <c r="F69" i="77"/>
  <c r="B70" i="77"/>
  <c r="C70" i="77"/>
  <c r="D70" i="77"/>
  <c r="E70" i="77"/>
  <c r="F70" i="77"/>
  <c r="B71" i="77"/>
  <c r="C71" i="77"/>
  <c r="D71" i="77"/>
  <c r="E71" i="77"/>
  <c r="F71" i="77"/>
  <c r="B72" i="77"/>
  <c r="C72" i="77"/>
  <c r="D72" i="77"/>
  <c r="E72" i="77"/>
  <c r="F72" i="77"/>
  <c r="B73" i="77"/>
  <c r="C73" i="77"/>
  <c r="D73" i="77"/>
  <c r="E73" i="77"/>
  <c r="F73" i="77"/>
  <c r="B74" i="77"/>
  <c r="C74" i="77"/>
  <c r="D74" i="77"/>
  <c r="E74" i="77"/>
  <c r="F74" i="77"/>
  <c r="B75" i="77"/>
  <c r="C75" i="77"/>
  <c r="D75" i="77"/>
  <c r="E75" i="77"/>
  <c r="F75" i="77"/>
  <c r="B76" i="77"/>
  <c r="C76" i="77"/>
  <c r="D76" i="77"/>
  <c r="E76" i="77"/>
  <c r="F76" i="77"/>
  <c r="B77" i="77"/>
  <c r="C77" i="77"/>
  <c r="D77" i="77"/>
  <c r="E77" i="77"/>
  <c r="F77" i="77"/>
  <c r="B78" i="77"/>
  <c r="C78" i="77"/>
  <c r="D78" i="77"/>
  <c r="E78" i="77"/>
  <c r="F78" i="77"/>
  <c r="B79" i="77"/>
  <c r="C79" i="77"/>
  <c r="D79" i="77"/>
  <c r="E79" i="77"/>
  <c r="F79" i="77"/>
  <c r="B80" i="77"/>
  <c r="C80" i="77"/>
  <c r="D80" i="77"/>
  <c r="E80" i="77"/>
  <c r="F80" i="77"/>
  <c r="B81" i="77"/>
  <c r="C81" i="77"/>
  <c r="D81" i="77"/>
  <c r="E81" i="77"/>
  <c r="F81" i="77"/>
  <c r="B82" i="77"/>
  <c r="C82" i="77"/>
  <c r="D82" i="77"/>
  <c r="E82" i="77"/>
  <c r="F82" i="77"/>
  <c r="B83" i="77"/>
  <c r="C83" i="77"/>
  <c r="D83" i="77"/>
  <c r="E83" i="77"/>
  <c r="F83" i="77"/>
  <c r="B84" i="77"/>
  <c r="C84" i="77"/>
  <c r="D84" i="77"/>
  <c r="E84" i="77"/>
  <c r="F84" i="77"/>
  <c r="B85" i="77"/>
  <c r="C85" i="77"/>
  <c r="D85" i="77"/>
  <c r="E85" i="77"/>
  <c r="F85" i="77"/>
  <c r="B86" i="77"/>
  <c r="C86" i="77"/>
  <c r="D86" i="77"/>
  <c r="E86" i="77"/>
  <c r="F86" i="77"/>
  <c r="B87" i="77"/>
  <c r="C87" i="77"/>
  <c r="D87" i="77"/>
  <c r="E87" i="77"/>
  <c r="F87" i="77"/>
  <c r="B88" i="77"/>
  <c r="C88" i="77"/>
  <c r="D88" i="77"/>
  <c r="E88" i="77"/>
  <c r="F88" i="77"/>
  <c r="B89" i="77"/>
  <c r="C89" i="77"/>
  <c r="D89" i="77"/>
  <c r="E89" i="77"/>
  <c r="F89" i="77"/>
  <c r="B90" i="77"/>
  <c r="C90" i="77"/>
  <c r="D90" i="77"/>
  <c r="E90" i="77"/>
  <c r="F90" i="77"/>
  <c r="B91" i="77"/>
  <c r="C91" i="77"/>
  <c r="D91" i="77"/>
  <c r="E91" i="77"/>
  <c r="F91" i="77"/>
  <c r="B92" i="77"/>
  <c r="C92" i="77"/>
  <c r="D92" i="77"/>
  <c r="E92" i="77"/>
  <c r="F92" i="77"/>
  <c r="B93" i="77"/>
  <c r="C93" i="77"/>
  <c r="D93" i="77"/>
  <c r="E93" i="77"/>
  <c r="F93" i="77"/>
  <c r="B94" i="77"/>
  <c r="C94" i="77"/>
  <c r="D94" i="77"/>
  <c r="E94" i="77"/>
  <c r="F94" i="77"/>
  <c r="B95" i="77"/>
  <c r="C95" i="77"/>
  <c r="D95" i="77"/>
  <c r="E95" i="77"/>
  <c r="F95" i="77"/>
  <c r="B96" i="77"/>
  <c r="C96" i="77"/>
  <c r="D96" i="77"/>
  <c r="E96" i="77"/>
  <c r="F96" i="77"/>
  <c r="B97" i="77"/>
  <c r="C97" i="77"/>
  <c r="D97" i="77"/>
  <c r="E97" i="77"/>
  <c r="F97" i="77"/>
  <c r="B98" i="77"/>
  <c r="C98" i="77"/>
  <c r="D98" i="77"/>
  <c r="E98" i="77"/>
  <c r="F98" i="77"/>
  <c r="B99" i="77"/>
  <c r="C99" i="77"/>
  <c r="D99" i="77"/>
  <c r="E99" i="77"/>
  <c r="F99" i="77"/>
  <c r="B100" i="77"/>
  <c r="C100" i="77"/>
  <c r="D100" i="77"/>
  <c r="E100" i="77"/>
  <c r="F100" i="77"/>
  <c r="B101" i="77"/>
  <c r="C101" i="77"/>
  <c r="D101" i="77"/>
  <c r="E101" i="77"/>
  <c r="F101" i="77"/>
  <c r="B102" i="77"/>
  <c r="C102" i="77"/>
  <c r="D102" i="77"/>
  <c r="E102" i="77"/>
  <c r="F102" i="77"/>
  <c r="B103" i="77"/>
  <c r="C103" i="77"/>
  <c r="D103" i="77"/>
  <c r="E103" i="77"/>
  <c r="F103" i="77"/>
  <c r="B104" i="77"/>
  <c r="C104" i="77"/>
  <c r="D104" i="77"/>
  <c r="E104" i="77"/>
  <c r="F104" i="77"/>
  <c r="B105" i="77"/>
  <c r="C105" i="77"/>
  <c r="D105" i="77"/>
  <c r="E105" i="77"/>
  <c r="F105" i="77"/>
  <c r="B106" i="77"/>
  <c r="C106" i="77"/>
  <c r="D106" i="77"/>
  <c r="E106" i="77"/>
  <c r="F106" i="77"/>
  <c r="B107" i="77"/>
  <c r="C107" i="77"/>
  <c r="D107" i="77"/>
  <c r="E107" i="77"/>
  <c r="F107" i="77"/>
  <c r="B108" i="77"/>
  <c r="C108" i="77"/>
  <c r="D108" i="77"/>
  <c r="E108" i="77"/>
  <c r="F108" i="77"/>
  <c r="B109" i="77"/>
  <c r="C109" i="77"/>
  <c r="D109" i="77"/>
  <c r="E109" i="77"/>
  <c r="F109" i="77"/>
  <c r="B110" i="77"/>
  <c r="C110" i="77"/>
  <c r="D110" i="77"/>
  <c r="E110" i="77"/>
  <c r="F110" i="77"/>
  <c r="B111" i="77"/>
  <c r="C111" i="77"/>
  <c r="D111" i="77"/>
  <c r="E111" i="77"/>
  <c r="F111" i="77"/>
  <c r="B112" i="77"/>
  <c r="C112" i="77"/>
  <c r="D112" i="77"/>
  <c r="E112" i="77"/>
  <c r="F112" i="77"/>
  <c r="B113" i="77"/>
  <c r="C113" i="77"/>
  <c r="D113" i="77"/>
  <c r="E113" i="77"/>
  <c r="F113" i="77"/>
  <c r="B114" i="77"/>
  <c r="C114" i="77"/>
  <c r="D114" i="77"/>
  <c r="E114" i="77"/>
  <c r="F114" i="77"/>
  <c r="B115" i="77"/>
  <c r="C115" i="77"/>
  <c r="D115" i="77"/>
  <c r="E115" i="77"/>
  <c r="F115" i="77"/>
  <c r="B116" i="77"/>
  <c r="C116" i="77"/>
  <c r="D116" i="77"/>
  <c r="E116" i="77"/>
  <c r="F116" i="77"/>
  <c r="B117" i="77"/>
  <c r="C117" i="77"/>
  <c r="D117" i="77"/>
  <c r="E117" i="77"/>
  <c r="F117" i="77"/>
  <c r="B118" i="77"/>
  <c r="C118" i="77"/>
  <c r="D118" i="77"/>
  <c r="E118" i="77"/>
  <c r="F118" i="77"/>
  <c r="B119" i="77"/>
  <c r="C119" i="77"/>
  <c r="D119" i="77"/>
  <c r="E119" i="77"/>
  <c r="F119" i="77"/>
  <c r="B120" i="77"/>
  <c r="C120" i="77"/>
  <c r="D120" i="77"/>
  <c r="E120" i="77"/>
  <c r="F120" i="77"/>
  <c r="B121" i="77"/>
  <c r="C121" i="77"/>
  <c r="D121" i="77"/>
  <c r="E121" i="77"/>
  <c r="F121" i="77"/>
  <c r="B122" i="77"/>
  <c r="C122" i="77"/>
  <c r="D122" i="77"/>
  <c r="E122" i="77"/>
  <c r="F122" i="77"/>
  <c r="B123" i="77"/>
  <c r="C123" i="77"/>
  <c r="D123" i="77"/>
  <c r="E123" i="77"/>
  <c r="F123" i="77"/>
  <c r="B124" i="77"/>
  <c r="C124" i="77"/>
  <c r="D124" i="77"/>
  <c r="E124" i="77"/>
  <c r="F124" i="77"/>
  <c r="B125" i="77"/>
  <c r="C125" i="77"/>
  <c r="D125" i="77"/>
  <c r="E125" i="77"/>
  <c r="F125" i="77"/>
  <c r="B126" i="77"/>
  <c r="C126" i="77"/>
  <c r="D126" i="77"/>
  <c r="E126" i="77"/>
  <c r="F126" i="77"/>
  <c r="B127" i="77"/>
  <c r="C127" i="77"/>
  <c r="D127" i="77"/>
  <c r="E127" i="77"/>
  <c r="F127" i="77"/>
  <c r="B128" i="77"/>
  <c r="C128" i="77"/>
  <c r="D128" i="77"/>
  <c r="E128" i="77"/>
  <c r="F128" i="77"/>
  <c r="B129" i="77"/>
  <c r="C129" i="77"/>
  <c r="D129" i="77"/>
  <c r="E129" i="77"/>
  <c r="F129" i="77"/>
  <c r="B130" i="77"/>
  <c r="C130" i="77"/>
  <c r="D130" i="77"/>
  <c r="E130" i="77"/>
  <c r="F130" i="77"/>
  <c r="B131" i="77"/>
  <c r="C131" i="77"/>
  <c r="D131" i="77"/>
  <c r="E131" i="77"/>
  <c r="F131" i="77"/>
  <c r="B132" i="77"/>
  <c r="C132" i="77"/>
  <c r="D132" i="77"/>
  <c r="E132" i="77"/>
  <c r="F132" i="77"/>
  <c r="B133" i="77"/>
  <c r="C133" i="77"/>
  <c r="D133" i="77"/>
  <c r="E133" i="77"/>
  <c r="F133" i="77"/>
  <c r="B134" i="77"/>
  <c r="C134" i="77"/>
  <c r="D134" i="77"/>
  <c r="E134" i="77"/>
  <c r="F134" i="77"/>
  <c r="B135" i="77"/>
  <c r="C135" i="77"/>
  <c r="D135" i="77"/>
  <c r="E135" i="77"/>
  <c r="F135" i="77"/>
  <c r="B136" i="77"/>
  <c r="C136" i="77"/>
  <c r="D136" i="77"/>
  <c r="E136" i="77"/>
  <c r="F136" i="77"/>
  <c r="B137" i="77"/>
  <c r="C137" i="77"/>
  <c r="D137" i="77"/>
  <c r="E137" i="77"/>
  <c r="F137" i="77"/>
  <c r="B138" i="77"/>
  <c r="C138" i="77"/>
  <c r="D138" i="77"/>
  <c r="E138" i="77"/>
  <c r="F138" i="77"/>
  <c r="B139" i="77"/>
  <c r="C139" i="77"/>
  <c r="D139" i="77"/>
  <c r="E139" i="77"/>
  <c r="F139" i="77"/>
  <c r="B140" i="77"/>
  <c r="C140" i="77"/>
  <c r="D140" i="77"/>
  <c r="E140" i="77"/>
  <c r="F140" i="77"/>
  <c r="B141" i="77"/>
  <c r="C141" i="77"/>
  <c r="D141" i="77"/>
  <c r="E141" i="77"/>
  <c r="F141" i="77"/>
  <c r="B142" i="77"/>
  <c r="C142" i="77"/>
  <c r="D142" i="77"/>
  <c r="E142" i="77"/>
  <c r="F142" i="77"/>
  <c r="B143" i="77"/>
  <c r="C143" i="77"/>
  <c r="D143" i="77"/>
  <c r="E143" i="77"/>
  <c r="F143" i="77"/>
  <c r="B144" i="77"/>
  <c r="C144" i="77"/>
  <c r="D144" i="77"/>
  <c r="E144" i="77"/>
  <c r="F144" i="77"/>
  <c r="B145" i="77"/>
  <c r="C145" i="77"/>
  <c r="D145" i="77"/>
  <c r="E145" i="77"/>
  <c r="F145" i="77"/>
  <c r="B146" i="77"/>
  <c r="C146" i="77"/>
  <c r="D146" i="77"/>
  <c r="E146" i="77"/>
  <c r="F146" i="77"/>
  <c r="B147" i="77"/>
  <c r="C147" i="77"/>
  <c r="D147" i="77"/>
  <c r="E147" i="77"/>
  <c r="F147" i="77"/>
  <c r="B148" i="77"/>
  <c r="C148" i="77"/>
  <c r="D148" i="77"/>
  <c r="E148" i="77"/>
  <c r="F148" i="77"/>
  <c r="B149" i="77"/>
  <c r="C149" i="77"/>
  <c r="D149" i="77"/>
  <c r="E149" i="77"/>
  <c r="F149" i="77"/>
  <c r="B150" i="77"/>
  <c r="C150" i="77"/>
  <c r="D150" i="77"/>
  <c r="E150" i="77"/>
  <c r="F150" i="77"/>
  <c r="B151" i="77"/>
  <c r="C151" i="77"/>
  <c r="D151" i="77"/>
  <c r="E151" i="77"/>
  <c r="F151" i="77"/>
  <c r="B152" i="77"/>
  <c r="C152" i="77"/>
  <c r="D152" i="77"/>
  <c r="E152" i="77"/>
  <c r="F152" i="77"/>
  <c r="B153" i="77"/>
  <c r="C153" i="77"/>
  <c r="D153" i="77"/>
  <c r="E153" i="77"/>
  <c r="F153" i="77"/>
  <c r="B154" i="77"/>
  <c r="C154" i="77"/>
  <c r="D154" i="77"/>
  <c r="E154" i="77"/>
  <c r="F154" i="77"/>
  <c r="C38" i="77"/>
  <c r="D38" i="77"/>
  <c r="E38" i="77"/>
  <c r="F38" i="77"/>
  <c r="B38" i="77"/>
  <c r="V56" i="6" l="1"/>
  <c r="V57" i="6"/>
  <c r="V58" i="6" s="1"/>
  <c r="V59" i="6" s="1"/>
  <c r="V60" i="6" s="1"/>
  <c r="V61" i="6" s="1"/>
  <c r="V62" i="6" s="1"/>
  <c r="V63" i="6" s="1"/>
  <c r="V64" i="6" s="1"/>
  <c r="V65" i="6" s="1"/>
  <c r="V66" i="6" s="1"/>
  <c r="V67" i="6" s="1"/>
  <c r="V68" i="6" s="1"/>
  <c r="V69" i="6" s="1"/>
  <c r="V70" i="6" s="1"/>
  <c r="V71" i="6" s="1"/>
  <c r="V72" i="6" s="1"/>
  <c r="V73" i="6" s="1"/>
  <c r="V74" i="6" s="1"/>
  <c r="V75" i="6" s="1"/>
  <c r="V76" i="6" s="1"/>
  <c r="V77" i="6" s="1"/>
  <c r="V78" i="6" s="1"/>
  <c r="V79" i="6" s="1"/>
  <c r="V80" i="6" s="1"/>
  <c r="V81" i="6" s="1"/>
  <c r="V82" i="6" s="1"/>
  <c r="V83" i="6" s="1"/>
  <c r="V84" i="6" s="1"/>
  <c r="V85" i="6" s="1"/>
  <c r="V86" i="6" s="1"/>
  <c r="V87" i="6" s="1"/>
  <c r="V88" i="6" s="1"/>
  <c r="V89" i="6" s="1"/>
  <c r="V90" i="6" s="1"/>
  <c r="V91" i="6" s="1"/>
  <c r="V92" i="6" s="1"/>
  <c r="V93" i="6" s="1"/>
  <c r="V94" i="6" s="1"/>
  <c r="V95" i="6" s="1"/>
  <c r="V96" i="6" s="1"/>
  <c r="V97" i="6" s="1"/>
  <c r="V98" i="6" s="1"/>
  <c r="V99" i="6" s="1"/>
  <c r="V100" i="6" s="1"/>
  <c r="V101" i="6" s="1"/>
  <c r="V102" i="6" s="1"/>
  <c r="V103" i="6" s="1"/>
  <c r="V104" i="6" s="1"/>
  <c r="V105" i="6" s="1"/>
  <c r="V106" i="6" s="1"/>
  <c r="V107" i="6" s="1"/>
  <c r="V108" i="6" s="1"/>
  <c r="V109" i="6" s="1"/>
  <c r="V110" i="6" s="1"/>
  <c r="V111" i="6" s="1"/>
  <c r="V112" i="6" s="1"/>
  <c r="V113" i="6" s="1"/>
  <c r="V114" i="6" s="1"/>
  <c r="V115" i="6" s="1"/>
  <c r="V116" i="6" s="1"/>
  <c r="V117" i="6" s="1"/>
  <c r="V118" i="6" s="1"/>
  <c r="V119" i="6" s="1"/>
  <c r="V120" i="6" s="1"/>
  <c r="S56" i="6"/>
  <c r="S57" i="6" s="1"/>
  <c r="S58" i="6" s="1"/>
  <c r="S59" i="6" s="1"/>
  <c r="S60" i="6" s="1"/>
  <c r="S61" i="6" s="1"/>
  <c r="S62" i="6" s="1"/>
  <c r="B139" i="6"/>
  <c r="C139" i="6"/>
  <c r="E139" i="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S63" i="6" l="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D139" i="6"/>
  <c r="B110" i="62"/>
  <c r="E35" i="66" l="1"/>
  <c r="E38" i="66"/>
  <c r="I22" i="87" l="1"/>
  <c r="B131" i="6" l="1"/>
  <c r="A134" i="6"/>
  <c r="A133" i="6"/>
  <c r="A132" i="6"/>
  <c r="A131" i="6"/>
  <c r="A130" i="6"/>
  <c r="A129" i="6"/>
  <c r="A128" i="6"/>
  <c r="AS1" i="86"/>
  <c r="AT1" i="86"/>
  <c r="AH1" i="86"/>
  <c r="C1" i="86"/>
  <c r="D1" i="86"/>
  <c r="E1" i="86"/>
  <c r="F1" i="86"/>
  <c r="G1" i="86"/>
  <c r="H1" i="86"/>
  <c r="I1" i="86"/>
  <c r="J1" i="86"/>
  <c r="K1" i="86"/>
  <c r="L1" i="86"/>
  <c r="M1" i="86"/>
  <c r="N1" i="86"/>
  <c r="O1" i="86"/>
  <c r="P1" i="86"/>
  <c r="Q1" i="86"/>
  <c r="R1" i="86"/>
  <c r="S1" i="86"/>
  <c r="T1" i="86"/>
  <c r="U1" i="86"/>
  <c r="V1" i="86"/>
  <c r="W1" i="86"/>
  <c r="X1" i="86"/>
  <c r="Y1" i="86"/>
  <c r="Z1" i="86"/>
  <c r="AA1" i="86"/>
  <c r="AB1" i="86"/>
  <c r="AC1" i="86"/>
  <c r="AD1" i="86"/>
  <c r="AE1" i="86"/>
  <c r="AF1" i="86"/>
  <c r="AG1" i="86"/>
  <c r="AI1" i="86"/>
  <c r="AJ1" i="86"/>
  <c r="AK1" i="86"/>
  <c r="AL1" i="86"/>
  <c r="AM1" i="86"/>
  <c r="AN1" i="86"/>
  <c r="AO1" i="86"/>
  <c r="AP1" i="86"/>
  <c r="AQ1" i="86"/>
  <c r="AR1" i="86"/>
  <c r="AU1" i="86"/>
  <c r="AV1" i="86"/>
  <c r="AW1" i="86"/>
  <c r="AX1" i="86"/>
  <c r="AY1" i="86"/>
  <c r="AZ1" i="86"/>
  <c r="BA1" i="86"/>
  <c r="BB1" i="86"/>
  <c r="BC1" i="86"/>
  <c r="BD1" i="86"/>
  <c r="BE1" i="86"/>
  <c r="BF1" i="86"/>
  <c r="B8" i="29"/>
  <c r="C8" i="29"/>
  <c r="D8" i="29"/>
  <c r="E8" i="29"/>
  <c r="F8" i="29"/>
  <c r="B9" i="29"/>
  <c r="C9" i="29"/>
  <c r="D9" i="29"/>
  <c r="E9" i="29"/>
  <c r="F9" i="29"/>
  <c r="B10" i="29"/>
  <c r="C10" i="29"/>
  <c r="D10" i="29"/>
  <c r="E10" i="29"/>
  <c r="F10" i="29"/>
  <c r="B11" i="29"/>
  <c r="C11" i="29"/>
  <c r="D11" i="29"/>
  <c r="E11" i="29"/>
  <c r="F11" i="29"/>
  <c r="B12" i="29"/>
  <c r="C12" i="29"/>
  <c r="D12" i="29"/>
  <c r="E12" i="29"/>
  <c r="F12" i="29"/>
  <c r="B13" i="29"/>
  <c r="C13" i="29"/>
  <c r="D13" i="29"/>
  <c r="E13" i="29"/>
  <c r="F13" i="29"/>
  <c r="B14" i="29"/>
  <c r="C14" i="29"/>
  <c r="D14" i="29"/>
  <c r="E14" i="29"/>
  <c r="F14" i="29"/>
  <c r="B15" i="29"/>
  <c r="C15" i="29"/>
  <c r="D15" i="29"/>
  <c r="E15" i="29"/>
  <c r="F15" i="29"/>
  <c r="B16" i="29"/>
  <c r="C16" i="29"/>
  <c r="D16" i="29"/>
  <c r="E16" i="29"/>
  <c r="F16" i="29"/>
  <c r="B17" i="29"/>
  <c r="C17" i="29"/>
  <c r="D17" i="29"/>
  <c r="E17" i="29"/>
  <c r="F17" i="29"/>
  <c r="B18" i="29"/>
  <c r="C18" i="29"/>
  <c r="D18" i="29"/>
  <c r="E18" i="29"/>
  <c r="F18" i="29"/>
  <c r="B19" i="29"/>
  <c r="C19" i="29"/>
  <c r="D19" i="29"/>
  <c r="E19" i="29"/>
  <c r="F19" i="29"/>
  <c r="B20" i="29"/>
  <c r="C20" i="29"/>
  <c r="D20" i="29"/>
  <c r="E20" i="29"/>
  <c r="F20" i="29"/>
  <c r="B21" i="29"/>
  <c r="C21" i="29"/>
  <c r="D21" i="29"/>
  <c r="E21" i="29"/>
  <c r="F21" i="29"/>
  <c r="B22" i="29"/>
  <c r="C22" i="29"/>
  <c r="D22" i="29"/>
  <c r="E22" i="29"/>
  <c r="F22" i="29"/>
  <c r="B23" i="29"/>
  <c r="C23" i="29"/>
  <c r="D23" i="29"/>
  <c r="E23" i="29"/>
  <c r="F23" i="29"/>
  <c r="B24" i="29"/>
  <c r="C24" i="29"/>
  <c r="D24" i="29"/>
  <c r="E24" i="29"/>
  <c r="F24" i="29"/>
  <c r="B25" i="29"/>
  <c r="C25" i="29"/>
  <c r="D25" i="29"/>
  <c r="E25" i="29"/>
  <c r="F25" i="29"/>
  <c r="B26" i="29"/>
  <c r="C26" i="29"/>
  <c r="D26" i="29"/>
  <c r="E26" i="29"/>
  <c r="F26" i="29"/>
  <c r="B27" i="29"/>
  <c r="C27" i="29"/>
  <c r="D27" i="29"/>
  <c r="E27" i="29"/>
  <c r="F27" i="29"/>
  <c r="B28" i="29"/>
  <c r="C28" i="29"/>
  <c r="D28" i="29"/>
  <c r="E28" i="29"/>
  <c r="F28" i="29"/>
  <c r="B29" i="29"/>
  <c r="C29" i="29"/>
  <c r="D29" i="29"/>
  <c r="E29" i="29"/>
  <c r="F29" i="29"/>
  <c r="B30" i="29"/>
  <c r="C30" i="29"/>
  <c r="D30" i="29"/>
  <c r="E30" i="29"/>
  <c r="F30" i="29"/>
  <c r="B31" i="29"/>
  <c r="C31" i="29"/>
  <c r="D31" i="29"/>
  <c r="E31" i="29"/>
  <c r="F31" i="29"/>
  <c r="B32" i="29"/>
  <c r="C32" i="29"/>
  <c r="D32" i="29"/>
  <c r="E32" i="29"/>
  <c r="F32" i="29"/>
  <c r="B33" i="29"/>
  <c r="C33" i="29"/>
  <c r="D33" i="29"/>
  <c r="E33" i="29"/>
  <c r="F33" i="29"/>
  <c r="B34" i="29"/>
  <c r="C34" i="29"/>
  <c r="D34" i="29"/>
  <c r="E34" i="29"/>
  <c r="F34" i="29"/>
  <c r="B35" i="29"/>
  <c r="C35" i="29"/>
  <c r="D35" i="29"/>
  <c r="E35" i="29"/>
  <c r="F35" i="29"/>
  <c r="B36" i="29"/>
  <c r="C36" i="29"/>
  <c r="D36" i="29"/>
  <c r="E36" i="29"/>
  <c r="F36" i="29"/>
  <c r="B37" i="29"/>
  <c r="C37" i="29"/>
  <c r="D37" i="29"/>
  <c r="E37" i="29"/>
  <c r="F37" i="29"/>
  <c r="B38" i="29"/>
  <c r="C38" i="29"/>
  <c r="D38" i="29"/>
  <c r="E38" i="29"/>
  <c r="F38" i="29"/>
  <c r="B39" i="29"/>
  <c r="C39" i="29"/>
  <c r="D39" i="29"/>
  <c r="E39" i="29"/>
  <c r="F39" i="29"/>
  <c r="B40" i="29"/>
  <c r="C40" i="29"/>
  <c r="D40" i="29"/>
  <c r="E40" i="29"/>
  <c r="F40" i="29"/>
  <c r="B41" i="29"/>
  <c r="C41" i="29"/>
  <c r="D41" i="29"/>
  <c r="E41" i="29"/>
  <c r="F41" i="29"/>
  <c r="B42" i="29"/>
  <c r="C42" i="29"/>
  <c r="D42" i="29"/>
  <c r="E42" i="29"/>
  <c r="F42" i="29"/>
  <c r="B43" i="29"/>
  <c r="C43" i="29"/>
  <c r="D43" i="29"/>
  <c r="E43" i="29"/>
  <c r="F43" i="29"/>
  <c r="B44" i="29"/>
  <c r="C44" i="29"/>
  <c r="D44" i="29"/>
  <c r="E44" i="29"/>
  <c r="F44" i="29"/>
  <c r="B45" i="29"/>
  <c r="C45" i="29"/>
  <c r="D45" i="29"/>
  <c r="E45" i="29"/>
  <c r="F45" i="29"/>
  <c r="B46" i="29"/>
  <c r="C46" i="29"/>
  <c r="D46" i="29"/>
  <c r="E46" i="29"/>
  <c r="F46" i="29"/>
  <c r="B47" i="29"/>
  <c r="C47" i="29"/>
  <c r="D47" i="29"/>
  <c r="E47" i="29"/>
  <c r="F47" i="29"/>
  <c r="B48" i="29"/>
  <c r="C48" i="29"/>
  <c r="D48" i="29"/>
  <c r="E48" i="29"/>
  <c r="F48" i="29"/>
  <c r="B49" i="29"/>
  <c r="C49" i="29"/>
  <c r="D49" i="29"/>
  <c r="E49" i="29"/>
  <c r="F49" i="29"/>
  <c r="B50" i="29"/>
  <c r="C50" i="29"/>
  <c r="D50" i="29"/>
  <c r="E50" i="29"/>
  <c r="F50" i="29"/>
  <c r="B51" i="29"/>
  <c r="C51" i="29"/>
  <c r="D51" i="29"/>
  <c r="E51" i="29"/>
  <c r="F51" i="29"/>
  <c r="B52" i="29"/>
  <c r="C52" i="29"/>
  <c r="D52" i="29"/>
  <c r="E52" i="29"/>
  <c r="F52" i="29"/>
  <c r="B53" i="29"/>
  <c r="C53" i="29"/>
  <c r="D53" i="29"/>
  <c r="E53" i="29"/>
  <c r="F53" i="29"/>
  <c r="B54" i="29"/>
  <c r="C54" i="29"/>
  <c r="D54" i="29"/>
  <c r="E54" i="29"/>
  <c r="F54" i="29"/>
  <c r="B55" i="29"/>
  <c r="C55" i="29"/>
  <c r="D55" i="29"/>
  <c r="E55" i="29"/>
  <c r="F55" i="29"/>
  <c r="B56" i="29"/>
  <c r="C56" i="29"/>
  <c r="D56" i="29"/>
  <c r="E56" i="29"/>
  <c r="F56" i="29"/>
  <c r="B57" i="29"/>
  <c r="C57" i="29"/>
  <c r="D57" i="29"/>
  <c r="E57" i="29"/>
  <c r="F57" i="29"/>
  <c r="B58" i="29"/>
  <c r="C58" i="29"/>
  <c r="D58" i="29"/>
  <c r="E58" i="29"/>
  <c r="F58" i="29"/>
  <c r="B59" i="29"/>
  <c r="C59" i="29"/>
  <c r="D59" i="29"/>
  <c r="E59" i="29"/>
  <c r="F59" i="29"/>
  <c r="B60" i="29"/>
  <c r="C60" i="29"/>
  <c r="D60" i="29"/>
  <c r="E60" i="29"/>
  <c r="F60" i="29"/>
  <c r="B61" i="29"/>
  <c r="C61" i="29"/>
  <c r="D61" i="29"/>
  <c r="E61" i="29"/>
  <c r="F61" i="29"/>
  <c r="B62" i="29"/>
  <c r="C62" i="29"/>
  <c r="D62" i="29"/>
  <c r="E62" i="29"/>
  <c r="F62" i="29"/>
  <c r="B63" i="29"/>
  <c r="C63" i="29"/>
  <c r="D63" i="29"/>
  <c r="E63" i="29"/>
  <c r="F63" i="29"/>
  <c r="B64" i="29"/>
  <c r="C64" i="29"/>
  <c r="D64" i="29"/>
  <c r="E64" i="29"/>
  <c r="F64" i="29"/>
  <c r="B65" i="29"/>
  <c r="C65" i="29"/>
  <c r="D65" i="29"/>
  <c r="E65" i="29"/>
  <c r="F65" i="29"/>
  <c r="B66" i="29"/>
  <c r="C66" i="29"/>
  <c r="D66" i="29"/>
  <c r="E66" i="29"/>
  <c r="F66" i="29"/>
  <c r="B67" i="29"/>
  <c r="C67" i="29"/>
  <c r="D67" i="29"/>
  <c r="E67" i="29"/>
  <c r="F67" i="29"/>
  <c r="B68" i="29"/>
  <c r="C68" i="29"/>
  <c r="D68" i="29"/>
  <c r="E68" i="29"/>
  <c r="F68" i="29"/>
  <c r="B69" i="29"/>
  <c r="C69" i="29"/>
  <c r="D69" i="29"/>
  <c r="E69" i="29"/>
  <c r="F69" i="29"/>
  <c r="B70" i="29"/>
  <c r="C70" i="29"/>
  <c r="D70" i="29"/>
  <c r="E70" i="29"/>
  <c r="F70" i="29"/>
  <c r="B71" i="29"/>
  <c r="C71" i="29"/>
  <c r="D71" i="29"/>
  <c r="E71" i="29"/>
  <c r="F71" i="29"/>
  <c r="B72" i="29"/>
  <c r="C72" i="29"/>
  <c r="D72" i="29"/>
  <c r="E72" i="29"/>
  <c r="F72" i="29"/>
  <c r="B73" i="29"/>
  <c r="C73" i="29"/>
  <c r="D73" i="29"/>
  <c r="E73" i="29"/>
  <c r="F73" i="29"/>
  <c r="B74" i="29"/>
  <c r="C74" i="29"/>
  <c r="D74" i="29"/>
  <c r="E74" i="29"/>
  <c r="F74" i="29"/>
  <c r="B75" i="29"/>
  <c r="C75" i="29"/>
  <c r="D75" i="29"/>
  <c r="E75" i="29"/>
  <c r="F75" i="29"/>
  <c r="B76" i="29"/>
  <c r="C76" i="29"/>
  <c r="D76" i="29"/>
  <c r="E76" i="29"/>
  <c r="F76" i="29"/>
  <c r="B77" i="29"/>
  <c r="C77" i="29"/>
  <c r="D77" i="29"/>
  <c r="E77" i="29"/>
  <c r="F77" i="29"/>
  <c r="B78" i="29"/>
  <c r="C78" i="29"/>
  <c r="D78" i="29"/>
  <c r="E78" i="29"/>
  <c r="F78" i="29"/>
  <c r="B79" i="29"/>
  <c r="C79" i="29"/>
  <c r="D79" i="29"/>
  <c r="E79" i="29"/>
  <c r="F79" i="29"/>
  <c r="B80" i="29"/>
  <c r="C80" i="29"/>
  <c r="D80" i="29"/>
  <c r="E80" i="29"/>
  <c r="F80" i="29"/>
  <c r="B81" i="29"/>
  <c r="C81" i="29"/>
  <c r="D81" i="29"/>
  <c r="E81" i="29"/>
  <c r="F81" i="29"/>
  <c r="B82" i="29"/>
  <c r="C82" i="29"/>
  <c r="D82" i="29"/>
  <c r="E82" i="29"/>
  <c r="F82" i="29"/>
  <c r="B83" i="29"/>
  <c r="C83" i="29"/>
  <c r="D83" i="29"/>
  <c r="E83" i="29"/>
  <c r="F83" i="29"/>
  <c r="B84" i="29"/>
  <c r="C84" i="29"/>
  <c r="D84" i="29"/>
  <c r="E84" i="29"/>
  <c r="F84" i="29"/>
  <c r="B85" i="29"/>
  <c r="C85" i="29"/>
  <c r="D85" i="29"/>
  <c r="E85" i="29"/>
  <c r="F85" i="29"/>
  <c r="B86" i="29"/>
  <c r="C86" i="29"/>
  <c r="D86" i="29"/>
  <c r="E86" i="29"/>
  <c r="F86" i="29"/>
  <c r="B87" i="29"/>
  <c r="C87" i="29"/>
  <c r="D87" i="29"/>
  <c r="E87" i="29"/>
  <c r="F87" i="29"/>
  <c r="B88" i="29"/>
  <c r="C88" i="29"/>
  <c r="D88" i="29"/>
  <c r="E88" i="29"/>
  <c r="F88" i="29"/>
  <c r="B89" i="29"/>
  <c r="C89" i="29"/>
  <c r="D89" i="29"/>
  <c r="E89" i="29"/>
  <c r="F89" i="29"/>
  <c r="B90" i="29"/>
  <c r="C90" i="29"/>
  <c r="D90" i="29"/>
  <c r="E90" i="29"/>
  <c r="F90" i="29"/>
  <c r="B91" i="29"/>
  <c r="C91" i="29"/>
  <c r="D91" i="29"/>
  <c r="E91" i="29"/>
  <c r="F91" i="29"/>
  <c r="B92" i="29"/>
  <c r="C92" i="29"/>
  <c r="D92" i="29"/>
  <c r="E92" i="29"/>
  <c r="F92" i="29"/>
  <c r="B93" i="29"/>
  <c r="C93" i="29"/>
  <c r="D93" i="29"/>
  <c r="E93" i="29"/>
  <c r="F93" i="29"/>
  <c r="B94" i="29"/>
  <c r="C94" i="29"/>
  <c r="D94" i="29"/>
  <c r="E94" i="29"/>
  <c r="F94" i="29"/>
  <c r="B95" i="29"/>
  <c r="C95" i="29"/>
  <c r="D95" i="29"/>
  <c r="E95" i="29"/>
  <c r="F95" i="29"/>
  <c r="B96" i="29"/>
  <c r="C96" i="29"/>
  <c r="D96" i="29"/>
  <c r="E96" i="29"/>
  <c r="F96" i="29"/>
  <c r="B97" i="29"/>
  <c r="C97" i="29"/>
  <c r="D97" i="29"/>
  <c r="E97" i="29"/>
  <c r="F97" i="29"/>
  <c r="B98" i="29"/>
  <c r="C98" i="29"/>
  <c r="D98" i="29"/>
  <c r="E98" i="29"/>
  <c r="F98" i="29"/>
  <c r="B99" i="29"/>
  <c r="C99" i="29"/>
  <c r="D99" i="29"/>
  <c r="E99" i="29"/>
  <c r="F99" i="29"/>
  <c r="B100" i="29"/>
  <c r="C100" i="29"/>
  <c r="D100" i="29"/>
  <c r="E100" i="29"/>
  <c r="F100" i="29"/>
  <c r="B101" i="29"/>
  <c r="C101" i="29"/>
  <c r="D101" i="29"/>
  <c r="E101" i="29"/>
  <c r="F101" i="29"/>
  <c r="B102" i="29"/>
  <c r="C102" i="29"/>
  <c r="D102" i="29"/>
  <c r="E102" i="29"/>
  <c r="F102" i="29"/>
  <c r="B103" i="29"/>
  <c r="C103" i="29"/>
  <c r="D103" i="29"/>
  <c r="E103" i="29"/>
  <c r="F103" i="29"/>
  <c r="B104" i="29"/>
  <c r="C104" i="29"/>
  <c r="D104" i="29"/>
  <c r="E104" i="29"/>
  <c r="F104" i="29"/>
  <c r="B105" i="29"/>
  <c r="C105" i="29"/>
  <c r="D105" i="29"/>
  <c r="E105" i="29"/>
  <c r="F105" i="29"/>
  <c r="B106" i="29"/>
  <c r="C106" i="29"/>
  <c r="D106" i="29"/>
  <c r="E106" i="29"/>
  <c r="F106" i="29"/>
  <c r="B107" i="29"/>
  <c r="C107" i="29"/>
  <c r="D107" i="29"/>
  <c r="E107" i="29"/>
  <c r="F107" i="29"/>
  <c r="B108" i="29"/>
  <c r="C108" i="29"/>
  <c r="D108" i="29"/>
  <c r="E108" i="29"/>
  <c r="F108" i="29"/>
  <c r="B109" i="29"/>
  <c r="C109" i="29"/>
  <c r="D109" i="29"/>
  <c r="E109" i="29"/>
  <c r="F109" i="29"/>
  <c r="B110" i="29"/>
  <c r="C110" i="29"/>
  <c r="D110" i="29"/>
  <c r="E110" i="29"/>
  <c r="F110" i="29"/>
  <c r="B111" i="29"/>
  <c r="C111" i="29"/>
  <c r="D111" i="29"/>
  <c r="E111" i="29"/>
  <c r="F111" i="29"/>
  <c r="B112" i="29"/>
  <c r="C112" i="29"/>
  <c r="D112" i="29"/>
  <c r="E112" i="29"/>
  <c r="F112" i="29"/>
  <c r="B113" i="29"/>
  <c r="C113" i="29"/>
  <c r="D113" i="29"/>
  <c r="E113" i="29"/>
  <c r="F113" i="29"/>
  <c r="B114" i="29"/>
  <c r="C114" i="29"/>
  <c r="D114" i="29"/>
  <c r="E114" i="29"/>
  <c r="F114" i="29"/>
  <c r="B115" i="29"/>
  <c r="C115" i="29"/>
  <c r="D115" i="29"/>
  <c r="E115" i="29"/>
  <c r="F115" i="29"/>
  <c r="B116" i="29"/>
  <c r="C116" i="29"/>
  <c r="D116" i="29"/>
  <c r="E116" i="29"/>
  <c r="F116" i="29"/>
  <c r="B117" i="29"/>
  <c r="C117" i="29"/>
  <c r="D117" i="29"/>
  <c r="E117" i="29"/>
  <c r="F117" i="29"/>
  <c r="B118" i="29"/>
  <c r="C118" i="29"/>
  <c r="D118" i="29"/>
  <c r="E118" i="29"/>
  <c r="F118" i="29"/>
  <c r="B119" i="29"/>
  <c r="C119" i="29"/>
  <c r="D119" i="29"/>
  <c r="E119" i="29"/>
  <c r="F119" i="29"/>
  <c r="B120" i="29"/>
  <c r="C120" i="29"/>
  <c r="D120" i="29"/>
  <c r="E120" i="29"/>
  <c r="F120" i="29"/>
  <c r="B121" i="29"/>
  <c r="C121" i="29"/>
  <c r="D121" i="29"/>
  <c r="E121" i="29"/>
  <c r="F121" i="29"/>
  <c r="B122" i="29"/>
  <c r="C122" i="29"/>
  <c r="D122" i="29"/>
  <c r="E122" i="29"/>
  <c r="F122" i="29"/>
  <c r="B123" i="29"/>
  <c r="C123" i="29"/>
  <c r="D123" i="29"/>
  <c r="E123" i="29"/>
  <c r="F123" i="29"/>
  <c r="C7" i="29"/>
  <c r="D7" i="29"/>
  <c r="E7" i="29"/>
  <c r="F7" i="29"/>
  <c r="B7" i="29"/>
  <c r="F3" i="21"/>
  <c r="G3" i="21"/>
  <c r="H3" i="21"/>
  <c r="I3" i="21"/>
  <c r="J3" i="21"/>
  <c r="K3" i="21"/>
  <c r="L3" i="21"/>
  <c r="M3" i="21"/>
  <c r="N3" i="21"/>
  <c r="O3" i="21"/>
  <c r="P3" i="21"/>
  <c r="Q3" i="21"/>
  <c r="R3" i="21"/>
  <c r="S3" i="21"/>
  <c r="F4" i="21"/>
  <c r="G4" i="21"/>
  <c r="H4" i="21"/>
  <c r="I4" i="21"/>
  <c r="J4" i="21"/>
  <c r="K4" i="21"/>
  <c r="L4" i="21"/>
  <c r="M4" i="21"/>
  <c r="N4" i="21"/>
  <c r="O4" i="21"/>
  <c r="P4" i="21"/>
  <c r="Q4" i="21"/>
  <c r="R4" i="21"/>
  <c r="S4" i="21"/>
  <c r="F5" i="21"/>
  <c r="G5" i="21"/>
  <c r="H5" i="21"/>
  <c r="I5" i="21"/>
  <c r="J5" i="21"/>
  <c r="K5" i="21"/>
  <c r="L5" i="21"/>
  <c r="M5" i="21"/>
  <c r="N5" i="21"/>
  <c r="O5" i="21"/>
  <c r="P5" i="21"/>
  <c r="Q5" i="21"/>
  <c r="R5" i="21"/>
  <c r="S5" i="21"/>
  <c r="F6" i="21"/>
  <c r="G6" i="21"/>
  <c r="H6" i="21"/>
  <c r="I6" i="21"/>
  <c r="J6" i="21"/>
  <c r="K6" i="21"/>
  <c r="L6" i="21"/>
  <c r="M6" i="21"/>
  <c r="N6" i="21"/>
  <c r="O6" i="21"/>
  <c r="P6" i="21"/>
  <c r="Q6" i="21"/>
  <c r="R6" i="21"/>
  <c r="S6" i="21"/>
  <c r="F7" i="21"/>
  <c r="G7" i="21"/>
  <c r="H7" i="21"/>
  <c r="I7" i="21"/>
  <c r="J7" i="21"/>
  <c r="K7" i="21"/>
  <c r="L7" i="21"/>
  <c r="M7" i="21"/>
  <c r="N7" i="21"/>
  <c r="O7" i="21"/>
  <c r="P7" i="21"/>
  <c r="Q7" i="21"/>
  <c r="R7" i="21"/>
  <c r="S7" i="21"/>
  <c r="F8" i="21"/>
  <c r="G8" i="21"/>
  <c r="H8" i="21"/>
  <c r="I8" i="21"/>
  <c r="J8" i="21"/>
  <c r="K8" i="21"/>
  <c r="L8" i="21"/>
  <c r="M8" i="21"/>
  <c r="N8" i="21"/>
  <c r="O8" i="21"/>
  <c r="P8" i="21"/>
  <c r="Q8" i="21"/>
  <c r="R8" i="21"/>
  <c r="S8" i="21"/>
  <c r="F9" i="21"/>
  <c r="G9" i="21"/>
  <c r="H9" i="21"/>
  <c r="I9" i="21"/>
  <c r="J9" i="21"/>
  <c r="K9" i="21"/>
  <c r="L9" i="21"/>
  <c r="M9" i="21"/>
  <c r="N9" i="21"/>
  <c r="O9" i="21"/>
  <c r="P9" i="21"/>
  <c r="Q9" i="21"/>
  <c r="R9" i="21"/>
  <c r="S9" i="21"/>
  <c r="F10" i="21"/>
  <c r="G10" i="21"/>
  <c r="H10" i="21"/>
  <c r="I10" i="21"/>
  <c r="J10" i="21"/>
  <c r="K10" i="21"/>
  <c r="L10" i="21"/>
  <c r="M10" i="21"/>
  <c r="N10" i="21"/>
  <c r="O10" i="21"/>
  <c r="P10" i="21"/>
  <c r="Q10" i="21"/>
  <c r="R10" i="21"/>
  <c r="S10" i="21"/>
  <c r="F11" i="21"/>
  <c r="G11" i="21"/>
  <c r="H11" i="21"/>
  <c r="I11" i="21"/>
  <c r="J11" i="21"/>
  <c r="K11" i="21"/>
  <c r="L11" i="21"/>
  <c r="M11" i="21"/>
  <c r="N11" i="21"/>
  <c r="O11" i="21"/>
  <c r="P11" i="21"/>
  <c r="Q11" i="21"/>
  <c r="R11" i="21"/>
  <c r="S11" i="21"/>
  <c r="F12" i="21"/>
  <c r="G12" i="21"/>
  <c r="H12" i="21"/>
  <c r="I12" i="21"/>
  <c r="J12" i="21"/>
  <c r="K12" i="21"/>
  <c r="L12" i="21"/>
  <c r="M12" i="21"/>
  <c r="N12" i="21"/>
  <c r="O12" i="21"/>
  <c r="P12" i="21"/>
  <c r="Q12" i="21"/>
  <c r="R12" i="21"/>
  <c r="S12" i="21"/>
  <c r="F13" i="21"/>
  <c r="G13" i="21"/>
  <c r="H13" i="21"/>
  <c r="I13" i="21"/>
  <c r="J13" i="21"/>
  <c r="K13" i="21"/>
  <c r="L13" i="21"/>
  <c r="M13" i="21"/>
  <c r="N13" i="21"/>
  <c r="O13" i="21"/>
  <c r="P13" i="21"/>
  <c r="Q13" i="21"/>
  <c r="R13" i="21"/>
  <c r="S13" i="21"/>
  <c r="F14" i="21"/>
  <c r="G14" i="21"/>
  <c r="H14" i="21"/>
  <c r="I14" i="21"/>
  <c r="J14" i="21"/>
  <c r="K14" i="21"/>
  <c r="L14" i="21"/>
  <c r="M14" i="21"/>
  <c r="N14" i="21"/>
  <c r="O14" i="21"/>
  <c r="P14" i="21"/>
  <c r="Q14" i="21"/>
  <c r="R14" i="21"/>
  <c r="S14" i="21"/>
  <c r="F15" i="21"/>
  <c r="G15" i="21"/>
  <c r="H15" i="21"/>
  <c r="I15" i="21"/>
  <c r="J15" i="21"/>
  <c r="K15" i="21"/>
  <c r="L15" i="21"/>
  <c r="M15" i="21"/>
  <c r="N15" i="21"/>
  <c r="O15" i="21"/>
  <c r="P15" i="21"/>
  <c r="Q15" i="21"/>
  <c r="R15" i="21"/>
  <c r="S15" i="21"/>
  <c r="F16" i="21"/>
  <c r="G16" i="21"/>
  <c r="H16" i="21"/>
  <c r="I16" i="21"/>
  <c r="J16" i="21"/>
  <c r="K16" i="21"/>
  <c r="L16" i="21"/>
  <c r="M16" i="21"/>
  <c r="N16" i="21"/>
  <c r="O16" i="21"/>
  <c r="P16" i="21"/>
  <c r="Q16" i="21"/>
  <c r="R16" i="21"/>
  <c r="S16" i="21"/>
  <c r="F17" i="21"/>
  <c r="G17" i="21"/>
  <c r="H17" i="21"/>
  <c r="I17" i="21"/>
  <c r="J17" i="21"/>
  <c r="K17" i="21"/>
  <c r="L17" i="21"/>
  <c r="M17" i="21"/>
  <c r="N17" i="21"/>
  <c r="O17" i="21"/>
  <c r="P17" i="21"/>
  <c r="Q17" i="21"/>
  <c r="R17" i="21"/>
  <c r="S17" i="21"/>
  <c r="F18" i="21"/>
  <c r="G18" i="21"/>
  <c r="H18" i="21"/>
  <c r="I18" i="21"/>
  <c r="J18" i="21"/>
  <c r="K18" i="21"/>
  <c r="L18" i="21"/>
  <c r="M18" i="21"/>
  <c r="N18" i="21"/>
  <c r="O18" i="21"/>
  <c r="P18" i="21"/>
  <c r="Q18" i="21"/>
  <c r="R18" i="21"/>
  <c r="S18" i="21"/>
  <c r="F19" i="21"/>
  <c r="G19" i="21"/>
  <c r="H19" i="21"/>
  <c r="I19" i="21"/>
  <c r="J19" i="21"/>
  <c r="K19" i="21"/>
  <c r="L19" i="21"/>
  <c r="M19" i="21"/>
  <c r="N19" i="21"/>
  <c r="O19" i="21"/>
  <c r="P19" i="21"/>
  <c r="Q19" i="21"/>
  <c r="R19" i="21"/>
  <c r="S19" i="21"/>
  <c r="F20" i="21"/>
  <c r="G20" i="21"/>
  <c r="H20" i="21"/>
  <c r="I20" i="21"/>
  <c r="J20" i="21"/>
  <c r="K20" i="21"/>
  <c r="L20" i="21"/>
  <c r="M20" i="21"/>
  <c r="N20" i="21"/>
  <c r="O20" i="21"/>
  <c r="P20" i="21"/>
  <c r="Q20" i="21"/>
  <c r="R20" i="21"/>
  <c r="S20" i="21"/>
  <c r="F21" i="21"/>
  <c r="G21" i="21"/>
  <c r="H21" i="21"/>
  <c r="I21" i="21"/>
  <c r="J21" i="21"/>
  <c r="K21" i="21"/>
  <c r="L21" i="21"/>
  <c r="M21" i="21"/>
  <c r="N21" i="21"/>
  <c r="O21" i="21"/>
  <c r="P21" i="21"/>
  <c r="Q21" i="21"/>
  <c r="R21" i="21"/>
  <c r="S21" i="21"/>
  <c r="F22" i="21"/>
  <c r="G22" i="21"/>
  <c r="H22" i="21"/>
  <c r="I22" i="21"/>
  <c r="J22" i="21"/>
  <c r="K22" i="21"/>
  <c r="L22" i="21"/>
  <c r="M22" i="21"/>
  <c r="N22" i="21"/>
  <c r="O22" i="21"/>
  <c r="P22" i="21"/>
  <c r="Q22" i="21"/>
  <c r="R22" i="21"/>
  <c r="S22" i="21"/>
  <c r="F23" i="21"/>
  <c r="G23" i="21"/>
  <c r="H23" i="21"/>
  <c r="I23" i="21"/>
  <c r="J23" i="21"/>
  <c r="K23" i="21"/>
  <c r="L23" i="21"/>
  <c r="M23" i="21"/>
  <c r="N23" i="21"/>
  <c r="O23" i="21"/>
  <c r="P23" i="21"/>
  <c r="Q23" i="21"/>
  <c r="R23" i="21"/>
  <c r="S23" i="21"/>
  <c r="F24" i="21"/>
  <c r="G24" i="21"/>
  <c r="H24" i="21"/>
  <c r="I24" i="21"/>
  <c r="J24" i="21"/>
  <c r="K24" i="21"/>
  <c r="L24" i="21"/>
  <c r="M24" i="21"/>
  <c r="N24" i="21"/>
  <c r="O24" i="21"/>
  <c r="P24" i="21"/>
  <c r="Q24" i="21"/>
  <c r="R24" i="21"/>
  <c r="S24" i="21"/>
  <c r="F25" i="21"/>
  <c r="G25" i="21"/>
  <c r="H25" i="21"/>
  <c r="I25" i="21"/>
  <c r="J25" i="21"/>
  <c r="K25" i="21"/>
  <c r="L25" i="21"/>
  <c r="M25" i="21"/>
  <c r="N25" i="21"/>
  <c r="O25" i="21"/>
  <c r="P25" i="21"/>
  <c r="Q25" i="21"/>
  <c r="R25" i="21"/>
  <c r="S25" i="21"/>
  <c r="F26" i="21"/>
  <c r="G26" i="21"/>
  <c r="H26" i="21"/>
  <c r="I26" i="21"/>
  <c r="J26" i="21"/>
  <c r="K26" i="21"/>
  <c r="L26" i="21"/>
  <c r="M26" i="21"/>
  <c r="N26" i="21"/>
  <c r="O26" i="21"/>
  <c r="P26" i="21"/>
  <c r="Q26" i="21"/>
  <c r="R26" i="21"/>
  <c r="S26" i="21"/>
  <c r="F27" i="21"/>
  <c r="G27" i="21"/>
  <c r="H27" i="21"/>
  <c r="I27" i="21"/>
  <c r="J27" i="21"/>
  <c r="K27" i="21"/>
  <c r="L27" i="21"/>
  <c r="M27" i="21"/>
  <c r="N27" i="21"/>
  <c r="O27" i="21"/>
  <c r="P27" i="21"/>
  <c r="Q27" i="21"/>
  <c r="R27" i="21"/>
  <c r="S27" i="21"/>
  <c r="F28" i="21"/>
  <c r="G28" i="21"/>
  <c r="H28" i="21"/>
  <c r="I28" i="21"/>
  <c r="J28" i="21"/>
  <c r="K28" i="21"/>
  <c r="L28" i="21"/>
  <c r="M28" i="21"/>
  <c r="N28" i="21"/>
  <c r="O28" i="21"/>
  <c r="P28" i="21"/>
  <c r="Q28" i="21"/>
  <c r="R28" i="21"/>
  <c r="S28" i="21"/>
  <c r="F29" i="21"/>
  <c r="G29" i="21"/>
  <c r="H29" i="21"/>
  <c r="I29" i="21"/>
  <c r="J29" i="21"/>
  <c r="K29" i="21"/>
  <c r="L29" i="21"/>
  <c r="M29" i="21"/>
  <c r="N29" i="21"/>
  <c r="O29" i="21"/>
  <c r="P29" i="21"/>
  <c r="Q29" i="21"/>
  <c r="R29" i="21"/>
  <c r="S29" i="21"/>
  <c r="F30" i="21"/>
  <c r="G30" i="21"/>
  <c r="H30" i="21"/>
  <c r="I30" i="21"/>
  <c r="J30" i="21"/>
  <c r="K30" i="21"/>
  <c r="L30" i="21"/>
  <c r="M30" i="21"/>
  <c r="N30" i="21"/>
  <c r="O30" i="21"/>
  <c r="P30" i="21"/>
  <c r="Q30" i="21"/>
  <c r="R30" i="21"/>
  <c r="S30" i="21"/>
  <c r="F31" i="21"/>
  <c r="G31" i="21"/>
  <c r="H31" i="21"/>
  <c r="I31" i="21"/>
  <c r="J31" i="21"/>
  <c r="K31" i="21"/>
  <c r="L31" i="21"/>
  <c r="M31" i="21"/>
  <c r="N31" i="21"/>
  <c r="O31" i="21"/>
  <c r="P31" i="21"/>
  <c r="Q31" i="21"/>
  <c r="R31" i="21"/>
  <c r="S31" i="21"/>
  <c r="F32" i="21"/>
  <c r="G32" i="21"/>
  <c r="H32" i="21"/>
  <c r="I32" i="21"/>
  <c r="J32" i="21"/>
  <c r="K32" i="21"/>
  <c r="L32" i="21"/>
  <c r="M32" i="21"/>
  <c r="N32" i="21"/>
  <c r="O32" i="21"/>
  <c r="P32" i="21"/>
  <c r="Q32" i="21"/>
  <c r="R32" i="21"/>
  <c r="S32" i="21"/>
  <c r="F33" i="21"/>
  <c r="G33" i="21"/>
  <c r="H33" i="21"/>
  <c r="I33" i="21"/>
  <c r="J33" i="21"/>
  <c r="K33" i="21"/>
  <c r="L33" i="21"/>
  <c r="M33" i="21"/>
  <c r="N33" i="21"/>
  <c r="O33" i="21"/>
  <c r="P33" i="21"/>
  <c r="Q33" i="21"/>
  <c r="R33" i="21"/>
  <c r="S33" i="21"/>
  <c r="F34" i="21"/>
  <c r="G34" i="21"/>
  <c r="H34" i="21"/>
  <c r="I34" i="21"/>
  <c r="J34" i="21"/>
  <c r="K34" i="21"/>
  <c r="L34" i="21"/>
  <c r="M34" i="21"/>
  <c r="N34" i="21"/>
  <c r="O34" i="21"/>
  <c r="P34" i="21"/>
  <c r="Q34" i="21"/>
  <c r="R34" i="21"/>
  <c r="S34" i="21"/>
  <c r="F35" i="21"/>
  <c r="G35" i="21"/>
  <c r="H35" i="21"/>
  <c r="I35" i="21"/>
  <c r="J35" i="21"/>
  <c r="K35" i="21"/>
  <c r="L35" i="21"/>
  <c r="M35" i="21"/>
  <c r="N35" i="21"/>
  <c r="O35" i="21"/>
  <c r="P35" i="21"/>
  <c r="Q35" i="21"/>
  <c r="R35" i="21"/>
  <c r="S35" i="21"/>
  <c r="F36" i="21"/>
  <c r="G36" i="21"/>
  <c r="H36" i="21"/>
  <c r="I36" i="21"/>
  <c r="J36" i="21"/>
  <c r="K36" i="21"/>
  <c r="L36" i="21"/>
  <c r="M36" i="21"/>
  <c r="N36" i="21"/>
  <c r="O36" i="21"/>
  <c r="P36" i="21"/>
  <c r="Q36" i="21"/>
  <c r="R36" i="21"/>
  <c r="S36" i="21"/>
  <c r="F37" i="21"/>
  <c r="G37" i="21"/>
  <c r="H37" i="21"/>
  <c r="I37" i="21"/>
  <c r="J37" i="21"/>
  <c r="K37" i="21"/>
  <c r="L37" i="21"/>
  <c r="M37" i="21"/>
  <c r="N37" i="21"/>
  <c r="O37" i="21"/>
  <c r="P37" i="21"/>
  <c r="Q37" i="21"/>
  <c r="R37" i="21"/>
  <c r="S37" i="21"/>
  <c r="F38" i="21"/>
  <c r="G38" i="21"/>
  <c r="H38" i="21"/>
  <c r="I38" i="21"/>
  <c r="J38" i="21"/>
  <c r="K38" i="21"/>
  <c r="L38" i="21"/>
  <c r="M38" i="21"/>
  <c r="N38" i="21"/>
  <c r="O38" i="21"/>
  <c r="P38" i="21"/>
  <c r="Q38" i="21"/>
  <c r="R38" i="21"/>
  <c r="S38" i="21"/>
  <c r="F39" i="21"/>
  <c r="G39" i="21"/>
  <c r="H39" i="21"/>
  <c r="I39" i="21"/>
  <c r="J39" i="21"/>
  <c r="K39" i="21"/>
  <c r="L39" i="21"/>
  <c r="M39" i="21"/>
  <c r="N39" i="21"/>
  <c r="O39" i="21"/>
  <c r="P39" i="21"/>
  <c r="Q39" i="21"/>
  <c r="R39" i="21"/>
  <c r="S39" i="21"/>
  <c r="F40" i="21"/>
  <c r="G40" i="21"/>
  <c r="H40" i="21"/>
  <c r="I40" i="21"/>
  <c r="J40" i="21"/>
  <c r="K40" i="21"/>
  <c r="L40" i="21"/>
  <c r="M40" i="21"/>
  <c r="N40" i="21"/>
  <c r="O40" i="21"/>
  <c r="P40" i="21"/>
  <c r="Q40" i="21"/>
  <c r="R40" i="21"/>
  <c r="S40" i="21"/>
  <c r="F41" i="21"/>
  <c r="G41" i="21"/>
  <c r="H41" i="21"/>
  <c r="I41" i="21"/>
  <c r="J41" i="21"/>
  <c r="K41" i="21"/>
  <c r="L41" i="21"/>
  <c r="M41" i="21"/>
  <c r="N41" i="21"/>
  <c r="O41" i="21"/>
  <c r="P41" i="21"/>
  <c r="Q41" i="21"/>
  <c r="R41" i="21"/>
  <c r="S41" i="21"/>
  <c r="F42" i="21"/>
  <c r="G42" i="21"/>
  <c r="H42" i="21"/>
  <c r="I42" i="21"/>
  <c r="J42" i="21"/>
  <c r="K42" i="21"/>
  <c r="L42" i="21"/>
  <c r="M42" i="21"/>
  <c r="N42" i="21"/>
  <c r="O42" i="21"/>
  <c r="P42" i="21"/>
  <c r="Q42" i="21"/>
  <c r="R42" i="21"/>
  <c r="S42" i="21"/>
  <c r="F43" i="21"/>
  <c r="G43" i="21"/>
  <c r="H43" i="21"/>
  <c r="I43" i="21"/>
  <c r="J43" i="21"/>
  <c r="K43" i="21"/>
  <c r="L43" i="21"/>
  <c r="M43" i="21"/>
  <c r="N43" i="21"/>
  <c r="O43" i="21"/>
  <c r="P43" i="21"/>
  <c r="Q43" i="21"/>
  <c r="R43" i="21"/>
  <c r="S43" i="21"/>
  <c r="F44" i="21"/>
  <c r="G44" i="21"/>
  <c r="H44" i="21"/>
  <c r="I44" i="21"/>
  <c r="J44" i="21"/>
  <c r="K44" i="21"/>
  <c r="L44" i="21"/>
  <c r="M44" i="21"/>
  <c r="N44" i="21"/>
  <c r="O44" i="21"/>
  <c r="P44" i="21"/>
  <c r="Q44" i="21"/>
  <c r="R44" i="21"/>
  <c r="S44" i="21"/>
  <c r="F45" i="21"/>
  <c r="G45" i="21"/>
  <c r="H45" i="21"/>
  <c r="I45" i="21"/>
  <c r="J45" i="21"/>
  <c r="K45" i="21"/>
  <c r="L45" i="21"/>
  <c r="M45" i="21"/>
  <c r="N45" i="21"/>
  <c r="O45" i="21"/>
  <c r="P45" i="21"/>
  <c r="Q45" i="21"/>
  <c r="R45" i="21"/>
  <c r="S45" i="21"/>
  <c r="F46" i="21"/>
  <c r="G46" i="21"/>
  <c r="H46" i="21"/>
  <c r="I46" i="21"/>
  <c r="J46" i="21"/>
  <c r="K46" i="21"/>
  <c r="L46" i="21"/>
  <c r="M46" i="21"/>
  <c r="N46" i="21"/>
  <c r="O46" i="21"/>
  <c r="P46" i="21"/>
  <c r="Q46" i="21"/>
  <c r="R46" i="21"/>
  <c r="S46" i="21"/>
  <c r="F47" i="21"/>
  <c r="G47" i="21"/>
  <c r="H47" i="21"/>
  <c r="I47" i="21"/>
  <c r="J47" i="21"/>
  <c r="K47" i="21"/>
  <c r="L47" i="21"/>
  <c r="M47" i="21"/>
  <c r="N47" i="21"/>
  <c r="O47" i="21"/>
  <c r="P47" i="21"/>
  <c r="Q47" i="21"/>
  <c r="R47" i="21"/>
  <c r="S47" i="21"/>
  <c r="F48" i="21"/>
  <c r="G48" i="21"/>
  <c r="H48" i="21"/>
  <c r="I48" i="21"/>
  <c r="J48" i="21"/>
  <c r="K48" i="21"/>
  <c r="L48" i="21"/>
  <c r="M48" i="21"/>
  <c r="N48" i="21"/>
  <c r="O48" i="21"/>
  <c r="P48" i="21"/>
  <c r="Q48" i="21"/>
  <c r="R48" i="21"/>
  <c r="S48" i="21"/>
  <c r="F49" i="21"/>
  <c r="G49" i="21"/>
  <c r="H49" i="21"/>
  <c r="I49" i="21"/>
  <c r="J49" i="21"/>
  <c r="K49" i="21"/>
  <c r="L49" i="21"/>
  <c r="M49" i="21"/>
  <c r="N49" i="21"/>
  <c r="O49" i="21"/>
  <c r="P49" i="21"/>
  <c r="Q49" i="21"/>
  <c r="R49" i="21"/>
  <c r="S49" i="21"/>
  <c r="F50" i="21"/>
  <c r="G50" i="21"/>
  <c r="H50" i="21"/>
  <c r="I50" i="21"/>
  <c r="J50" i="21"/>
  <c r="K50" i="21"/>
  <c r="L50" i="21"/>
  <c r="M50" i="21"/>
  <c r="N50" i="21"/>
  <c r="O50" i="21"/>
  <c r="P50" i="21"/>
  <c r="Q50" i="21"/>
  <c r="R50" i="21"/>
  <c r="S50" i="21"/>
  <c r="F51" i="21"/>
  <c r="G51" i="21"/>
  <c r="H51" i="21"/>
  <c r="I51" i="21"/>
  <c r="J51" i="21"/>
  <c r="K51" i="21"/>
  <c r="L51" i="21"/>
  <c r="M51" i="21"/>
  <c r="N51" i="21"/>
  <c r="O51" i="21"/>
  <c r="P51" i="21"/>
  <c r="Q51" i="21"/>
  <c r="R51" i="21"/>
  <c r="S51" i="21"/>
  <c r="F52" i="21"/>
  <c r="G52" i="21"/>
  <c r="H52" i="21"/>
  <c r="I52" i="21"/>
  <c r="J52" i="21"/>
  <c r="K52" i="21"/>
  <c r="L52" i="21"/>
  <c r="M52" i="21"/>
  <c r="N52" i="21"/>
  <c r="O52" i="21"/>
  <c r="P52" i="21"/>
  <c r="Q52" i="21"/>
  <c r="R52" i="21"/>
  <c r="S52" i="21"/>
  <c r="F53" i="21"/>
  <c r="G53" i="21"/>
  <c r="H53" i="21"/>
  <c r="I53" i="21"/>
  <c r="J53" i="21"/>
  <c r="K53" i="21"/>
  <c r="L53" i="21"/>
  <c r="M53" i="21"/>
  <c r="N53" i="21"/>
  <c r="O53" i="21"/>
  <c r="P53" i="21"/>
  <c r="Q53" i="21"/>
  <c r="R53" i="21"/>
  <c r="S53" i="21"/>
  <c r="F54" i="21"/>
  <c r="G54" i="21"/>
  <c r="H54" i="21"/>
  <c r="I54" i="21"/>
  <c r="J54" i="21"/>
  <c r="K54" i="21"/>
  <c r="L54" i="21"/>
  <c r="M54" i="21"/>
  <c r="N54" i="21"/>
  <c r="O54" i="21"/>
  <c r="P54" i="21"/>
  <c r="Q54" i="21"/>
  <c r="R54" i="21"/>
  <c r="S54" i="21"/>
  <c r="F55" i="21"/>
  <c r="G55" i="21"/>
  <c r="H55" i="21"/>
  <c r="I55" i="21"/>
  <c r="J55" i="21"/>
  <c r="K55" i="21"/>
  <c r="L55" i="21"/>
  <c r="M55" i="21"/>
  <c r="N55" i="21"/>
  <c r="O55" i="21"/>
  <c r="P55" i="21"/>
  <c r="Q55" i="21"/>
  <c r="R55" i="21"/>
  <c r="S55" i="21"/>
  <c r="F56" i="21"/>
  <c r="G56" i="21"/>
  <c r="H56" i="21"/>
  <c r="I56" i="21"/>
  <c r="J56" i="21"/>
  <c r="K56" i="21"/>
  <c r="L56" i="21"/>
  <c r="M56" i="21"/>
  <c r="N56" i="21"/>
  <c r="O56" i="21"/>
  <c r="P56" i="21"/>
  <c r="Q56" i="21"/>
  <c r="R56" i="21"/>
  <c r="S56" i="21"/>
  <c r="F57" i="21"/>
  <c r="G57" i="21"/>
  <c r="H57" i="21"/>
  <c r="I57" i="21"/>
  <c r="J57" i="21"/>
  <c r="K57" i="21"/>
  <c r="L57" i="21"/>
  <c r="M57" i="21"/>
  <c r="N57" i="21"/>
  <c r="O57" i="21"/>
  <c r="P57" i="21"/>
  <c r="Q57" i="21"/>
  <c r="R57" i="21"/>
  <c r="S57" i="21"/>
  <c r="F58" i="21"/>
  <c r="G58" i="21"/>
  <c r="H58" i="21"/>
  <c r="I58" i="21"/>
  <c r="J58" i="21"/>
  <c r="K58" i="21"/>
  <c r="L58" i="21"/>
  <c r="M58" i="21"/>
  <c r="N58" i="21"/>
  <c r="O58" i="21"/>
  <c r="P58" i="21"/>
  <c r="Q58" i="21"/>
  <c r="R58" i="21"/>
  <c r="S58" i="21"/>
  <c r="F59" i="21"/>
  <c r="G59" i="21"/>
  <c r="H59" i="21"/>
  <c r="I59" i="21"/>
  <c r="J59" i="21"/>
  <c r="K59" i="21"/>
  <c r="L59" i="21"/>
  <c r="M59" i="21"/>
  <c r="N59" i="21"/>
  <c r="O59" i="21"/>
  <c r="P59" i="21"/>
  <c r="Q59" i="21"/>
  <c r="R59" i="21"/>
  <c r="S59" i="21"/>
  <c r="F60" i="21"/>
  <c r="G60" i="21"/>
  <c r="H60" i="21"/>
  <c r="I60" i="21"/>
  <c r="J60" i="21"/>
  <c r="K60" i="21"/>
  <c r="L60" i="21"/>
  <c r="M60" i="21"/>
  <c r="N60" i="21"/>
  <c r="O60" i="21"/>
  <c r="P60" i="21"/>
  <c r="Q60" i="21"/>
  <c r="R60" i="21"/>
  <c r="S60" i="21"/>
  <c r="F61" i="21"/>
  <c r="G61" i="21"/>
  <c r="H61" i="21"/>
  <c r="I61" i="21"/>
  <c r="J61" i="21"/>
  <c r="K61" i="21"/>
  <c r="L61" i="21"/>
  <c r="M61" i="21"/>
  <c r="N61" i="21"/>
  <c r="O61" i="21"/>
  <c r="P61" i="21"/>
  <c r="Q61" i="21"/>
  <c r="R61" i="21"/>
  <c r="S61" i="21"/>
  <c r="F62" i="21"/>
  <c r="G62" i="21"/>
  <c r="H62" i="21"/>
  <c r="I62" i="21"/>
  <c r="J62" i="21"/>
  <c r="K62" i="21"/>
  <c r="L62" i="21"/>
  <c r="M62" i="21"/>
  <c r="N62" i="21"/>
  <c r="O62" i="21"/>
  <c r="P62" i="21"/>
  <c r="Q62" i="21"/>
  <c r="R62" i="21"/>
  <c r="S62" i="21"/>
  <c r="F63" i="21"/>
  <c r="G63" i="21"/>
  <c r="H63" i="21"/>
  <c r="I63" i="21"/>
  <c r="J63" i="21"/>
  <c r="K63" i="21"/>
  <c r="L63" i="21"/>
  <c r="M63" i="21"/>
  <c r="N63" i="21"/>
  <c r="O63" i="21"/>
  <c r="P63" i="21"/>
  <c r="Q63" i="21"/>
  <c r="R63" i="21"/>
  <c r="S63" i="21"/>
  <c r="F64" i="21"/>
  <c r="G64" i="21"/>
  <c r="H64" i="21"/>
  <c r="I64" i="21"/>
  <c r="J64" i="21"/>
  <c r="K64" i="21"/>
  <c r="L64" i="21"/>
  <c r="M64" i="21"/>
  <c r="N64" i="21"/>
  <c r="O64" i="21"/>
  <c r="P64" i="21"/>
  <c r="Q64" i="21"/>
  <c r="R64" i="21"/>
  <c r="S64" i="21"/>
  <c r="F65" i="21"/>
  <c r="G65" i="21"/>
  <c r="H65" i="21"/>
  <c r="I65" i="21"/>
  <c r="J65" i="21"/>
  <c r="K65" i="21"/>
  <c r="L65" i="21"/>
  <c r="M65" i="21"/>
  <c r="N65" i="21"/>
  <c r="O65" i="21"/>
  <c r="P65" i="21"/>
  <c r="Q65" i="21"/>
  <c r="R65" i="21"/>
  <c r="S65" i="21"/>
  <c r="F66" i="21"/>
  <c r="G66" i="21"/>
  <c r="H66" i="21"/>
  <c r="I66" i="21"/>
  <c r="J66" i="21"/>
  <c r="K66" i="21"/>
  <c r="L66" i="21"/>
  <c r="M66" i="21"/>
  <c r="N66" i="21"/>
  <c r="O66" i="21"/>
  <c r="P66" i="21"/>
  <c r="Q66" i="21"/>
  <c r="R66" i="21"/>
  <c r="S66" i="21"/>
  <c r="F67" i="21"/>
  <c r="G67" i="21"/>
  <c r="H67" i="21"/>
  <c r="I67" i="21"/>
  <c r="J67" i="21"/>
  <c r="K67" i="21"/>
  <c r="L67" i="21"/>
  <c r="M67" i="21"/>
  <c r="N67" i="21"/>
  <c r="O67" i="21"/>
  <c r="P67" i="21"/>
  <c r="Q67" i="21"/>
  <c r="R67" i="21"/>
  <c r="S67" i="21"/>
  <c r="F68" i="21"/>
  <c r="G68" i="21"/>
  <c r="H68" i="21"/>
  <c r="I68" i="21"/>
  <c r="J68" i="21"/>
  <c r="K68" i="21"/>
  <c r="L68" i="21"/>
  <c r="M68" i="21"/>
  <c r="N68" i="21"/>
  <c r="O68" i="21"/>
  <c r="P68" i="21"/>
  <c r="Q68" i="21"/>
  <c r="R68" i="21"/>
  <c r="S68" i="21"/>
  <c r="F69" i="21"/>
  <c r="G69" i="21"/>
  <c r="H69" i="21"/>
  <c r="I69" i="21"/>
  <c r="J69" i="21"/>
  <c r="K69" i="21"/>
  <c r="L69" i="21"/>
  <c r="M69" i="21"/>
  <c r="N69" i="21"/>
  <c r="O69" i="21"/>
  <c r="P69" i="21"/>
  <c r="Q69" i="21"/>
  <c r="R69" i="21"/>
  <c r="S69" i="21"/>
  <c r="F70" i="21"/>
  <c r="G70" i="21"/>
  <c r="H70" i="21"/>
  <c r="I70" i="21"/>
  <c r="J70" i="21"/>
  <c r="K70" i="21"/>
  <c r="L70" i="21"/>
  <c r="M70" i="21"/>
  <c r="N70" i="21"/>
  <c r="O70" i="21"/>
  <c r="P70" i="21"/>
  <c r="Q70" i="21"/>
  <c r="R70" i="21"/>
  <c r="S70" i="21"/>
  <c r="F71" i="21"/>
  <c r="G71" i="21"/>
  <c r="H71" i="21"/>
  <c r="I71" i="21"/>
  <c r="J71" i="21"/>
  <c r="K71" i="21"/>
  <c r="L71" i="21"/>
  <c r="M71" i="21"/>
  <c r="N71" i="21"/>
  <c r="O71" i="21"/>
  <c r="P71" i="21"/>
  <c r="Q71" i="21"/>
  <c r="R71" i="21"/>
  <c r="S71" i="21"/>
  <c r="F72" i="21"/>
  <c r="G72" i="21"/>
  <c r="H72" i="21"/>
  <c r="I72" i="21"/>
  <c r="J72" i="21"/>
  <c r="K72" i="21"/>
  <c r="L72" i="21"/>
  <c r="M72" i="21"/>
  <c r="N72" i="21"/>
  <c r="O72" i="21"/>
  <c r="P72" i="21"/>
  <c r="Q72" i="21"/>
  <c r="R72" i="21"/>
  <c r="S72" i="21"/>
  <c r="F73" i="21"/>
  <c r="G73" i="21"/>
  <c r="H73" i="21"/>
  <c r="I73" i="21"/>
  <c r="J73" i="21"/>
  <c r="K73" i="21"/>
  <c r="L73" i="21"/>
  <c r="M73" i="21"/>
  <c r="N73" i="21"/>
  <c r="O73" i="21"/>
  <c r="P73" i="21"/>
  <c r="Q73" i="21"/>
  <c r="R73" i="21"/>
  <c r="S73" i="21"/>
  <c r="F74" i="21"/>
  <c r="G74" i="21"/>
  <c r="H74" i="21"/>
  <c r="I74" i="21"/>
  <c r="J74" i="21"/>
  <c r="K74" i="21"/>
  <c r="L74" i="21"/>
  <c r="M74" i="21"/>
  <c r="N74" i="21"/>
  <c r="O74" i="21"/>
  <c r="P74" i="21"/>
  <c r="Q74" i="21"/>
  <c r="R74" i="21"/>
  <c r="S74" i="21"/>
  <c r="F75" i="21"/>
  <c r="G75" i="21"/>
  <c r="H75" i="21"/>
  <c r="I75" i="21"/>
  <c r="J75" i="21"/>
  <c r="K75" i="21"/>
  <c r="L75" i="21"/>
  <c r="M75" i="21"/>
  <c r="N75" i="21"/>
  <c r="O75" i="21"/>
  <c r="P75" i="21"/>
  <c r="Q75" i="21"/>
  <c r="R75" i="21"/>
  <c r="S75" i="21"/>
  <c r="F76" i="21"/>
  <c r="G76" i="21"/>
  <c r="H76" i="21"/>
  <c r="I76" i="21"/>
  <c r="J76" i="21"/>
  <c r="K76" i="21"/>
  <c r="L76" i="21"/>
  <c r="M76" i="21"/>
  <c r="N76" i="21"/>
  <c r="O76" i="21"/>
  <c r="P76" i="21"/>
  <c r="Q76" i="21"/>
  <c r="R76" i="21"/>
  <c r="S76" i="21"/>
  <c r="F77" i="21"/>
  <c r="G77" i="21"/>
  <c r="H77" i="21"/>
  <c r="I77" i="21"/>
  <c r="J77" i="21"/>
  <c r="K77" i="21"/>
  <c r="L77" i="21"/>
  <c r="M77" i="21"/>
  <c r="N77" i="21"/>
  <c r="O77" i="21"/>
  <c r="P77" i="21"/>
  <c r="Q77" i="21"/>
  <c r="R77" i="21"/>
  <c r="S77" i="21"/>
  <c r="F78" i="21"/>
  <c r="G78" i="21"/>
  <c r="H78" i="21"/>
  <c r="I78" i="21"/>
  <c r="J78" i="21"/>
  <c r="K78" i="21"/>
  <c r="L78" i="21"/>
  <c r="M78" i="21"/>
  <c r="N78" i="21"/>
  <c r="O78" i="21"/>
  <c r="P78" i="21"/>
  <c r="Q78" i="21"/>
  <c r="R78" i="21"/>
  <c r="S78" i="21"/>
  <c r="F79" i="21"/>
  <c r="G79" i="21"/>
  <c r="H79" i="21"/>
  <c r="I79" i="21"/>
  <c r="J79" i="21"/>
  <c r="K79" i="21"/>
  <c r="L79" i="21"/>
  <c r="M79" i="21"/>
  <c r="N79" i="21"/>
  <c r="O79" i="21"/>
  <c r="P79" i="21"/>
  <c r="Q79" i="21"/>
  <c r="R79" i="21"/>
  <c r="S79" i="21"/>
  <c r="F80" i="21"/>
  <c r="G80" i="21"/>
  <c r="H80" i="21"/>
  <c r="I80" i="21"/>
  <c r="J80" i="21"/>
  <c r="K80" i="21"/>
  <c r="L80" i="21"/>
  <c r="M80" i="21"/>
  <c r="N80" i="21"/>
  <c r="O80" i="21"/>
  <c r="P80" i="21"/>
  <c r="Q80" i="21"/>
  <c r="R80" i="21"/>
  <c r="S80" i="21"/>
  <c r="F81" i="21"/>
  <c r="G81" i="21"/>
  <c r="H81" i="21"/>
  <c r="I81" i="21"/>
  <c r="J81" i="21"/>
  <c r="K81" i="21"/>
  <c r="L81" i="21"/>
  <c r="M81" i="21"/>
  <c r="N81" i="21"/>
  <c r="O81" i="21"/>
  <c r="P81" i="21"/>
  <c r="Q81" i="21"/>
  <c r="R81" i="21"/>
  <c r="S81" i="21"/>
  <c r="F82" i="21"/>
  <c r="G82" i="21"/>
  <c r="H82" i="21"/>
  <c r="I82" i="21"/>
  <c r="J82" i="21"/>
  <c r="K82" i="21"/>
  <c r="L82" i="21"/>
  <c r="M82" i="21"/>
  <c r="N82" i="21"/>
  <c r="O82" i="21"/>
  <c r="P82" i="21"/>
  <c r="Q82" i="21"/>
  <c r="R82" i="21"/>
  <c r="S82" i="21"/>
  <c r="F83" i="21"/>
  <c r="G83" i="21"/>
  <c r="H83" i="21"/>
  <c r="I83" i="21"/>
  <c r="J83" i="21"/>
  <c r="K83" i="21"/>
  <c r="L83" i="21"/>
  <c r="M83" i="21"/>
  <c r="N83" i="21"/>
  <c r="O83" i="21"/>
  <c r="P83" i="21"/>
  <c r="Q83" i="21"/>
  <c r="R83" i="21"/>
  <c r="S83" i="21"/>
  <c r="F84" i="21"/>
  <c r="G84" i="21"/>
  <c r="H84" i="21"/>
  <c r="I84" i="21"/>
  <c r="J84" i="21"/>
  <c r="K84" i="21"/>
  <c r="L84" i="21"/>
  <c r="M84" i="21"/>
  <c r="N84" i="21"/>
  <c r="O84" i="21"/>
  <c r="P84" i="21"/>
  <c r="Q84" i="21"/>
  <c r="R84" i="21"/>
  <c r="S84" i="21"/>
  <c r="F85" i="21"/>
  <c r="G85" i="21"/>
  <c r="H85" i="21"/>
  <c r="I85" i="21"/>
  <c r="J85" i="21"/>
  <c r="K85" i="21"/>
  <c r="L85" i="21"/>
  <c r="M85" i="21"/>
  <c r="N85" i="21"/>
  <c r="O85" i="21"/>
  <c r="P85" i="21"/>
  <c r="Q85" i="21"/>
  <c r="R85" i="21"/>
  <c r="S85" i="21"/>
  <c r="F86" i="21"/>
  <c r="G86" i="21"/>
  <c r="H86" i="21"/>
  <c r="I86" i="21"/>
  <c r="J86" i="21"/>
  <c r="K86" i="21"/>
  <c r="L86" i="21"/>
  <c r="M86" i="21"/>
  <c r="N86" i="21"/>
  <c r="O86" i="21"/>
  <c r="P86" i="21"/>
  <c r="Q86" i="21"/>
  <c r="R86" i="21"/>
  <c r="S86" i="21"/>
  <c r="F87" i="21"/>
  <c r="G87" i="21"/>
  <c r="H87" i="21"/>
  <c r="I87" i="21"/>
  <c r="J87" i="21"/>
  <c r="K87" i="21"/>
  <c r="L87" i="21"/>
  <c r="M87" i="21"/>
  <c r="N87" i="21"/>
  <c r="O87" i="21"/>
  <c r="P87" i="21"/>
  <c r="Q87" i="21"/>
  <c r="R87" i="21"/>
  <c r="S87" i="21"/>
  <c r="F88" i="21"/>
  <c r="G88" i="21"/>
  <c r="H88" i="21"/>
  <c r="I88" i="21"/>
  <c r="J88" i="21"/>
  <c r="K88" i="21"/>
  <c r="L88" i="21"/>
  <c r="M88" i="21"/>
  <c r="N88" i="21"/>
  <c r="O88" i="21"/>
  <c r="P88" i="21"/>
  <c r="Q88" i="21"/>
  <c r="R88" i="21"/>
  <c r="S88" i="21"/>
  <c r="F89" i="21"/>
  <c r="G89" i="21"/>
  <c r="H89" i="21"/>
  <c r="I89" i="21"/>
  <c r="J89" i="21"/>
  <c r="K89" i="21"/>
  <c r="L89" i="21"/>
  <c r="M89" i="21"/>
  <c r="N89" i="21"/>
  <c r="O89" i="21"/>
  <c r="P89" i="21"/>
  <c r="Q89" i="21"/>
  <c r="R89" i="21"/>
  <c r="S89" i="21"/>
  <c r="F90" i="21"/>
  <c r="G90" i="21"/>
  <c r="H90" i="21"/>
  <c r="I90" i="21"/>
  <c r="J90" i="21"/>
  <c r="K90" i="21"/>
  <c r="L90" i="21"/>
  <c r="M90" i="21"/>
  <c r="N90" i="21"/>
  <c r="O90" i="21"/>
  <c r="P90" i="21"/>
  <c r="Q90" i="21"/>
  <c r="R90" i="21"/>
  <c r="S90" i="21"/>
  <c r="F91" i="21"/>
  <c r="G91" i="21"/>
  <c r="H91" i="21"/>
  <c r="I91" i="21"/>
  <c r="J91" i="21"/>
  <c r="K91" i="21"/>
  <c r="L91" i="21"/>
  <c r="M91" i="21"/>
  <c r="N91" i="21"/>
  <c r="O91" i="21"/>
  <c r="P91" i="21"/>
  <c r="Q91" i="21"/>
  <c r="R91" i="21"/>
  <c r="S91" i="21"/>
  <c r="F92" i="21"/>
  <c r="G92" i="21"/>
  <c r="H92" i="21"/>
  <c r="I92" i="21"/>
  <c r="J92" i="21"/>
  <c r="K92" i="21"/>
  <c r="L92" i="21"/>
  <c r="M92" i="21"/>
  <c r="N92" i="21"/>
  <c r="O92" i="21"/>
  <c r="P92" i="21"/>
  <c r="Q92" i="21"/>
  <c r="R92" i="21"/>
  <c r="S92" i="21"/>
  <c r="F93" i="21"/>
  <c r="G93" i="21"/>
  <c r="H93" i="21"/>
  <c r="I93" i="21"/>
  <c r="J93" i="21"/>
  <c r="K93" i="21"/>
  <c r="L93" i="21"/>
  <c r="M93" i="21"/>
  <c r="N93" i="21"/>
  <c r="O93" i="21"/>
  <c r="P93" i="21"/>
  <c r="Q93" i="21"/>
  <c r="R93" i="21"/>
  <c r="S93" i="21"/>
  <c r="F94" i="21"/>
  <c r="G94" i="21"/>
  <c r="H94" i="21"/>
  <c r="I94" i="21"/>
  <c r="J94" i="21"/>
  <c r="K94" i="21"/>
  <c r="L94" i="21"/>
  <c r="M94" i="21"/>
  <c r="N94" i="21"/>
  <c r="O94" i="21"/>
  <c r="P94" i="21"/>
  <c r="Q94" i="21"/>
  <c r="R94" i="21"/>
  <c r="S94" i="21"/>
  <c r="F95" i="21"/>
  <c r="G95" i="21"/>
  <c r="H95" i="21"/>
  <c r="I95" i="21"/>
  <c r="J95" i="21"/>
  <c r="K95" i="21"/>
  <c r="L95" i="21"/>
  <c r="M95" i="21"/>
  <c r="N95" i="21"/>
  <c r="O95" i="21"/>
  <c r="P95" i="21"/>
  <c r="Q95" i="21"/>
  <c r="R95" i="21"/>
  <c r="S95" i="21"/>
  <c r="F96" i="21"/>
  <c r="G96" i="21"/>
  <c r="H96" i="21"/>
  <c r="I96" i="21"/>
  <c r="J96" i="21"/>
  <c r="K96" i="21"/>
  <c r="L96" i="21"/>
  <c r="M96" i="21"/>
  <c r="N96" i="21"/>
  <c r="O96" i="21"/>
  <c r="P96" i="21"/>
  <c r="Q96" i="21"/>
  <c r="R96" i="21"/>
  <c r="S96" i="21"/>
  <c r="F97" i="21"/>
  <c r="G97" i="21"/>
  <c r="H97" i="21"/>
  <c r="I97" i="21"/>
  <c r="J97" i="21"/>
  <c r="K97" i="21"/>
  <c r="L97" i="21"/>
  <c r="M97" i="21"/>
  <c r="N97" i="21"/>
  <c r="O97" i="21"/>
  <c r="P97" i="21"/>
  <c r="Q97" i="21"/>
  <c r="R97" i="21"/>
  <c r="S97" i="21"/>
  <c r="F98" i="21"/>
  <c r="G98" i="21"/>
  <c r="H98" i="21"/>
  <c r="I98" i="21"/>
  <c r="J98" i="21"/>
  <c r="K98" i="21"/>
  <c r="L98" i="21"/>
  <c r="M98" i="21"/>
  <c r="N98" i="21"/>
  <c r="O98" i="21"/>
  <c r="P98" i="21"/>
  <c r="Q98" i="21"/>
  <c r="R98" i="21"/>
  <c r="S98" i="21"/>
  <c r="F99" i="21"/>
  <c r="G99" i="21"/>
  <c r="H99" i="21"/>
  <c r="I99" i="21"/>
  <c r="J99" i="21"/>
  <c r="K99" i="21"/>
  <c r="L99" i="21"/>
  <c r="M99" i="21"/>
  <c r="N99" i="21"/>
  <c r="O99" i="21"/>
  <c r="P99" i="21"/>
  <c r="Q99" i="21"/>
  <c r="R99" i="21"/>
  <c r="S99" i="21"/>
  <c r="F100" i="21"/>
  <c r="G100" i="21"/>
  <c r="H100" i="21"/>
  <c r="I100" i="21"/>
  <c r="J100" i="21"/>
  <c r="K100" i="21"/>
  <c r="L100" i="21"/>
  <c r="M100" i="21"/>
  <c r="N100" i="21"/>
  <c r="O100" i="21"/>
  <c r="P100" i="21"/>
  <c r="Q100" i="21"/>
  <c r="R100" i="21"/>
  <c r="S100" i="21"/>
  <c r="F101" i="21"/>
  <c r="G101" i="21"/>
  <c r="H101" i="21"/>
  <c r="I101" i="21"/>
  <c r="J101" i="21"/>
  <c r="K101" i="21"/>
  <c r="L101" i="21"/>
  <c r="M101" i="21"/>
  <c r="N101" i="21"/>
  <c r="O101" i="21"/>
  <c r="P101" i="21"/>
  <c r="Q101" i="21"/>
  <c r="R101" i="21"/>
  <c r="S101" i="21"/>
  <c r="F102" i="21"/>
  <c r="G102" i="21"/>
  <c r="H102" i="21"/>
  <c r="I102" i="21"/>
  <c r="J102" i="21"/>
  <c r="K102" i="21"/>
  <c r="L102" i="21"/>
  <c r="M102" i="21"/>
  <c r="N102" i="21"/>
  <c r="O102" i="21"/>
  <c r="P102" i="21"/>
  <c r="Q102" i="21"/>
  <c r="R102" i="21"/>
  <c r="S102" i="21"/>
  <c r="F103" i="21"/>
  <c r="G103" i="21"/>
  <c r="H103" i="21"/>
  <c r="I103" i="21"/>
  <c r="J103" i="21"/>
  <c r="K103" i="21"/>
  <c r="L103" i="21"/>
  <c r="M103" i="21"/>
  <c r="N103" i="21"/>
  <c r="O103" i="21"/>
  <c r="P103" i="21"/>
  <c r="Q103" i="21"/>
  <c r="R103" i="21"/>
  <c r="S103" i="21"/>
  <c r="F104" i="21"/>
  <c r="G104" i="21"/>
  <c r="H104" i="21"/>
  <c r="I104" i="21"/>
  <c r="J104" i="21"/>
  <c r="K104" i="21"/>
  <c r="L104" i="21"/>
  <c r="M104" i="21"/>
  <c r="N104" i="21"/>
  <c r="O104" i="21"/>
  <c r="P104" i="21"/>
  <c r="Q104" i="21"/>
  <c r="R104" i="21"/>
  <c r="S104" i="21"/>
  <c r="F105" i="21"/>
  <c r="G105" i="21"/>
  <c r="H105" i="21"/>
  <c r="I105" i="21"/>
  <c r="J105" i="21"/>
  <c r="K105" i="21"/>
  <c r="L105" i="21"/>
  <c r="M105" i="21"/>
  <c r="N105" i="21"/>
  <c r="O105" i="21"/>
  <c r="P105" i="21"/>
  <c r="Q105" i="21"/>
  <c r="R105" i="21"/>
  <c r="S105" i="21"/>
  <c r="F106" i="21"/>
  <c r="G106" i="21"/>
  <c r="H106" i="21"/>
  <c r="I106" i="21"/>
  <c r="J106" i="21"/>
  <c r="K106" i="21"/>
  <c r="L106" i="21"/>
  <c r="M106" i="21"/>
  <c r="N106" i="21"/>
  <c r="O106" i="21"/>
  <c r="P106" i="21"/>
  <c r="Q106" i="21"/>
  <c r="R106" i="21"/>
  <c r="S106" i="21"/>
  <c r="F107" i="21"/>
  <c r="G107" i="21"/>
  <c r="H107" i="21"/>
  <c r="I107" i="21"/>
  <c r="J107" i="21"/>
  <c r="K107" i="21"/>
  <c r="L107" i="21"/>
  <c r="M107" i="21"/>
  <c r="N107" i="21"/>
  <c r="O107" i="21"/>
  <c r="P107" i="21"/>
  <c r="Q107" i="21"/>
  <c r="R107" i="21"/>
  <c r="S107" i="21"/>
  <c r="F108" i="21"/>
  <c r="G108" i="21"/>
  <c r="H108" i="21"/>
  <c r="I108" i="21"/>
  <c r="J108" i="21"/>
  <c r="K108" i="21"/>
  <c r="L108" i="21"/>
  <c r="M108" i="21"/>
  <c r="N108" i="21"/>
  <c r="O108" i="21"/>
  <c r="P108" i="21"/>
  <c r="Q108" i="21"/>
  <c r="R108" i="21"/>
  <c r="S108" i="21"/>
  <c r="F109" i="21"/>
  <c r="G109" i="21"/>
  <c r="H109" i="21"/>
  <c r="I109" i="21"/>
  <c r="J109" i="21"/>
  <c r="K109" i="21"/>
  <c r="L109" i="21"/>
  <c r="M109" i="21"/>
  <c r="N109" i="21"/>
  <c r="O109" i="21"/>
  <c r="P109" i="21"/>
  <c r="Q109" i="21"/>
  <c r="R109" i="21"/>
  <c r="S109" i="21"/>
  <c r="F110" i="21"/>
  <c r="G110" i="21"/>
  <c r="H110" i="21"/>
  <c r="I110" i="21"/>
  <c r="J110" i="21"/>
  <c r="K110" i="21"/>
  <c r="L110" i="21"/>
  <c r="M110" i="21"/>
  <c r="N110" i="21"/>
  <c r="O110" i="21"/>
  <c r="P110" i="21"/>
  <c r="Q110" i="21"/>
  <c r="R110" i="21"/>
  <c r="S110" i="21"/>
  <c r="F111" i="21"/>
  <c r="G111" i="21"/>
  <c r="H111" i="21"/>
  <c r="I111" i="21"/>
  <c r="J111" i="21"/>
  <c r="K111" i="21"/>
  <c r="L111" i="21"/>
  <c r="M111" i="21"/>
  <c r="N111" i="21"/>
  <c r="O111" i="21"/>
  <c r="P111" i="21"/>
  <c r="Q111" i="21"/>
  <c r="R111" i="21"/>
  <c r="S111" i="21"/>
  <c r="F112" i="21"/>
  <c r="G112" i="21"/>
  <c r="H112" i="21"/>
  <c r="I112" i="21"/>
  <c r="J112" i="21"/>
  <c r="K112" i="21"/>
  <c r="L112" i="21"/>
  <c r="M112" i="21"/>
  <c r="N112" i="21"/>
  <c r="O112" i="21"/>
  <c r="P112" i="21"/>
  <c r="Q112" i="21"/>
  <c r="R112" i="21"/>
  <c r="S112" i="21"/>
  <c r="F113" i="21"/>
  <c r="G113" i="21"/>
  <c r="H113" i="21"/>
  <c r="I113" i="21"/>
  <c r="J113" i="21"/>
  <c r="K113" i="21"/>
  <c r="L113" i="21"/>
  <c r="M113" i="21"/>
  <c r="N113" i="21"/>
  <c r="O113" i="21"/>
  <c r="P113" i="21"/>
  <c r="Q113" i="21"/>
  <c r="R113" i="21"/>
  <c r="S113" i="21"/>
  <c r="F114" i="21"/>
  <c r="G114" i="21"/>
  <c r="H114" i="21"/>
  <c r="I114" i="21"/>
  <c r="J114" i="21"/>
  <c r="K114" i="21"/>
  <c r="L114" i="21"/>
  <c r="M114" i="21"/>
  <c r="N114" i="21"/>
  <c r="O114" i="21"/>
  <c r="P114" i="21"/>
  <c r="Q114" i="21"/>
  <c r="R114" i="21"/>
  <c r="S114" i="21"/>
  <c r="F115" i="21"/>
  <c r="G115" i="21"/>
  <c r="H115" i="21"/>
  <c r="I115" i="21"/>
  <c r="J115" i="21"/>
  <c r="K115" i="21"/>
  <c r="L115" i="21"/>
  <c r="M115" i="21"/>
  <c r="N115" i="21"/>
  <c r="O115" i="21"/>
  <c r="P115" i="21"/>
  <c r="Q115" i="21"/>
  <c r="R115" i="21"/>
  <c r="S115" i="21"/>
  <c r="F116" i="21"/>
  <c r="G116" i="21"/>
  <c r="H116" i="21"/>
  <c r="I116" i="21"/>
  <c r="J116" i="21"/>
  <c r="K116" i="21"/>
  <c r="L116" i="21"/>
  <c r="M116" i="21"/>
  <c r="N116" i="21"/>
  <c r="O116" i="21"/>
  <c r="P116" i="21"/>
  <c r="Q116" i="21"/>
  <c r="R116" i="21"/>
  <c r="S116" i="21"/>
  <c r="F117" i="21"/>
  <c r="G117" i="21"/>
  <c r="H117" i="21"/>
  <c r="I117" i="21"/>
  <c r="J117" i="21"/>
  <c r="K117" i="21"/>
  <c r="L117" i="21"/>
  <c r="M117" i="21"/>
  <c r="N117" i="21"/>
  <c r="O117" i="21"/>
  <c r="P117" i="21"/>
  <c r="Q117" i="21"/>
  <c r="R117" i="21"/>
  <c r="S117" i="21"/>
  <c r="F118" i="21"/>
  <c r="G118" i="21"/>
  <c r="H118" i="21"/>
  <c r="I118" i="21"/>
  <c r="J118" i="21"/>
  <c r="K118" i="21"/>
  <c r="L118" i="21"/>
  <c r="M118" i="21"/>
  <c r="N118" i="21"/>
  <c r="O118" i="21"/>
  <c r="P118" i="21"/>
  <c r="Q118" i="21"/>
  <c r="R118" i="21"/>
  <c r="S118" i="21"/>
  <c r="F2" i="21"/>
  <c r="G2" i="21"/>
  <c r="H2" i="21"/>
  <c r="I2" i="21"/>
  <c r="J2" i="21"/>
  <c r="K2" i="21"/>
  <c r="L2" i="21"/>
  <c r="M2" i="21"/>
  <c r="N2" i="21"/>
  <c r="O2" i="21"/>
  <c r="P2" i="21"/>
  <c r="Q2" i="21"/>
  <c r="R2" i="21"/>
  <c r="S2" i="21"/>
  <c r="G143" i="6" l="1"/>
  <c r="H143" i="6"/>
  <c r="I143" i="6"/>
  <c r="J143" i="6"/>
  <c r="K143" i="6"/>
  <c r="L143" i="6"/>
  <c r="D146" i="6"/>
  <c r="E146" i="6"/>
  <c r="F146" i="6"/>
  <c r="G146" i="6"/>
  <c r="H146" i="6"/>
  <c r="I146" i="6"/>
  <c r="J146" i="6"/>
  <c r="K146" i="6"/>
  <c r="L146"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125" i="6"/>
  <c r="S6" i="6"/>
  <c r="T6"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U6" i="6"/>
  <c r="V6" i="6"/>
  <c r="V7" i="6" s="1"/>
  <c r="V8" i="6" s="1"/>
  <c r="V9" i="6" s="1"/>
  <c r="V10" i="6" s="1"/>
  <c r="V11" i="6" s="1"/>
  <c r="V12" i="6" s="1"/>
  <c r="V13" i="6" s="1"/>
  <c r="V14" i="6" s="1"/>
  <c r="V15" i="6" s="1"/>
  <c r="V16" i="6" s="1"/>
  <c r="V17" i="6" s="1"/>
  <c r="V18" i="6" s="1"/>
  <c r="V19" i="6" s="1"/>
  <c r="V20" i="6" s="1"/>
  <c r="V21" i="6" s="1"/>
  <c r="V22" i="6" s="1"/>
  <c r="V23" i="6" s="1"/>
  <c r="V24" i="6" s="1"/>
  <c r="V25" i="6" s="1"/>
  <c r="V26" i="6" s="1"/>
  <c r="V27" i="6" s="1"/>
  <c r="V28" i="6" s="1"/>
  <c r="V29" i="6" s="1"/>
  <c r="V30" i="6" s="1"/>
  <c r="V31" i="6" s="1"/>
  <c r="V32" i="6" s="1"/>
  <c r="V33" i="6" s="1"/>
  <c r="V34" i="6" s="1"/>
  <c r="V35" i="6" s="1"/>
  <c r="V36" i="6" s="1"/>
  <c r="V37" i="6" s="1"/>
  <c r="V38" i="6" s="1"/>
  <c r="V39" i="6" s="1"/>
  <c r="V40" i="6" s="1"/>
  <c r="V41" i="6" s="1"/>
  <c r="V42" i="6" s="1"/>
  <c r="V43" i="6" s="1"/>
  <c r="V44" i="6" s="1"/>
  <c r="V45" i="6" s="1"/>
  <c r="V46" i="6" s="1"/>
  <c r="V47" i="6" s="1"/>
  <c r="V48" i="6" s="1"/>
  <c r="V49" i="6" s="1"/>
  <c r="V50" i="6" s="1"/>
  <c r="V51" i="6" s="1"/>
  <c r="V52" i="6" s="1"/>
  <c r="V53" i="6" s="1"/>
  <c r="V54" i="6" s="1"/>
  <c r="V55" i="6" s="1"/>
  <c r="W6" i="6"/>
  <c r="X6" i="6"/>
  <c r="X7" i="6" s="1"/>
  <c r="X8" i="6" s="1"/>
  <c r="X9" i="6" s="1"/>
  <c r="X10" i="6" s="1"/>
  <c r="Y6" i="6"/>
  <c r="Y7" i="6" s="1"/>
  <c r="Y8" i="6" s="1"/>
  <c r="Y9" i="6" s="1"/>
  <c r="Y10" i="6" s="1"/>
  <c r="Y11" i="6" s="1"/>
  <c r="Y12" i="6" s="1"/>
  <c r="Y13" i="6" s="1"/>
  <c r="Y14" i="6" s="1"/>
  <c r="Y15" i="6" s="1"/>
  <c r="Y16" i="6" s="1"/>
  <c r="Y17" i="6" s="1"/>
  <c r="Y18" i="6" s="1"/>
  <c r="Y19" i="6" s="1"/>
  <c r="Y20" i="6" s="1"/>
  <c r="Y21" i="6" s="1"/>
  <c r="Y22" i="6" s="1"/>
  <c r="Y23" i="6" s="1"/>
  <c r="Y24" i="6" s="1"/>
  <c r="Y25" i="6" s="1"/>
  <c r="Y26" i="6" s="1"/>
  <c r="Y27" i="6" s="1"/>
  <c r="Y28" i="6" s="1"/>
  <c r="Y29" i="6" s="1"/>
  <c r="Y30" i="6" s="1"/>
  <c r="Y31" i="6" s="1"/>
  <c r="Y32" i="6" s="1"/>
  <c r="Y33" i="6" s="1"/>
  <c r="Y34" i="6" s="1"/>
  <c r="Y35" i="6" s="1"/>
  <c r="Y36" i="6" s="1"/>
  <c r="Y37" i="6" s="1"/>
  <c r="Y38" i="6" s="1"/>
  <c r="Y39" i="6" s="1"/>
  <c r="Y40" i="6" s="1"/>
  <c r="Y41" i="6" s="1"/>
  <c r="Y42" i="6" s="1"/>
  <c r="Y43" i="6" s="1"/>
  <c r="Y44" i="6" s="1"/>
  <c r="Y45" i="6" s="1"/>
  <c r="Y46" i="6" s="1"/>
  <c r="Y47" i="6" s="1"/>
  <c r="Y48" i="6" s="1"/>
  <c r="Y49" i="6" s="1"/>
  <c r="Y50" i="6" s="1"/>
  <c r="Y51" i="6" s="1"/>
  <c r="Y52" i="6" s="1"/>
  <c r="Y53" i="6" s="1"/>
  <c r="Y54" i="6" s="1"/>
  <c r="Y55" i="6" s="1"/>
  <c r="Y56" i="6" s="1"/>
  <c r="Y57" i="6" s="1"/>
  <c r="Y58" i="6" s="1"/>
  <c r="Y59" i="6" s="1"/>
  <c r="Y60" i="6" s="1"/>
  <c r="Y61" i="6" s="1"/>
  <c r="Y62" i="6" s="1"/>
  <c r="Y63" i="6" s="1"/>
  <c r="Y64" i="6" s="1"/>
  <c r="Y65" i="6" s="1"/>
  <c r="Y66" i="6" s="1"/>
  <c r="Y67" i="6" s="1"/>
  <c r="Y68" i="6" s="1"/>
  <c r="Y69" i="6" s="1"/>
  <c r="Y70" i="6" s="1"/>
  <c r="Y71" i="6" s="1"/>
  <c r="Y72" i="6" s="1"/>
  <c r="Y73" i="6" s="1"/>
  <c r="Y74" i="6" s="1"/>
  <c r="Y75" i="6" s="1"/>
  <c r="Y76" i="6" s="1"/>
  <c r="Y77" i="6" s="1"/>
  <c r="Y78" i="6" s="1"/>
  <c r="Y79" i="6" s="1"/>
  <c r="Y80" i="6" s="1"/>
  <c r="Y81" i="6" s="1"/>
  <c r="Y82" i="6" s="1"/>
  <c r="Y83" i="6" s="1"/>
  <c r="Y84" i="6" s="1"/>
  <c r="Y85" i="6" s="1"/>
  <c r="Y86" i="6" s="1"/>
  <c r="Y87" i="6" s="1"/>
  <c r="Y88" i="6" s="1"/>
  <c r="Y89" i="6" s="1"/>
  <c r="Y90" i="6" s="1"/>
  <c r="Y91" i="6" s="1"/>
  <c r="Y92" i="6" s="1"/>
  <c r="Y93" i="6" s="1"/>
  <c r="Y94" i="6" s="1"/>
  <c r="Y95" i="6" s="1"/>
  <c r="Y96" i="6" s="1"/>
  <c r="Y97" i="6" s="1"/>
  <c r="Y98" i="6" s="1"/>
  <c r="Y99" i="6" s="1"/>
  <c r="Y100" i="6" s="1"/>
  <c r="Y101" i="6" s="1"/>
  <c r="Y102" i="6" s="1"/>
  <c r="Y103" i="6" s="1"/>
  <c r="Y104" i="6" s="1"/>
  <c r="Y105" i="6" s="1"/>
  <c r="Y106" i="6" s="1"/>
  <c r="Y107" i="6" s="1"/>
  <c r="Y108" i="6" s="1"/>
  <c r="Y109" i="6" s="1"/>
  <c r="Y110" i="6" s="1"/>
  <c r="Y111" i="6" s="1"/>
  <c r="Y112" i="6" s="1"/>
  <c r="Y113" i="6" s="1"/>
  <c r="Y114" i="6" s="1"/>
  <c r="Y115" i="6" s="1"/>
  <c r="Y116" i="6" s="1"/>
  <c r="Y117" i="6" s="1"/>
  <c r="Y118" i="6" s="1"/>
  <c r="Y119" i="6" s="1"/>
  <c r="Y120" i="6" s="1"/>
  <c r="Z6" i="6"/>
  <c r="Z7" i="6" s="1"/>
  <c r="Z8" i="6" s="1"/>
  <c r="Z9" i="6" s="1"/>
  <c r="Z10" i="6" s="1"/>
  <c r="Z11" i="6" s="1"/>
  <c r="Z12" i="6" s="1"/>
  <c r="AA6" i="6"/>
  <c r="AB6" i="6"/>
  <c r="AC6" i="6"/>
  <c r="S7" i="6"/>
  <c r="S8" i="6" s="1"/>
  <c r="S9" i="6" s="1"/>
  <c r="S10" i="6" s="1"/>
  <c r="S11" i="6" s="1"/>
  <c r="S12" i="6" s="1"/>
  <c r="S13" i="6" s="1"/>
  <c r="S14" i="6" s="1"/>
  <c r="S15" i="6" s="1"/>
  <c r="S16" i="6" s="1"/>
  <c r="S17" i="6" s="1"/>
  <c r="S18" i="6" s="1"/>
  <c r="S19" i="6" s="1"/>
  <c r="S20" i="6" s="1"/>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U7" i="6"/>
  <c r="U8" i="6" s="1"/>
  <c r="U9" i="6" s="1"/>
  <c r="U10" i="6" s="1"/>
  <c r="U11" i="6" s="1"/>
  <c r="U12" i="6" s="1"/>
  <c r="U13" i="6" s="1"/>
  <c r="U14" i="6" s="1"/>
  <c r="U15" i="6" s="1"/>
  <c r="U16" i="6" s="1"/>
  <c r="U17" i="6" s="1"/>
  <c r="U18" i="6" s="1"/>
  <c r="U19" i="6" s="1"/>
  <c r="U20" i="6" s="1"/>
  <c r="U21" i="6" s="1"/>
  <c r="U22" i="6" s="1"/>
  <c r="U23" i="6" s="1"/>
  <c r="U24" i="6" s="1"/>
  <c r="U25" i="6" s="1"/>
  <c r="U26" i="6" s="1"/>
  <c r="U27" i="6" s="1"/>
  <c r="U28" i="6" s="1"/>
  <c r="U29" i="6" s="1"/>
  <c r="U30" i="6" s="1"/>
  <c r="U31" i="6" s="1"/>
  <c r="U32" i="6" s="1"/>
  <c r="U33" i="6" s="1"/>
  <c r="U34" i="6" s="1"/>
  <c r="U35" i="6" s="1"/>
  <c r="U36" i="6" s="1"/>
  <c r="U37" i="6" s="1"/>
  <c r="U38" i="6" s="1"/>
  <c r="U39" i="6" s="1"/>
  <c r="U40" i="6" s="1"/>
  <c r="U41" i="6" s="1"/>
  <c r="U42" i="6" s="1"/>
  <c r="U43" i="6" s="1"/>
  <c r="U44" i="6" s="1"/>
  <c r="U45" i="6" s="1"/>
  <c r="U46" i="6" s="1"/>
  <c r="U47" i="6" s="1"/>
  <c r="U48" i="6" s="1"/>
  <c r="U49" i="6" s="1"/>
  <c r="U50" i="6" s="1"/>
  <c r="U51" i="6" s="1"/>
  <c r="U52" i="6" s="1"/>
  <c r="U53" i="6" s="1"/>
  <c r="U54" i="6" s="1"/>
  <c r="U55" i="6" s="1"/>
  <c r="U56" i="6" s="1"/>
  <c r="U57" i="6" s="1"/>
  <c r="U58" i="6" s="1"/>
  <c r="U59" i="6" s="1"/>
  <c r="U60" i="6" s="1"/>
  <c r="U61" i="6" s="1"/>
  <c r="U62" i="6" s="1"/>
  <c r="U63" i="6" s="1"/>
  <c r="U64" i="6" s="1"/>
  <c r="U65" i="6" s="1"/>
  <c r="U66" i="6" s="1"/>
  <c r="U67" i="6" s="1"/>
  <c r="U68" i="6" s="1"/>
  <c r="U69" i="6" s="1"/>
  <c r="U70" i="6" s="1"/>
  <c r="U71" i="6" s="1"/>
  <c r="U72" i="6" s="1"/>
  <c r="U73" i="6" s="1"/>
  <c r="U74" i="6" s="1"/>
  <c r="U75" i="6" s="1"/>
  <c r="U76" i="6" s="1"/>
  <c r="U77" i="6" s="1"/>
  <c r="U78" i="6" s="1"/>
  <c r="U79" i="6" s="1"/>
  <c r="U80" i="6" s="1"/>
  <c r="U81" i="6" s="1"/>
  <c r="U82" i="6" s="1"/>
  <c r="U83" i="6" s="1"/>
  <c r="U84" i="6" s="1"/>
  <c r="U85" i="6" s="1"/>
  <c r="U86" i="6" s="1"/>
  <c r="U87" i="6" s="1"/>
  <c r="U88" i="6" s="1"/>
  <c r="U89" i="6" s="1"/>
  <c r="U90" i="6" s="1"/>
  <c r="U91" i="6" s="1"/>
  <c r="U92" i="6" s="1"/>
  <c r="U93" i="6" s="1"/>
  <c r="U94" i="6" s="1"/>
  <c r="U95" i="6" s="1"/>
  <c r="U96" i="6" s="1"/>
  <c r="U97" i="6" s="1"/>
  <c r="U98" i="6" s="1"/>
  <c r="U99" i="6" s="1"/>
  <c r="U100" i="6" s="1"/>
  <c r="U101" i="6" s="1"/>
  <c r="U102" i="6" s="1"/>
  <c r="U103" i="6" s="1"/>
  <c r="U104" i="6" s="1"/>
  <c r="U105" i="6" s="1"/>
  <c r="U106" i="6" s="1"/>
  <c r="U107" i="6" s="1"/>
  <c r="U108" i="6" s="1"/>
  <c r="U109" i="6" s="1"/>
  <c r="U110" i="6" s="1"/>
  <c r="U111" i="6" s="1"/>
  <c r="U112" i="6" s="1"/>
  <c r="U113" i="6" s="1"/>
  <c r="U114" i="6" s="1"/>
  <c r="U115" i="6" s="1"/>
  <c r="U116" i="6" s="1"/>
  <c r="U117" i="6" s="1"/>
  <c r="U118" i="6" s="1"/>
  <c r="U119" i="6" s="1"/>
  <c r="U120" i="6" s="1"/>
  <c r="W7" i="6"/>
  <c r="W8" i="6" s="1"/>
  <c r="W9" i="6" s="1"/>
  <c r="W10" i="6" s="1"/>
  <c r="W11" i="6" s="1"/>
  <c r="W12" i="6" s="1"/>
  <c r="W13" i="6" s="1"/>
  <c r="AA7" i="6"/>
  <c r="AB7" i="6"/>
  <c r="AC7" i="6"/>
  <c r="AC8" i="6" s="1"/>
  <c r="AC9" i="6" s="1"/>
  <c r="AC10" i="6" s="1"/>
  <c r="AC11" i="6" s="1"/>
  <c r="AA8" i="6"/>
  <c r="AA9" i="6" s="1"/>
  <c r="AA10" i="6" s="1"/>
  <c r="AA11" i="6" s="1"/>
  <c r="AA12" i="6" s="1"/>
  <c r="AA13" i="6" s="1"/>
  <c r="AA14" i="6" s="1"/>
  <c r="AA15" i="6" s="1"/>
  <c r="AA16" i="6" s="1"/>
  <c r="AA17" i="6" s="1"/>
  <c r="AA18" i="6" s="1"/>
  <c r="AA19" i="6" s="1"/>
  <c r="AA20" i="6" s="1"/>
  <c r="AA21" i="6" s="1"/>
  <c r="AA22" i="6" s="1"/>
  <c r="AA23" i="6" s="1"/>
  <c r="AA24" i="6" s="1"/>
  <c r="AA25" i="6" s="1"/>
  <c r="AA26" i="6" s="1"/>
  <c r="AB8" i="6"/>
  <c r="AB9" i="6" s="1"/>
  <c r="AB10" i="6" s="1"/>
  <c r="AB11" i="6" s="1"/>
  <c r="AB12" i="6" s="1"/>
  <c r="AB13" i="6" s="1"/>
  <c r="AB14" i="6" s="1"/>
  <c r="AB15" i="6" s="1"/>
  <c r="AB16" i="6" s="1"/>
  <c r="AB17" i="6" s="1"/>
  <c r="AB18" i="6" s="1"/>
  <c r="AB19" i="6" s="1"/>
  <c r="AB20" i="6" s="1"/>
  <c r="AB21" i="6" s="1"/>
  <c r="AB22" i="6" s="1"/>
  <c r="AB23" i="6" s="1"/>
  <c r="AB24" i="6" s="1"/>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AB45" i="6" s="1"/>
  <c r="AB46" i="6" s="1"/>
  <c r="AB47" i="6" s="1"/>
  <c r="AB48" i="6" s="1"/>
  <c r="AB49" i="6" s="1"/>
  <c r="AB50" i="6" s="1"/>
  <c r="AB51" i="6" s="1"/>
  <c r="AB52" i="6" s="1"/>
  <c r="AB53" i="6" s="1"/>
  <c r="AB54" i="6" s="1"/>
  <c r="AB55" i="6" s="1"/>
  <c r="AB56" i="6" s="1"/>
  <c r="AB57" i="6" s="1"/>
  <c r="AB58" i="6" s="1"/>
  <c r="AB59" i="6" s="1"/>
  <c r="AB60" i="6" s="1"/>
  <c r="AB61" i="6" s="1"/>
  <c r="AB62" i="6" s="1"/>
  <c r="AB63" i="6" s="1"/>
  <c r="AB64" i="6" s="1"/>
  <c r="AB65" i="6" s="1"/>
  <c r="AB66" i="6" s="1"/>
  <c r="AB67" i="6" s="1"/>
  <c r="AB68" i="6" s="1"/>
  <c r="AB69" i="6" s="1"/>
  <c r="AB70" i="6" s="1"/>
  <c r="AB71" i="6" s="1"/>
  <c r="AB72" i="6" s="1"/>
  <c r="AB73" i="6" s="1"/>
  <c r="AB74" i="6" s="1"/>
  <c r="AB75" i="6" s="1"/>
  <c r="AB76" i="6" s="1"/>
  <c r="AB77" i="6" s="1"/>
  <c r="AB78" i="6" s="1"/>
  <c r="AB79" i="6" s="1"/>
  <c r="AB80" i="6" s="1"/>
  <c r="AB81" i="6" s="1"/>
  <c r="AB82" i="6" s="1"/>
  <c r="AB83" i="6" s="1"/>
  <c r="AB84" i="6" s="1"/>
  <c r="AB85" i="6" s="1"/>
  <c r="AB86" i="6" s="1"/>
  <c r="AB87" i="6" s="1"/>
  <c r="AB88" i="6" s="1"/>
  <c r="AB89" i="6" s="1"/>
  <c r="AB90" i="6" s="1"/>
  <c r="AB91" i="6" s="1"/>
  <c r="AB92" i="6" s="1"/>
  <c r="AB93" i="6" s="1"/>
  <c r="AB94" i="6" s="1"/>
  <c r="AB95" i="6" s="1"/>
  <c r="AB96" i="6" s="1"/>
  <c r="AB97" i="6" s="1"/>
  <c r="AB98" i="6" s="1"/>
  <c r="AB99" i="6" s="1"/>
  <c r="AB100" i="6" s="1"/>
  <c r="AB101" i="6" s="1"/>
  <c r="AB102" i="6" s="1"/>
  <c r="AB103" i="6" s="1"/>
  <c r="AB104" i="6" s="1"/>
  <c r="AB105" i="6" s="1"/>
  <c r="AB106" i="6" s="1"/>
  <c r="AB107" i="6" s="1"/>
  <c r="AB108" i="6" s="1"/>
  <c r="AB109" i="6" s="1"/>
  <c r="AB110" i="6" s="1"/>
  <c r="AB111" i="6" s="1"/>
  <c r="AB112" i="6" s="1"/>
  <c r="AB113" i="6" s="1"/>
  <c r="AB114" i="6" s="1"/>
  <c r="AB115" i="6" s="1"/>
  <c r="AB116" i="6" s="1"/>
  <c r="AB117" i="6" s="1"/>
  <c r="AB118" i="6" s="1"/>
  <c r="AB119" i="6" s="1"/>
  <c r="AB120" i="6" s="1"/>
  <c r="X11" i="6"/>
  <c r="X12" i="6" s="1"/>
  <c r="X13" i="6" s="1"/>
  <c r="X14" i="6" s="1"/>
  <c r="X15" i="6" s="1"/>
  <c r="X16" i="6" s="1"/>
  <c r="X17" i="6" s="1"/>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AC12" i="6"/>
  <c r="AC13" i="6" s="1"/>
  <c r="AC14" i="6" s="1"/>
  <c r="AC15" i="6" s="1"/>
  <c r="AC16" i="6" s="1"/>
  <c r="AC17" i="6" s="1"/>
  <c r="AC18" i="6" s="1"/>
  <c r="AC19" i="6" s="1"/>
  <c r="AC20" i="6" s="1"/>
  <c r="AC21" i="6" s="1"/>
  <c r="AC22" i="6" s="1"/>
  <c r="AC23" i="6" s="1"/>
  <c r="AC24" i="6" s="1"/>
  <c r="AC25" i="6" s="1"/>
  <c r="AC26" i="6" s="1"/>
  <c r="AC27" i="6" s="1"/>
  <c r="AC28" i="6" s="1"/>
  <c r="AC29" i="6" s="1"/>
  <c r="AC30" i="6" s="1"/>
  <c r="AC31" i="6" s="1"/>
  <c r="AC32" i="6" s="1"/>
  <c r="AC33" i="6" s="1"/>
  <c r="AC34" i="6" s="1"/>
  <c r="AC35" i="6" s="1"/>
  <c r="AC36" i="6" s="1"/>
  <c r="AC37" i="6" s="1"/>
  <c r="AC38" i="6" s="1"/>
  <c r="AC39" i="6" s="1"/>
  <c r="AC40" i="6" s="1"/>
  <c r="Z13" i="6"/>
  <c r="W14" i="6"/>
  <c r="W15" i="6" s="1"/>
  <c r="W16" i="6" s="1"/>
  <c r="W17" i="6" s="1"/>
  <c r="W18" i="6" s="1"/>
  <c r="W19" i="6" s="1"/>
  <c r="W20" i="6" s="1"/>
  <c r="W21" i="6" s="1"/>
  <c r="W22" i="6" s="1"/>
  <c r="W23" i="6" s="1"/>
  <c r="W24" i="6" s="1"/>
  <c r="W25" i="6" s="1"/>
  <c r="W26" i="6" s="1"/>
  <c r="W27" i="6" s="1"/>
  <c r="W28" i="6" s="1"/>
  <c r="W29" i="6" s="1"/>
  <c r="W30" i="6" s="1"/>
  <c r="W31" i="6" s="1"/>
  <c r="W32" i="6" s="1"/>
  <c r="W33" i="6" s="1"/>
  <c r="W34" i="6" s="1"/>
  <c r="W35" i="6" s="1"/>
  <c r="W36" i="6" s="1"/>
  <c r="W37" i="6" s="1"/>
  <c r="W38" i="6" s="1"/>
  <c r="W39" i="6" s="1"/>
  <c r="W40" i="6" s="1"/>
  <c r="W41" i="6" s="1"/>
  <c r="W42" i="6" s="1"/>
  <c r="W43" i="6" s="1"/>
  <c r="W44" i="6" s="1"/>
  <c r="W45" i="6" s="1"/>
  <c r="W46" i="6" s="1"/>
  <c r="W47" i="6" s="1"/>
  <c r="W48" i="6" s="1"/>
  <c r="W49" i="6" s="1"/>
  <c r="W50" i="6" s="1"/>
  <c r="W51" i="6" s="1"/>
  <c r="W52" i="6" s="1"/>
  <c r="W53" i="6" s="1"/>
  <c r="W54" i="6" s="1"/>
  <c r="W55" i="6" s="1"/>
  <c r="W56" i="6" s="1"/>
  <c r="W57" i="6" s="1"/>
  <c r="W58" i="6" s="1"/>
  <c r="W59" i="6" s="1"/>
  <c r="W60" i="6" s="1"/>
  <c r="W61" i="6" s="1"/>
  <c r="W62" i="6" s="1"/>
  <c r="W63" i="6" s="1"/>
  <c r="W64" i="6" s="1"/>
  <c r="W65" i="6" s="1"/>
  <c r="W66" i="6" s="1"/>
  <c r="W67" i="6" s="1"/>
  <c r="W68" i="6" s="1"/>
  <c r="W69" i="6" s="1"/>
  <c r="W70" i="6" s="1"/>
  <c r="W71" i="6" s="1"/>
  <c r="W72" i="6" s="1"/>
  <c r="W73" i="6" s="1"/>
  <c r="W74" i="6" s="1"/>
  <c r="W75" i="6" s="1"/>
  <c r="W76" i="6" s="1"/>
  <c r="W77" i="6" s="1"/>
  <c r="W78" i="6" s="1"/>
  <c r="W79" i="6" s="1"/>
  <c r="W80" i="6" s="1"/>
  <c r="W81" i="6" s="1"/>
  <c r="W82" i="6" s="1"/>
  <c r="W83" i="6" s="1"/>
  <c r="W84" i="6" s="1"/>
  <c r="W85" i="6" s="1"/>
  <c r="W86" i="6" s="1"/>
  <c r="W87" i="6" s="1"/>
  <c r="W88" i="6" s="1"/>
  <c r="W89" i="6" s="1"/>
  <c r="W90" i="6" s="1"/>
  <c r="W91" i="6" s="1"/>
  <c r="W92" i="6" s="1"/>
  <c r="W93" i="6" s="1"/>
  <c r="W94" i="6" s="1"/>
  <c r="W95" i="6" s="1"/>
  <c r="W96" i="6" s="1"/>
  <c r="W97" i="6" s="1"/>
  <c r="W98" i="6" s="1"/>
  <c r="W99" i="6" s="1"/>
  <c r="W100" i="6" s="1"/>
  <c r="W101" i="6" s="1"/>
  <c r="W102" i="6" s="1"/>
  <c r="W103" i="6" s="1"/>
  <c r="W104" i="6" s="1"/>
  <c r="W105" i="6" s="1"/>
  <c r="W106" i="6" s="1"/>
  <c r="W107" i="6" s="1"/>
  <c r="W108" i="6" s="1"/>
  <c r="W109" i="6" s="1"/>
  <c r="W110" i="6" s="1"/>
  <c r="W111" i="6" s="1"/>
  <c r="W112" i="6" s="1"/>
  <c r="W113" i="6" s="1"/>
  <c r="W114" i="6" s="1"/>
  <c r="W115" i="6" s="1"/>
  <c r="W116" i="6" s="1"/>
  <c r="W117" i="6" s="1"/>
  <c r="W118" i="6" s="1"/>
  <c r="W119" i="6" s="1"/>
  <c r="W120" i="6" s="1"/>
  <c r="Z14" i="6"/>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AA27" i="6"/>
  <c r="AA28" i="6" s="1"/>
  <c r="AA29" i="6" s="1"/>
  <c r="AA30" i="6" s="1"/>
  <c r="AA31" i="6" s="1"/>
  <c r="AA32" i="6" s="1"/>
  <c r="AA33" i="6" s="1"/>
  <c r="AA34" i="6" s="1"/>
  <c r="AA35" i="6" s="1"/>
  <c r="AA36" i="6" s="1"/>
  <c r="AA37" i="6" s="1"/>
  <c r="AA38" i="6" s="1"/>
  <c r="AA39" i="6" s="1"/>
  <c r="AA40" i="6" s="1"/>
  <c r="AA41" i="6" s="1"/>
  <c r="AA42" i="6" s="1"/>
  <c r="AA43" i="6" s="1"/>
  <c r="AA44" i="6" s="1"/>
  <c r="AA45" i="6" s="1"/>
  <c r="AA46" i="6" s="1"/>
  <c r="AA47" i="6" s="1"/>
  <c r="AA48" i="6" s="1"/>
  <c r="AA49" i="6" s="1"/>
  <c r="AA50" i="6" s="1"/>
  <c r="AA51" i="6" s="1"/>
  <c r="AA52" i="6" s="1"/>
  <c r="AA53" i="6" s="1"/>
  <c r="AA54" i="6" s="1"/>
  <c r="AA55" i="6" s="1"/>
  <c r="AA56" i="6" s="1"/>
  <c r="AA57" i="6" s="1"/>
  <c r="AA58" i="6" s="1"/>
  <c r="AA59" i="6" s="1"/>
  <c r="AA60" i="6" s="1"/>
  <c r="AA61" i="6" s="1"/>
  <c r="AA62" i="6" s="1"/>
  <c r="AA63" i="6" s="1"/>
  <c r="AA64" i="6" s="1"/>
  <c r="AA65" i="6" s="1"/>
  <c r="AA66" i="6" s="1"/>
  <c r="AA67" i="6" s="1"/>
  <c r="AA68" i="6" s="1"/>
  <c r="AA69" i="6" s="1"/>
  <c r="AA70" i="6" s="1"/>
  <c r="AA71" i="6" s="1"/>
  <c r="AA72" i="6" s="1"/>
  <c r="AA73" i="6" s="1"/>
  <c r="AA74" i="6" s="1"/>
  <c r="AA75" i="6" s="1"/>
  <c r="AA76" i="6" s="1"/>
  <c r="AA77" i="6" s="1"/>
  <c r="AA78" i="6" s="1"/>
  <c r="AA79" i="6" s="1"/>
  <c r="AA80" i="6" s="1"/>
  <c r="AA81" i="6" s="1"/>
  <c r="AA82" i="6" s="1"/>
  <c r="AA83" i="6" s="1"/>
  <c r="AA84" i="6" s="1"/>
  <c r="AA85" i="6" s="1"/>
  <c r="AA86" i="6" s="1"/>
  <c r="AA87" i="6" s="1"/>
  <c r="AA88" i="6" s="1"/>
  <c r="AA89" i="6" s="1"/>
  <c r="AA90" i="6" s="1"/>
  <c r="AA91" i="6" s="1"/>
  <c r="AA92" i="6" s="1"/>
  <c r="AA93" i="6" s="1"/>
  <c r="AA94" i="6" s="1"/>
  <c r="AA95" i="6" s="1"/>
  <c r="AA96" i="6" s="1"/>
  <c r="AA97" i="6" s="1"/>
  <c r="AA98" i="6" s="1"/>
  <c r="AA99" i="6" s="1"/>
  <c r="AA100" i="6" s="1"/>
  <c r="AA101" i="6" s="1"/>
  <c r="AA102" i="6" s="1"/>
  <c r="AA103" i="6" s="1"/>
  <c r="AA104" i="6" s="1"/>
  <c r="AA105" i="6" s="1"/>
  <c r="AA106" i="6" s="1"/>
  <c r="AA107" i="6" s="1"/>
  <c r="AA108" i="6" s="1"/>
  <c r="AA109" i="6" s="1"/>
  <c r="AA110" i="6" s="1"/>
  <c r="AA111" i="6" s="1"/>
  <c r="AA112" i="6" s="1"/>
  <c r="AA113" i="6" s="1"/>
  <c r="AA114" i="6" s="1"/>
  <c r="AA115" i="6" s="1"/>
  <c r="AA116" i="6" s="1"/>
  <c r="AA117" i="6" s="1"/>
  <c r="AA118" i="6" s="1"/>
  <c r="AA119" i="6" s="1"/>
  <c r="AA120" i="6" s="1"/>
  <c r="Z40" i="6"/>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AC41" i="6"/>
  <c r="AC42" i="6" s="1"/>
  <c r="AC43" i="6" s="1"/>
  <c r="AC44" i="6" s="1"/>
  <c r="AC45" i="6" s="1"/>
  <c r="AC46" i="6" s="1"/>
  <c r="AC47" i="6" s="1"/>
  <c r="AC48" i="6" s="1"/>
  <c r="AC49" i="6" s="1"/>
  <c r="AC50" i="6" s="1"/>
  <c r="AC51" i="6" s="1"/>
  <c r="AC52" i="6" s="1"/>
  <c r="AC53" i="6" s="1"/>
  <c r="AC54" i="6" s="1"/>
  <c r="AC55" i="6" s="1"/>
  <c r="AC56" i="6" s="1"/>
  <c r="AC57" i="6" s="1"/>
  <c r="AC58" i="6" s="1"/>
  <c r="AC59" i="6" s="1"/>
  <c r="AC60" i="6" s="1"/>
  <c r="AC61" i="6" s="1"/>
  <c r="AC62" i="6" s="1"/>
  <c r="AC63" i="6" s="1"/>
  <c r="AC64" i="6" s="1"/>
  <c r="AC65" i="6" s="1"/>
  <c r="AC66" i="6" s="1"/>
  <c r="AC67" i="6" s="1"/>
  <c r="AC68" i="6" s="1"/>
  <c r="AC69" i="6" s="1"/>
  <c r="AC70" i="6" s="1"/>
  <c r="AC71" i="6" s="1"/>
  <c r="AC72" i="6" s="1"/>
  <c r="AC73" i="6" s="1"/>
  <c r="X48" i="6"/>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AC74" i="6"/>
  <c r="AC75" i="6" s="1"/>
  <c r="AC76" i="6" s="1"/>
  <c r="AC77" i="6" s="1"/>
  <c r="AC78" i="6" s="1"/>
  <c r="AC79" i="6" s="1"/>
  <c r="AC80" i="6" s="1"/>
  <c r="AC81" i="6"/>
  <c r="AC82" i="6" s="1"/>
  <c r="AC83" i="6" s="1"/>
  <c r="AC84" i="6" s="1"/>
  <c r="AC85" i="6" s="1"/>
  <c r="AC86" i="6" s="1"/>
  <c r="AC87" i="6" s="1"/>
  <c r="AC88" i="6" s="1"/>
  <c r="AC89" i="6" s="1"/>
  <c r="AC90" i="6" s="1"/>
  <c r="AC91" i="6" s="1"/>
  <c r="AC92" i="6" s="1"/>
  <c r="AC93" i="6" s="1"/>
  <c r="AC94" i="6" s="1"/>
  <c r="AC95" i="6" s="1"/>
  <c r="AC96" i="6" s="1"/>
  <c r="AC97" i="6" s="1"/>
  <c r="AC98" i="6" s="1"/>
  <c r="AC99" i="6" s="1"/>
  <c r="AC100" i="6" s="1"/>
  <c r="AC101" i="6" s="1"/>
  <c r="AC102" i="6" s="1"/>
  <c r="AC103" i="6" s="1"/>
  <c r="AC104" i="6" s="1"/>
  <c r="AC105" i="6" s="1"/>
  <c r="AC106" i="6" s="1"/>
  <c r="AC107" i="6" s="1"/>
  <c r="AC108" i="6" s="1"/>
  <c r="AC109" i="6" s="1"/>
  <c r="AC110" i="6" s="1"/>
  <c r="AC111" i="6" s="1"/>
  <c r="AC112" i="6" s="1"/>
  <c r="AC113" i="6" s="1"/>
  <c r="AC114" i="6" s="1"/>
  <c r="AC115" i="6" s="1"/>
  <c r="AC116" i="6" s="1"/>
  <c r="AC117" i="6" s="1"/>
  <c r="AC118" i="6" s="1"/>
  <c r="AC119" i="6" s="1"/>
  <c r="AC120" i="6" s="1"/>
  <c r="T5" i="6"/>
  <c r="U5" i="6"/>
  <c r="V5" i="6"/>
  <c r="W5" i="6"/>
  <c r="X5" i="6"/>
  <c r="Y5" i="6"/>
  <c r="Z5" i="6"/>
  <c r="AA5" i="6"/>
  <c r="AB5" i="6"/>
  <c r="AC5" i="6"/>
  <c r="W4" i="6"/>
  <c r="X4" i="6"/>
  <c r="Y4" i="6"/>
  <c r="Z4" i="6"/>
  <c r="AA4" i="6"/>
  <c r="AB4" i="6"/>
  <c r="AC4" i="6"/>
  <c r="Y2" i="6"/>
  <c r="Z2" i="6"/>
  <c r="AA2" i="6"/>
  <c r="F45" i="66" l="1"/>
  <c r="B165" i="68" l="1"/>
  <c r="C165" i="68"/>
  <c r="E165" i="68"/>
  <c r="F165" i="68"/>
  <c r="B166" i="68"/>
  <c r="C166" i="68"/>
  <c r="E166" i="68"/>
  <c r="F166" i="68"/>
  <c r="B167" i="68"/>
  <c r="C167" i="68"/>
  <c r="E167" i="68"/>
  <c r="F167" i="68"/>
  <c r="B168" i="68"/>
  <c r="C168" i="68"/>
  <c r="E168" i="68"/>
  <c r="F168" i="68"/>
  <c r="B169" i="68"/>
  <c r="C169" i="68"/>
  <c r="E169" i="68"/>
  <c r="F169" i="68"/>
  <c r="B170" i="68"/>
  <c r="C170" i="68"/>
  <c r="E170" i="68"/>
  <c r="F170" i="68"/>
  <c r="B171" i="68"/>
  <c r="C171" i="68"/>
  <c r="E171" i="68"/>
  <c r="F171" i="68"/>
  <c r="B172" i="68"/>
  <c r="C172" i="68"/>
  <c r="E172" i="68"/>
  <c r="F172" i="68"/>
  <c r="B173" i="68"/>
  <c r="C173" i="68"/>
  <c r="E173" i="68"/>
  <c r="F173" i="68"/>
  <c r="B174" i="68"/>
  <c r="C174" i="68"/>
  <c r="E174" i="68"/>
  <c r="F174" i="68"/>
  <c r="B175" i="68"/>
  <c r="C175" i="68"/>
  <c r="E175" i="68"/>
  <c r="F175" i="68"/>
  <c r="B176" i="68"/>
  <c r="C176" i="68"/>
  <c r="E176" i="68"/>
  <c r="F176" i="68"/>
  <c r="B177" i="68"/>
  <c r="C177" i="68"/>
  <c r="E177" i="68"/>
  <c r="F177" i="68"/>
  <c r="B178" i="68"/>
  <c r="C178" i="68"/>
  <c r="E178" i="68"/>
  <c r="F178" i="68"/>
  <c r="B179" i="68"/>
  <c r="C179" i="68"/>
  <c r="E179" i="68"/>
  <c r="F179" i="68"/>
  <c r="B180" i="68"/>
  <c r="C180" i="68"/>
  <c r="E180" i="68"/>
  <c r="F180" i="68"/>
  <c r="B181" i="68"/>
  <c r="C181" i="68"/>
  <c r="E181" i="68"/>
  <c r="F181" i="68"/>
  <c r="B182" i="68"/>
  <c r="C182" i="68"/>
  <c r="E182" i="68"/>
  <c r="F182" i="68"/>
  <c r="B183" i="68"/>
  <c r="C183" i="68"/>
  <c r="E183" i="68"/>
  <c r="F183" i="68"/>
  <c r="B184" i="68"/>
  <c r="C184" i="68"/>
  <c r="E184" i="68"/>
  <c r="F184" i="68"/>
  <c r="B185" i="68"/>
  <c r="C185" i="68"/>
  <c r="E185" i="68"/>
  <c r="F185" i="68"/>
  <c r="B186" i="68"/>
  <c r="C186" i="68"/>
  <c r="E186" i="68"/>
  <c r="F186" i="68"/>
  <c r="B187" i="68"/>
  <c r="C187" i="68"/>
  <c r="E187" i="68"/>
  <c r="F187" i="68"/>
  <c r="B188" i="68"/>
  <c r="C188" i="68"/>
  <c r="E188" i="68"/>
  <c r="F188" i="68"/>
  <c r="B189" i="68"/>
  <c r="C189" i="68"/>
  <c r="E189" i="68"/>
  <c r="F189" i="68"/>
  <c r="B190" i="68"/>
  <c r="C190" i="68"/>
  <c r="E190" i="68"/>
  <c r="F190" i="68"/>
  <c r="B191" i="68"/>
  <c r="C191" i="68"/>
  <c r="E191" i="68"/>
  <c r="F191" i="68"/>
  <c r="B192" i="68"/>
  <c r="C192" i="68"/>
  <c r="E192" i="68"/>
  <c r="F192" i="68"/>
  <c r="B193" i="68"/>
  <c r="C193" i="68"/>
  <c r="E193" i="68"/>
  <c r="F193" i="68"/>
  <c r="B194" i="68"/>
  <c r="C194" i="68"/>
  <c r="E194" i="68"/>
  <c r="F194" i="68"/>
  <c r="B195" i="68"/>
  <c r="C195" i="68"/>
  <c r="E195" i="68"/>
  <c r="F195" i="68"/>
  <c r="B196" i="68"/>
  <c r="C196" i="68"/>
  <c r="E196" i="68"/>
  <c r="F196" i="68"/>
  <c r="B197" i="68"/>
  <c r="C197" i="68"/>
  <c r="E197" i="68"/>
  <c r="F197" i="68"/>
  <c r="B198" i="68"/>
  <c r="C198" i="68"/>
  <c r="E198" i="68"/>
  <c r="F198" i="68"/>
  <c r="B199" i="68"/>
  <c r="C199" i="68"/>
  <c r="E199" i="68"/>
  <c r="F199" i="68"/>
  <c r="B200" i="68"/>
  <c r="C200" i="68"/>
  <c r="E200" i="68"/>
  <c r="F200" i="68"/>
  <c r="B201" i="68"/>
  <c r="C201" i="68"/>
  <c r="E201" i="68"/>
  <c r="F201" i="68"/>
  <c r="B202" i="68"/>
  <c r="C202" i="68"/>
  <c r="E202" i="68"/>
  <c r="F202" i="68"/>
  <c r="B203" i="68"/>
  <c r="C203" i="68"/>
  <c r="E203" i="68"/>
  <c r="F203" i="68"/>
  <c r="B204" i="68"/>
  <c r="C204" i="68"/>
  <c r="E204" i="68"/>
  <c r="F204" i="68"/>
  <c r="B205" i="68"/>
  <c r="C205" i="68"/>
  <c r="E205" i="68"/>
  <c r="F205" i="68"/>
  <c r="B206" i="68"/>
  <c r="C206" i="68"/>
  <c r="E206" i="68"/>
  <c r="F206" i="68"/>
  <c r="B207" i="68"/>
  <c r="C207" i="68"/>
  <c r="E207" i="68"/>
  <c r="F207" i="68"/>
  <c r="B208" i="68"/>
  <c r="C208" i="68"/>
  <c r="E208" i="68"/>
  <c r="F208" i="68"/>
  <c r="B209" i="68"/>
  <c r="C209" i="68"/>
  <c r="E209" i="68"/>
  <c r="F209" i="68"/>
  <c r="B210" i="68"/>
  <c r="C210" i="68"/>
  <c r="E210" i="68"/>
  <c r="F210" i="68"/>
  <c r="B211" i="68"/>
  <c r="C211" i="68"/>
  <c r="E211" i="68"/>
  <c r="F211" i="68"/>
  <c r="B212" i="68"/>
  <c r="C212" i="68"/>
  <c r="E212" i="68"/>
  <c r="F212" i="68"/>
  <c r="B213" i="68"/>
  <c r="C213" i="68"/>
  <c r="E213" i="68"/>
  <c r="F213" i="68"/>
  <c r="B214" i="68"/>
  <c r="C214" i="68"/>
  <c r="E214" i="68"/>
  <c r="F214" i="68"/>
  <c r="B215" i="68"/>
  <c r="C215" i="68"/>
  <c r="E215" i="68"/>
  <c r="F215" i="68"/>
  <c r="B216" i="68"/>
  <c r="C216" i="68"/>
  <c r="E216" i="68"/>
  <c r="F216" i="68"/>
  <c r="B217" i="68"/>
  <c r="C217" i="68"/>
  <c r="E217" i="68"/>
  <c r="F217" i="68"/>
  <c r="B218" i="68"/>
  <c r="C218" i="68"/>
  <c r="E218" i="68"/>
  <c r="F218" i="68"/>
  <c r="B219" i="68"/>
  <c r="C219" i="68"/>
  <c r="E219" i="68"/>
  <c r="F219" i="68"/>
  <c r="B220" i="68"/>
  <c r="C220" i="68"/>
  <c r="E220" i="68"/>
  <c r="F220" i="68"/>
  <c r="B221" i="68"/>
  <c r="C221" i="68"/>
  <c r="E221" i="68"/>
  <c r="F221" i="68"/>
  <c r="B222" i="68"/>
  <c r="C222" i="68"/>
  <c r="E222" i="68"/>
  <c r="F222" i="68"/>
  <c r="B223" i="68"/>
  <c r="C223" i="68"/>
  <c r="E223" i="68"/>
  <c r="F223" i="68"/>
  <c r="B224" i="68"/>
  <c r="C224" i="68"/>
  <c r="E224" i="68"/>
  <c r="F224" i="68"/>
  <c r="B225" i="68"/>
  <c r="C225" i="68"/>
  <c r="E225" i="68"/>
  <c r="F225" i="68"/>
  <c r="B226" i="68"/>
  <c r="C226" i="68"/>
  <c r="E226" i="68"/>
  <c r="F226" i="68"/>
  <c r="B227" i="68"/>
  <c r="C227" i="68"/>
  <c r="E227" i="68"/>
  <c r="F227" i="68"/>
  <c r="B228" i="68"/>
  <c r="C228" i="68"/>
  <c r="E228" i="68"/>
  <c r="F228" i="68"/>
  <c r="B229" i="68"/>
  <c r="C229" i="68"/>
  <c r="E229" i="68"/>
  <c r="F229" i="68"/>
  <c r="B230" i="68"/>
  <c r="C230" i="68"/>
  <c r="E230" i="68"/>
  <c r="F230" i="68"/>
  <c r="F231" i="68"/>
  <c r="F232" i="68"/>
  <c r="F233" i="68"/>
  <c r="F234" i="68"/>
  <c r="F235" i="68"/>
  <c r="F236" i="68"/>
  <c r="F237" i="68"/>
  <c r="F238" i="68"/>
  <c r="F239" i="68"/>
  <c r="F240" i="68"/>
  <c r="F241" i="68"/>
  <c r="F242" i="68"/>
  <c r="F243" i="68"/>
  <c r="B244" i="68"/>
  <c r="C244" i="68"/>
  <c r="E244" i="68"/>
  <c r="F244" i="68"/>
  <c r="B245" i="68"/>
  <c r="C245" i="68"/>
  <c r="E245" i="68"/>
  <c r="F245" i="68"/>
  <c r="B246" i="68"/>
  <c r="C246" i="68"/>
  <c r="E246" i="68"/>
  <c r="F246" i="68"/>
  <c r="B247" i="68"/>
  <c r="C247" i="68"/>
  <c r="E247" i="68"/>
  <c r="F247" i="68"/>
  <c r="B248" i="68"/>
  <c r="C248" i="68"/>
  <c r="E248" i="68"/>
  <c r="F248" i="68"/>
  <c r="B249" i="68"/>
  <c r="C249" i="68"/>
  <c r="E249" i="68"/>
  <c r="F249" i="68"/>
  <c r="B250" i="68"/>
  <c r="C250" i="68"/>
  <c r="E250" i="68"/>
  <c r="F250" i="68"/>
  <c r="B251" i="68"/>
  <c r="C251" i="68"/>
  <c r="E251" i="68"/>
  <c r="F251" i="68"/>
  <c r="B252" i="68"/>
  <c r="C252" i="68"/>
  <c r="E252" i="68"/>
  <c r="F252" i="68"/>
  <c r="B253" i="68"/>
  <c r="C253" i="68"/>
  <c r="E253" i="68"/>
  <c r="F253" i="68"/>
  <c r="B254" i="68"/>
  <c r="C254" i="68"/>
  <c r="E254" i="68"/>
  <c r="F254" i="68"/>
  <c r="B255" i="68"/>
  <c r="C255" i="68"/>
  <c r="E255" i="68"/>
  <c r="F255" i="68"/>
  <c r="B256" i="68"/>
  <c r="C256" i="68"/>
  <c r="E256" i="68"/>
  <c r="F256" i="68"/>
  <c r="B257" i="68"/>
  <c r="C257" i="68"/>
  <c r="E257" i="68"/>
  <c r="F257" i="68"/>
  <c r="B258" i="68"/>
  <c r="C258" i="68"/>
  <c r="E258" i="68"/>
  <c r="F258" i="68"/>
  <c r="B259" i="68"/>
  <c r="C259" i="68"/>
  <c r="E259" i="68"/>
  <c r="F259" i="68"/>
  <c r="B260" i="68"/>
  <c r="C260" i="68"/>
  <c r="E260" i="68"/>
  <c r="F260" i="68"/>
  <c r="B261" i="68"/>
  <c r="C261" i="68"/>
  <c r="E261" i="68"/>
  <c r="F261" i="68"/>
  <c r="B262" i="68"/>
  <c r="C262" i="68"/>
  <c r="E262" i="68"/>
  <c r="F262" i="68"/>
  <c r="B263" i="68"/>
  <c r="C263" i="68"/>
  <c r="E263" i="68"/>
  <c r="F263" i="68"/>
  <c r="B264" i="68"/>
  <c r="C264" i="68"/>
  <c r="E264" i="68"/>
  <c r="F264" i="68"/>
  <c r="B265" i="68"/>
  <c r="C265" i="68"/>
  <c r="E265" i="68"/>
  <c r="F265" i="68"/>
  <c r="B266" i="68"/>
  <c r="C266" i="68"/>
  <c r="E266" i="68"/>
  <c r="F266" i="68"/>
  <c r="B267" i="68"/>
  <c r="C267" i="68"/>
  <c r="E267" i="68"/>
  <c r="F267" i="68"/>
  <c r="B268" i="68"/>
  <c r="C268" i="68"/>
  <c r="E268" i="68"/>
  <c r="F268" i="68"/>
  <c r="B269" i="68"/>
  <c r="C269" i="68"/>
  <c r="E269" i="68"/>
  <c r="F269" i="68"/>
  <c r="B270" i="68"/>
  <c r="C270" i="68"/>
  <c r="E270" i="68"/>
  <c r="F270" i="68"/>
  <c r="B271" i="68"/>
  <c r="C271" i="68"/>
  <c r="E271" i="68"/>
  <c r="F271" i="68"/>
  <c r="B272" i="68"/>
  <c r="C272" i="68"/>
  <c r="E272" i="68"/>
  <c r="F272" i="68"/>
  <c r="B273" i="68"/>
  <c r="C273" i="68"/>
  <c r="E273" i="68"/>
  <c r="F273" i="68"/>
  <c r="B274" i="68"/>
  <c r="C274" i="68"/>
  <c r="E274" i="68"/>
  <c r="F274" i="68"/>
  <c r="B275" i="68"/>
  <c r="C275" i="68"/>
  <c r="E275" i="68"/>
  <c r="F275" i="68"/>
  <c r="B276" i="68"/>
  <c r="C276" i="68"/>
  <c r="E276" i="68"/>
  <c r="F276" i="68"/>
  <c r="B277" i="68"/>
  <c r="C277" i="68"/>
  <c r="E277" i="68"/>
  <c r="F277" i="68"/>
  <c r="B278" i="68"/>
  <c r="C278" i="68"/>
  <c r="E278" i="68"/>
  <c r="F278" i="68"/>
  <c r="B279" i="68"/>
  <c r="C279" i="68"/>
  <c r="E279" i="68"/>
  <c r="F279" i="68"/>
  <c r="B280" i="68"/>
  <c r="C280" i="68"/>
  <c r="E280" i="68"/>
  <c r="F280" i="68"/>
  <c r="C164" i="68"/>
  <c r="E164" i="68"/>
  <c r="F164" i="68"/>
  <c r="B164" i="68"/>
  <c r="D6" i="29"/>
  <c r="K65" i="62" l="1"/>
  <c r="L65" i="62"/>
  <c r="M65" i="62"/>
  <c r="N65" i="62"/>
  <c r="J65" i="62"/>
  <c r="K64" i="62"/>
  <c r="L64" i="62"/>
  <c r="M64" i="62"/>
  <c r="N64" i="62"/>
  <c r="J64" i="62"/>
  <c r="K149" i="61"/>
  <c r="L149" i="61"/>
  <c r="M149" i="61"/>
  <c r="N149" i="61"/>
  <c r="J149" i="61"/>
  <c r="M22" i="68"/>
  <c r="N22" i="68"/>
  <c r="O22" i="68"/>
  <c r="P22" i="68"/>
  <c r="Q22" i="68"/>
  <c r="R22" i="68"/>
  <c r="S22" i="68"/>
  <c r="T22" i="68"/>
  <c r="U22" i="68"/>
  <c r="V22" i="68"/>
  <c r="M24" i="68"/>
  <c r="N24" i="68"/>
  <c r="O24" i="68"/>
  <c r="P24" i="68"/>
  <c r="Q24" i="68"/>
  <c r="R24" i="68"/>
  <c r="S24" i="68"/>
  <c r="T24" i="68"/>
  <c r="U24" i="68"/>
  <c r="V24" i="68"/>
  <c r="M25" i="68"/>
  <c r="N25" i="68"/>
  <c r="O25" i="68"/>
  <c r="P25" i="68"/>
  <c r="Q25" i="68"/>
  <c r="R25" i="68"/>
  <c r="S25" i="68"/>
  <c r="T25" i="68"/>
  <c r="U25" i="68"/>
  <c r="V25" i="68"/>
  <c r="K22" i="68"/>
  <c r="K23" i="68"/>
  <c r="K24" i="68"/>
  <c r="F122" i="6"/>
  <c r="B130" i="6" s="1"/>
  <c r="G122" i="6"/>
  <c r="H122" i="6"/>
  <c r="B132" i="6" s="1"/>
  <c r="I122" i="6"/>
  <c r="B133" i="6" s="1"/>
  <c r="J122" i="6"/>
  <c r="B134" i="6" s="1"/>
  <c r="K122" i="6"/>
  <c r="L122" i="6"/>
  <c r="E122" i="6"/>
  <c r="B129" i="6" s="1"/>
  <c r="E231" i="68" l="1"/>
  <c r="E235" i="68"/>
  <c r="E239" i="68"/>
  <c r="E243" i="68"/>
  <c r="E232" i="68"/>
  <c r="E236" i="68"/>
  <c r="E240" i="68"/>
  <c r="E233" i="68"/>
  <c r="E237" i="68"/>
  <c r="E241" i="68"/>
  <c r="E234" i="68"/>
  <c r="E238" i="68"/>
  <c r="E242" i="68"/>
  <c r="B231" i="68"/>
  <c r="B239" i="68"/>
  <c r="B241" i="68"/>
  <c r="B234" i="68"/>
  <c r="B242" i="68"/>
  <c r="B237" i="68"/>
  <c r="B232" i="68"/>
  <c r="B240" i="68"/>
  <c r="B235" i="68"/>
  <c r="B243" i="68"/>
  <c r="B238" i="68"/>
  <c r="B236" i="68"/>
  <c r="B233" i="68"/>
  <c r="P64" i="62"/>
  <c r="P65" i="62"/>
  <c r="P149" i="61"/>
  <c r="K1" i="6"/>
  <c r="K17" i="68"/>
  <c r="M17" i="68"/>
  <c r="M23" i="68" s="1"/>
  <c r="N17" i="68"/>
  <c r="N23" i="68" s="1"/>
  <c r="O17" i="68"/>
  <c r="O23" i="68" s="1"/>
  <c r="P17" i="68"/>
  <c r="P23" i="68" s="1"/>
  <c r="Q17" i="68"/>
  <c r="Q23" i="68" s="1"/>
  <c r="R17" i="68"/>
  <c r="R23" i="68" s="1"/>
  <c r="S17" i="68"/>
  <c r="S23" i="68" s="1"/>
  <c r="T17" i="68"/>
  <c r="T23" i="68" s="1"/>
  <c r="U17" i="68"/>
  <c r="U23" i="68" s="1"/>
  <c r="V17" i="68"/>
  <c r="V23" i="68" s="1"/>
  <c r="K18" i="68"/>
  <c r="M18" i="68"/>
  <c r="N18" i="68"/>
  <c r="O18" i="68"/>
  <c r="P18" i="68"/>
  <c r="Q18" i="68"/>
  <c r="R18" i="68"/>
  <c r="S18" i="68"/>
  <c r="T18" i="68"/>
  <c r="U18" i="68"/>
  <c r="V18" i="68"/>
  <c r="K19" i="68"/>
  <c r="M19" i="68"/>
  <c r="N19" i="68"/>
  <c r="O19" i="68"/>
  <c r="P19" i="68"/>
  <c r="Q19" i="68"/>
  <c r="R19" i="68"/>
  <c r="S19" i="68"/>
  <c r="T19" i="68"/>
  <c r="U19" i="68"/>
  <c r="V19" i="68"/>
  <c r="K20" i="68"/>
  <c r="M20" i="68"/>
  <c r="N20" i="68"/>
  <c r="O20" i="68"/>
  <c r="P20" i="68"/>
  <c r="Q20" i="68"/>
  <c r="R20" i="68"/>
  <c r="S20" i="68"/>
  <c r="T20" i="68"/>
  <c r="U20" i="68"/>
  <c r="V20" i="68"/>
  <c r="K21" i="68"/>
  <c r="M21" i="68"/>
  <c r="N21" i="68"/>
  <c r="O21" i="68"/>
  <c r="P21" i="68"/>
  <c r="Q21" i="68"/>
  <c r="R21" i="68"/>
  <c r="S21" i="68"/>
  <c r="T21" i="68"/>
  <c r="U21" i="68"/>
  <c r="V21" i="68"/>
  <c r="K25" i="68"/>
  <c r="K26" i="68"/>
  <c r="M26" i="68"/>
  <c r="N26" i="68"/>
  <c r="O26" i="68"/>
  <c r="P26" i="68"/>
  <c r="Q26" i="68"/>
  <c r="R26" i="68"/>
  <c r="S26" i="68"/>
  <c r="T26" i="68"/>
  <c r="U26" i="68"/>
  <c r="V26" i="68"/>
  <c r="K27" i="68"/>
  <c r="M27" i="68"/>
  <c r="N27" i="68"/>
  <c r="O27" i="68"/>
  <c r="P27" i="68"/>
  <c r="Q27" i="68"/>
  <c r="R27" i="68"/>
  <c r="S27" i="68"/>
  <c r="T27" i="68"/>
  <c r="U27" i="68"/>
  <c r="V27" i="68"/>
  <c r="M28" i="68"/>
  <c r="N28" i="68"/>
  <c r="O28" i="68"/>
  <c r="P28" i="68"/>
  <c r="Q28" i="68"/>
  <c r="R28" i="68"/>
  <c r="S28" i="68"/>
  <c r="T28" i="68"/>
  <c r="U28" i="68"/>
  <c r="V28" i="68"/>
  <c r="K16" i="68"/>
  <c r="M16" i="68"/>
  <c r="N16" i="68"/>
  <c r="O16" i="68"/>
  <c r="P16" i="68"/>
  <c r="Q16" i="68"/>
  <c r="R16" i="68"/>
  <c r="S16" i="68"/>
  <c r="T16" i="68"/>
  <c r="U16" i="68"/>
  <c r="V16" i="68"/>
  <c r="C231" i="68" l="1"/>
  <c r="C233" i="68"/>
  <c r="C235" i="68"/>
  <c r="C237" i="68"/>
  <c r="C239" i="68"/>
  <c r="C241" i="68"/>
  <c r="C243" i="68"/>
  <c r="C232" i="68"/>
  <c r="C234" i="68"/>
  <c r="C236" i="68"/>
  <c r="C238" i="68"/>
  <c r="C240" i="68"/>
  <c r="C242" i="68"/>
  <c r="D270" i="68"/>
  <c r="H122" i="68" s="1"/>
  <c r="D278" i="68"/>
  <c r="H130" i="68" s="1"/>
  <c r="D272" i="68"/>
  <c r="H124" i="68" s="1"/>
  <c r="D276" i="68"/>
  <c r="H128" i="68" s="1"/>
  <c r="D275" i="68"/>
  <c r="H127" i="68" s="1"/>
  <c r="D280" i="68"/>
  <c r="H132" i="68" s="1"/>
  <c r="D277" i="68"/>
  <c r="H129" i="68" s="1"/>
  <c r="D274" i="68"/>
  <c r="H126" i="68" s="1"/>
  <c r="D271" i="68"/>
  <c r="H123" i="68" s="1"/>
  <c r="D279" i="68"/>
  <c r="H131" i="68" s="1"/>
  <c r="D273" i="68"/>
  <c r="H125" i="68" s="1"/>
  <c r="D262" i="68"/>
  <c r="H114" i="68" s="1"/>
  <c r="D268" i="68"/>
  <c r="H120" i="68" s="1"/>
  <c r="D259" i="68"/>
  <c r="H111" i="68" s="1"/>
  <c r="D267" i="68"/>
  <c r="H119" i="68" s="1"/>
  <c r="D264" i="68"/>
  <c r="H116" i="68" s="1"/>
  <c r="D261" i="68"/>
  <c r="H113" i="68" s="1"/>
  <c r="D269" i="68"/>
  <c r="H121" i="68" s="1"/>
  <c r="D266" i="68"/>
  <c r="H118" i="68" s="1"/>
  <c r="D260" i="68"/>
  <c r="H112" i="68" s="1"/>
  <c r="D258" i="68"/>
  <c r="H110" i="68" s="1"/>
  <c r="D263" i="68"/>
  <c r="H115" i="68" s="1"/>
  <c r="D257" i="68"/>
  <c r="H109" i="68" s="1"/>
  <c r="D265" i="68"/>
  <c r="H117" i="68" s="1"/>
  <c r="D165" i="68"/>
  <c r="H17" i="68" s="1"/>
  <c r="D164" i="68"/>
  <c r="H16" i="68" s="1"/>
  <c r="D246" i="68"/>
  <c r="H98" i="68" s="1"/>
  <c r="D254" i="68"/>
  <c r="H106" i="68" s="1"/>
  <c r="D251" i="68"/>
  <c r="H103" i="68" s="1"/>
  <c r="D252" i="68"/>
  <c r="H104" i="68" s="1"/>
  <c r="D248" i="68"/>
  <c r="H100" i="68" s="1"/>
  <c r="D245" i="68"/>
  <c r="H97" i="68" s="1"/>
  <c r="D253" i="68"/>
  <c r="H105" i="68" s="1"/>
  <c r="D250" i="68"/>
  <c r="H102" i="68" s="1"/>
  <c r="D244" i="68"/>
  <c r="H96" i="68" s="1"/>
  <c r="D247" i="68"/>
  <c r="H99" i="68" s="1"/>
  <c r="D255" i="68"/>
  <c r="H107" i="68" s="1"/>
  <c r="D249" i="68"/>
  <c r="H101" i="68" s="1"/>
  <c r="D256" i="68"/>
  <c r="H108" i="68" s="1"/>
  <c r="D238" i="68"/>
  <c r="D235" i="68"/>
  <c r="H87" i="68" s="1"/>
  <c r="D243" i="68"/>
  <c r="H95" i="68" s="1"/>
  <c r="D232" i="68"/>
  <c r="D240" i="68"/>
  <c r="D237" i="68"/>
  <c r="D234" i="68"/>
  <c r="D242" i="68"/>
  <c r="D231" i="68"/>
  <c r="D239" i="68"/>
  <c r="D236" i="68"/>
  <c r="D233" i="68"/>
  <c r="D241" i="68"/>
  <c r="D182" i="68"/>
  <c r="H34" i="68" s="1"/>
  <c r="D190" i="68"/>
  <c r="H42" i="68" s="1"/>
  <c r="D179" i="68"/>
  <c r="H31" i="68" s="1"/>
  <c r="D187" i="68"/>
  <c r="H39" i="68" s="1"/>
  <c r="D188" i="68"/>
  <c r="H40" i="68" s="1"/>
  <c r="D184" i="68"/>
  <c r="H36" i="68" s="1"/>
  <c r="D181" i="68"/>
  <c r="H33" i="68" s="1"/>
  <c r="D189" i="68"/>
  <c r="H41" i="68" s="1"/>
  <c r="D180" i="68"/>
  <c r="H32" i="68" s="1"/>
  <c r="D186" i="68"/>
  <c r="H38" i="68" s="1"/>
  <c r="D183" i="68"/>
  <c r="H35" i="68" s="1"/>
  <c r="D191" i="68"/>
  <c r="H43" i="68" s="1"/>
  <c r="D185" i="68"/>
  <c r="H37" i="68" s="1"/>
  <c r="D222" i="68"/>
  <c r="H74" i="68" s="1"/>
  <c r="D230" i="68"/>
  <c r="H82" i="68" s="1"/>
  <c r="D219" i="68"/>
  <c r="H71" i="68" s="1"/>
  <c r="D227" i="68"/>
  <c r="H79" i="68" s="1"/>
  <c r="D228" i="68"/>
  <c r="H80" i="68" s="1"/>
  <c r="D224" i="68"/>
  <c r="H76" i="68" s="1"/>
  <c r="D221" i="68"/>
  <c r="H73" i="68" s="1"/>
  <c r="D229" i="68"/>
  <c r="H81" i="68" s="1"/>
  <c r="D218" i="68"/>
  <c r="H70" i="68" s="1"/>
  <c r="D226" i="68"/>
  <c r="H78" i="68" s="1"/>
  <c r="D220" i="68"/>
  <c r="H72" i="68" s="1"/>
  <c r="D223" i="68"/>
  <c r="H75" i="68" s="1"/>
  <c r="D225" i="68"/>
  <c r="H77" i="68" s="1"/>
  <c r="D206" i="68"/>
  <c r="H58" i="68" s="1"/>
  <c r="D214" i="68"/>
  <c r="H66" i="68" s="1"/>
  <c r="D211" i="68"/>
  <c r="H63" i="68" s="1"/>
  <c r="D208" i="68"/>
  <c r="H60" i="68" s="1"/>
  <c r="D216" i="68"/>
  <c r="H68" i="68" s="1"/>
  <c r="D205" i="68"/>
  <c r="H57" i="68" s="1"/>
  <c r="D213" i="68"/>
  <c r="H65" i="68" s="1"/>
  <c r="D210" i="68"/>
  <c r="H62" i="68" s="1"/>
  <c r="D207" i="68"/>
  <c r="H59" i="68" s="1"/>
  <c r="D215" i="68"/>
  <c r="H67" i="68" s="1"/>
  <c r="D212" i="68"/>
  <c r="H64" i="68" s="1"/>
  <c r="D209" i="68"/>
  <c r="H61" i="68" s="1"/>
  <c r="D217" i="68"/>
  <c r="H69" i="68" s="1"/>
  <c r="D166" i="68"/>
  <c r="H18" i="68" s="1"/>
  <c r="D174" i="68"/>
  <c r="H26" i="68" s="1"/>
  <c r="D171" i="68"/>
  <c r="H23" i="68" s="1"/>
  <c r="D168" i="68"/>
  <c r="H20" i="68" s="1"/>
  <c r="D176" i="68"/>
  <c r="H28" i="68" s="1"/>
  <c r="D173" i="68"/>
  <c r="H25" i="68" s="1"/>
  <c r="D172" i="68"/>
  <c r="H24" i="68" s="1"/>
  <c r="D170" i="68"/>
  <c r="H22" i="68" s="1"/>
  <c r="D178" i="68"/>
  <c r="H30" i="68" s="1"/>
  <c r="D167" i="68"/>
  <c r="H19" i="68" s="1"/>
  <c r="D175" i="68"/>
  <c r="H27" i="68" s="1"/>
  <c r="D169" i="68"/>
  <c r="H21" i="68" s="1"/>
  <c r="D177" i="68"/>
  <c r="H29" i="68" s="1"/>
  <c r="D198" i="68"/>
  <c r="H50" i="68" s="1"/>
  <c r="D195" i="68"/>
  <c r="H47" i="68" s="1"/>
  <c r="D203" i="68"/>
  <c r="H55" i="68" s="1"/>
  <c r="D192" i="68"/>
  <c r="H44" i="68" s="1"/>
  <c r="D200" i="68"/>
  <c r="H52" i="68" s="1"/>
  <c r="D197" i="68"/>
  <c r="H49" i="68" s="1"/>
  <c r="D194" i="68"/>
  <c r="H46" i="68" s="1"/>
  <c r="D202" i="68"/>
  <c r="H54" i="68" s="1"/>
  <c r="D199" i="68"/>
  <c r="H51" i="68" s="1"/>
  <c r="D196" i="68"/>
  <c r="H48" i="68" s="1"/>
  <c r="D204" i="68"/>
  <c r="H56" i="68" s="1"/>
  <c r="D193" i="68"/>
  <c r="H45" i="68" s="1"/>
  <c r="D201" i="68"/>
  <c r="H53" i="68" s="1"/>
  <c r="C15" i="68"/>
  <c r="F15" i="68"/>
  <c r="D15" i="68"/>
  <c r="C32" i="87"/>
  <c r="M30" i="68" s="1"/>
  <c r="D32" i="87"/>
  <c r="N30" i="68" s="1"/>
  <c r="E32" i="87"/>
  <c r="O30" i="68" s="1"/>
  <c r="F32" i="87"/>
  <c r="P30" i="68" s="1"/>
  <c r="G32" i="87"/>
  <c r="Q30" i="68" s="1"/>
  <c r="H32" i="87"/>
  <c r="R30" i="68" s="1"/>
  <c r="I32" i="87"/>
  <c r="S30" i="68" s="1"/>
  <c r="J32" i="87"/>
  <c r="T30" i="68" s="1"/>
  <c r="K32" i="87"/>
  <c r="U30" i="68" s="1"/>
  <c r="L32" i="87"/>
  <c r="V30" i="68" s="1"/>
  <c r="C33" i="87"/>
  <c r="M31" i="68" s="1"/>
  <c r="D33" i="87"/>
  <c r="N31" i="68" s="1"/>
  <c r="E33" i="87"/>
  <c r="O31" i="68" s="1"/>
  <c r="F33" i="87"/>
  <c r="P31" i="68" s="1"/>
  <c r="G33" i="87"/>
  <c r="Q31" i="68" s="1"/>
  <c r="H33" i="87"/>
  <c r="R31" i="68" s="1"/>
  <c r="I33" i="87"/>
  <c r="S31" i="68" s="1"/>
  <c r="J33" i="87"/>
  <c r="T31" i="68" s="1"/>
  <c r="K33" i="87"/>
  <c r="U31" i="68" s="1"/>
  <c r="L33" i="87"/>
  <c r="V31" i="68" s="1"/>
  <c r="C34" i="87"/>
  <c r="M32" i="68" s="1"/>
  <c r="D34" i="87"/>
  <c r="N32" i="68" s="1"/>
  <c r="E34" i="87"/>
  <c r="O32" i="68" s="1"/>
  <c r="F34" i="87"/>
  <c r="P32" i="68" s="1"/>
  <c r="G34" i="87"/>
  <c r="Q32" i="68" s="1"/>
  <c r="H34" i="87"/>
  <c r="R32" i="68" s="1"/>
  <c r="I34" i="87"/>
  <c r="S32" i="68" s="1"/>
  <c r="J34" i="87"/>
  <c r="T32" i="68" s="1"/>
  <c r="K34" i="87"/>
  <c r="U32" i="68" s="1"/>
  <c r="L34" i="87"/>
  <c r="V32" i="68" s="1"/>
  <c r="D31" i="87"/>
  <c r="N29" i="68" s="1"/>
  <c r="E31" i="87"/>
  <c r="O29" i="68" s="1"/>
  <c r="F31" i="87"/>
  <c r="P29" i="68" s="1"/>
  <c r="G31" i="87"/>
  <c r="Q29" i="68" s="1"/>
  <c r="H31" i="87"/>
  <c r="R29" i="68" s="1"/>
  <c r="I31" i="87"/>
  <c r="S29" i="68" s="1"/>
  <c r="J31" i="87"/>
  <c r="T29" i="68" s="1"/>
  <c r="K31" i="87"/>
  <c r="U29" i="68" s="1"/>
  <c r="L31" i="87"/>
  <c r="V29" i="68" s="1"/>
  <c r="C31" i="87"/>
  <c r="M29" i="68" s="1"/>
  <c r="H85" i="68" l="1"/>
  <c r="H88" i="68"/>
  <c r="H83" i="68"/>
  <c r="H86" i="68"/>
  <c r="H90" i="68"/>
  <c r="H94" i="68"/>
  <c r="H84" i="68"/>
  <c r="H93" i="68"/>
  <c r="H91" i="68"/>
  <c r="H89" i="68"/>
  <c r="H92" i="68"/>
  <c r="B140" i="61"/>
  <c r="J150" i="61" s="1"/>
  <c r="A31" i="87"/>
  <c r="K29" i="68" s="1"/>
  <c r="A32" i="87"/>
  <c r="K30" i="68" s="1"/>
  <c r="A33" i="87"/>
  <c r="K31" i="68" s="1"/>
  <c r="A34" i="87"/>
  <c r="K32" i="68" s="1"/>
  <c r="A30" i="87"/>
  <c r="H134" i="68" l="1"/>
  <c r="K28" i="68"/>
  <c r="E15" i="68" s="1"/>
  <c r="L158" i="6"/>
  <c r="L162" i="6"/>
  <c r="L166" i="6"/>
  <c r="L170" i="6"/>
  <c r="L174" i="6"/>
  <c r="L178" i="6"/>
  <c r="L182" i="6"/>
  <c r="L186" i="6"/>
  <c r="L190" i="6"/>
  <c r="L194" i="6"/>
  <c r="L198" i="6"/>
  <c r="L202" i="6"/>
  <c r="L206" i="6"/>
  <c r="L210" i="6"/>
  <c r="L214" i="6"/>
  <c r="L218" i="6"/>
  <c r="L222" i="6"/>
  <c r="L226" i="6"/>
  <c r="L230" i="6"/>
  <c r="L234" i="6"/>
  <c r="L238" i="6"/>
  <c r="L242" i="6"/>
  <c r="L246" i="6"/>
  <c r="L250" i="6"/>
  <c r="L254" i="6"/>
  <c r="L258" i="6"/>
  <c r="L262" i="6"/>
  <c r="L266" i="6"/>
  <c r="L270" i="6"/>
  <c r="K267" i="6"/>
  <c r="L177" i="6"/>
  <c r="L197" i="6"/>
  <c r="L221" i="6"/>
  <c r="L241" i="6"/>
  <c r="L261" i="6"/>
  <c r="K166" i="6"/>
  <c r="K190" i="6"/>
  <c r="K210" i="6"/>
  <c r="K230" i="6"/>
  <c r="K254" i="6"/>
  <c r="K270" i="6"/>
  <c r="K159" i="6"/>
  <c r="K163" i="6"/>
  <c r="K167" i="6"/>
  <c r="K171" i="6"/>
  <c r="K175" i="6"/>
  <c r="K179" i="6"/>
  <c r="K183" i="6"/>
  <c r="K187" i="6"/>
  <c r="K191" i="6"/>
  <c r="K195" i="6"/>
  <c r="K199" i="6"/>
  <c r="K203" i="6"/>
  <c r="K207" i="6"/>
  <c r="K211" i="6"/>
  <c r="K215" i="6"/>
  <c r="K219" i="6"/>
  <c r="K223" i="6"/>
  <c r="K227" i="6"/>
  <c r="K231" i="6"/>
  <c r="K235" i="6"/>
  <c r="K239" i="6"/>
  <c r="K243" i="6"/>
  <c r="K247" i="6"/>
  <c r="K251" i="6"/>
  <c r="K255" i="6"/>
  <c r="K259" i="6"/>
  <c r="K263" i="6"/>
  <c r="K271" i="6"/>
  <c r="L173" i="6"/>
  <c r="L217" i="6"/>
  <c r="L269" i="6"/>
  <c r="K178" i="6"/>
  <c r="K242" i="6"/>
  <c r="L159" i="6"/>
  <c r="L163" i="6"/>
  <c r="L167" i="6"/>
  <c r="L171" i="6"/>
  <c r="L175" i="6"/>
  <c r="L179" i="6"/>
  <c r="L183" i="6"/>
  <c r="L187" i="6"/>
  <c r="L191" i="6"/>
  <c r="L195" i="6"/>
  <c r="L199" i="6"/>
  <c r="L203" i="6"/>
  <c r="L207" i="6"/>
  <c r="L211" i="6"/>
  <c r="L215" i="6"/>
  <c r="L219" i="6"/>
  <c r="L223" i="6"/>
  <c r="L227" i="6"/>
  <c r="L231" i="6"/>
  <c r="L235" i="6"/>
  <c r="L239" i="6"/>
  <c r="L243" i="6"/>
  <c r="L247" i="6"/>
  <c r="L251" i="6"/>
  <c r="L255" i="6"/>
  <c r="L259" i="6"/>
  <c r="L263" i="6"/>
  <c r="L267" i="6"/>
  <c r="L271" i="6"/>
  <c r="L161" i="6"/>
  <c r="L181" i="6"/>
  <c r="L201" i="6"/>
  <c r="L225" i="6"/>
  <c r="L245" i="6"/>
  <c r="L265" i="6"/>
  <c r="K174" i="6"/>
  <c r="K198" i="6"/>
  <c r="K218" i="6"/>
  <c r="K238" i="6"/>
  <c r="K262" i="6"/>
  <c r="K160" i="6"/>
  <c r="K164" i="6"/>
  <c r="K168" i="6"/>
  <c r="K172" i="6"/>
  <c r="K176" i="6"/>
  <c r="K180" i="6"/>
  <c r="K184" i="6"/>
  <c r="K188" i="6"/>
  <c r="K192" i="6"/>
  <c r="K196" i="6"/>
  <c r="K200" i="6"/>
  <c r="K204" i="6"/>
  <c r="K208" i="6"/>
  <c r="K212" i="6"/>
  <c r="K216" i="6"/>
  <c r="K220" i="6"/>
  <c r="K224" i="6"/>
  <c r="K228" i="6"/>
  <c r="K232" i="6"/>
  <c r="K236" i="6"/>
  <c r="K240" i="6"/>
  <c r="K244" i="6"/>
  <c r="K248" i="6"/>
  <c r="K252" i="6"/>
  <c r="K256" i="6"/>
  <c r="K260" i="6"/>
  <c r="K264" i="6"/>
  <c r="K268" i="6"/>
  <c r="K272" i="6"/>
  <c r="L157" i="6"/>
  <c r="L189" i="6"/>
  <c r="L209" i="6"/>
  <c r="L233" i="6"/>
  <c r="L253" i="6"/>
  <c r="K170" i="6"/>
  <c r="K194" i="6"/>
  <c r="K214" i="6"/>
  <c r="K234" i="6"/>
  <c r="K258" i="6"/>
  <c r="L160" i="6"/>
  <c r="L164" i="6"/>
  <c r="L168" i="6"/>
  <c r="L172" i="6"/>
  <c r="L176" i="6"/>
  <c r="L180" i="6"/>
  <c r="L184" i="6"/>
  <c r="L188" i="6"/>
  <c r="L192" i="6"/>
  <c r="L196" i="6"/>
  <c r="L200" i="6"/>
  <c r="L204" i="6"/>
  <c r="L208" i="6"/>
  <c r="L212" i="6"/>
  <c r="L216" i="6"/>
  <c r="L220" i="6"/>
  <c r="L224" i="6"/>
  <c r="L228" i="6"/>
  <c r="L232" i="6"/>
  <c r="L236" i="6"/>
  <c r="L240" i="6"/>
  <c r="L244" i="6"/>
  <c r="L248" i="6"/>
  <c r="L252" i="6"/>
  <c r="L256" i="6"/>
  <c r="L260" i="6"/>
  <c r="L264" i="6"/>
  <c r="L268" i="6"/>
  <c r="L272" i="6"/>
  <c r="L165" i="6"/>
  <c r="L185" i="6"/>
  <c r="L205" i="6"/>
  <c r="L229" i="6"/>
  <c r="L249" i="6"/>
  <c r="L156" i="6"/>
  <c r="K158" i="6"/>
  <c r="K182" i="6"/>
  <c r="K206" i="6"/>
  <c r="K226" i="6"/>
  <c r="K250" i="6"/>
  <c r="K157" i="6"/>
  <c r="K161" i="6"/>
  <c r="K165" i="6"/>
  <c r="K169" i="6"/>
  <c r="K173" i="6"/>
  <c r="K177" i="6"/>
  <c r="K181" i="6"/>
  <c r="K185" i="6"/>
  <c r="K189" i="6"/>
  <c r="K193" i="6"/>
  <c r="K197" i="6"/>
  <c r="K201" i="6"/>
  <c r="K205" i="6"/>
  <c r="K209" i="6"/>
  <c r="K213" i="6"/>
  <c r="K217" i="6"/>
  <c r="K221" i="6"/>
  <c r="K225" i="6"/>
  <c r="K229" i="6"/>
  <c r="K233" i="6"/>
  <c r="K237" i="6"/>
  <c r="K241" i="6"/>
  <c r="K245" i="6"/>
  <c r="K249" i="6"/>
  <c r="K253" i="6"/>
  <c r="K257" i="6"/>
  <c r="K261" i="6"/>
  <c r="K265" i="6"/>
  <c r="K269" i="6"/>
  <c r="K156" i="6"/>
  <c r="L169" i="6"/>
  <c r="L193" i="6"/>
  <c r="L213" i="6"/>
  <c r="L237" i="6"/>
  <c r="L257" i="6"/>
  <c r="K162" i="6"/>
  <c r="K186" i="6"/>
  <c r="K202" i="6"/>
  <c r="K222" i="6"/>
  <c r="K246" i="6"/>
  <c r="K266" i="6"/>
  <c r="I11" i="8"/>
  <c r="M3" i="8"/>
  <c r="M41" i="68" l="1"/>
  <c r="M39" i="68"/>
  <c r="M40" i="68"/>
  <c r="O41" i="68" l="1"/>
  <c r="O40" i="68"/>
  <c r="O39" i="68"/>
  <c r="N42" i="68" l="1"/>
  <c r="N41" i="68"/>
  <c r="N40" i="68"/>
  <c r="N39" i="68"/>
  <c r="N38" i="68"/>
  <c r="M42" i="68"/>
  <c r="O42" i="68" s="1"/>
  <c r="M38" i="68"/>
  <c r="O38" i="68" s="1"/>
  <c r="C163" i="68"/>
  <c r="D163" i="68"/>
  <c r="E163" i="68"/>
  <c r="F163" i="68"/>
  <c r="B163" i="68"/>
  <c r="P123" i="86"/>
  <c r="S123" i="86"/>
  <c r="O38" i="87" l="1"/>
  <c r="P38" i="87"/>
  <c r="L38" i="68"/>
  <c r="L40" i="68"/>
  <c r="L41" i="68"/>
  <c r="L42" i="68"/>
  <c r="L39" i="68"/>
  <c r="K38" i="68"/>
  <c r="K39" i="68"/>
  <c r="K40" i="68"/>
  <c r="K41" i="68"/>
  <c r="K42" i="68"/>
  <c r="G2" i="6"/>
  <c r="F2" i="6"/>
  <c r="E2" i="6"/>
  <c r="D2" i="6"/>
  <c r="C2" i="6"/>
  <c r="B2" i="6"/>
  <c r="B2" i="68"/>
  <c r="B2" i="64"/>
  <c r="B2" i="62"/>
  <c r="B2" i="81"/>
  <c r="B2" i="61"/>
  <c r="M10" i="87"/>
  <c r="I23" i="23" s="1"/>
  <c r="B2" i="66"/>
  <c r="F47" i="66"/>
  <c r="G47" i="66"/>
  <c r="H47" i="66"/>
  <c r="I47" i="66"/>
  <c r="J47" i="66"/>
  <c r="K47" i="66"/>
  <c r="L47" i="66"/>
  <c r="M47" i="66"/>
  <c r="N47" i="66"/>
  <c r="O47" i="66"/>
  <c r="P47" i="66"/>
  <c r="Q47" i="66"/>
  <c r="R47" i="66"/>
  <c r="S47" i="66"/>
  <c r="A1" i="86"/>
  <c r="B1" i="86"/>
  <c r="C145" i="6" l="1"/>
  <c r="K145" i="6"/>
  <c r="I139" i="6"/>
  <c r="D145" i="6"/>
  <c r="L145" i="6"/>
  <c r="J139" i="6"/>
  <c r="E145" i="6"/>
  <c r="B145" i="6"/>
  <c r="K139" i="6"/>
  <c r="G139" i="6"/>
  <c r="F145" i="6"/>
  <c r="L139" i="6"/>
  <c r="G145" i="6"/>
  <c r="I145" i="6"/>
  <c r="H145" i="6"/>
  <c r="F139" i="6"/>
  <c r="J145" i="6"/>
  <c r="H139" i="6"/>
  <c r="Q38" i="87"/>
  <c r="F23" i="23"/>
  <c r="P49" i="68"/>
  <c r="O49" i="68"/>
  <c r="O45" i="68"/>
  <c r="O47" i="68"/>
  <c r="O48" i="68"/>
  <c r="P45" i="68"/>
  <c r="P47" i="68"/>
  <c r="O46" i="68"/>
  <c r="P46" i="68"/>
  <c r="P48" i="68"/>
  <c r="L45" i="68"/>
  <c r="L47" i="68"/>
  <c r="AR4" i="86" s="1"/>
  <c r="M45" i="68"/>
  <c r="M47" i="68"/>
  <c r="M49" i="68"/>
  <c r="M48" i="68"/>
  <c r="L49" i="68"/>
  <c r="M46" i="68"/>
  <c r="L46" i="68"/>
  <c r="L48" i="68"/>
  <c r="N14" i="68"/>
  <c r="O14" i="68"/>
  <c r="P14" i="68"/>
  <c r="Q14" i="68"/>
  <c r="R14" i="68"/>
  <c r="S14" i="68"/>
  <c r="T14" i="68"/>
  <c r="U14" i="68"/>
  <c r="V14" i="68"/>
  <c r="M14" i="68"/>
  <c r="K14" i="68"/>
  <c r="L14" i="68"/>
  <c r="B15" i="68"/>
  <c r="C4" i="34"/>
  <c r="D4" i="34"/>
  <c r="E4" i="34"/>
  <c r="F4" i="34"/>
  <c r="G4" i="34"/>
  <c r="C5" i="34"/>
  <c r="D5" i="34"/>
  <c r="E5" i="34"/>
  <c r="F5" i="34"/>
  <c r="G5" i="34"/>
  <c r="C6" i="34"/>
  <c r="D6" i="34"/>
  <c r="E6" i="34"/>
  <c r="F6" i="34"/>
  <c r="G6" i="34"/>
  <c r="B7" i="34"/>
  <c r="D7" i="34"/>
  <c r="E7" i="34"/>
  <c r="F7" i="34"/>
  <c r="G7" i="34"/>
  <c r="B8" i="34"/>
  <c r="D8" i="34"/>
  <c r="E8" i="34"/>
  <c r="F8" i="34"/>
  <c r="G8" i="34"/>
  <c r="B9" i="34"/>
  <c r="D9" i="34"/>
  <c r="E9" i="34"/>
  <c r="F9" i="34"/>
  <c r="G9" i="34"/>
  <c r="B10" i="34"/>
  <c r="D10" i="34"/>
  <c r="E10" i="34"/>
  <c r="F10" i="34"/>
  <c r="G10" i="34"/>
  <c r="B11" i="34"/>
  <c r="C11" i="34"/>
  <c r="D11" i="34"/>
  <c r="E11" i="34"/>
  <c r="F11" i="34"/>
  <c r="G11" i="34"/>
  <c r="B12" i="34"/>
  <c r="C12" i="34"/>
  <c r="D12" i="34"/>
  <c r="E12" i="34"/>
  <c r="F12" i="34"/>
  <c r="G12" i="34"/>
  <c r="B13" i="34"/>
  <c r="C13" i="34"/>
  <c r="D13" i="34"/>
  <c r="E13" i="34"/>
  <c r="F13" i="34"/>
  <c r="G13" i="34"/>
  <c r="B14" i="34"/>
  <c r="C14" i="34"/>
  <c r="D14" i="34"/>
  <c r="E14" i="34"/>
  <c r="F14" i="34"/>
  <c r="G14" i="34"/>
  <c r="B15" i="34"/>
  <c r="C15" i="34"/>
  <c r="D15" i="34"/>
  <c r="E15" i="34"/>
  <c r="F15" i="34"/>
  <c r="G15" i="34"/>
  <c r="B16" i="34"/>
  <c r="C16" i="34"/>
  <c r="D16" i="34"/>
  <c r="E16" i="34"/>
  <c r="F16" i="34"/>
  <c r="G16" i="34"/>
  <c r="B17" i="34"/>
  <c r="C17" i="34"/>
  <c r="D17" i="34"/>
  <c r="E17" i="34"/>
  <c r="F17" i="34"/>
  <c r="G17" i="34"/>
  <c r="B18" i="34"/>
  <c r="C18" i="34"/>
  <c r="D18" i="34"/>
  <c r="E18" i="34"/>
  <c r="F18" i="34"/>
  <c r="G18" i="34"/>
  <c r="B19" i="34"/>
  <c r="C19" i="34"/>
  <c r="D19" i="34"/>
  <c r="E19" i="34"/>
  <c r="F19" i="34"/>
  <c r="G19" i="34"/>
  <c r="B20" i="34"/>
  <c r="C20" i="34"/>
  <c r="D20" i="34"/>
  <c r="E20" i="34"/>
  <c r="F20" i="34"/>
  <c r="G20" i="34"/>
  <c r="B21" i="34"/>
  <c r="C21" i="34"/>
  <c r="D21" i="34"/>
  <c r="E21" i="34"/>
  <c r="F21" i="34"/>
  <c r="G21" i="34"/>
  <c r="B22" i="34"/>
  <c r="C22" i="34"/>
  <c r="D22" i="34"/>
  <c r="E22" i="34"/>
  <c r="F22" i="34"/>
  <c r="G22" i="34"/>
  <c r="B23" i="34"/>
  <c r="C23" i="34"/>
  <c r="D23" i="34"/>
  <c r="E23" i="34"/>
  <c r="F23" i="34"/>
  <c r="G23" i="34"/>
  <c r="B24" i="34"/>
  <c r="C24" i="34"/>
  <c r="D24" i="34"/>
  <c r="E24" i="34"/>
  <c r="F24" i="34"/>
  <c r="G24" i="34"/>
  <c r="B25" i="34"/>
  <c r="C25" i="34"/>
  <c r="D25" i="34"/>
  <c r="E25" i="34"/>
  <c r="F25" i="34"/>
  <c r="G25" i="34"/>
  <c r="B26" i="34"/>
  <c r="C26" i="34"/>
  <c r="D26" i="34"/>
  <c r="E26" i="34"/>
  <c r="F26" i="34"/>
  <c r="G26" i="34"/>
  <c r="B27" i="34"/>
  <c r="C27" i="34"/>
  <c r="D27" i="34"/>
  <c r="E27" i="34"/>
  <c r="F27" i="34"/>
  <c r="G27" i="34"/>
  <c r="B28" i="34"/>
  <c r="C28" i="34"/>
  <c r="D28" i="34"/>
  <c r="E28" i="34"/>
  <c r="F28" i="34"/>
  <c r="G28" i="34"/>
  <c r="B29" i="34"/>
  <c r="C29" i="34"/>
  <c r="D29" i="34"/>
  <c r="E29" i="34"/>
  <c r="F29" i="34"/>
  <c r="G29" i="34"/>
  <c r="B30" i="34"/>
  <c r="C30" i="34"/>
  <c r="D30" i="34"/>
  <c r="E30" i="34"/>
  <c r="F30" i="34"/>
  <c r="G30" i="34"/>
  <c r="B31" i="34"/>
  <c r="C31" i="34"/>
  <c r="D31" i="34"/>
  <c r="E31" i="34"/>
  <c r="F31" i="34"/>
  <c r="G31" i="34"/>
  <c r="B32" i="34"/>
  <c r="C32" i="34"/>
  <c r="D32" i="34"/>
  <c r="E32" i="34"/>
  <c r="F32" i="34"/>
  <c r="G32" i="34"/>
  <c r="B33" i="34"/>
  <c r="C33" i="34"/>
  <c r="D33" i="34"/>
  <c r="E33" i="34"/>
  <c r="F33" i="34"/>
  <c r="G33" i="34"/>
  <c r="B34" i="34"/>
  <c r="C34" i="34"/>
  <c r="D34" i="34"/>
  <c r="E34" i="34"/>
  <c r="F34" i="34"/>
  <c r="G34" i="34"/>
  <c r="B35" i="34"/>
  <c r="C35" i="34"/>
  <c r="D35" i="34"/>
  <c r="E35" i="34"/>
  <c r="F35" i="34"/>
  <c r="G35" i="34"/>
  <c r="B36" i="34"/>
  <c r="C36" i="34"/>
  <c r="D36" i="34"/>
  <c r="E36" i="34"/>
  <c r="F36" i="34"/>
  <c r="G36" i="34"/>
  <c r="B37" i="34"/>
  <c r="C37" i="34"/>
  <c r="D37" i="34"/>
  <c r="E37" i="34"/>
  <c r="F37" i="34"/>
  <c r="G37" i="34"/>
  <c r="B38" i="34"/>
  <c r="C38" i="34"/>
  <c r="D38" i="34"/>
  <c r="E38" i="34"/>
  <c r="F38" i="34"/>
  <c r="G38" i="34"/>
  <c r="B39" i="34"/>
  <c r="C39" i="34"/>
  <c r="D39" i="34"/>
  <c r="E39" i="34"/>
  <c r="F39" i="34"/>
  <c r="G39" i="34"/>
  <c r="B40" i="34"/>
  <c r="C40" i="34"/>
  <c r="D40" i="34"/>
  <c r="E40" i="34"/>
  <c r="F40" i="34"/>
  <c r="G40" i="34"/>
  <c r="B41" i="34"/>
  <c r="C41" i="34"/>
  <c r="D41" i="34"/>
  <c r="E41" i="34"/>
  <c r="F41" i="34"/>
  <c r="G41" i="34"/>
  <c r="B42" i="34"/>
  <c r="C42" i="34"/>
  <c r="D42" i="34"/>
  <c r="E42" i="34"/>
  <c r="F42" i="34"/>
  <c r="G42" i="34"/>
  <c r="B43" i="34"/>
  <c r="C43" i="34"/>
  <c r="D43" i="34"/>
  <c r="E43" i="34"/>
  <c r="F43" i="34"/>
  <c r="G43" i="34"/>
  <c r="B44" i="34"/>
  <c r="C44" i="34"/>
  <c r="D44" i="34"/>
  <c r="E44" i="34"/>
  <c r="F44" i="34"/>
  <c r="G44" i="34"/>
  <c r="B45" i="34"/>
  <c r="C45" i="34"/>
  <c r="D45" i="34"/>
  <c r="E45" i="34"/>
  <c r="F45" i="34"/>
  <c r="G45" i="34"/>
  <c r="B46" i="34"/>
  <c r="C46" i="34"/>
  <c r="D46" i="34"/>
  <c r="E46" i="34"/>
  <c r="F46" i="34"/>
  <c r="G46" i="34"/>
  <c r="B47" i="34"/>
  <c r="C47" i="34"/>
  <c r="D47" i="34"/>
  <c r="E47" i="34"/>
  <c r="F47" i="34"/>
  <c r="G47" i="34"/>
  <c r="B48" i="34"/>
  <c r="C48" i="34"/>
  <c r="D48" i="34"/>
  <c r="E48" i="34"/>
  <c r="F48" i="34"/>
  <c r="G48" i="34"/>
  <c r="B49" i="34"/>
  <c r="C49" i="34"/>
  <c r="D49" i="34"/>
  <c r="E49" i="34"/>
  <c r="F49" i="34"/>
  <c r="G49" i="34"/>
  <c r="B50" i="34"/>
  <c r="C50" i="34"/>
  <c r="D50" i="34"/>
  <c r="E50" i="34"/>
  <c r="F50" i="34"/>
  <c r="G50" i="34"/>
  <c r="B51" i="34"/>
  <c r="C51" i="34"/>
  <c r="D51" i="34"/>
  <c r="E51" i="34"/>
  <c r="F51" i="34"/>
  <c r="G51" i="34"/>
  <c r="B52" i="34"/>
  <c r="C52" i="34"/>
  <c r="D52" i="34"/>
  <c r="E52" i="34"/>
  <c r="F52" i="34"/>
  <c r="G52" i="34"/>
  <c r="B53" i="34"/>
  <c r="C53" i="34"/>
  <c r="D53" i="34"/>
  <c r="E53" i="34"/>
  <c r="F53" i="34"/>
  <c r="G53" i="34"/>
  <c r="B54" i="34"/>
  <c r="C54" i="34"/>
  <c r="D54" i="34"/>
  <c r="E54" i="34"/>
  <c r="F54" i="34"/>
  <c r="G54" i="34"/>
  <c r="B55" i="34"/>
  <c r="C55" i="34"/>
  <c r="D55" i="34"/>
  <c r="E55" i="34"/>
  <c r="F55" i="34"/>
  <c r="G55" i="34"/>
  <c r="B56" i="34"/>
  <c r="C56" i="34"/>
  <c r="D56" i="34"/>
  <c r="E56" i="34"/>
  <c r="F56" i="34"/>
  <c r="G56" i="34"/>
  <c r="B57" i="34"/>
  <c r="C57" i="34"/>
  <c r="D57" i="34"/>
  <c r="E57" i="34"/>
  <c r="F57" i="34"/>
  <c r="G57" i="34"/>
  <c r="B58" i="34"/>
  <c r="C58" i="34"/>
  <c r="D58" i="34"/>
  <c r="E58" i="34"/>
  <c r="F58" i="34"/>
  <c r="G58" i="34"/>
  <c r="B59" i="34"/>
  <c r="C59" i="34"/>
  <c r="D59" i="34"/>
  <c r="E59" i="34"/>
  <c r="F59" i="34"/>
  <c r="G59" i="34"/>
  <c r="B60" i="34"/>
  <c r="C60" i="34"/>
  <c r="D60" i="34"/>
  <c r="E60" i="34"/>
  <c r="F60" i="34"/>
  <c r="G60" i="34"/>
  <c r="B61" i="34"/>
  <c r="C61" i="34"/>
  <c r="D61" i="34"/>
  <c r="E61" i="34"/>
  <c r="F61" i="34"/>
  <c r="G61" i="34"/>
  <c r="B62" i="34"/>
  <c r="C62" i="34"/>
  <c r="D62" i="34"/>
  <c r="E62" i="34"/>
  <c r="F62" i="34"/>
  <c r="G62" i="34"/>
  <c r="B63" i="34"/>
  <c r="C63" i="34"/>
  <c r="D63" i="34"/>
  <c r="E63" i="34"/>
  <c r="F63" i="34"/>
  <c r="G63" i="34"/>
  <c r="B64" i="34"/>
  <c r="C64" i="34"/>
  <c r="D64" i="34"/>
  <c r="E64" i="34"/>
  <c r="F64" i="34"/>
  <c r="G64" i="34"/>
  <c r="B65" i="34"/>
  <c r="C65" i="34"/>
  <c r="D65" i="34"/>
  <c r="E65" i="34"/>
  <c r="F65" i="34"/>
  <c r="G65" i="34"/>
  <c r="B66" i="34"/>
  <c r="C66" i="34"/>
  <c r="D66" i="34"/>
  <c r="E66" i="34"/>
  <c r="F66" i="34"/>
  <c r="G66" i="34"/>
  <c r="B67" i="34"/>
  <c r="C67" i="34"/>
  <c r="D67" i="34"/>
  <c r="E67" i="34"/>
  <c r="F67" i="34"/>
  <c r="G67" i="34"/>
  <c r="B68" i="34"/>
  <c r="C68" i="34"/>
  <c r="D68" i="34"/>
  <c r="E68" i="34"/>
  <c r="F68" i="34"/>
  <c r="G68" i="34"/>
  <c r="B69" i="34"/>
  <c r="C69" i="34"/>
  <c r="D69" i="34"/>
  <c r="E69" i="34"/>
  <c r="F69" i="34"/>
  <c r="G69" i="34"/>
  <c r="B70" i="34"/>
  <c r="C70" i="34"/>
  <c r="D70" i="34"/>
  <c r="E70" i="34"/>
  <c r="F70" i="34"/>
  <c r="G70" i="34"/>
  <c r="B71" i="34"/>
  <c r="C71" i="34"/>
  <c r="D71" i="34"/>
  <c r="E71" i="34"/>
  <c r="F71" i="34"/>
  <c r="G71" i="34"/>
  <c r="B72" i="34"/>
  <c r="C72" i="34"/>
  <c r="D72" i="34"/>
  <c r="E72" i="34"/>
  <c r="F72" i="34"/>
  <c r="G72" i="34"/>
  <c r="B73" i="34"/>
  <c r="C73" i="34"/>
  <c r="D73" i="34"/>
  <c r="E73" i="34"/>
  <c r="F73" i="34"/>
  <c r="G73" i="34"/>
  <c r="B74" i="34"/>
  <c r="C74" i="34"/>
  <c r="D74" i="34"/>
  <c r="E74" i="34"/>
  <c r="F74" i="34"/>
  <c r="G74" i="34"/>
  <c r="B75" i="34"/>
  <c r="C75" i="34"/>
  <c r="D75" i="34"/>
  <c r="E75" i="34"/>
  <c r="F75" i="34"/>
  <c r="G75" i="34"/>
  <c r="B76" i="34"/>
  <c r="C76" i="34"/>
  <c r="D76" i="34"/>
  <c r="E76" i="34"/>
  <c r="F76" i="34"/>
  <c r="G76" i="34"/>
  <c r="B77" i="34"/>
  <c r="C77" i="34"/>
  <c r="D77" i="34"/>
  <c r="E77" i="34"/>
  <c r="F77" i="34"/>
  <c r="G77" i="34"/>
  <c r="B78" i="34"/>
  <c r="C78" i="34"/>
  <c r="D78" i="34"/>
  <c r="E78" i="34"/>
  <c r="F78" i="34"/>
  <c r="G78" i="34"/>
  <c r="B79" i="34"/>
  <c r="C79" i="34"/>
  <c r="D79" i="34"/>
  <c r="E79" i="34"/>
  <c r="F79" i="34"/>
  <c r="G79" i="34"/>
  <c r="B80" i="34"/>
  <c r="C80" i="34"/>
  <c r="D80" i="34"/>
  <c r="E80" i="34"/>
  <c r="F80" i="34"/>
  <c r="G80" i="34"/>
  <c r="B81" i="34"/>
  <c r="C81" i="34"/>
  <c r="D81" i="34"/>
  <c r="E81" i="34"/>
  <c r="F81" i="34"/>
  <c r="G81" i="34"/>
  <c r="B82" i="34"/>
  <c r="C82" i="34"/>
  <c r="D82" i="34"/>
  <c r="E82" i="34"/>
  <c r="F82" i="34"/>
  <c r="G82" i="34"/>
  <c r="B83" i="34"/>
  <c r="C83" i="34"/>
  <c r="D83" i="34"/>
  <c r="E83" i="34"/>
  <c r="F83" i="34"/>
  <c r="G83" i="34"/>
  <c r="B84" i="34"/>
  <c r="C84" i="34"/>
  <c r="D84" i="34"/>
  <c r="E84" i="34"/>
  <c r="F84" i="34"/>
  <c r="G84" i="34"/>
  <c r="B85" i="34"/>
  <c r="C85" i="34"/>
  <c r="D85" i="34"/>
  <c r="E85" i="34"/>
  <c r="F85" i="34"/>
  <c r="G85" i="34"/>
  <c r="B86" i="34"/>
  <c r="C86" i="34"/>
  <c r="D86" i="34"/>
  <c r="E86" i="34"/>
  <c r="F86" i="34"/>
  <c r="G86" i="34"/>
  <c r="B87" i="34"/>
  <c r="C87" i="34"/>
  <c r="D87" i="34"/>
  <c r="E87" i="34"/>
  <c r="F87" i="34"/>
  <c r="G87" i="34"/>
  <c r="B88" i="34"/>
  <c r="C88" i="34"/>
  <c r="D88" i="34"/>
  <c r="E88" i="34"/>
  <c r="F88" i="34"/>
  <c r="G88" i="34"/>
  <c r="B89" i="34"/>
  <c r="C89" i="34"/>
  <c r="D89" i="34"/>
  <c r="E89" i="34"/>
  <c r="F89" i="34"/>
  <c r="G89" i="34"/>
  <c r="B90" i="34"/>
  <c r="C90" i="34"/>
  <c r="D90" i="34"/>
  <c r="E90" i="34"/>
  <c r="F90" i="34"/>
  <c r="G90" i="34"/>
  <c r="B91" i="34"/>
  <c r="C91" i="34"/>
  <c r="D91" i="34"/>
  <c r="E91" i="34"/>
  <c r="F91" i="34"/>
  <c r="G91" i="34"/>
  <c r="B92" i="34"/>
  <c r="C92" i="34"/>
  <c r="D92" i="34"/>
  <c r="E92" i="34"/>
  <c r="F92" i="34"/>
  <c r="G92" i="34"/>
  <c r="B93" i="34"/>
  <c r="C93" i="34"/>
  <c r="D93" i="34"/>
  <c r="E93" i="34"/>
  <c r="F93" i="34"/>
  <c r="G93" i="34"/>
  <c r="C3" i="34"/>
  <c r="BD4" i="86" l="1"/>
  <c r="AQ4" i="86"/>
  <c r="AP4" i="86"/>
  <c r="AR5" i="86"/>
  <c r="AR6" i="86" s="1"/>
  <c r="AR7" i="86" s="1"/>
  <c r="AR8" i="86" s="1"/>
  <c r="AR9" i="86" s="1"/>
  <c r="AR10" i="86" s="1"/>
  <c r="AR11" i="86" s="1"/>
  <c r="AR12" i="86" s="1"/>
  <c r="AR13" i="86" s="1"/>
  <c r="AR14" i="86" s="1"/>
  <c r="AR15" i="86" s="1"/>
  <c r="AR16" i="86" s="1"/>
  <c r="AR17" i="86" s="1"/>
  <c r="AR18" i="86" s="1"/>
  <c r="AR19" i="86" s="1"/>
  <c r="AR20" i="86" s="1"/>
  <c r="AR21" i="86" s="1"/>
  <c r="AR22" i="86" s="1"/>
  <c r="AR23" i="86" s="1"/>
  <c r="AR24" i="86" s="1"/>
  <c r="AR25" i="86" s="1"/>
  <c r="AR26" i="86" s="1"/>
  <c r="AR27" i="86" s="1"/>
  <c r="AR28" i="86" s="1"/>
  <c r="AR29" i="86" s="1"/>
  <c r="AR30" i="86" s="1"/>
  <c r="AR31" i="86" s="1"/>
  <c r="AR32" i="86" s="1"/>
  <c r="AR33" i="86" s="1"/>
  <c r="AR34" i="86" s="1"/>
  <c r="AR35" i="86" s="1"/>
  <c r="AR36" i="86" s="1"/>
  <c r="AR37" i="86" s="1"/>
  <c r="AR38" i="86" s="1"/>
  <c r="AR39" i="86" s="1"/>
  <c r="AR40" i="86" s="1"/>
  <c r="AR41" i="86" s="1"/>
  <c r="AR42" i="86" s="1"/>
  <c r="AR43" i="86" s="1"/>
  <c r="AR44" i="86" s="1"/>
  <c r="AR45" i="86" s="1"/>
  <c r="AR46" i="86" s="1"/>
  <c r="AR47" i="86" s="1"/>
  <c r="AR48" i="86" s="1"/>
  <c r="AR49" i="86" s="1"/>
  <c r="AR50" i="86" s="1"/>
  <c r="AR51" i="86" s="1"/>
  <c r="AR52" i="86" s="1"/>
  <c r="AR53" i="86" s="1"/>
  <c r="AR54" i="86" s="1"/>
  <c r="AR55" i="86" s="1"/>
  <c r="AR56" i="86" s="1"/>
  <c r="AR57" i="86" s="1"/>
  <c r="AR58" i="86" s="1"/>
  <c r="AR59" i="86" s="1"/>
  <c r="AR60" i="86" s="1"/>
  <c r="AR61" i="86" s="1"/>
  <c r="AR62" i="86" s="1"/>
  <c r="AR63" i="86" s="1"/>
  <c r="AR64" i="86" s="1"/>
  <c r="AR65" i="86" s="1"/>
  <c r="AR66" i="86" s="1"/>
  <c r="AR67" i="86" s="1"/>
  <c r="AR68" i="86" s="1"/>
  <c r="AR69" i="86" s="1"/>
  <c r="AR70" i="86" s="1"/>
  <c r="AR71" i="86" s="1"/>
  <c r="AR72" i="86" s="1"/>
  <c r="AR73" i="86" s="1"/>
  <c r="AR74" i="86" s="1"/>
  <c r="AR75" i="86" s="1"/>
  <c r="AR76" i="86" s="1"/>
  <c r="AR77" i="86" s="1"/>
  <c r="AR78" i="86" s="1"/>
  <c r="AR79" i="86" s="1"/>
  <c r="AR80" i="86" s="1"/>
  <c r="AR81" i="86" s="1"/>
  <c r="AR82" i="86" s="1"/>
  <c r="AR83" i="86" s="1"/>
  <c r="AR84" i="86" s="1"/>
  <c r="AR85" i="86" s="1"/>
  <c r="AR86" i="86" s="1"/>
  <c r="AR87" i="86" s="1"/>
  <c r="AR88" i="86" s="1"/>
  <c r="AR89" i="86" s="1"/>
  <c r="AR90" i="86" s="1"/>
  <c r="AR91" i="86" s="1"/>
  <c r="AR92" i="86" s="1"/>
  <c r="AR93" i="86" s="1"/>
  <c r="AR94" i="86" s="1"/>
  <c r="AR95" i="86" s="1"/>
  <c r="AR96" i="86" s="1"/>
  <c r="AR97" i="86" s="1"/>
  <c r="AR98" i="86" s="1"/>
  <c r="AR99" i="86" s="1"/>
  <c r="AR100" i="86" s="1"/>
  <c r="AR101" i="86" s="1"/>
  <c r="AR102" i="86" s="1"/>
  <c r="AR103" i="86" s="1"/>
  <c r="AR104" i="86" s="1"/>
  <c r="AR105" i="86" s="1"/>
  <c r="AR106" i="86" s="1"/>
  <c r="AR107" i="86" s="1"/>
  <c r="AR108" i="86" s="1"/>
  <c r="AR109" i="86" s="1"/>
  <c r="AR110" i="86" s="1"/>
  <c r="AR111" i="86" s="1"/>
  <c r="AR112" i="86" s="1"/>
  <c r="AR113" i="86" s="1"/>
  <c r="AR114" i="86" s="1"/>
  <c r="AR115" i="86" s="1"/>
  <c r="AR116" i="86" s="1"/>
  <c r="AR117" i="86" s="1"/>
  <c r="AR118" i="86" s="1"/>
  <c r="AR119" i="86" s="1"/>
  <c r="AR120" i="86" s="1"/>
  <c r="AR121" i="86" s="1"/>
  <c r="BE4" i="86"/>
  <c r="BC4" i="86"/>
  <c r="I93" i="34"/>
  <c r="AD95" i="86" s="1"/>
  <c r="I89" i="34"/>
  <c r="AD91" i="86" s="1"/>
  <c r="I85" i="34"/>
  <c r="AD87" i="86" s="1"/>
  <c r="I81" i="34"/>
  <c r="AD83" i="86" s="1"/>
  <c r="I77" i="34"/>
  <c r="AD79" i="86" s="1"/>
  <c r="I73" i="34"/>
  <c r="AD75" i="86" s="1"/>
  <c r="I69" i="34"/>
  <c r="AD71" i="86" s="1"/>
  <c r="I65" i="34"/>
  <c r="AD67" i="86" s="1"/>
  <c r="I61" i="34"/>
  <c r="AD63" i="86" s="1"/>
  <c r="I57" i="34"/>
  <c r="AD59" i="86" s="1"/>
  <c r="I53" i="34"/>
  <c r="AD55" i="86" s="1"/>
  <c r="I49" i="34"/>
  <c r="AD51" i="86" s="1"/>
  <c r="I45" i="34"/>
  <c r="AD47" i="86" s="1"/>
  <c r="I41" i="34"/>
  <c r="AD43" i="86" s="1"/>
  <c r="I37" i="34"/>
  <c r="AD39" i="86" s="1"/>
  <c r="I33" i="34"/>
  <c r="AD35" i="86" s="1"/>
  <c r="I29" i="34"/>
  <c r="AD31" i="86" s="1"/>
  <c r="I25" i="34"/>
  <c r="AD27" i="86" s="1"/>
  <c r="I21" i="34"/>
  <c r="AD23" i="86" s="1"/>
  <c r="I17" i="34"/>
  <c r="AD19" i="86" s="1"/>
  <c r="I13" i="34"/>
  <c r="AD15" i="86" s="1"/>
  <c r="I90" i="34"/>
  <c r="AD92" i="86" s="1"/>
  <c r="I86" i="34"/>
  <c r="AD88" i="86" s="1"/>
  <c r="I82" i="34"/>
  <c r="AD84" i="86" s="1"/>
  <c r="I78" i="34"/>
  <c r="AD80" i="86" s="1"/>
  <c r="I74" i="34"/>
  <c r="AD76" i="86" s="1"/>
  <c r="I70" i="34"/>
  <c r="AD72" i="86" s="1"/>
  <c r="I66" i="34"/>
  <c r="AD68" i="86" s="1"/>
  <c r="I62" i="34"/>
  <c r="AD64" i="86" s="1"/>
  <c r="I58" i="34"/>
  <c r="AD60" i="86" s="1"/>
  <c r="I54" i="34"/>
  <c r="AD56" i="86" s="1"/>
  <c r="I50" i="34"/>
  <c r="AD52" i="86" s="1"/>
  <c r="I46" i="34"/>
  <c r="AD48" i="86" s="1"/>
  <c r="I42" i="34"/>
  <c r="AD44" i="86" s="1"/>
  <c r="I38" i="34"/>
  <c r="AD40" i="86" s="1"/>
  <c r="I34" i="34"/>
  <c r="AD36" i="86" s="1"/>
  <c r="I30" i="34"/>
  <c r="AD32" i="86" s="1"/>
  <c r="I26" i="34"/>
  <c r="AD28" i="86" s="1"/>
  <c r="I22" i="34"/>
  <c r="AD24" i="86" s="1"/>
  <c r="I18" i="34"/>
  <c r="AD20" i="86" s="1"/>
  <c r="I14" i="34"/>
  <c r="AD16" i="86" s="1"/>
  <c r="I35" i="34"/>
  <c r="AD37" i="86" s="1"/>
  <c r="I27" i="34"/>
  <c r="AD29" i="86" s="1"/>
  <c r="I19" i="34"/>
  <c r="AD21" i="86" s="1"/>
  <c r="I11" i="34"/>
  <c r="AD13" i="86" s="1"/>
  <c r="I91" i="34"/>
  <c r="AD93" i="86" s="1"/>
  <c r="I87" i="34"/>
  <c r="AD89" i="86" s="1"/>
  <c r="I83" i="34"/>
  <c r="AD85" i="86" s="1"/>
  <c r="I79" i="34"/>
  <c r="AD81" i="86" s="1"/>
  <c r="I75" i="34"/>
  <c r="AD77" i="86" s="1"/>
  <c r="I71" i="34"/>
  <c r="AD73" i="86" s="1"/>
  <c r="I67" i="34"/>
  <c r="AD69" i="86" s="1"/>
  <c r="I63" i="34"/>
  <c r="AD65" i="86" s="1"/>
  <c r="I59" i="34"/>
  <c r="AD61" i="86" s="1"/>
  <c r="I55" i="34"/>
  <c r="AD57" i="86" s="1"/>
  <c r="I51" i="34"/>
  <c r="AD53" i="86" s="1"/>
  <c r="I47" i="34"/>
  <c r="AD49" i="86" s="1"/>
  <c r="I43" i="34"/>
  <c r="AD45" i="86" s="1"/>
  <c r="I39" i="34"/>
  <c r="AD41" i="86" s="1"/>
  <c r="I31" i="34"/>
  <c r="AD33" i="86" s="1"/>
  <c r="I23" i="34"/>
  <c r="AD25" i="86" s="1"/>
  <c r="I15" i="34"/>
  <c r="AD17" i="86" s="1"/>
  <c r="I92" i="34"/>
  <c r="AD94" i="86" s="1"/>
  <c r="I88" i="34"/>
  <c r="AD90" i="86" s="1"/>
  <c r="I84" i="34"/>
  <c r="AD86" i="86" s="1"/>
  <c r="I80" i="34"/>
  <c r="AD82" i="86" s="1"/>
  <c r="I76" i="34"/>
  <c r="AD78" i="86" s="1"/>
  <c r="I72" i="34"/>
  <c r="AD74" i="86" s="1"/>
  <c r="I68" i="34"/>
  <c r="AD70" i="86" s="1"/>
  <c r="I64" i="34"/>
  <c r="AD66" i="86" s="1"/>
  <c r="I60" i="34"/>
  <c r="AD62" i="86" s="1"/>
  <c r="I56" i="34"/>
  <c r="AD58" i="86" s="1"/>
  <c r="I52" i="34"/>
  <c r="AD54" i="86" s="1"/>
  <c r="I48" i="34"/>
  <c r="AD50" i="86" s="1"/>
  <c r="I44" i="34"/>
  <c r="AD46" i="86" s="1"/>
  <c r="I40" i="34"/>
  <c r="AD42" i="86" s="1"/>
  <c r="I36" i="34"/>
  <c r="AD38" i="86" s="1"/>
  <c r="I32" i="34"/>
  <c r="AD34" i="86" s="1"/>
  <c r="I28" i="34"/>
  <c r="AD30" i="86" s="1"/>
  <c r="I24" i="34"/>
  <c r="AD26" i="86" s="1"/>
  <c r="I20" i="34"/>
  <c r="AD22" i="86" s="1"/>
  <c r="I16" i="34"/>
  <c r="AD18" i="86" s="1"/>
  <c r="I12" i="34"/>
  <c r="AD14" i="86" s="1"/>
  <c r="H42" i="29" l="1"/>
  <c r="AB40" i="86" s="1"/>
  <c r="H93" i="29"/>
  <c r="AB91" i="86" s="1"/>
  <c r="H90" i="29"/>
  <c r="AB88" i="86" s="1"/>
  <c r="H82" i="29"/>
  <c r="AB80" i="86" s="1"/>
  <c r="H77" i="29"/>
  <c r="AB75" i="86" s="1"/>
  <c r="H66" i="29"/>
  <c r="AB64" i="86" s="1"/>
  <c r="H58" i="29"/>
  <c r="AB56" i="86" s="1"/>
  <c r="H50" i="29"/>
  <c r="AB48" i="86" s="1"/>
  <c r="H74" i="29"/>
  <c r="AB72" i="86" s="1"/>
  <c r="H85" i="29"/>
  <c r="AB83" i="86" s="1"/>
  <c r="H69" i="29"/>
  <c r="AB67" i="86" s="1"/>
  <c r="H61" i="29"/>
  <c r="AB59" i="86" s="1"/>
  <c r="H53" i="29"/>
  <c r="AB51" i="86" s="1"/>
  <c r="H45" i="29"/>
  <c r="AB43" i="86" s="1"/>
  <c r="H37" i="29"/>
  <c r="AB35" i="86" s="1"/>
  <c r="H96" i="29"/>
  <c r="AB94" i="86" s="1"/>
  <c r="H88" i="29"/>
  <c r="AB86" i="86" s="1"/>
  <c r="H80" i="29"/>
  <c r="AB78" i="86" s="1"/>
  <c r="H72" i="29"/>
  <c r="AB70" i="86" s="1"/>
  <c r="H64" i="29"/>
  <c r="AB62" i="86" s="1"/>
  <c r="H56" i="29"/>
  <c r="AB54" i="86" s="1"/>
  <c r="H48" i="29"/>
  <c r="AB46" i="86" s="1"/>
  <c r="H40" i="29"/>
  <c r="AB38" i="86" s="1"/>
  <c r="H95" i="29"/>
  <c r="AB93" i="86" s="1"/>
  <c r="H91" i="29"/>
  <c r="AB89" i="86" s="1"/>
  <c r="H87" i="29"/>
  <c r="AB85" i="86" s="1"/>
  <c r="H83" i="29"/>
  <c r="AB81" i="86" s="1"/>
  <c r="H79" i="29"/>
  <c r="AB77" i="86" s="1"/>
  <c r="H71" i="29"/>
  <c r="AB69" i="86" s="1"/>
  <c r="H63" i="29"/>
  <c r="AB61" i="86" s="1"/>
  <c r="H55" i="29"/>
  <c r="AB53" i="86" s="1"/>
  <c r="H47" i="29"/>
  <c r="AB45" i="86" s="1"/>
  <c r="H39" i="29"/>
  <c r="AB37" i="86" s="1"/>
  <c r="H97" i="29"/>
  <c r="AB95" i="86" s="1"/>
  <c r="H89" i="29"/>
  <c r="AB87" i="86" s="1"/>
  <c r="H81" i="29"/>
  <c r="AB79" i="86" s="1"/>
  <c r="H73" i="29"/>
  <c r="AB71" i="86" s="1"/>
  <c r="H75" i="29"/>
  <c r="AB73" i="86" s="1"/>
  <c r="H67" i="29"/>
  <c r="AB65" i="86" s="1"/>
  <c r="H92" i="29"/>
  <c r="AB90" i="86" s="1"/>
  <c r="H84" i="29"/>
  <c r="AB82" i="86" s="1"/>
  <c r="H76" i="29"/>
  <c r="AB74" i="86" s="1"/>
  <c r="H68" i="29"/>
  <c r="AB66" i="86" s="1"/>
  <c r="H60" i="29"/>
  <c r="AB58" i="86" s="1"/>
  <c r="H65" i="29"/>
  <c r="AB63" i="86" s="1"/>
  <c r="H59" i="29"/>
  <c r="AB57" i="86" s="1"/>
  <c r="H57" i="29"/>
  <c r="AB55" i="86" s="1"/>
  <c r="H52" i="29"/>
  <c r="AB50" i="86" s="1"/>
  <c r="H51" i="29"/>
  <c r="AB49" i="86" s="1"/>
  <c r="H49" i="29"/>
  <c r="AB47" i="86" s="1"/>
  <c r="H44" i="29"/>
  <c r="AB42" i="86" s="1"/>
  <c r="H43" i="29"/>
  <c r="AB41" i="86" s="1"/>
  <c r="H41" i="29"/>
  <c r="AB39" i="86" s="1"/>
  <c r="H36" i="29"/>
  <c r="AB34" i="86" s="1"/>
  <c r="H94" i="29"/>
  <c r="AB92" i="86" s="1"/>
  <c r="H86" i="29"/>
  <c r="AB84" i="86" s="1"/>
  <c r="H78" i="29"/>
  <c r="AB76" i="86" s="1"/>
  <c r="H70" i="29"/>
  <c r="AB68" i="86" s="1"/>
  <c r="H62" i="29"/>
  <c r="AB60" i="86" s="1"/>
  <c r="H54" i="29"/>
  <c r="AB52" i="86" s="1"/>
  <c r="H46" i="29"/>
  <c r="AB44" i="86" s="1"/>
  <c r="H38" i="29"/>
  <c r="AB36" i="86" s="1"/>
  <c r="C122" i="8"/>
  <c r="C1" i="8" s="1"/>
  <c r="D122" i="8"/>
  <c r="E122" i="8"/>
  <c r="J69" i="62" l="1"/>
  <c r="J67" i="62"/>
  <c r="AK6" i="86"/>
  <c r="AK7" i="86"/>
  <c r="AK8" i="86"/>
  <c r="AK9" i="86"/>
  <c r="AK10" i="86"/>
  <c r="AK11" i="86"/>
  <c r="AK12" i="86"/>
  <c r="AK13" i="86"/>
  <c r="AK14" i="86"/>
  <c r="AK15" i="86"/>
  <c r="AK16" i="86"/>
  <c r="AK17" i="86"/>
  <c r="AK18" i="86"/>
  <c r="AK19" i="86"/>
  <c r="AK20" i="86"/>
  <c r="AK21" i="86"/>
  <c r="AK22" i="86"/>
  <c r="AK23" i="86"/>
  <c r="AK24" i="86"/>
  <c r="AK25" i="86"/>
  <c r="AK26" i="86"/>
  <c r="AK27" i="86"/>
  <c r="AK28" i="86"/>
  <c r="AK29" i="86"/>
  <c r="AK30" i="86"/>
  <c r="AK31" i="86"/>
  <c r="AK32" i="86"/>
  <c r="AK33" i="86"/>
  <c r="AK34" i="86"/>
  <c r="AK35" i="86"/>
  <c r="AK36" i="86"/>
  <c r="AK37" i="86"/>
  <c r="AK38" i="86"/>
  <c r="AK39" i="86"/>
  <c r="AK40" i="86"/>
  <c r="AK41" i="86"/>
  <c r="AK42" i="86"/>
  <c r="AK43" i="86"/>
  <c r="AK44" i="86"/>
  <c r="AK45" i="86"/>
  <c r="AK46" i="86"/>
  <c r="AK47" i="86"/>
  <c r="AK48" i="86"/>
  <c r="AK49" i="86"/>
  <c r="AK50" i="86"/>
  <c r="AK51" i="86"/>
  <c r="AK52" i="86"/>
  <c r="AK53" i="86"/>
  <c r="AK54" i="86"/>
  <c r="AK55" i="86"/>
  <c r="AK56" i="86"/>
  <c r="AK57" i="86"/>
  <c r="AK58" i="86"/>
  <c r="AK59" i="86"/>
  <c r="AK60" i="86"/>
  <c r="AK61" i="86"/>
  <c r="AK62" i="86"/>
  <c r="AK63" i="86"/>
  <c r="AK64" i="86"/>
  <c r="AK65" i="86"/>
  <c r="AK66" i="86"/>
  <c r="AK67" i="86"/>
  <c r="AK68" i="86"/>
  <c r="AK69" i="86"/>
  <c r="AK70" i="86"/>
  <c r="AK71" i="86"/>
  <c r="AK72" i="86"/>
  <c r="AK73" i="86"/>
  <c r="AK74" i="86"/>
  <c r="AK75" i="86"/>
  <c r="AK76" i="86"/>
  <c r="AK77" i="86"/>
  <c r="AK78" i="86"/>
  <c r="AK79" i="86"/>
  <c r="AK80" i="86"/>
  <c r="AK81" i="86"/>
  <c r="AK82" i="86"/>
  <c r="AK83" i="86"/>
  <c r="AK84" i="86"/>
  <c r="AK85" i="86"/>
  <c r="AK86" i="86"/>
  <c r="AK87" i="86"/>
  <c r="AK88" i="86"/>
  <c r="AK89" i="86"/>
  <c r="AK90" i="86"/>
  <c r="AK91" i="86"/>
  <c r="AK92" i="86"/>
  <c r="AK93" i="86"/>
  <c r="AK94" i="86"/>
  <c r="AK95" i="86"/>
  <c r="AK96" i="86"/>
  <c r="AK97" i="86"/>
  <c r="AK98" i="86"/>
  <c r="AK99" i="86"/>
  <c r="AK100" i="86"/>
  <c r="AK101" i="86"/>
  <c r="AK102" i="86"/>
  <c r="AK103" i="86"/>
  <c r="AK104" i="86"/>
  <c r="AK105" i="86"/>
  <c r="AK106" i="86"/>
  <c r="AK107" i="86"/>
  <c r="AK108" i="86"/>
  <c r="AK109" i="86"/>
  <c r="AK110" i="86"/>
  <c r="AK111" i="86"/>
  <c r="AK112" i="86"/>
  <c r="AK113" i="86"/>
  <c r="AK114" i="86"/>
  <c r="AK115" i="86"/>
  <c r="AK116" i="86"/>
  <c r="AK117" i="86"/>
  <c r="AK118" i="86"/>
  <c r="AK119" i="86"/>
  <c r="AK120" i="86"/>
  <c r="AK121" i="86"/>
  <c r="AK5" i="86"/>
  <c r="J156" i="6" l="1"/>
  <c r="B156" i="6"/>
  <c r="H156" i="6"/>
  <c r="C156" i="6"/>
  <c r="I156" i="6" s="1"/>
  <c r="E156" i="6"/>
  <c r="F156" i="6"/>
  <c r="G156" i="6"/>
  <c r="D156" i="6"/>
  <c r="K4" i="8"/>
  <c r="M4" i="8" s="1"/>
  <c r="AP5" i="86"/>
  <c r="AQ5" i="86"/>
  <c r="BD5" i="86"/>
  <c r="BC5" i="86"/>
  <c r="BE5" i="86"/>
  <c r="B272" i="6"/>
  <c r="C272" i="6"/>
  <c r="I272" i="6" s="1"/>
  <c r="D272" i="6"/>
  <c r="E272" i="6"/>
  <c r="F272" i="6"/>
  <c r="H272" i="6"/>
  <c r="G272" i="6"/>
  <c r="J272" i="6"/>
  <c r="K120" i="8"/>
  <c r="M120" i="8" s="1"/>
  <c r="B224" i="6"/>
  <c r="C224" i="6"/>
  <c r="I224" i="6" s="1"/>
  <c r="D224" i="6"/>
  <c r="G224" i="6"/>
  <c r="H224" i="6"/>
  <c r="J224" i="6"/>
  <c r="F224" i="6"/>
  <c r="E224" i="6"/>
  <c r="K72" i="8"/>
  <c r="M72" i="8" s="1"/>
  <c r="B176" i="6"/>
  <c r="C176" i="6"/>
  <c r="I176" i="6" s="1"/>
  <c r="G176" i="6"/>
  <c r="D176" i="6"/>
  <c r="H176" i="6"/>
  <c r="J176" i="6"/>
  <c r="F176" i="6"/>
  <c r="E176" i="6"/>
  <c r="K24" i="8"/>
  <c r="M24" i="8" s="1"/>
  <c r="B160" i="6"/>
  <c r="C160" i="6"/>
  <c r="I160" i="6" s="1"/>
  <c r="D160" i="6"/>
  <c r="G160" i="6"/>
  <c r="H160" i="6"/>
  <c r="J160" i="6"/>
  <c r="F160" i="6"/>
  <c r="E160" i="6"/>
  <c r="K8" i="8"/>
  <c r="M8" i="8" s="1"/>
  <c r="D271" i="6"/>
  <c r="C271" i="6"/>
  <c r="I271" i="6" s="1"/>
  <c r="E271" i="6"/>
  <c r="G271" i="6"/>
  <c r="F271" i="6"/>
  <c r="B271" i="6"/>
  <c r="J271" i="6"/>
  <c r="H271" i="6"/>
  <c r="K119" i="8"/>
  <c r="M119" i="8" s="1"/>
  <c r="D263" i="6"/>
  <c r="C263" i="6"/>
  <c r="I263" i="6" s="1"/>
  <c r="G263" i="6"/>
  <c r="B263" i="6"/>
  <c r="E263" i="6"/>
  <c r="F263" i="6"/>
  <c r="J263" i="6"/>
  <c r="H263" i="6"/>
  <c r="K111" i="8"/>
  <c r="M111" i="8" s="1"/>
  <c r="D255" i="6"/>
  <c r="C255" i="6"/>
  <c r="I255" i="6" s="1"/>
  <c r="G255" i="6"/>
  <c r="E255" i="6"/>
  <c r="F255" i="6"/>
  <c r="B255" i="6"/>
  <c r="J255" i="6"/>
  <c r="H255" i="6"/>
  <c r="K103" i="8"/>
  <c r="M103" i="8" s="1"/>
  <c r="D247" i="6"/>
  <c r="F247" i="6"/>
  <c r="C247" i="6"/>
  <c r="I247" i="6" s="1"/>
  <c r="B247" i="6"/>
  <c r="E247" i="6"/>
  <c r="J247" i="6"/>
  <c r="G247" i="6"/>
  <c r="H247" i="6"/>
  <c r="K95" i="8"/>
  <c r="M95" i="8" s="1"/>
  <c r="B239" i="6"/>
  <c r="C239" i="6"/>
  <c r="I239" i="6" s="1"/>
  <c r="D239" i="6"/>
  <c r="F239" i="6"/>
  <c r="J239" i="6"/>
  <c r="E239" i="6"/>
  <c r="G239" i="6"/>
  <c r="H239" i="6"/>
  <c r="K87" i="8"/>
  <c r="M87" i="8" s="1"/>
  <c r="B231" i="6"/>
  <c r="C231" i="6"/>
  <c r="I231" i="6" s="1"/>
  <c r="D231" i="6"/>
  <c r="F231" i="6"/>
  <c r="J231" i="6"/>
  <c r="E231" i="6"/>
  <c r="H231" i="6"/>
  <c r="G231" i="6"/>
  <c r="K79" i="8"/>
  <c r="M79" i="8" s="1"/>
  <c r="B223" i="6"/>
  <c r="C223" i="6"/>
  <c r="I223" i="6" s="1"/>
  <c r="D223" i="6"/>
  <c r="F223" i="6"/>
  <c r="J223" i="6"/>
  <c r="E223" i="6"/>
  <c r="G223" i="6"/>
  <c r="H223" i="6"/>
  <c r="K71" i="8"/>
  <c r="M71" i="8" s="1"/>
  <c r="B215" i="6"/>
  <c r="C215" i="6"/>
  <c r="I215" i="6" s="1"/>
  <c r="D215" i="6"/>
  <c r="F215" i="6"/>
  <c r="J215" i="6"/>
  <c r="E215" i="6"/>
  <c r="H215" i="6"/>
  <c r="G215" i="6"/>
  <c r="K63" i="8"/>
  <c r="M63" i="8" s="1"/>
  <c r="B207" i="6"/>
  <c r="C207" i="6"/>
  <c r="I207" i="6" s="1"/>
  <c r="D207" i="6"/>
  <c r="F207" i="6"/>
  <c r="J207" i="6"/>
  <c r="E207" i="6"/>
  <c r="G207" i="6"/>
  <c r="H207" i="6"/>
  <c r="K55" i="8"/>
  <c r="M55" i="8" s="1"/>
  <c r="B199" i="6"/>
  <c r="C199" i="6"/>
  <c r="I199" i="6" s="1"/>
  <c r="D199" i="6"/>
  <c r="F199" i="6"/>
  <c r="J199" i="6"/>
  <c r="H199" i="6"/>
  <c r="E199" i="6"/>
  <c r="G199" i="6"/>
  <c r="K47" i="8"/>
  <c r="M47" i="8" s="1"/>
  <c r="B191" i="6"/>
  <c r="C191" i="6"/>
  <c r="I191" i="6" s="1"/>
  <c r="D191" i="6"/>
  <c r="F191" i="6"/>
  <c r="J191" i="6"/>
  <c r="E191" i="6"/>
  <c r="G191" i="6"/>
  <c r="H191" i="6"/>
  <c r="K39" i="8"/>
  <c r="M39" i="8" s="1"/>
  <c r="B183" i="6"/>
  <c r="C183" i="6"/>
  <c r="I183" i="6" s="1"/>
  <c r="D183" i="6"/>
  <c r="F183" i="6"/>
  <c r="J183" i="6"/>
  <c r="E183" i="6"/>
  <c r="H183" i="6"/>
  <c r="G183" i="6"/>
  <c r="K31" i="8"/>
  <c r="M31" i="8" s="1"/>
  <c r="B175" i="6"/>
  <c r="C175" i="6"/>
  <c r="I175" i="6" s="1"/>
  <c r="D175" i="6"/>
  <c r="F175" i="6"/>
  <c r="J175" i="6"/>
  <c r="E175" i="6"/>
  <c r="G175" i="6"/>
  <c r="H175" i="6"/>
  <c r="K23" i="8"/>
  <c r="M23" i="8" s="1"/>
  <c r="B167" i="6"/>
  <c r="C167" i="6"/>
  <c r="I167" i="6" s="1"/>
  <c r="D167" i="6"/>
  <c r="F167" i="6"/>
  <c r="J167" i="6"/>
  <c r="E167" i="6"/>
  <c r="H167" i="6"/>
  <c r="G167" i="6"/>
  <c r="K15" i="8"/>
  <c r="M15" i="8" s="1"/>
  <c r="B159" i="6"/>
  <c r="C159" i="6"/>
  <c r="I159" i="6" s="1"/>
  <c r="D159" i="6"/>
  <c r="F159" i="6"/>
  <c r="J159" i="6"/>
  <c r="E159" i="6"/>
  <c r="G159" i="6"/>
  <c r="H159" i="6"/>
  <c r="K7" i="8"/>
  <c r="M7" i="8" s="1"/>
  <c r="B232" i="6"/>
  <c r="C232" i="6"/>
  <c r="I232" i="6" s="1"/>
  <c r="D232" i="6"/>
  <c r="G232" i="6"/>
  <c r="E232" i="6"/>
  <c r="F232" i="6"/>
  <c r="J232" i="6"/>
  <c r="H232" i="6"/>
  <c r="K80" i="8"/>
  <c r="M80" i="8" s="1"/>
  <c r="B184" i="6"/>
  <c r="C184" i="6"/>
  <c r="I184" i="6" s="1"/>
  <c r="G184" i="6"/>
  <c r="J184" i="6"/>
  <c r="E184" i="6"/>
  <c r="D184" i="6"/>
  <c r="F184" i="6"/>
  <c r="H184" i="6"/>
  <c r="K32" i="8"/>
  <c r="M32" i="8" s="1"/>
  <c r="J246" i="6"/>
  <c r="B246" i="6"/>
  <c r="C246" i="6"/>
  <c r="I246" i="6" s="1"/>
  <c r="E246" i="6"/>
  <c r="G246" i="6"/>
  <c r="H246" i="6"/>
  <c r="D246" i="6"/>
  <c r="F246" i="6"/>
  <c r="K94" i="8"/>
  <c r="M94" i="8" s="1"/>
  <c r="D198" i="6"/>
  <c r="C198" i="6"/>
  <c r="I198" i="6" s="1"/>
  <c r="J198" i="6"/>
  <c r="E198" i="6"/>
  <c r="B198" i="6"/>
  <c r="H198" i="6"/>
  <c r="F198" i="6"/>
  <c r="G198" i="6"/>
  <c r="K46" i="8"/>
  <c r="M46" i="8" s="1"/>
  <c r="B269" i="6"/>
  <c r="C269" i="6"/>
  <c r="I269" i="6" s="1"/>
  <c r="H269" i="6"/>
  <c r="J269" i="6"/>
  <c r="D269" i="6"/>
  <c r="G269" i="6"/>
  <c r="E269" i="6"/>
  <c r="F269" i="6"/>
  <c r="K117" i="8"/>
  <c r="M117" i="8" s="1"/>
  <c r="B253" i="6"/>
  <c r="C253" i="6"/>
  <c r="I253" i="6" s="1"/>
  <c r="H253" i="6"/>
  <c r="J253" i="6"/>
  <c r="E253" i="6"/>
  <c r="D253" i="6"/>
  <c r="G253" i="6"/>
  <c r="F253" i="6"/>
  <c r="K101" i="8"/>
  <c r="M101" i="8" s="1"/>
  <c r="B245" i="6"/>
  <c r="H245" i="6"/>
  <c r="C245" i="6"/>
  <c r="I245" i="6" s="1"/>
  <c r="D245" i="6"/>
  <c r="E245" i="6"/>
  <c r="F245" i="6"/>
  <c r="G245" i="6"/>
  <c r="J245" i="6"/>
  <c r="K93" i="8"/>
  <c r="M93" i="8" s="1"/>
  <c r="B237" i="6"/>
  <c r="C237" i="6"/>
  <c r="I237" i="6" s="1"/>
  <c r="D237" i="6"/>
  <c r="H237" i="6"/>
  <c r="J237" i="6"/>
  <c r="G237" i="6"/>
  <c r="E237" i="6"/>
  <c r="F237" i="6"/>
  <c r="K85" i="8"/>
  <c r="M85" i="8" s="1"/>
  <c r="B229" i="6"/>
  <c r="C229" i="6"/>
  <c r="I229" i="6" s="1"/>
  <c r="D229" i="6"/>
  <c r="H229" i="6"/>
  <c r="J229" i="6"/>
  <c r="G229" i="6"/>
  <c r="E229" i="6"/>
  <c r="F229" i="6"/>
  <c r="K77" i="8"/>
  <c r="M77" i="8" s="1"/>
  <c r="B221" i="6"/>
  <c r="C221" i="6"/>
  <c r="I221" i="6" s="1"/>
  <c r="D221" i="6"/>
  <c r="H221" i="6"/>
  <c r="J221" i="6"/>
  <c r="G221" i="6"/>
  <c r="E221" i="6"/>
  <c r="F221" i="6"/>
  <c r="K69" i="8"/>
  <c r="M69" i="8" s="1"/>
  <c r="B213" i="6"/>
  <c r="C213" i="6"/>
  <c r="I213" i="6" s="1"/>
  <c r="D213" i="6"/>
  <c r="H213" i="6"/>
  <c r="J213" i="6"/>
  <c r="G213" i="6"/>
  <c r="E213" i="6"/>
  <c r="F213" i="6"/>
  <c r="K61" i="8"/>
  <c r="M61" i="8" s="1"/>
  <c r="B205" i="6"/>
  <c r="C205" i="6"/>
  <c r="I205" i="6" s="1"/>
  <c r="D205" i="6"/>
  <c r="H205" i="6"/>
  <c r="J205" i="6"/>
  <c r="G205" i="6"/>
  <c r="E205" i="6"/>
  <c r="F205" i="6"/>
  <c r="K53" i="8"/>
  <c r="M53" i="8" s="1"/>
  <c r="B197" i="6"/>
  <c r="C197" i="6"/>
  <c r="I197" i="6" s="1"/>
  <c r="D197" i="6"/>
  <c r="H197" i="6"/>
  <c r="J197" i="6"/>
  <c r="G197" i="6"/>
  <c r="E197" i="6"/>
  <c r="F197" i="6"/>
  <c r="K45" i="8"/>
  <c r="M45" i="8" s="1"/>
  <c r="B189" i="6"/>
  <c r="C189" i="6"/>
  <c r="I189" i="6" s="1"/>
  <c r="D189" i="6"/>
  <c r="H189" i="6"/>
  <c r="J189" i="6"/>
  <c r="G189" i="6"/>
  <c r="E189" i="6"/>
  <c r="F189" i="6"/>
  <c r="K37" i="8"/>
  <c r="M37" i="8" s="1"/>
  <c r="B181" i="6"/>
  <c r="C181" i="6"/>
  <c r="I181" i="6" s="1"/>
  <c r="D181" i="6"/>
  <c r="H181" i="6"/>
  <c r="J181" i="6"/>
  <c r="G181" i="6"/>
  <c r="E181" i="6"/>
  <c r="F181" i="6"/>
  <c r="K29" i="8"/>
  <c r="M29" i="8" s="1"/>
  <c r="B173" i="6"/>
  <c r="C173" i="6"/>
  <c r="I173" i="6" s="1"/>
  <c r="D173" i="6"/>
  <c r="H173" i="6"/>
  <c r="J173" i="6"/>
  <c r="G173" i="6"/>
  <c r="E173" i="6"/>
  <c r="F173" i="6"/>
  <c r="K21" i="8"/>
  <c r="M21" i="8" s="1"/>
  <c r="B165" i="6"/>
  <c r="C165" i="6"/>
  <c r="I165" i="6" s="1"/>
  <c r="D165" i="6"/>
  <c r="H165" i="6"/>
  <c r="J165" i="6"/>
  <c r="G165" i="6"/>
  <c r="E165" i="6"/>
  <c r="F165" i="6"/>
  <c r="K13" i="8"/>
  <c r="M13" i="8" s="1"/>
  <c r="B256" i="6"/>
  <c r="C256" i="6"/>
  <c r="I256" i="6" s="1"/>
  <c r="H256" i="6"/>
  <c r="D256" i="6"/>
  <c r="E256" i="6"/>
  <c r="F256" i="6"/>
  <c r="G256" i="6"/>
  <c r="J256" i="6"/>
  <c r="K104" i="8"/>
  <c r="M104" i="8" s="1"/>
  <c r="B208" i="6"/>
  <c r="C208" i="6"/>
  <c r="I208" i="6" s="1"/>
  <c r="G208" i="6"/>
  <c r="D208" i="6"/>
  <c r="H208" i="6"/>
  <c r="J208" i="6"/>
  <c r="F208" i="6"/>
  <c r="E208" i="6"/>
  <c r="K56" i="8"/>
  <c r="M56" i="8" s="1"/>
  <c r="B168" i="6"/>
  <c r="C168" i="6"/>
  <c r="I168" i="6" s="1"/>
  <c r="D168" i="6"/>
  <c r="G168" i="6"/>
  <c r="E168" i="6"/>
  <c r="J168" i="6"/>
  <c r="F168" i="6"/>
  <c r="H168" i="6"/>
  <c r="K16" i="8"/>
  <c r="M16" i="8" s="1"/>
  <c r="D238" i="6"/>
  <c r="J238" i="6"/>
  <c r="E238" i="6"/>
  <c r="H238" i="6"/>
  <c r="B238" i="6"/>
  <c r="C238" i="6"/>
  <c r="I238" i="6" s="1"/>
  <c r="F238" i="6"/>
  <c r="G238" i="6"/>
  <c r="K86" i="8"/>
  <c r="M86" i="8" s="1"/>
  <c r="D206" i="6"/>
  <c r="J206" i="6"/>
  <c r="E206" i="6"/>
  <c r="H206" i="6"/>
  <c r="F206" i="6"/>
  <c r="B206" i="6"/>
  <c r="C206" i="6"/>
  <c r="I206" i="6" s="1"/>
  <c r="G206" i="6"/>
  <c r="K54" i="8"/>
  <c r="M54" i="8" s="1"/>
  <c r="D190" i="6"/>
  <c r="J190" i="6"/>
  <c r="B190" i="6"/>
  <c r="E190" i="6"/>
  <c r="H190" i="6"/>
  <c r="F190" i="6"/>
  <c r="C190" i="6"/>
  <c r="I190" i="6" s="1"/>
  <c r="G190" i="6"/>
  <c r="K38" i="8"/>
  <c r="M38" i="8" s="1"/>
  <c r="D252" i="6"/>
  <c r="G252" i="6"/>
  <c r="H252" i="6"/>
  <c r="B252" i="6"/>
  <c r="J252" i="6"/>
  <c r="C252" i="6"/>
  <c r="I252" i="6" s="1"/>
  <c r="F252" i="6"/>
  <c r="E252" i="6"/>
  <c r="K100" i="8"/>
  <c r="M100" i="8" s="1"/>
  <c r="B244" i="6"/>
  <c r="C244" i="6"/>
  <c r="I244" i="6" s="1"/>
  <c r="G244" i="6"/>
  <c r="D244" i="6"/>
  <c r="F244" i="6"/>
  <c r="H244" i="6"/>
  <c r="E244" i="6"/>
  <c r="J244" i="6"/>
  <c r="K92" i="8"/>
  <c r="M92" i="8" s="1"/>
  <c r="B236" i="6"/>
  <c r="C236" i="6"/>
  <c r="I236" i="6" s="1"/>
  <c r="D236" i="6"/>
  <c r="G236" i="6"/>
  <c r="H236" i="6"/>
  <c r="F236" i="6"/>
  <c r="E236" i="6"/>
  <c r="J236" i="6"/>
  <c r="K84" i="8"/>
  <c r="M84" i="8" s="1"/>
  <c r="B228" i="6"/>
  <c r="C228" i="6"/>
  <c r="I228" i="6" s="1"/>
  <c r="D228" i="6"/>
  <c r="G228" i="6"/>
  <c r="H228" i="6"/>
  <c r="F228" i="6"/>
  <c r="E228" i="6"/>
  <c r="J228" i="6"/>
  <c r="K76" i="8"/>
  <c r="M76" i="8" s="1"/>
  <c r="B220" i="6"/>
  <c r="C220" i="6"/>
  <c r="I220" i="6" s="1"/>
  <c r="D220" i="6"/>
  <c r="G220" i="6"/>
  <c r="H220" i="6"/>
  <c r="F220" i="6"/>
  <c r="E220" i="6"/>
  <c r="J220" i="6"/>
  <c r="K68" i="8"/>
  <c r="M68" i="8" s="1"/>
  <c r="B212" i="6"/>
  <c r="C212" i="6"/>
  <c r="I212" i="6" s="1"/>
  <c r="D212" i="6"/>
  <c r="G212" i="6"/>
  <c r="H212" i="6"/>
  <c r="F212" i="6"/>
  <c r="E212" i="6"/>
  <c r="J212" i="6"/>
  <c r="K60" i="8"/>
  <c r="M60" i="8" s="1"/>
  <c r="B204" i="6"/>
  <c r="C204" i="6"/>
  <c r="I204" i="6" s="1"/>
  <c r="D204" i="6"/>
  <c r="G204" i="6"/>
  <c r="H204" i="6"/>
  <c r="F204" i="6"/>
  <c r="E204" i="6"/>
  <c r="J204" i="6"/>
  <c r="K52" i="8"/>
  <c r="M52" i="8" s="1"/>
  <c r="B196" i="6"/>
  <c r="C196" i="6"/>
  <c r="I196" i="6" s="1"/>
  <c r="D196" i="6"/>
  <c r="G196" i="6"/>
  <c r="H196" i="6"/>
  <c r="F196" i="6"/>
  <c r="E196" i="6"/>
  <c r="J196" i="6"/>
  <c r="K44" i="8"/>
  <c r="M44" i="8" s="1"/>
  <c r="B188" i="6"/>
  <c r="C188" i="6"/>
  <c r="I188" i="6" s="1"/>
  <c r="D188" i="6"/>
  <c r="G188" i="6"/>
  <c r="H188" i="6"/>
  <c r="F188" i="6"/>
  <c r="E188" i="6"/>
  <c r="J188" i="6"/>
  <c r="K36" i="8"/>
  <c r="M36" i="8" s="1"/>
  <c r="B180" i="6"/>
  <c r="C180" i="6"/>
  <c r="I180" i="6" s="1"/>
  <c r="D180" i="6"/>
  <c r="G180" i="6"/>
  <c r="H180" i="6"/>
  <c r="F180" i="6"/>
  <c r="E180" i="6"/>
  <c r="J180" i="6"/>
  <c r="K28" i="8"/>
  <c r="M28" i="8" s="1"/>
  <c r="B172" i="6"/>
  <c r="C172" i="6"/>
  <c r="I172" i="6" s="1"/>
  <c r="D172" i="6"/>
  <c r="G172" i="6"/>
  <c r="H172" i="6"/>
  <c r="F172" i="6"/>
  <c r="E172" i="6"/>
  <c r="J172" i="6"/>
  <c r="K20" i="8"/>
  <c r="M20" i="8" s="1"/>
  <c r="B164" i="6"/>
  <c r="C164" i="6"/>
  <c r="I164" i="6" s="1"/>
  <c r="D164" i="6"/>
  <c r="G164" i="6"/>
  <c r="H164" i="6"/>
  <c r="F164" i="6"/>
  <c r="E164" i="6"/>
  <c r="J164" i="6"/>
  <c r="K12" i="8"/>
  <c r="M12" i="8" s="1"/>
  <c r="B264" i="6"/>
  <c r="D264" i="6"/>
  <c r="F264" i="6"/>
  <c r="C264" i="6"/>
  <c r="I264" i="6" s="1"/>
  <c r="G264" i="6"/>
  <c r="E264" i="6"/>
  <c r="H264" i="6"/>
  <c r="J264" i="6"/>
  <c r="K112" i="8"/>
  <c r="M112" i="8" s="1"/>
  <c r="B216" i="6"/>
  <c r="C216" i="6"/>
  <c r="I216" i="6" s="1"/>
  <c r="G216" i="6"/>
  <c r="J216" i="6"/>
  <c r="D216" i="6"/>
  <c r="E216" i="6"/>
  <c r="F216" i="6"/>
  <c r="H216" i="6"/>
  <c r="K64" i="8"/>
  <c r="M64" i="8" s="1"/>
  <c r="C270" i="6"/>
  <c r="I270" i="6" s="1"/>
  <c r="J270" i="6"/>
  <c r="F270" i="6"/>
  <c r="D270" i="6"/>
  <c r="E270" i="6"/>
  <c r="B270" i="6"/>
  <c r="H270" i="6"/>
  <c r="G270" i="6"/>
  <c r="K118" i="8"/>
  <c r="M118" i="8" s="1"/>
  <c r="D230" i="6"/>
  <c r="C230" i="6"/>
  <c r="I230" i="6" s="1"/>
  <c r="J230" i="6"/>
  <c r="E230" i="6"/>
  <c r="B230" i="6"/>
  <c r="H230" i="6"/>
  <c r="F230" i="6"/>
  <c r="G230" i="6"/>
  <c r="K78" i="8"/>
  <c r="M78" i="8" s="1"/>
  <c r="D174" i="6"/>
  <c r="J174" i="6"/>
  <c r="E174" i="6"/>
  <c r="H174" i="6"/>
  <c r="F174" i="6"/>
  <c r="B174" i="6"/>
  <c r="C174" i="6"/>
  <c r="I174" i="6" s="1"/>
  <c r="G174" i="6"/>
  <c r="K22" i="8"/>
  <c r="M22" i="8" s="1"/>
  <c r="D268" i="6"/>
  <c r="G268" i="6"/>
  <c r="H268" i="6"/>
  <c r="B268" i="6"/>
  <c r="C268" i="6"/>
  <c r="I268" i="6" s="1"/>
  <c r="F268" i="6"/>
  <c r="J268" i="6"/>
  <c r="E268" i="6"/>
  <c r="K116" i="8"/>
  <c r="M116" i="8" s="1"/>
  <c r="D251" i="6"/>
  <c r="B251" i="6"/>
  <c r="F251" i="6"/>
  <c r="C251" i="6"/>
  <c r="I251" i="6" s="1"/>
  <c r="G251" i="6"/>
  <c r="H251" i="6"/>
  <c r="J251" i="6"/>
  <c r="E251" i="6"/>
  <c r="K99" i="8"/>
  <c r="M99" i="8" s="1"/>
  <c r="F243" i="6"/>
  <c r="B243" i="6"/>
  <c r="E243" i="6"/>
  <c r="D243" i="6"/>
  <c r="H243" i="6"/>
  <c r="J243" i="6"/>
  <c r="C243" i="6"/>
  <c r="I243" i="6" s="1"/>
  <c r="G243" i="6"/>
  <c r="K91" i="8"/>
  <c r="M91" i="8" s="1"/>
  <c r="B235" i="6"/>
  <c r="F235" i="6"/>
  <c r="G235" i="6"/>
  <c r="C235" i="6"/>
  <c r="I235" i="6" s="1"/>
  <c r="D235" i="6"/>
  <c r="E235" i="6"/>
  <c r="H235" i="6"/>
  <c r="J235" i="6"/>
  <c r="K83" i="8"/>
  <c r="M83" i="8" s="1"/>
  <c r="B227" i="6"/>
  <c r="F227" i="6"/>
  <c r="G227" i="6"/>
  <c r="E227" i="6"/>
  <c r="C227" i="6"/>
  <c r="I227" i="6" s="1"/>
  <c r="H227" i="6"/>
  <c r="D227" i="6"/>
  <c r="J227" i="6"/>
  <c r="K75" i="8"/>
  <c r="M75" i="8" s="1"/>
  <c r="B219" i="6"/>
  <c r="D219" i="6"/>
  <c r="F219" i="6"/>
  <c r="G219" i="6"/>
  <c r="C219" i="6"/>
  <c r="I219" i="6" s="1"/>
  <c r="E219" i="6"/>
  <c r="H219" i="6"/>
  <c r="J219" i="6"/>
  <c r="K67" i="8"/>
  <c r="M67" i="8" s="1"/>
  <c r="B211" i="6"/>
  <c r="F211" i="6"/>
  <c r="C211" i="6"/>
  <c r="I211" i="6" s="1"/>
  <c r="G211" i="6"/>
  <c r="E211" i="6"/>
  <c r="D211" i="6"/>
  <c r="H211" i="6"/>
  <c r="J211" i="6"/>
  <c r="K59" i="8"/>
  <c r="M59" i="8" s="1"/>
  <c r="B203" i="6"/>
  <c r="F203" i="6"/>
  <c r="G203" i="6"/>
  <c r="C203" i="6"/>
  <c r="I203" i="6" s="1"/>
  <c r="D203" i="6"/>
  <c r="E203" i="6"/>
  <c r="H203" i="6"/>
  <c r="J203" i="6"/>
  <c r="K51" i="8"/>
  <c r="M51" i="8" s="1"/>
  <c r="B195" i="6"/>
  <c r="F195" i="6"/>
  <c r="G195" i="6"/>
  <c r="E195" i="6"/>
  <c r="C195" i="6"/>
  <c r="I195" i="6" s="1"/>
  <c r="H195" i="6"/>
  <c r="D195" i="6"/>
  <c r="J195" i="6"/>
  <c r="K43" i="8"/>
  <c r="M43" i="8" s="1"/>
  <c r="B187" i="6"/>
  <c r="D187" i="6"/>
  <c r="F187" i="6"/>
  <c r="G187" i="6"/>
  <c r="C187" i="6"/>
  <c r="I187" i="6" s="1"/>
  <c r="E187" i="6"/>
  <c r="H187" i="6"/>
  <c r="J187" i="6"/>
  <c r="K35" i="8"/>
  <c r="M35" i="8" s="1"/>
  <c r="B179" i="6"/>
  <c r="F179" i="6"/>
  <c r="C179" i="6"/>
  <c r="I179" i="6" s="1"/>
  <c r="G179" i="6"/>
  <c r="E179" i="6"/>
  <c r="H179" i="6"/>
  <c r="D179" i="6"/>
  <c r="J179" i="6"/>
  <c r="K27" i="8"/>
  <c r="M27" i="8" s="1"/>
  <c r="B171" i="6"/>
  <c r="F171" i="6"/>
  <c r="G171" i="6"/>
  <c r="C171" i="6"/>
  <c r="I171" i="6" s="1"/>
  <c r="D171" i="6"/>
  <c r="E171" i="6"/>
  <c r="H171" i="6"/>
  <c r="J171" i="6"/>
  <c r="K19" i="8"/>
  <c r="M19" i="8" s="1"/>
  <c r="B163" i="6"/>
  <c r="F163" i="6"/>
  <c r="G163" i="6"/>
  <c r="E163" i="6"/>
  <c r="D163" i="6"/>
  <c r="C163" i="6"/>
  <c r="I163" i="6" s="1"/>
  <c r="H163" i="6"/>
  <c r="J163" i="6"/>
  <c r="K11" i="8"/>
  <c r="M11" i="8" s="1"/>
  <c r="B240" i="6"/>
  <c r="C240" i="6"/>
  <c r="I240" i="6" s="1"/>
  <c r="G240" i="6"/>
  <c r="D240" i="6"/>
  <c r="H240" i="6"/>
  <c r="J240" i="6"/>
  <c r="F240" i="6"/>
  <c r="E240" i="6"/>
  <c r="K88" i="8"/>
  <c r="M88" i="8" s="1"/>
  <c r="B192" i="6"/>
  <c r="C192" i="6"/>
  <c r="I192" i="6" s="1"/>
  <c r="D192" i="6"/>
  <c r="G192" i="6"/>
  <c r="H192" i="6"/>
  <c r="J192" i="6"/>
  <c r="F192" i="6"/>
  <c r="E192" i="6"/>
  <c r="K40" i="8"/>
  <c r="M40" i="8" s="1"/>
  <c r="C254" i="6"/>
  <c r="I254" i="6" s="1"/>
  <c r="J254" i="6"/>
  <c r="F254" i="6"/>
  <c r="E254" i="6"/>
  <c r="D254" i="6"/>
  <c r="H254" i="6"/>
  <c r="B254" i="6"/>
  <c r="G254" i="6"/>
  <c r="K102" i="8"/>
  <c r="M102" i="8" s="1"/>
  <c r="D214" i="6"/>
  <c r="J214" i="6"/>
  <c r="B214" i="6"/>
  <c r="C214" i="6"/>
  <c r="I214" i="6" s="1"/>
  <c r="E214" i="6"/>
  <c r="H214" i="6"/>
  <c r="F214" i="6"/>
  <c r="G214" i="6"/>
  <c r="K62" i="8"/>
  <c r="M62" i="8" s="1"/>
  <c r="D182" i="6"/>
  <c r="J182" i="6"/>
  <c r="B182" i="6"/>
  <c r="C182" i="6"/>
  <c r="I182" i="6" s="1"/>
  <c r="E182" i="6"/>
  <c r="H182" i="6"/>
  <c r="F182" i="6"/>
  <c r="G182" i="6"/>
  <c r="K30" i="8"/>
  <c r="M30" i="8" s="1"/>
  <c r="B261" i="6"/>
  <c r="C261" i="6"/>
  <c r="I261" i="6" s="1"/>
  <c r="D261" i="6"/>
  <c r="H261" i="6"/>
  <c r="J261" i="6"/>
  <c r="E261" i="6"/>
  <c r="G261" i="6"/>
  <c r="F261" i="6"/>
  <c r="K109" i="8"/>
  <c r="M109" i="8" s="1"/>
  <c r="D267" i="6"/>
  <c r="B267" i="6"/>
  <c r="F267" i="6"/>
  <c r="C267" i="6"/>
  <c r="I267" i="6" s="1"/>
  <c r="G267" i="6"/>
  <c r="H267" i="6"/>
  <c r="J267" i="6"/>
  <c r="E267" i="6"/>
  <c r="K115" i="8"/>
  <c r="M115" i="8" s="1"/>
  <c r="C258" i="6"/>
  <c r="I258" i="6" s="1"/>
  <c r="D258" i="6"/>
  <c r="B258" i="6"/>
  <c r="E258" i="6"/>
  <c r="F258" i="6"/>
  <c r="G258" i="6"/>
  <c r="H258" i="6"/>
  <c r="J258" i="6"/>
  <c r="K106" i="8"/>
  <c r="M106" i="8" s="1"/>
  <c r="C250" i="6"/>
  <c r="I250" i="6" s="1"/>
  <c r="D250" i="6"/>
  <c r="B250" i="6"/>
  <c r="E250" i="6"/>
  <c r="F250" i="6"/>
  <c r="G250" i="6"/>
  <c r="H250" i="6"/>
  <c r="J250" i="6"/>
  <c r="K98" i="8"/>
  <c r="M98" i="8" s="1"/>
  <c r="E242" i="6"/>
  <c r="B242" i="6"/>
  <c r="D242" i="6"/>
  <c r="J242" i="6"/>
  <c r="F242" i="6"/>
  <c r="G242" i="6"/>
  <c r="H242" i="6"/>
  <c r="C242" i="6"/>
  <c r="I242" i="6" s="1"/>
  <c r="K90" i="8"/>
  <c r="M90" i="8" s="1"/>
  <c r="B234" i="6"/>
  <c r="C234" i="6"/>
  <c r="I234" i="6" s="1"/>
  <c r="D234" i="6"/>
  <c r="E234" i="6"/>
  <c r="F234" i="6"/>
  <c r="J234" i="6"/>
  <c r="G234" i="6"/>
  <c r="H234" i="6"/>
  <c r="K82" i="8"/>
  <c r="M82" i="8" s="1"/>
  <c r="B226" i="6"/>
  <c r="C226" i="6"/>
  <c r="I226" i="6" s="1"/>
  <c r="D226" i="6"/>
  <c r="E226" i="6"/>
  <c r="F226" i="6"/>
  <c r="J226" i="6"/>
  <c r="G226" i="6"/>
  <c r="H226" i="6"/>
  <c r="K74" i="8"/>
  <c r="M74" i="8" s="1"/>
  <c r="B218" i="6"/>
  <c r="C218" i="6"/>
  <c r="I218" i="6" s="1"/>
  <c r="D218" i="6"/>
  <c r="E218" i="6"/>
  <c r="F218" i="6"/>
  <c r="J218" i="6"/>
  <c r="G218" i="6"/>
  <c r="H218" i="6"/>
  <c r="K66" i="8"/>
  <c r="M66" i="8" s="1"/>
  <c r="B210" i="6"/>
  <c r="C210" i="6"/>
  <c r="I210" i="6" s="1"/>
  <c r="D210" i="6"/>
  <c r="E210" i="6"/>
  <c r="F210" i="6"/>
  <c r="J210" i="6"/>
  <c r="G210" i="6"/>
  <c r="H210" i="6"/>
  <c r="K58" i="8"/>
  <c r="M58" i="8" s="1"/>
  <c r="B202" i="6"/>
  <c r="C202" i="6"/>
  <c r="I202" i="6" s="1"/>
  <c r="D202" i="6"/>
  <c r="E202" i="6"/>
  <c r="F202" i="6"/>
  <c r="J202" i="6"/>
  <c r="G202" i="6"/>
  <c r="H202" i="6"/>
  <c r="K50" i="8"/>
  <c r="M50" i="8" s="1"/>
  <c r="B194" i="6"/>
  <c r="C194" i="6"/>
  <c r="I194" i="6" s="1"/>
  <c r="D194" i="6"/>
  <c r="E194" i="6"/>
  <c r="F194" i="6"/>
  <c r="J194" i="6"/>
  <c r="G194" i="6"/>
  <c r="H194" i="6"/>
  <c r="K42" i="8"/>
  <c r="M42" i="8" s="1"/>
  <c r="B186" i="6"/>
  <c r="C186" i="6"/>
  <c r="I186" i="6" s="1"/>
  <c r="D186" i="6"/>
  <c r="E186" i="6"/>
  <c r="F186" i="6"/>
  <c r="J186" i="6"/>
  <c r="G186" i="6"/>
  <c r="H186" i="6"/>
  <c r="K34" i="8"/>
  <c r="M34" i="8" s="1"/>
  <c r="B178" i="6"/>
  <c r="C178" i="6"/>
  <c r="I178" i="6" s="1"/>
  <c r="D178" i="6"/>
  <c r="E178" i="6"/>
  <c r="F178" i="6"/>
  <c r="J178" i="6"/>
  <c r="G178" i="6"/>
  <c r="H178" i="6"/>
  <c r="K26" i="8"/>
  <c r="M26" i="8" s="1"/>
  <c r="B170" i="6"/>
  <c r="C170" i="6"/>
  <c r="I170" i="6" s="1"/>
  <c r="D170" i="6"/>
  <c r="E170" i="6"/>
  <c r="F170" i="6"/>
  <c r="J170" i="6"/>
  <c r="G170" i="6"/>
  <c r="H170" i="6"/>
  <c r="K18" i="8"/>
  <c r="M18" i="8" s="1"/>
  <c r="B162" i="6"/>
  <c r="C162" i="6"/>
  <c r="I162" i="6" s="1"/>
  <c r="D162" i="6"/>
  <c r="E162" i="6"/>
  <c r="F162" i="6"/>
  <c r="J162" i="6"/>
  <c r="G162" i="6"/>
  <c r="H162" i="6"/>
  <c r="K10" i="8"/>
  <c r="M10" i="8" s="1"/>
  <c r="B248" i="6"/>
  <c r="D248" i="6"/>
  <c r="E248" i="6"/>
  <c r="H248" i="6"/>
  <c r="F248" i="6"/>
  <c r="C248" i="6"/>
  <c r="I248" i="6" s="1"/>
  <c r="G248" i="6"/>
  <c r="J248" i="6"/>
  <c r="K96" i="8"/>
  <c r="M96" i="8" s="1"/>
  <c r="B200" i="6"/>
  <c r="C200" i="6"/>
  <c r="I200" i="6" s="1"/>
  <c r="D200" i="6"/>
  <c r="G200" i="6"/>
  <c r="J200" i="6"/>
  <c r="E200" i="6"/>
  <c r="F200" i="6"/>
  <c r="H200" i="6"/>
  <c r="K48" i="8"/>
  <c r="M48" i="8" s="1"/>
  <c r="C262" i="6"/>
  <c r="I262" i="6" s="1"/>
  <c r="J262" i="6"/>
  <c r="B262" i="6"/>
  <c r="D262" i="6"/>
  <c r="F262" i="6"/>
  <c r="E262" i="6"/>
  <c r="H262" i="6"/>
  <c r="G262" i="6"/>
  <c r="K110" i="8"/>
  <c r="M110" i="8" s="1"/>
  <c r="D222" i="6"/>
  <c r="J222" i="6"/>
  <c r="B222" i="6"/>
  <c r="E222" i="6"/>
  <c r="H222" i="6"/>
  <c r="C222" i="6"/>
  <c r="I222" i="6" s="1"/>
  <c r="F222" i="6"/>
  <c r="G222" i="6"/>
  <c r="K70" i="8"/>
  <c r="M70" i="8" s="1"/>
  <c r="D166" i="6"/>
  <c r="C166" i="6"/>
  <c r="I166" i="6" s="1"/>
  <c r="J166" i="6"/>
  <c r="E166" i="6"/>
  <c r="B166" i="6"/>
  <c r="H166" i="6"/>
  <c r="F166" i="6"/>
  <c r="G166" i="6"/>
  <c r="K14" i="8"/>
  <c r="M14" i="8" s="1"/>
  <c r="D260" i="6"/>
  <c r="G260" i="6"/>
  <c r="H260" i="6"/>
  <c r="J260" i="6"/>
  <c r="B260" i="6"/>
  <c r="C260" i="6"/>
  <c r="I260" i="6" s="1"/>
  <c r="F260" i="6"/>
  <c r="E260" i="6"/>
  <c r="K108" i="8"/>
  <c r="M108" i="8" s="1"/>
  <c r="D259" i="6"/>
  <c r="F259" i="6"/>
  <c r="H259" i="6"/>
  <c r="G259" i="6"/>
  <c r="J259" i="6"/>
  <c r="C259" i="6"/>
  <c r="I259" i="6" s="1"/>
  <c r="B259" i="6"/>
  <c r="E259" i="6"/>
  <c r="K107" i="8"/>
  <c r="M107" i="8" s="1"/>
  <c r="C266" i="6"/>
  <c r="I266" i="6" s="1"/>
  <c r="D266" i="6"/>
  <c r="B266" i="6"/>
  <c r="E266" i="6"/>
  <c r="F266" i="6"/>
  <c r="G266" i="6"/>
  <c r="H266" i="6"/>
  <c r="J266" i="6"/>
  <c r="K114" i="8"/>
  <c r="M114" i="8" s="1"/>
  <c r="B265" i="6"/>
  <c r="F265" i="6"/>
  <c r="E265" i="6"/>
  <c r="C265" i="6"/>
  <c r="I265" i="6" s="1"/>
  <c r="G265" i="6"/>
  <c r="J265" i="6"/>
  <c r="H265" i="6"/>
  <c r="D265" i="6"/>
  <c r="K113" i="8"/>
  <c r="M113" i="8" s="1"/>
  <c r="B257" i="6"/>
  <c r="E257" i="6"/>
  <c r="F257" i="6"/>
  <c r="C257" i="6"/>
  <c r="I257" i="6" s="1"/>
  <c r="D257" i="6"/>
  <c r="G257" i="6"/>
  <c r="H257" i="6"/>
  <c r="J257" i="6"/>
  <c r="K105" i="8"/>
  <c r="M105" i="8" s="1"/>
  <c r="B249" i="6"/>
  <c r="E249" i="6"/>
  <c r="J249" i="6"/>
  <c r="C249" i="6"/>
  <c r="I249" i="6" s="1"/>
  <c r="F249" i="6"/>
  <c r="G249" i="6"/>
  <c r="H249" i="6"/>
  <c r="D249" i="6"/>
  <c r="K97" i="8"/>
  <c r="M97" i="8" s="1"/>
  <c r="C241" i="6"/>
  <c r="I241" i="6" s="1"/>
  <c r="D241" i="6"/>
  <c r="B241" i="6"/>
  <c r="H241" i="6"/>
  <c r="F241" i="6"/>
  <c r="E241" i="6"/>
  <c r="J241" i="6"/>
  <c r="G241" i="6"/>
  <c r="K89" i="8"/>
  <c r="M89" i="8" s="1"/>
  <c r="C233" i="6"/>
  <c r="I233" i="6" s="1"/>
  <c r="D233" i="6"/>
  <c r="E233" i="6"/>
  <c r="H233" i="6"/>
  <c r="F233" i="6"/>
  <c r="G233" i="6"/>
  <c r="J233" i="6"/>
  <c r="B233" i="6"/>
  <c r="K81" i="8"/>
  <c r="M81" i="8" s="1"/>
  <c r="C225" i="6"/>
  <c r="I225" i="6" s="1"/>
  <c r="D225" i="6"/>
  <c r="E225" i="6"/>
  <c r="B225" i="6"/>
  <c r="H225" i="6"/>
  <c r="F225" i="6"/>
  <c r="G225" i="6"/>
  <c r="J225" i="6"/>
  <c r="K73" i="8"/>
  <c r="M73" i="8" s="1"/>
  <c r="C217" i="6"/>
  <c r="I217" i="6" s="1"/>
  <c r="D217" i="6"/>
  <c r="E217" i="6"/>
  <c r="H217" i="6"/>
  <c r="F217" i="6"/>
  <c r="G217" i="6"/>
  <c r="J217" i="6"/>
  <c r="B217" i="6"/>
  <c r="K65" i="8"/>
  <c r="M65" i="8" s="1"/>
  <c r="C209" i="6"/>
  <c r="I209" i="6" s="1"/>
  <c r="D209" i="6"/>
  <c r="B209" i="6"/>
  <c r="E209" i="6"/>
  <c r="H209" i="6"/>
  <c r="F209" i="6"/>
  <c r="G209" i="6"/>
  <c r="J209" i="6"/>
  <c r="K57" i="8"/>
  <c r="M57" i="8" s="1"/>
  <c r="C201" i="6"/>
  <c r="I201" i="6" s="1"/>
  <c r="D201" i="6"/>
  <c r="E201" i="6"/>
  <c r="H201" i="6"/>
  <c r="F201" i="6"/>
  <c r="G201" i="6"/>
  <c r="B201" i="6"/>
  <c r="J201" i="6"/>
  <c r="K49" i="8"/>
  <c r="M49" i="8" s="1"/>
  <c r="C193" i="6"/>
  <c r="I193" i="6" s="1"/>
  <c r="D193" i="6"/>
  <c r="E193" i="6"/>
  <c r="B193" i="6"/>
  <c r="H193" i="6"/>
  <c r="G193" i="6"/>
  <c r="F193" i="6"/>
  <c r="J193" i="6"/>
  <c r="K41" i="8"/>
  <c r="M41" i="8" s="1"/>
  <c r="C185" i="6"/>
  <c r="I185" i="6" s="1"/>
  <c r="D185" i="6"/>
  <c r="E185" i="6"/>
  <c r="H185" i="6"/>
  <c r="F185" i="6"/>
  <c r="G185" i="6"/>
  <c r="J185" i="6"/>
  <c r="B185" i="6"/>
  <c r="K33" i="8"/>
  <c r="M33" i="8" s="1"/>
  <c r="C177" i="6"/>
  <c r="I177" i="6" s="1"/>
  <c r="D177" i="6"/>
  <c r="B177" i="6"/>
  <c r="E177" i="6"/>
  <c r="H177" i="6"/>
  <c r="F177" i="6"/>
  <c r="G177" i="6"/>
  <c r="J177" i="6"/>
  <c r="K25" i="8"/>
  <c r="M25" i="8" s="1"/>
  <c r="C169" i="6"/>
  <c r="I169" i="6" s="1"/>
  <c r="D169" i="6"/>
  <c r="E169" i="6"/>
  <c r="H169" i="6"/>
  <c r="F169" i="6"/>
  <c r="B169" i="6"/>
  <c r="G169" i="6"/>
  <c r="J169" i="6"/>
  <c r="K17" i="8"/>
  <c r="M17" i="8" s="1"/>
  <c r="C161" i="6"/>
  <c r="I161" i="6" s="1"/>
  <c r="D161" i="6"/>
  <c r="E161" i="6"/>
  <c r="B161" i="6"/>
  <c r="H161" i="6"/>
  <c r="G161" i="6"/>
  <c r="F161" i="6"/>
  <c r="J161" i="6"/>
  <c r="K9" i="8"/>
  <c r="M9" i="8" s="1"/>
  <c r="H158" i="6"/>
  <c r="E158" i="6"/>
  <c r="F158" i="6"/>
  <c r="C158" i="6"/>
  <c r="I158" i="6" s="1"/>
  <c r="B158" i="6"/>
  <c r="G158" i="6"/>
  <c r="D158" i="6"/>
  <c r="J158" i="6"/>
  <c r="K6" i="8"/>
  <c r="M6" i="8" s="1"/>
  <c r="E157" i="6"/>
  <c r="B157" i="6"/>
  <c r="F157" i="6"/>
  <c r="C157" i="6"/>
  <c r="I157" i="6" s="1"/>
  <c r="G157" i="6"/>
  <c r="D157" i="6"/>
  <c r="H157" i="6"/>
  <c r="J157" i="6"/>
  <c r="K5" i="8"/>
  <c r="M5" i="8" s="1"/>
  <c r="C7" i="34"/>
  <c r="I7" i="34" s="1"/>
  <c r="AD9" i="86" s="1"/>
  <c r="C10" i="34"/>
  <c r="I10" i="34" s="1"/>
  <c r="AD12" i="86" s="1"/>
  <c r="C9" i="34"/>
  <c r="I9" i="34" s="1"/>
  <c r="AD11" i="86" s="1"/>
  <c r="D3" i="34"/>
  <c r="B3" i="34"/>
  <c r="G3" i="34"/>
  <c r="E3" i="34"/>
  <c r="F3" i="34"/>
  <c r="C8" i="34"/>
  <c r="I8" i="34" s="1"/>
  <c r="AD10" i="86" s="1"/>
  <c r="B6" i="34"/>
  <c r="I6" i="34" s="1"/>
  <c r="AD8" i="86" s="1"/>
  <c r="B5" i="34"/>
  <c r="I5" i="34" s="1"/>
  <c r="AD7" i="86" s="1"/>
  <c r="B4" i="34"/>
  <c r="I4" i="34" s="1"/>
  <c r="AD6" i="86" s="1"/>
  <c r="AJ6" i="86"/>
  <c r="AJ7" i="86"/>
  <c r="AJ8" i="86"/>
  <c r="AJ9" i="86"/>
  <c r="AJ10" i="86"/>
  <c r="AJ11" i="86"/>
  <c r="AJ12" i="86"/>
  <c r="AJ13" i="86"/>
  <c r="AJ14" i="86"/>
  <c r="AJ15" i="86"/>
  <c r="AJ16" i="86"/>
  <c r="AJ17" i="86"/>
  <c r="AJ18" i="86"/>
  <c r="AJ19" i="86"/>
  <c r="AJ20" i="86"/>
  <c r="AJ21" i="86"/>
  <c r="AJ22" i="86"/>
  <c r="AJ23" i="86"/>
  <c r="AJ24" i="86"/>
  <c r="AJ25" i="86"/>
  <c r="AJ26" i="86"/>
  <c r="AJ27" i="86"/>
  <c r="J26" i="8" s="1"/>
  <c r="L26" i="8" s="1"/>
  <c r="AJ28" i="86"/>
  <c r="AJ29" i="86"/>
  <c r="AJ30" i="86"/>
  <c r="AJ31" i="86"/>
  <c r="AJ32" i="86"/>
  <c r="AJ33" i="86"/>
  <c r="AJ34" i="86"/>
  <c r="AJ35" i="86"/>
  <c r="AJ36" i="86"/>
  <c r="AJ37" i="86"/>
  <c r="AJ38" i="86"/>
  <c r="AJ39" i="86"/>
  <c r="AJ40" i="86"/>
  <c r="AJ41" i="86"/>
  <c r="AJ42" i="86"/>
  <c r="AJ43" i="86"/>
  <c r="AJ44" i="86"/>
  <c r="J43" i="8" s="1"/>
  <c r="AJ45" i="86"/>
  <c r="J44" i="8" s="1"/>
  <c r="AJ46" i="86"/>
  <c r="AJ47" i="86"/>
  <c r="AJ48" i="86"/>
  <c r="AJ49" i="86"/>
  <c r="AJ50" i="86"/>
  <c r="AJ51" i="86"/>
  <c r="AJ52" i="86"/>
  <c r="AJ53" i="86"/>
  <c r="AJ54" i="86"/>
  <c r="AJ55" i="86"/>
  <c r="AJ56" i="86"/>
  <c r="AJ57" i="86"/>
  <c r="AJ58" i="86"/>
  <c r="AJ59" i="86"/>
  <c r="AJ60" i="86"/>
  <c r="AJ61" i="86"/>
  <c r="AJ62" i="86"/>
  <c r="AJ63" i="86"/>
  <c r="AJ64" i="86"/>
  <c r="AJ65" i="86"/>
  <c r="AJ66" i="86"/>
  <c r="AJ67" i="86"/>
  <c r="J66" i="8" s="1"/>
  <c r="L66" i="8" s="1"/>
  <c r="AJ68" i="86"/>
  <c r="J67" i="8" s="1"/>
  <c r="AJ69" i="86"/>
  <c r="AJ70" i="86"/>
  <c r="AJ71" i="86"/>
  <c r="AJ72" i="86"/>
  <c r="AJ73" i="86"/>
  <c r="AJ74" i="86"/>
  <c r="AJ75" i="86"/>
  <c r="AJ76" i="86"/>
  <c r="AJ77" i="86"/>
  <c r="AJ78" i="86"/>
  <c r="AJ79" i="86"/>
  <c r="AJ80" i="86"/>
  <c r="AJ81" i="86"/>
  <c r="AJ82" i="86"/>
  <c r="AJ83" i="86"/>
  <c r="AJ84" i="86"/>
  <c r="AJ85" i="86"/>
  <c r="AJ86" i="86"/>
  <c r="AJ87" i="86"/>
  <c r="AJ88" i="86"/>
  <c r="AJ89" i="86"/>
  <c r="AJ90" i="86"/>
  <c r="AJ91" i="86"/>
  <c r="J90" i="8" s="1"/>
  <c r="L90" i="8" s="1"/>
  <c r="AJ92" i="86"/>
  <c r="AJ93" i="86"/>
  <c r="AJ94" i="86"/>
  <c r="AJ95" i="86"/>
  <c r="AJ96" i="86"/>
  <c r="AJ97" i="86"/>
  <c r="AJ98" i="86"/>
  <c r="AJ99" i="86"/>
  <c r="AJ100" i="86"/>
  <c r="AJ101" i="86"/>
  <c r="AJ102" i="86"/>
  <c r="AJ103" i="86"/>
  <c r="AJ104" i="86"/>
  <c r="AJ105" i="86"/>
  <c r="AJ106" i="86"/>
  <c r="J105" i="8" s="1"/>
  <c r="AJ107" i="86"/>
  <c r="J106" i="8" s="1"/>
  <c r="L106" i="8" s="1"/>
  <c r="AJ108" i="86"/>
  <c r="AJ109" i="86"/>
  <c r="AJ110" i="86"/>
  <c r="AJ111" i="86"/>
  <c r="AJ112" i="86"/>
  <c r="AJ113" i="86"/>
  <c r="AJ114" i="86"/>
  <c r="AJ115" i="86"/>
  <c r="AJ116" i="86"/>
  <c r="AJ117" i="86"/>
  <c r="AJ118" i="86"/>
  <c r="AJ119" i="86"/>
  <c r="AJ120" i="86"/>
  <c r="AJ121" i="86"/>
  <c r="AJ5" i="86"/>
  <c r="J4" i="8" s="1"/>
  <c r="C5" i="86" l="1"/>
  <c r="E105" i="32"/>
  <c r="F105" i="32"/>
  <c r="B105" i="32"/>
  <c r="D105" i="32"/>
  <c r="B105" i="28"/>
  <c r="C105" i="32"/>
  <c r="C105" i="28"/>
  <c r="D105" i="28"/>
  <c r="E105" i="28"/>
  <c r="F105" i="28"/>
  <c r="D89" i="32"/>
  <c r="E89" i="32"/>
  <c r="D89" i="28"/>
  <c r="B89" i="32"/>
  <c r="F89" i="32"/>
  <c r="F89" i="28"/>
  <c r="C89" i="28"/>
  <c r="C89" i="32"/>
  <c r="B89" i="28"/>
  <c r="E89" i="28"/>
  <c r="D65" i="32"/>
  <c r="E65" i="32"/>
  <c r="F65" i="32"/>
  <c r="D65" i="28"/>
  <c r="E65" i="28"/>
  <c r="B65" i="32"/>
  <c r="C65" i="28"/>
  <c r="B65" i="28"/>
  <c r="F65" i="28"/>
  <c r="C65" i="32"/>
  <c r="D25" i="32"/>
  <c r="E25" i="32"/>
  <c r="F25" i="32"/>
  <c r="D25" i="28"/>
  <c r="E25" i="28"/>
  <c r="B25" i="32"/>
  <c r="F25" i="28"/>
  <c r="C25" i="32"/>
  <c r="C25" i="28"/>
  <c r="B25" i="28"/>
  <c r="B5" i="86"/>
  <c r="BD6" i="86"/>
  <c r="BD7" i="86" s="1"/>
  <c r="BD8" i="86" s="1"/>
  <c r="BD9" i="86" s="1"/>
  <c r="BD10" i="86" s="1"/>
  <c r="BD11" i="86" s="1"/>
  <c r="BD12" i="86" s="1"/>
  <c r="BD13" i="86" s="1"/>
  <c r="BD14" i="86" s="1"/>
  <c r="BD15" i="86" s="1"/>
  <c r="BD16" i="86" s="1"/>
  <c r="BD17" i="86" s="1"/>
  <c r="BD18" i="86" s="1"/>
  <c r="BD19" i="86" s="1"/>
  <c r="BD20" i="86" s="1"/>
  <c r="BD21" i="86" s="1"/>
  <c r="BD22" i="86" s="1"/>
  <c r="BD23" i="86" s="1"/>
  <c r="BD24" i="86" s="1"/>
  <c r="BD25" i="86" s="1"/>
  <c r="BD26" i="86" s="1"/>
  <c r="BD27" i="86" s="1"/>
  <c r="BD28" i="86" s="1"/>
  <c r="BD29" i="86" s="1"/>
  <c r="BD30" i="86" s="1"/>
  <c r="BD31" i="86" s="1"/>
  <c r="BD32" i="86" s="1"/>
  <c r="BD33" i="86" s="1"/>
  <c r="BD34" i="86" s="1"/>
  <c r="BD35" i="86" s="1"/>
  <c r="BD36" i="86" s="1"/>
  <c r="BD37" i="86" s="1"/>
  <c r="BD38" i="86" s="1"/>
  <c r="BD39" i="86" s="1"/>
  <c r="BD40" i="86" s="1"/>
  <c r="BD41" i="86" s="1"/>
  <c r="BD42" i="86" s="1"/>
  <c r="BD43" i="86" s="1"/>
  <c r="BD44" i="86" s="1"/>
  <c r="BD45" i="86" s="1"/>
  <c r="BD46" i="86" s="1"/>
  <c r="BD47" i="86" s="1"/>
  <c r="BD48" i="86" s="1"/>
  <c r="BD49" i="86" s="1"/>
  <c r="BD50" i="86" s="1"/>
  <c r="BD51" i="86" s="1"/>
  <c r="BD52" i="86" s="1"/>
  <c r="BD53" i="86" s="1"/>
  <c r="BD54" i="86" s="1"/>
  <c r="BD55" i="86" s="1"/>
  <c r="BD56" i="86" s="1"/>
  <c r="BD57" i="86" s="1"/>
  <c r="BD58" i="86" s="1"/>
  <c r="BD59" i="86" s="1"/>
  <c r="BD60" i="86" s="1"/>
  <c r="BD61" i="86" s="1"/>
  <c r="BD62" i="86" s="1"/>
  <c r="BD63" i="86" s="1"/>
  <c r="BD64" i="86" s="1"/>
  <c r="BD65" i="86" s="1"/>
  <c r="BD66" i="86" s="1"/>
  <c r="BD67" i="86" s="1"/>
  <c r="BD68" i="86" s="1"/>
  <c r="BD69" i="86" s="1"/>
  <c r="BD70" i="86" s="1"/>
  <c r="BD71" i="86" s="1"/>
  <c r="BD72" i="86" s="1"/>
  <c r="BD73" i="86" s="1"/>
  <c r="BD74" i="86" s="1"/>
  <c r="BD75" i="86" s="1"/>
  <c r="BD76" i="86" s="1"/>
  <c r="BD77" i="86" s="1"/>
  <c r="BD78" i="86" s="1"/>
  <c r="BD79" i="86" s="1"/>
  <c r="BD80" i="86" s="1"/>
  <c r="BD81" i="86" s="1"/>
  <c r="BD82" i="86" s="1"/>
  <c r="BD83" i="86" s="1"/>
  <c r="BD84" i="86" s="1"/>
  <c r="BD85" i="86" s="1"/>
  <c r="BD86" i="86" s="1"/>
  <c r="BD87" i="86" s="1"/>
  <c r="BD88" i="86" s="1"/>
  <c r="BD89" i="86" s="1"/>
  <c r="BD90" i="86" s="1"/>
  <c r="BD91" i="86" s="1"/>
  <c r="BD92" i="86" s="1"/>
  <c r="BD93" i="86" s="1"/>
  <c r="BD94" i="86" s="1"/>
  <c r="BD95" i="86" s="1"/>
  <c r="BD96" i="86" s="1"/>
  <c r="BD97" i="86" s="1"/>
  <c r="BD98" i="86" s="1"/>
  <c r="BD99" i="86" s="1"/>
  <c r="BD100" i="86" s="1"/>
  <c r="BD101" i="86" s="1"/>
  <c r="BD102" i="86" s="1"/>
  <c r="BD103" i="86" s="1"/>
  <c r="BD104" i="86" s="1"/>
  <c r="BD105" i="86" s="1"/>
  <c r="BD106" i="86" s="1"/>
  <c r="BD107" i="86" s="1"/>
  <c r="BD108" i="86" s="1"/>
  <c r="BD109" i="86" s="1"/>
  <c r="BD110" i="86" s="1"/>
  <c r="BD111" i="86" s="1"/>
  <c r="BD112" i="86" s="1"/>
  <c r="BD113" i="86" s="1"/>
  <c r="BD114" i="86" s="1"/>
  <c r="BD115" i="86" s="1"/>
  <c r="BD116" i="86" s="1"/>
  <c r="BD117" i="86" s="1"/>
  <c r="BD118" i="86" s="1"/>
  <c r="BD119" i="86" s="1"/>
  <c r="BD120" i="86" s="1"/>
  <c r="BD121" i="86" s="1"/>
  <c r="E282" i="68"/>
  <c r="F282" i="68"/>
  <c r="BC6" i="86"/>
  <c r="BC7" i="86" s="1"/>
  <c r="BC8" i="86" s="1"/>
  <c r="BC9" i="86" s="1"/>
  <c r="BC10" i="86" s="1"/>
  <c r="BC11" i="86" s="1"/>
  <c r="BC12" i="86" s="1"/>
  <c r="BC13" i="86" s="1"/>
  <c r="BC14" i="86" s="1"/>
  <c r="BC15" i="86" s="1"/>
  <c r="BC16" i="86" s="1"/>
  <c r="BC17" i="86" s="1"/>
  <c r="BC18" i="86" s="1"/>
  <c r="BC19" i="86" s="1"/>
  <c r="BC20" i="86" s="1"/>
  <c r="BC21" i="86" s="1"/>
  <c r="BC22" i="86" s="1"/>
  <c r="BC23" i="86" s="1"/>
  <c r="BC24" i="86" s="1"/>
  <c r="BC25" i="86" s="1"/>
  <c r="BC26" i="86" s="1"/>
  <c r="BC27" i="86" s="1"/>
  <c r="BC28" i="86" s="1"/>
  <c r="BC29" i="86" s="1"/>
  <c r="BC30" i="86" s="1"/>
  <c r="BC31" i="86" s="1"/>
  <c r="BC32" i="86" s="1"/>
  <c r="BC33" i="86" s="1"/>
  <c r="BC34" i="86" s="1"/>
  <c r="BC35" i="86" s="1"/>
  <c r="BC36" i="86" s="1"/>
  <c r="BC37" i="86" s="1"/>
  <c r="BC38" i="86" s="1"/>
  <c r="BC39" i="86" s="1"/>
  <c r="BC40" i="86" s="1"/>
  <c r="BC41" i="86" s="1"/>
  <c r="BC42" i="86" s="1"/>
  <c r="BC43" i="86" s="1"/>
  <c r="BC44" i="86" s="1"/>
  <c r="BC45" i="86" s="1"/>
  <c r="BC46" i="86" s="1"/>
  <c r="BC47" i="86" s="1"/>
  <c r="BC48" i="86" s="1"/>
  <c r="BC49" i="86" s="1"/>
  <c r="BC50" i="86" s="1"/>
  <c r="BC51" i="86" s="1"/>
  <c r="BC52" i="86" s="1"/>
  <c r="BC53" i="86" s="1"/>
  <c r="BC54" i="86" s="1"/>
  <c r="BC55" i="86" s="1"/>
  <c r="BC56" i="86" s="1"/>
  <c r="BC57" i="86" s="1"/>
  <c r="BC58" i="86" s="1"/>
  <c r="BC59" i="86" s="1"/>
  <c r="BC60" i="86" s="1"/>
  <c r="BC61" i="86" s="1"/>
  <c r="BC62" i="86" s="1"/>
  <c r="BC63" i="86" s="1"/>
  <c r="BC64" i="86" s="1"/>
  <c r="BC65" i="86" s="1"/>
  <c r="BC66" i="86" s="1"/>
  <c r="BC67" i="86" s="1"/>
  <c r="BC68" i="86" s="1"/>
  <c r="BC69" i="86" s="1"/>
  <c r="BC70" i="86" s="1"/>
  <c r="BC71" i="86" s="1"/>
  <c r="BC72" i="86" s="1"/>
  <c r="BC73" i="86" s="1"/>
  <c r="BC74" i="86" s="1"/>
  <c r="BC75" i="86" s="1"/>
  <c r="BC76" i="86" s="1"/>
  <c r="BC77" i="86" s="1"/>
  <c r="BC78" i="86" s="1"/>
  <c r="BC79" i="86" s="1"/>
  <c r="BC80" i="86" s="1"/>
  <c r="BC81" i="86" s="1"/>
  <c r="BC82" i="86" s="1"/>
  <c r="BC83" i="86" s="1"/>
  <c r="BC84" i="86" s="1"/>
  <c r="BC85" i="86" s="1"/>
  <c r="BC86" i="86" s="1"/>
  <c r="BC87" i="86" s="1"/>
  <c r="BC88" i="86" s="1"/>
  <c r="BC89" i="86" s="1"/>
  <c r="BC90" i="86" s="1"/>
  <c r="BC91" i="86" s="1"/>
  <c r="BC92" i="86" s="1"/>
  <c r="BC93" i="86" s="1"/>
  <c r="BC94" i="86" s="1"/>
  <c r="BC95" i="86" s="1"/>
  <c r="BC96" i="86" s="1"/>
  <c r="BC97" i="86" s="1"/>
  <c r="BC98" i="86" s="1"/>
  <c r="BC99" i="86" s="1"/>
  <c r="BC100" i="86" s="1"/>
  <c r="BC101" i="86" s="1"/>
  <c r="BC102" i="86" s="1"/>
  <c r="BC103" i="86" s="1"/>
  <c r="BC104" i="86" s="1"/>
  <c r="BC105" i="86" s="1"/>
  <c r="BC106" i="86" s="1"/>
  <c r="BC107" i="86" s="1"/>
  <c r="BC108" i="86" s="1"/>
  <c r="BC109" i="86" s="1"/>
  <c r="BC110" i="86" s="1"/>
  <c r="BC111" i="86" s="1"/>
  <c r="BC112" i="86" s="1"/>
  <c r="BC113" i="86" s="1"/>
  <c r="BC114" i="86" s="1"/>
  <c r="BC115" i="86" s="1"/>
  <c r="BC116" i="86" s="1"/>
  <c r="BC117" i="86" s="1"/>
  <c r="BC118" i="86" s="1"/>
  <c r="BC119" i="86" s="1"/>
  <c r="BC120" i="86" s="1"/>
  <c r="BC121" i="86" s="1"/>
  <c r="D282" i="68"/>
  <c r="AQ6" i="86"/>
  <c r="AQ7" i="86" s="1"/>
  <c r="AQ8" i="86" s="1"/>
  <c r="AQ9" i="86" s="1"/>
  <c r="AQ10" i="86" s="1"/>
  <c r="AQ11" i="86" s="1"/>
  <c r="AQ12" i="86" s="1"/>
  <c r="AQ13" i="86" s="1"/>
  <c r="AQ14" i="86" s="1"/>
  <c r="AQ15" i="86" s="1"/>
  <c r="AQ16" i="86" s="1"/>
  <c r="AQ17" i="86" s="1"/>
  <c r="AQ18" i="86" s="1"/>
  <c r="AQ19" i="86" s="1"/>
  <c r="AQ20" i="86" s="1"/>
  <c r="AQ21" i="86" s="1"/>
  <c r="AQ22" i="86" s="1"/>
  <c r="AQ23" i="86" s="1"/>
  <c r="AQ24" i="86" s="1"/>
  <c r="AQ25" i="86" s="1"/>
  <c r="AQ26" i="86" s="1"/>
  <c r="AQ27" i="86" s="1"/>
  <c r="AQ28" i="86" s="1"/>
  <c r="AQ29" i="86" s="1"/>
  <c r="AQ30" i="86" s="1"/>
  <c r="AQ31" i="86" s="1"/>
  <c r="AQ32" i="86" s="1"/>
  <c r="AQ33" i="86" s="1"/>
  <c r="AQ34" i="86" s="1"/>
  <c r="AQ35" i="86" s="1"/>
  <c r="AQ36" i="86" s="1"/>
  <c r="AQ37" i="86" s="1"/>
  <c r="AQ38" i="86" s="1"/>
  <c r="AQ39" i="86" s="1"/>
  <c r="AQ40" i="86" s="1"/>
  <c r="AQ41" i="86" s="1"/>
  <c r="AQ42" i="86" s="1"/>
  <c r="AQ43" i="86" s="1"/>
  <c r="AQ44" i="86" s="1"/>
  <c r="AQ45" i="86" s="1"/>
  <c r="AQ46" i="86" s="1"/>
  <c r="AQ47" i="86" s="1"/>
  <c r="AQ48" i="86" s="1"/>
  <c r="AQ49" i="86" s="1"/>
  <c r="AQ50" i="86" s="1"/>
  <c r="AQ51" i="86" s="1"/>
  <c r="AQ52" i="86" s="1"/>
  <c r="AQ53" i="86" s="1"/>
  <c r="AQ54" i="86" s="1"/>
  <c r="AQ55" i="86" s="1"/>
  <c r="AQ56" i="86" s="1"/>
  <c r="AQ57" i="86" s="1"/>
  <c r="AQ58" i="86" s="1"/>
  <c r="AQ59" i="86" s="1"/>
  <c r="AQ60" i="86" s="1"/>
  <c r="AQ61" i="86" s="1"/>
  <c r="AQ62" i="86" s="1"/>
  <c r="AQ63" i="86" s="1"/>
  <c r="AQ64" i="86" s="1"/>
  <c r="AQ65" i="86" s="1"/>
  <c r="AQ66" i="86" s="1"/>
  <c r="AQ67" i="86" s="1"/>
  <c r="AQ68" i="86" s="1"/>
  <c r="AQ69" i="86" s="1"/>
  <c r="AQ70" i="86" s="1"/>
  <c r="AQ71" i="86" s="1"/>
  <c r="AQ72" i="86" s="1"/>
  <c r="AQ73" i="86" s="1"/>
  <c r="AQ74" i="86" s="1"/>
  <c r="AQ75" i="86" s="1"/>
  <c r="AQ76" i="86" s="1"/>
  <c r="AQ77" i="86" s="1"/>
  <c r="AQ78" i="86" s="1"/>
  <c r="AQ79" i="86" s="1"/>
  <c r="AQ80" i="86" s="1"/>
  <c r="AQ81" i="86" s="1"/>
  <c r="AQ82" i="86" s="1"/>
  <c r="AQ83" i="86" s="1"/>
  <c r="AQ84" i="86" s="1"/>
  <c r="AQ85" i="86" s="1"/>
  <c r="AQ86" i="86" s="1"/>
  <c r="AQ87" i="86" s="1"/>
  <c r="AQ88" i="86" s="1"/>
  <c r="AQ89" i="86" s="1"/>
  <c r="AQ90" i="86" s="1"/>
  <c r="AQ91" i="86" s="1"/>
  <c r="AQ92" i="86" s="1"/>
  <c r="AQ93" i="86" s="1"/>
  <c r="AQ94" i="86" s="1"/>
  <c r="AQ95" i="86" s="1"/>
  <c r="AQ96" i="86" s="1"/>
  <c r="AQ97" i="86" s="1"/>
  <c r="AQ98" i="86" s="1"/>
  <c r="AQ99" i="86" s="1"/>
  <c r="AQ100" i="86" s="1"/>
  <c r="AQ101" i="86" s="1"/>
  <c r="AQ102" i="86" s="1"/>
  <c r="AQ103" i="86" s="1"/>
  <c r="AQ104" i="86" s="1"/>
  <c r="AQ105" i="86" s="1"/>
  <c r="AQ106" i="86" s="1"/>
  <c r="AQ107" i="86" s="1"/>
  <c r="AQ108" i="86" s="1"/>
  <c r="AQ109" i="86" s="1"/>
  <c r="AQ110" i="86" s="1"/>
  <c r="AQ111" i="86" s="1"/>
  <c r="AQ112" i="86" s="1"/>
  <c r="AQ113" i="86" s="1"/>
  <c r="AQ114" i="86" s="1"/>
  <c r="AQ115" i="86" s="1"/>
  <c r="AQ116" i="86" s="1"/>
  <c r="AQ117" i="86" s="1"/>
  <c r="AQ118" i="86" s="1"/>
  <c r="AQ119" i="86" s="1"/>
  <c r="AQ120" i="86" s="1"/>
  <c r="AQ121" i="86" s="1"/>
  <c r="B282" i="68"/>
  <c r="AP6" i="86"/>
  <c r="AP7" i="86" s="1"/>
  <c r="AP8" i="86" s="1"/>
  <c r="AP9" i="86" s="1"/>
  <c r="AP10" i="86" s="1"/>
  <c r="AP11" i="86" s="1"/>
  <c r="AP12" i="86" s="1"/>
  <c r="AP13" i="86" s="1"/>
  <c r="AP14" i="86" s="1"/>
  <c r="AP15" i="86" s="1"/>
  <c r="AP16" i="86" s="1"/>
  <c r="AP17" i="86" s="1"/>
  <c r="AP18" i="86" s="1"/>
  <c r="AP19" i="86" s="1"/>
  <c r="AP20" i="86" s="1"/>
  <c r="AP21" i="86" s="1"/>
  <c r="AP22" i="86" s="1"/>
  <c r="AP23" i="86" s="1"/>
  <c r="AP24" i="86" s="1"/>
  <c r="AP25" i="86" s="1"/>
  <c r="AP26" i="86" s="1"/>
  <c r="AP27" i="86" s="1"/>
  <c r="AP28" i="86" s="1"/>
  <c r="AP29" i="86" s="1"/>
  <c r="AP30" i="86" s="1"/>
  <c r="AP31" i="86" s="1"/>
  <c r="AP32" i="86" s="1"/>
  <c r="AP33" i="86" s="1"/>
  <c r="AP34" i="86" s="1"/>
  <c r="AP35" i="86" s="1"/>
  <c r="AP36" i="86" s="1"/>
  <c r="AP37" i="86" s="1"/>
  <c r="AP38" i="86" s="1"/>
  <c r="AP39" i="86" s="1"/>
  <c r="AP40" i="86" s="1"/>
  <c r="AP41" i="86" s="1"/>
  <c r="AP42" i="86" s="1"/>
  <c r="AP43" i="86" s="1"/>
  <c r="AP44" i="86" s="1"/>
  <c r="AP45" i="86" s="1"/>
  <c r="AP46" i="86" s="1"/>
  <c r="AP47" i="86" s="1"/>
  <c r="AP48" i="86" s="1"/>
  <c r="AP49" i="86" s="1"/>
  <c r="AP50" i="86" s="1"/>
  <c r="AP51" i="86" s="1"/>
  <c r="AP52" i="86" s="1"/>
  <c r="AP53" i="86" s="1"/>
  <c r="AP54" i="86" s="1"/>
  <c r="AP55" i="86" s="1"/>
  <c r="AP56" i="86" s="1"/>
  <c r="AP57" i="86" s="1"/>
  <c r="AP58" i="86" s="1"/>
  <c r="AP59" i="86" s="1"/>
  <c r="AP60" i="86" s="1"/>
  <c r="AP61" i="86" s="1"/>
  <c r="AP62" i="86" s="1"/>
  <c r="AP63" i="86" s="1"/>
  <c r="AP64" i="86" s="1"/>
  <c r="AP65" i="86" s="1"/>
  <c r="AP66" i="86" s="1"/>
  <c r="AP67" i="86" s="1"/>
  <c r="AP68" i="86" s="1"/>
  <c r="AP69" i="86" s="1"/>
  <c r="AP70" i="86" s="1"/>
  <c r="AP71" i="86" s="1"/>
  <c r="AP72" i="86" s="1"/>
  <c r="AP73" i="86" s="1"/>
  <c r="AP74" i="86" s="1"/>
  <c r="AP75" i="86" s="1"/>
  <c r="AP76" i="86" s="1"/>
  <c r="AP77" i="86" s="1"/>
  <c r="AP78" i="86" s="1"/>
  <c r="AP79" i="86" s="1"/>
  <c r="AP80" i="86" s="1"/>
  <c r="AP81" i="86" s="1"/>
  <c r="AP82" i="86" s="1"/>
  <c r="AP83" i="86" s="1"/>
  <c r="AP84" i="86" s="1"/>
  <c r="AP85" i="86" s="1"/>
  <c r="AP86" i="86" s="1"/>
  <c r="AP87" i="86" s="1"/>
  <c r="AP88" i="86" s="1"/>
  <c r="AP89" i="86" s="1"/>
  <c r="AP90" i="86" s="1"/>
  <c r="AP91" i="86" s="1"/>
  <c r="AP92" i="86" s="1"/>
  <c r="AP93" i="86" s="1"/>
  <c r="AP94" i="86" s="1"/>
  <c r="AP95" i="86" s="1"/>
  <c r="AP96" i="86" s="1"/>
  <c r="AP97" i="86" s="1"/>
  <c r="AP98" i="86" s="1"/>
  <c r="AP99" i="86" s="1"/>
  <c r="AP100" i="86" s="1"/>
  <c r="AP101" i="86" s="1"/>
  <c r="AP102" i="86" s="1"/>
  <c r="AP103" i="86" s="1"/>
  <c r="AP104" i="86" s="1"/>
  <c r="AP105" i="86" s="1"/>
  <c r="AP106" i="86" s="1"/>
  <c r="AP107" i="86" s="1"/>
  <c r="AP108" i="86" s="1"/>
  <c r="AP109" i="86" s="1"/>
  <c r="AP110" i="86" s="1"/>
  <c r="AP111" i="86" s="1"/>
  <c r="AP112" i="86" s="1"/>
  <c r="AP113" i="86" s="1"/>
  <c r="AP114" i="86" s="1"/>
  <c r="AP115" i="86" s="1"/>
  <c r="AP116" i="86" s="1"/>
  <c r="AP117" i="86" s="1"/>
  <c r="AP118" i="86" s="1"/>
  <c r="AP119" i="86" s="1"/>
  <c r="AP120" i="86" s="1"/>
  <c r="AP121" i="86" s="1"/>
  <c r="C282" i="68"/>
  <c r="BE6" i="86"/>
  <c r="BE7" i="86" s="1"/>
  <c r="BE8" i="86" s="1"/>
  <c r="BE9" i="86" s="1"/>
  <c r="BE10" i="86" s="1"/>
  <c r="BE11" i="86" s="1"/>
  <c r="BE12" i="86" s="1"/>
  <c r="BE13" i="86" s="1"/>
  <c r="BE14" i="86" s="1"/>
  <c r="BE15" i="86" s="1"/>
  <c r="BE16" i="86" s="1"/>
  <c r="BE17" i="86" s="1"/>
  <c r="BE18" i="86" s="1"/>
  <c r="BE19" i="86" s="1"/>
  <c r="BE20" i="86" s="1"/>
  <c r="BE21" i="86" s="1"/>
  <c r="BE22" i="86" s="1"/>
  <c r="BE23" i="86" s="1"/>
  <c r="BE24" i="86" s="1"/>
  <c r="BE25" i="86" s="1"/>
  <c r="BE26" i="86" s="1"/>
  <c r="BE27" i="86" s="1"/>
  <c r="BE28" i="86" s="1"/>
  <c r="BE29" i="86" s="1"/>
  <c r="BE30" i="86" s="1"/>
  <c r="BE31" i="86" s="1"/>
  <c r="BE32" i="86" s="1"/>
  <c r="BE33" i="86" s="1"/>
  <c r="BE34" i="86" s="1"/>
  <c r="BE35" i="86" s="1"/>
  <c r="BE36" i="86" s="1"/>
  <c r="BE37" i="86" s="1"/>
  <c r="BE38" i="86" s="1"/>
  <c r="BE39" i="86" s="1"/>
  <c r="BE40" i="86" s="1"/>
  <c r="BE41" i="86" s="1"/>
  <c r="BE42" i="86" s="1"/>
  <c r="BE43" i="86" s="1"/>
  <c r="BE44" i="86" s="1"/>
  <c r="BE45" i="86" s="1"/>
  <c r="BE46" i="86" s="1"/>
  <c r="BE47" i="86" s="1"/>
  <c r="BE48" i="86" s="1"/>
  <c r="BE49" i="86" s="1"/>
  <c r="BE50" i="86" s="1"/>
  <c r="BE51" i="86" s="1"/>
  <c r="BE52" i="86" s="1"/>
  <c r="BE53" i="86" s="1"/>
  <c r="BE54" i="86" s="1"/>
  <c r="BE55" i="86" s="1"/>
  <c r="BE56" i="86" s="1"/>
  <c r="BE57" i="86" s="1"/>
  <c r="BE58" i="86" s="1"/>
  <c r="BE59" i="86" s="1"/>
  <c r="BE60" i="86" s="1"/>
  <c r="BE61" i="86" s="1"/>
  <c r="BE62" i="86" s="1"/>
  <c r="BE63" i="86" s="1"/>
  <c r="BE64" i="86" s="1"/>
  <c r="BE65" i="86" s="1"/>
  <c r="BE66" i="86" s="1"/>
  <c r="BE67" i="86" s="1"/>
  <c r="BE68" i="86" s="1"/>
  <c r="BE69" i="86" s="1"/>
  <c r="BE70" i="86" s="1"/>
  <c r="BE71" i="86" s="1"/>
  <c r="BE72" i="86" s="1"/>
  <c r="BE73" i="86" s="1"/>
  <c r="BE74" i="86" s="1"/>
  <c r="BE75" i="86" s="1"/>
  <c r="BE76" i="86" s="1"/>
  <c r="BE77" i="86" s="1"/>
  <c r="BE78" i="86" s="1"/>
  <c r="BE79" i="86" s="1"/>
  <c r="BE80" i="86" s="1"/>
  <c r="BE81" i="86" s="1"/>
  <c r="BE82" i="86" s="1"/>
  <c r="BE83" i="86" s="1"/>
  <c r="BE84" i="86" s="1"/>
  <c r="BE85" i="86" s="1"/>
  <c r="BE86" i="86" s="1"/>
  <c r="BE87" i="86" s="1"/>
  <c r="BE88" i="86" s="1"/>
  <c r="BE89" i="86" s="1"/>
  <c r="BE90" i="86" s="1"/>
  <c r="BE91" i="86" s="1"/>
  <c r="BE92" i="86" s="1"/>
  <c r="BE93" i="86" s="1"/>
  <c r="BE94" i="86" s="1"/>
  <c r="BE95" i="86" s="1"/>
  <c r="BE96" i="86" s="1"/>
  <c r="BE97" i="86" s="1"/>
  <c r="BE98" i="86" s="1"/>
  <c r="BE99" i="86" s="1"/>
  <c r="BE100" i="86" s="1"/>
  <c r="BE101" i="86" s="1"/>
  <c r="BE102" i="86" s="1"/>
  <c r="BE103" i="86" s="1"/>
  <c r="BE104" i="86" s="1"/>
  <c r="BE105" i="86" s="1"/>
  <c r="BE106" i="86" s="1"/>
  <c r="BE107" i="86" s="1"/>
  <c r="BE108" i="86" s="1"/>
  <c r="BE109" i="86" s="1"/>
  <c r="BE110" i="86" s="1"/>
  <c r="BE111" i="86" s="1"/>
  <c r="BE112" i="86" s="1"/>
  <c r="BE113" i="86" s="1"/>
  <c r="BE114" i="86" s="1"/>
  <c r="BE115" i="86" s="1"/>
  <c r="BE116" i="86" s="1"/>
  <c r="BE117" i="86" s="1"/>
  <c r="BE118" i="86" s="1"/>
  <c r="BE119" i="86" s="1"/>
  <c r="BE120" i="86" s="1"/>
  <c r="BE121" i="86" s="1"/>
  <c r="O106" i="8"/>
  <c r="N106" i="8"/>
  <c r="O90" i="8"/>
  <c r="N90" i="8"/>
  <c r="O66" i="8"/>
  <c r="N66" i="8"/>
  <c r="E67" i="86" s="1"/>
  <c r="O26" i="8"/>
  <c r="N26" i="8"/>
  <c r="E27" i="86" s="1"/>
  <c r="J78" i="8"/>
  <c r="J30" i="8"/>
  <c r="J115" i="8"/>
  <c r="J114" i="8"/>
  <c r="J98" i="8"/>
  <c r="J119" i="8"/>
  <c r="J111" i="8"/>
  <c r="J103" i="8"/>
  <c r="J95" i="8"/>
  <c r="J87" i="8"/>
  <c r="J79" i="8"/>
  <c r="J71" i="8"/>
  <c r="J63" i="8"/>
  <c r="J55" i="8"/>
  <c r="J47" i="8"/>
  <c r="J39" i="8"/>
  <c r="J31" i="8"/>
  <c r="J23" i="8"/>
  <c r="J15" i="8"/>
  <c r="J7" i="8"/>
  <c r="J110" i="8"/>
  <c r="J62" i="8"/>
  <c r="J14" i="8"/>
  <c r="J117" i="8"/>
  <c r="J109" i="8"/>
  <c r="J101" i="8"/>
  <c r="J93" i="8"/>
  <c r="J85" i="8"/>
  <c r="J77" i="8"/>
  <c r="J69" i="8"/>
  <c r="J61" i="8"/>
  <c r="J53" i="8"/>
  <c r="J45" i="8"/>
  <c r="J37" i="8"/>
  <c r="J29" i="8"/>
  <c r="J21" i="8"/>
  <c r="J13" i="8"/>
  <c r="J5" i="8"/>
  <c r="J94" i="8"/>
  <c r="J46" i="8"/>
  <c r="J116" i="8"/>
  <c r="J108" i="8"/>
  <c r="J100" i="8"/>
  <c r="J92" i="8"/>
  <c r="J84" i="8"/>
  <c r="J76" i="8"/>
  <c r="J68" i="8"/>
  <c r="J60" i="8"/>
  <c r="J52" i="8"/>
  <c r="L44" i="8"/>
  <c r="J36" i="8"/>
  <c r="J28" i="8"/>
  <c r="J20" i="8"/>
  <c r="J12" i="8"/>
  <c r="J107" i="8"/>
  <c r="J91" i="8"/>
  <c r="J83" i="8"/>
  <c r="J75" i="8"/>
  <c r="L67" i="8"/>
  <c r="J59" i="8"/>
  <c r="J51" i="8"/>
  <c r="L43" i="8"/>
  <c r="J35" i="8"/>
  <c r="J27" i="8"/>
  <c r="J19" i="8"/>
  <c r="J11" i="8"/>
  <c r="J118" i="8"/>
  <c r="J70" i="8"/>
  <c r="J22" i="8"/>
  <c r="J74" i="8"/>
  <c r="J58" i="8"/>
  <c r="J50" i="8"/>
  <c r="J42" i="8"/>
  <c r="J34" i="8"/>
  <c r="J18" i="8"/>
  <c r="J10" i="8"/>
  <c r="J102" i="8"/>
  <c r="J54" i="8"/>
  <c r="J6" i="8"/>
  <c r="J99" i="8"/>
  <c r="J82" i="8"/>
  <c r="L4" i="8"/>
  <c r="J113" i="8"/>
  <c r="L105" i="8"/>
  <c r="J97" i="8"/>
  <c r="J89" i="8"/>
  <c r="J81" i="8"/>
  <c r="J73" i="8"/>
  <c r="J65" i="8"/>
  <c r="J57" i="8"/>
  <c r="J49" i="8"/>
  <c r="J41" i="8"/>
  <c r="J33" i="8"/>
  <c r="J25" i="8"/>
  <c r="J17" i="8"/>
  <c r="J9" i="8"/>
  <c r="I3" i="34"/>
  <c r="AD5" i="86" s="1"/>
  <c r="BB5" i="86" s="1"/>
  <c r="BB6" i="86" s="1"/>
  <c r="BB7" i="86" s="1"/>
  <c r="BB8" i="86" s="1"/>
  <c r="BB9" i="86" s="1"/>
  <c r="BB10" i="86" s="1"/>
  <c r="BB11" i="86" s="1"/>
  <c r="BB12" i="86" s="1"/>
  <c r="BB13" i="86" s="1"/>
  <c r="BB14" i="86" s="1"/>
  <c r="BB15" i="86" s="1"/>
  <c r="BB16" i="86" s="1"/>
  <c r="BB17" i="86" s="1"/>
  <c r="BB18" i="86" s="1"/>
  <c r="BB19" i="86" s="1"/>
  <c r="BB20" i="86" s="1"/>
  <c r="BB21" i="86" s="1"/>
  <c r="BB22" i="86" s="1"/>
  <c r="BB23" i="86" s="1"/>
  <c r="BB24" i="86" s="1"/>
  <c r="BB25" i="86" s="1"/>
  <c r="BB26" i="86" s="1"/>
  <c r="BB27" i="86" s="1"/>
  <c r="BB28" i="86" s="1"/>
  <c r="BB29" i="86" s="1"/>
  <c r="BB30" i="86" s="1"/>
  <c r="BB31" i="86" s="1"/>
  <c r="BB32" i="86" s="1"/>
  <c r="BB33" i="86" s="1"/>
  <c r="BB34" i="86" s="1"/>
  <c r="BB35" i="86" s="1"/>
  <c r="BB36" i="86" s="1"/>
  <c r="BB37" i="86" s="1"/>
  <c r="BB38" i="86" s="1"/>
  <c r="BB39" i="86" s="1"/>
  <c r="BB40" i="86" s="1"/>
  <c r="BB41" i="86" s="1"/>
  <c r="BB42" i="86" s="1"/>
  <c r="BB43" i="86" s="1"/>
  <c r="BB44" i="86" s="1"/>
  <c r="BB45" i="86" s="1"/>
  <c r="BB46" i="86" s="1"/>
  <c r="BB47" i="86" s="1"/>
  <c r="BB48" i="86" s="1"/>
  <c r="BB49" i="86" s="1"/>
  <c r="BB50" i="86" s="1"/>
  <c r="BB51" i="86" s="1"/>
  <c r="BB52" i="86" s="1"/>
  <c r="BB53" i="86" s="1"/>
  <c r="BB54" i="86" s="1"/>
  <c r="BB55" i="86" s="1"/>
  <c r="BB56" i="86" s="1"/>
  <c r="BB57" i="86" s="1"/>
  <c r="BB58" i="86" s="1"/>
  <c r="BB59" i="86" s="1"/>
  <c r="BB60" i="86" s="1"/>
  <c r="BB61" i="86" s="1"/>
  <c r="BB62" i="86" s="1"/>
  <c r="BB63" i="86" s="1"/>
  <c r="BB64" i="86" s="1"/>
  <c r="BB65" i="86" s="1"/>
  <c r="BB66" i="86" s="1"/>
  <c r="BB67" i="86" s="1"/>
  <c r="BB68" i="86" s="1"/>
  <c r="BB69" i="86" s="1"/>
  <c r="BB70" i="86" s="1"/>
  <c r="BB71" i="86" s="1"/>
  <c r="BB72" i="86" s="1"/>
  <c r="BB73" i="86" s="1"/>
  <c r="BB74" i="86" s="1"/>
  <c r="BB75" i="86" s="1"/>
  <c r="BB76" i="86" s="1"/>
  <c r="BB77" i="86" s="1"/>
  <c r="BB78" i="86" s="1"/>
  <c r="BB79" i="86" s="1"/>
  <c r="BB80" i="86" s="1"/>
  <c r="BB81" i="86" s="1"/>
  <c r="BB82" i="86" s="1"/>
  <c r="BB83" i="86" s="1"/>
  <c r="BB84" i="86" s="1"/>
  <c r="BB85" i="86" s="1"/>
  <c r="BB86" i="86" s="1"/>
  <c r="BB87" i="86" s="1"/>
  <c r="BB88" i="86" s="1"/>
  <c r="BB89" i="86" s="1"/>
  <c r="BB90" i="86" s="1"/>
  <c r="BB91" i="86" s="1"/>
  <c r="BB92" i="86" s="1"/>
  <c r="BB93" i="86" s="1"/>
  <c r="BB94" i="86" s="1"/>
  <c r="BB95" i="86" s="1"/>
  <c r="J86" i="8"/>
  <c r="J38" i="8"/>
  <c r="J120" i="8"/>
  <c r="J112" i="8"/>
  <c r="J104" i="8"/>
  <c r="J96" i="8"/>
  <c r="J88" i="8"/>
  <c r="J80" i="8"/>
  <c r="J72" i="8"/>
  <c r="J64" i="8"/>
  <c r="J56" i="8"/>
  <c r="J48" i="8"/>
  <c r="J40" i="8"/>
  <c r="J32" i="8"/>
  <c r="J24" i="8"/>
  <c r="J16" i="8"/>
  <c r="J8" i="8"/>
  <c r="H27" i="86" l="1"/>
  <c r="H67" i="86"/>
  <c r="B42" i="32"/>
  <c r="C42" i="32"/>
  <c r="D42" i="32"/>
  <c r="E42" i="32"/>
  <c r="B42" i="28"/>
  <c r="F42" i="32"/>
  <c r="C42" i="28"/>
  <c r="D42" i="28"/>
  <c r="F42" i="28"/>
  <c r="E42" i="28"/>
  <c r="B104" i="32"/>
  <c r="C104" i="32"/>
  <c r="D104" i="32"/>
  <c r="E104" i="32"/>
  <c r="F104" i="32"/>
  <c r="E104" i="28"/>
  <c r="F104" i="28"/>
  <c r="C104" i="28"/>
  <c r="B104" i="28"/>
  <c r="D104" i="28"/>
  <c r="B66" i="32"/>
  <c r="C66" i="32"/>
  <c r="E66" i="32"/>
  <c r="F66" i="32"/>
  <c r="C66" i="28"/>
  <c r="D66" i="28"/>
  <c r="D66" i="32"/>
  <c r="B66" i="28"/>
  <c r="E66" i="28"/>
  <c r="F66" i="28"/>
  <c r="B43" i="32"/>
  <c r="C43" i="32"/>
  <c r="D43" i="32"/>
  <c r="E43" i="32"/>
  <c r="F43" i="32"/>
  <c r="B43" i="28"/>
  <c r="C43" i="28"/>
  <c r="E43" i="28"/>
  <c r="F43" i="28"/>
  <c r="D43" i="28"/>
  <c r="E91" i="86"/>
  <c r="H91" i="86" s="1"/>
  <c r="C3" i="32"/>
  <c r="D3" i="32"/>
  <c r="E3" i="32"/>
  <c r="F3" i="32"/>
  <c r="B3" i="32"/>
  <c r="F3" i="28"/>
  <c r="B3" i="28"/>
  <c r="D3" i="28"/>
  <c r="C3" i="28"/>
  <c r="E3" i="28"/>
  <c r="E107" i="86"/>
  <c r="H282" i="68"/>
  <c r="D107" i="86"/>
  <c r="D91" i="86"/>
  <c r="D27" i="86"/>
  <c r="AF27" i="86" s="1"/>
  <c r="D67" i="86"/>
  <c r="AF67" i="86" s="1"/>
  <c r="N44" i="8"/>
  <c r="O44" i="8"/>
  <c r="N105" i="8"/>
  <c r="E106" i="86" s="1"/>
  <c r="H106" i="86" s="1"/>
  <c r="O105" i="8"/>
  <c r="N43" i="8"/>
  <c r="O43" i="8"/>
  <c r="N4" i="8"/>
  <c r="O4" i="8"/>
  <c r="N67" i="8"/>
  <c r="O67" i="8"/>
  <c r="Q5" i="86"/>
  <c r="Q6" i="86" s="1"/>
  <c r="Q7" i="86" s="1"/>
  <c r="Q8" i="86" s="1"/>
  <c r="Q9" i="86" s="1"/>
  <c r="Q10" i="86" s="1"/>
  <c r="Q11" i="86" s="1"/>
  <c r="Q12" i="86" s="1"/>
  <c r="Q13" i="86" s="1"/>
  <c r="Q14" i="86" s="1"/>
  <c r="Q15" i="86" s="1"/>
  <c r="Q16" i="86" s="1"/>
  <c r="Q17" i="86" s="1"/>
  <c r="Q18" i="86" s="1"/>
  <c r="Q19" i="86" s="1"/>
  <c r="Q20" i="86" s="1"/>
  <c r="Q21" i="86" s="1"/>
  <c r="Q22" i="86" s="1"/>
  <c r="Q23" i="86" s="1"/>
  <c r="Q24" i="86" s="1"/>
  <c r="Q25" i="86" s="1"/>
  <c r="Q26" i="86" s="1"/>
  <c r="Q27" i="86" s="1"/>
  <c r="Q28" i="86" s="1"/>
  <c r="Q29" i="86" s="1"/>
  <c r="Q30" i="86" s="1"/>
  <c r="Q31" i="86" s="1"/>
  <c r="Q32" i="86" s="1"/>
  <c r="Q33" i="86" s="1"/>
  <c r="Q34" i="86" s="1"/>
  <c r="Q35" i="86" s="1"/>
  <c r="Q36" i="86" s="1"/>
  <c r="Q37" i="86" s="1"/>
  <c r="Q38" i="86" s="1"/>
  <c r="Q39" i="86" s="1"/>
  <c r="Q40" i="86" s="1"/>
  <c r="Q41" i="86" s="1"/>
  <c r="Q42" i="86" s="1"/>
  <c r="Q43" i="86" s="1"/>
  <c r="Q44" i="86" s="1"/>
  <c r="Q45" i="86" s="1"/>
  <c r="Q46" i="86" s="1"/>
  <c r="Q47" i="86" s="1"/>
  <c r="Q48" i="86" s="1"/>
  <c r="Q49" i="86" s="1"/>
  <c r="Q50" i="86" s="1"/>
  <c r="Q51" i="86" s="1"/>
  <c r="Q52" i="86" s="1"/>
  <c r="Q53" i="86" s="1"/>
  <c r="Q54" i="86" s="1"/>
  <c r="Q55" i="86" s="1"/>
  <c r="Q56" i="86" s="1"/>
  <c r="Q57" i="86" s="1"/>
  <c r="Q58" i="86" s="1"/>
  <c r="Q59" i="86" s="1"/>
  <c r="Q60" i="86" s="1"/>
  <c r="Q61" i="86" s="1"/>
  <c r="Q62" i="86" s="1"/>
  <c r="Q63" i="86" s="1"/>
  <c r="Q64" i="86" s="1"/>
  <c r="Q65" i="86" s="1"/>
  <c r="AM5" i="86"/>
  <c r="AM6" i="86" s="1"/>
  <c r="AM7" i="86" s="1"/>
  <c r="AM8" i="86" s="1"/>
  <c r="AM9" i="86" s="1"/>
  <c r="AM10" i="86" s="1"/>
  <c r="AM11" i="86" s="1"/>
  <c r="AM12" i="86" s="1"/>
  <c r="AM13" i="86" s="1"/>
  <c r="AM14" i="86" s="1"/>
  <c r="AM15" i="86" s="1"/>
  <c r="AM16" i="86" s="1"/>
  <c r="AM17" i="86" s="1"/>
  <c r="AM18" i="86" s="1"/>
  <c r="AM19" i="86" s="1"/>
  <c r="AM20" i="86" s="1"/>
  <c r="AM21" i="86" s="1"/>
  <c r="AM22" i="86" s="1"/>
  <c r="AM23" i="86" s="1"/>
  <c r="AM24" i="86" s="1"/>
  <c r="AM25" i="86" s="1"/>
  <c r="AM26" i="86" s="1"/>
  <c r="AM27" i="86" s="1"/>
  <c r="AM28" i="86" s="1"/>
  <c r="AM29" i="86" s="1"/>
  <c r="AM30" i="86" s="1"/>
  <c r="AM31" i="86" s="1"/>
  <c r="AM32" i="86" s="1"/>
  <c r="AM33" i="86" s="1"/>
  <c r="AM34" i="86" s="1"/>
  <c r="AM35" i="86" s="1"/>
  <c r="AM36" i="86" s="1"/>
  <c r="AM37" i="86" s="1"/>
  <c r="AM38" i="86" s="1"/>
  <c r="AM39" i="86" s="1"/>
  <c r="AM40" i="86" s="1"/>
  <c r="AM41" i="86" s="1"/>
  <c r="AM42" i="86" s="1"/>
  <c r="AM43" i="86" s="1"/>
  <c r="AM44" i="86" s="1"/>
  <c r="AM45" i="86" s="1"/>
  <c r="AM46" i="86" s="1"/>
  <c r="AM47" i="86" s="1"/>
  <c r="AM48" i="86" s="1"/>
  <c r="AM49" i="86" s="1"/>
  <c r="AM50" i="86" s="1"/>
  <c r="AM51" i="86" s="1"/>
  <c r="AM52" i="86" s="1"/>
  <c r="AM53" i="86" s="1"/>
  <c r="AM54" i="86" s="1"/>
  <c r="AM55" i="86" s="1"/>
  <c r="AM56" i="86" s="1"/>
  <c r="AM57" i="86" s="1"/>
  <c r="AM58" i="86" s="1"/>
  <c r="AM59" i="86" s="1"/>
  <c r="AM60" i="86" s="1"/>
  <c r="AM61" i="86" s="1"/>
  <c r="AM62" i="86" s="1"/>
  <c r="AM63" i="86" s="1"/>
  <c r="AM64" i="86" s="1"/>
  <c r="AM65" i="86" s="1"/>
  <c r="L8" i="8"/>
  <c r="L40" i="8"/>
  <c r="L72" i="8"/>
  <c r="L104" i="8"/>
  <c r="L38" i="8"/>
  <c r="L9" i="8"/>
  <c r="L41" i="8"/>
  <c r="L73" i="8"/>
  <c r="L99" i="8"/>
  <c r="L18" i="8"/>
  <c r="L42" i="8"/>
  <c r="L70" i="8"/>
  <c r="L19" i="8"/>
  <c r="L51" i="8"/>
  <c r="L83" i="8"/>
  <c r="L12" i="8"/>
  <c r="L76" i="8"/>
  <c r="L108" i="8"/>
  <c r="L29" i="8"/>
  <c r="L61" i="8"/>
  <c r="L93" i="8"/>
  <c r="L14" i="8"/>
  <c r="L7" i="8"/>
  <c r="L39" i="8"/>
  <c r="L71" i="8"/>
  <c r="L103" i="8"/>
  <c r="L114" i="8"/>
  <c r="L16" i="8"/>
  <c r="L17" i="8"/>
  <c r="L118" i="8"/>
  <c r="L59" i="8"/>
  <c r="L52" i="8"/>
  <c r="L116" i="8"/>
  <c r="L62" i="8"/>
  <c r="L115" i="8"/>
  <c r="L80" i="8"/>
  <c r="L86" i="8"/>
  <c r="L81" i="8"/>
  <c r="L113" i="8"/>
  <c r="L74" i="8"/>
  <c r="L20" i="8"/>
  <c r="L37" i="8"/>
  <c r="L47" i="8"/>
  <c r="L24" i="8"/>
  <c r="L56" i="8"/>
  <c r="L88" i="8"/>
  <c r="L120" i="8"/>
  <c r="L25" i="8"/>
  <c r="L57" i="8"/>
  <c r="L89" i="8"/>
  <c r="L54" i="8"/>
  <c r="L58" i="8"/>
  <c r="L35" i="8"/>
  <c r="L107" i="8"/>
  <c r="L28" i="8"/>
  <c r="L60" i="8"/>
  <c r="L92" i="8"/>
  <c r="L46" i="8"/>
  <c r="L13" i="8"/>
  <c r="L45" i="8"/>
  <c r="L77" i="8"/>
  <c r="L109" i="8"/>
  <c r="L110" i="8"/>
  <c r="L23" i="8"/>
  <c r="L55" i="8"/>
  <c r="L87" i="8"/>
  <c r="L119" i="8"/>
  <c r="L30" i="8"/>
  <c r="L112" i="8"/>
  <c r="L50" i="8"/>
  <c r="L27" i="8"/>
  <c r="L91" i="8"/>
  <c r="L84" i="8"/>
  <c r="L5" i="8"/>
  <c r="L101" i="8"/>
  <c r="L15" i="8"/>
  <c r="L79" i="8"/>
  <c r="L48" i="8"/>
  <c r="L49" i="8"/>
  <c r="L6" i="8"/>
  <c r="L69" i="8"/>
  <c r="L111" i="8"/>
  <c r="L32" i="8"/>
  <c r="L64" i="8"/>
  <c r="L96" i="8"/>
  <c r="L33" i="8"/>
  <c r="L65" i="8"/>
  <c r="L97" i="8"/>
  <c r="L82" i="8"/>
  <c r="L102" i="8"/>
  <c r="L10" i="8"/>
  <c r="L34" i="8"/>
  <c r="L22" i="8"/>
  <c r="L11" i="8"/>
  <c r="L75" i="8"/>
  <c r="L36" i="8"/>
  <c r="L68" i="8"/>
  <c r="L100" i="8"/>
  <c r="L94" i="8"/>
  <c r="L21" i="8"/>
  <c r="L53" i="8"/>
  <c r="L85" i="8"/>
  <c r="L117" i="8"/>
  <c r="L31" i="8"/>
  <c r="L63" i="8"/>
  <c r="L95" i="8"/>
  <c r="L98" i="8"/>
  <c r="L78" i="8"/>
  <c r="C44" i="66"/>
  <c r="C46" i="66" l="1"/>
  <c r="C45" i="66" s="1"/>
  <c r="C10" i="21" s="1"/>
  <c r="AF107" i="86"/>
  <c r="G27" i="86"/>
  <c r="H107" i="86"/>
  <c r="AF91" i="86"/>
  <c r="G107" i="86"/>
  <c r="E68" i="86"/>
  <c r="E45" i="86"/>
  <c r="C85" i="32"/>
  <c r="D85" i="32"/>
  <c r="B85" i="32"/>
  <c r="E85" i="32"/>
  <c r="F85" i="32"/>
  <c r="B85" i="28"/>
  <c r="E85" i="28"/>
  <c r="C85" i="28"/>
  <c r="D85" i="28"/>
  <c r="F85" i="28"/>
  <c r="B16" i="32"/>
  <c r="C16" i="32"/>
  <c r="D16" i="32"/>
  <c r="E16" i="32"/>
  <c r="B16" i="28"/>
  <c r="F16" i="32"/>
  <c r="C16" i="28"/>
  <c r="D16" i="28"/>
  <c r="E16" i="28"/>
  <c r="F16" i="28"/>
  <c r="E92" i="32"/>
  <c r="F92" i="32"/>
  <c r="E92" i="28"/>
  <c r="B92" i="32"/>
  <c r="C92" i="32"/>
  <c r="B92" i="28"/>
  <c r="C92" i="28"/>
  <c r="D92" i="28"/>
  <c r="D92" i="32"/>
  <c r="F92" i="28"/>
  <c r="B18" i="32"/>
  <c r="C18" i="32"/>
  <c r="B18" i="28"/>
  <c r="C18" i="28"/>
  <c r="D18" i="32"/>
  <c r="D18" i="28"/>
  <c r="F18" i="32"/>
  <c r="F18" i="28"/>
  <c r="E18" i="32"/>
  <c r="E18" i="28"/>
  <c r="B37" i="32"/>
  <c r="C37" i="32"/>
  <c r="D37" i="32"/>
  <c r="E37" i="32"/>
  <c r="F37" i="32"/>
  <c r="C37" i="28"/>
  <c r="D37" i="28"/>
  <c r="E37" i="28"/>
  <c r="B37" i="28"/>
  <c r="F37" i="28"/>
  <c r="B29" i="32"/>
  <c r="C29" i="32"/>
  <c r="D29" i="32"/>
  <c r="E29" i="32"/>
  <c r="B29" i="28"/>
  <c r="F29" i="32"/>
  <c r="C29" i="28"/>
  <c r="D29" i="28"/>
  <c r="E29" i="28"/>
  <c r="F29" i="28"/>
  <c r="F95" i="32"/>
  <c r="B95" i="32"/>
  <c r="C95" i="32"/>
  <c r="D95" i="32"/>
  <c r="B95" i="28"/>
  <c r="C95" i="28"/>
  <c r="D95" i="28"/>
  <c r="E95" i="28"/>
  <c r="F95" i="28"/>
  <c r="E95" i="32"/>
  <c r="F55" i="32"/>
  <c r="B55" i="32"/>
  <c r="F55" i="28"/>
  <c r="C55" i="32"/>
  <c r="D55" i="32"/>
  <c r="E55" i="32"/>
  <c r="B55" i="28"/>
  <c r="C55" i="28"/>
  <c r="E55" i="28"/>
  <c r="D55" i="28"/>
  <c r="F63" i="32"/>
  <c r="B63" i="32"/>
  <c r="F63" i="28"/>
  <c r="C63" i="32"/>
  <c r="D63" i="32"/>
  <c r="E63" i="32"/>
  <c r="B63" i="28"/>
  <c r="C63" i="28"/>
  <c r="E63" i="28"/>
  <c r="D63" i="28"/>
  <c r="F79" i="32"/>
  <c r="B79" i="32"/>
  <c r="F79" i="28"/>
  <c r="C79" i="32"/>
  <c r="B79" i="28"/>
  <c r="D79" i="32"/>
  <c r="C79" i="28"/>
  <c r="E79" i="32"/>
  <c r="D79" i="28"/>
  <c r="E79" i="28"/>
  <c r="D97" i="32"/>
  <c r="E97" i="32"/>
  <c r="B97" i="32"/>
  <c r="C97" i="32"/>
  <c r="F97" i="32"/>
  <c r="B97" i="28"/>
  <c r="C97" i="28"/>
  <c r="D97" i="28"/>
  <c r="E97" i="28"/>
  <c r="F97" i="28"/>
  <c r="F31" i="32"/>
  <c r="B31" i="32"/>
  <c r="F31" i="28"/>
  <c r="B31" i="28"/>
  <c r="C31" i="32"/>
  <c r="C31" i="28"/>
  <c r="E31" i="32"/>
  <c r="E31" i="28"/>
  <c r="D31" i="28"/>
  <c r="D31" i="32"/>
  <c r="B53" i="32"/>
  <c r="C53" i="32"/>
  <c r="D53" i="32"/>
  <c r="F53" i="32"/>
  <c r="C53" i="28"/>
  <c r="D53" i="28"/>
  <c r="E53" i="28"/>
  <c r="E53" i="32"/>
  <c r="B53" i="28"/>
  <c r="F53" i="28"/>
  <c r="F71" i="32"/>
  <c r="B71" i="32"/>
  <c r="C71" i="32"/>
  <c r="F71" i="28"/>
  <c r="D71" i="32"/>
  <c r="E71" i="32"/>
  <c r="B71" i="28"/>
  <c r="C71" i="28"/>
  <c r="E71" i="28"/>
  <c r="D71" i="28"/>
  <c r="C94" i="32"/>
  <c r="D94" i="32"/>
  <c r="F94" i="32"/>
  <c r="B94" i="32"/>
  <c r="E94" i="32"/>
  <c r="B94" i="28"/>
  <c r="E94" i="28"/>
  <c r="C94" i="28"/>
  <c r="D94" i="28"/>
  <c r="F94" i="28"/>
  <c r="B101" i="32"/>
  <c r="C101" i="32"/>
  <c r="D101" i="32"/>
  <c r="E101" i="32"/>
  <c r="F101" i="32"/>
  <c r="D101" i="28"/>
  <c r="E101" i="28"/>
  <c r="F101" i="28"/>
  <c r="B101" i="28"/>
  <c r="C101" i="28"/>
  <c r="E4" i="32"/>
  <c r="F4" i="32"/>
  <c r="B4" i="32"/>
  <c r="C4" i="32"/>
  <c r="D4" i="32"/>
  <c r="E4" i="28"/>
  <c r="F4" i="28"/>
  <c r="B4" i="28"/>
  <c r="D4" i="28"/>
  <c r="C4" i="28"/>
  <c r="C86" i="32"/>
  <c r="D86" i="32"/>
  <c r="F86" i="32"/>
  <c r="C86" i="28"/>
  <c r="E86" i="32"/>
  <c r="B86" i="28"/>
  <c r="D86" i="28"/>
  <c r="E86" i="28"/>
  <c r="B86" i="32"/>
  <c r="F86" i="28"/>
  <c r="B45" i="32"/>
  <c r="C45" i="32"/>
  <c r="D45" i="32"/>
  <c r="E45" i="32"/>
  <c r="F45" i="32"/>
  <c r="C45" i="28"/>
  <c r="D45" i="28"/>
  <c r="E45" i="28"/>
  <c r="B45" i="28"/>
  <c r="F45" i="28"/>
  <c r="B88" i="32"/>
  <c r="D88" i="32"/>
  <c r="E88" i="32"/>
  <c r="C88" i="32"/>
  <c r="F88" i="32"/>
  <c r="B88" i="28"/>
  <c r="C88" i="28"/>
  <c r="D88" i="28"/>
  <c r="E88" i="28"/>
  <c r="F88" i="28"/>
  <c r="E36" i="32"/>
  <c r="F36" i="32"/>
  <c r="D36" i="32"/>
  <c r="E36" i="28"/>
  <c r="F36" i="28"/>
  <c r="B36" i="28"/>
  <c r="C36" i="32"/>
  <c r="D36" i="28"/>
  <c r="C36" i="28"/>
  <c r="B36" i="32"/>
  <c r="B61" i="32"/>
  <c r="C61" i="32"/>
  <c r="D61" i="32"/>
  <c r="C61" i="28"/>
  <c r="D61" i="28"/>
  <c r="E61" i="28"/>
  <c r="F61" i="32"/>
  <c r="B61" i="28"/>
  <c r="F61" i="28"/>
  <c r="E61" i="32"/>
  <c r="D102" i="32"/>
  <c r="E102" i="32"/>
  <c r="F102" i="32"/>
  <c r="C102" i="32"/>
  <c r="E102" i="28"/>
  <c r="B102" i="32"/>
  <c r="B102" i="28"/>
  <c r="C102" i="28"/>
  <c r="D102" i="28"/>
  <c r="F102" i="28"/>
  <c r="C107" i="32"/>
  <c r="D107" i="32"/>
  <c r="E107" i="32"/>
  <c r="F107" i="32"/>
  <c r="B107" i="32"/>
  <c r="F107" i="28"/>
  <c r="B107" i="28"/>
  <c r="D107" i="28"/>
  <c r="C107" i="28"/>
  <c r="E107" i="28"/>
  <c r="D17" i="32"/>
  <c r="E17" i="32"/>
  <c r="F17" i="32"/>
  <c r="D17" i="28"/>
  <c r="E17" i="28"/>
  <c r="F17" i="28"/>
  <c r="B17" i="32"/>
  <c r="C17" i="32"/>
  <c r="C17" i="28"/>
  <c r="B17" i="28"/>
  <c r="F39" i="32"/>
  <c r="B39" i="32"/>
  <c r="F39" i="28"/>
  <c r="C39" i="32"/>
  <c r="B39" i="28"/>
  <c r="D39" i="32"/>
  <c r="C39" i="28"/>
  <c r="E39" i="28"/>
  <c r="E39" i="32"/>
  <c r="D39" i="28"/>
  <c r="E5" i="86"/>
  <c r="C78" i="32"/>
  <c r="D78" i="32"/>
  <c r="F78" i="32"/>
  <c r="C78" i="28"/>
  <c r="B78" i="32"/>
  <c r="E78" i="32"/>
  <c r="B78" i="28"/>
  <c r="D78" i="28"/>
  <c r="E78" i="28"/>
  <c r="F78" i="28"/>
  <c r="C77" i="32"/>
  <c r="D77" i="32"/>
  <c r="E77" i="32"/>
  <c r="F77" i="32"/>
  <c r="D77" i="28"/>
  <c r="E77" i="28"/>
  <c r="B77" i="32"/>
  <c r="B77" i="28"/>
  <c r="C77" i="28"/>
  <c r="F77" i="28"/>
  <c r="C14" i="32"/>
  <c r="D14" i="32"/>
  <c r="E14" i="32"/>
  <c r="F14" i="32"/>
  <c r="C14" i="28"/>
  <c r="D14" i="28"/>
  <c r="E14" i="28"/>
  <c r="F14" i="28"/>
  <c r="B14" i="32"/>
  <c r="B14" i="28"/>
  <c r="E60" i="32"/>
  <c r="F60" i="32"/>
  <c r="E60" i="28"/>
  <c r="F60" i="28"/>
  <c r="B60" i="32"/>
  <c r="C60" i="32"/>
  <c r="D60" i="32"/>
  <c r="B60" i="28"/>
  <c r="D60" i="28"/>
  <c r="C60" i="28"/>
  <c r="D118" i="32"/>
  <c r="E118" i="32"/>
  <c r="F118" i="32"/>
  <c r="C118" i="32"/>
  <c r="B118" i="32"/>
  <c r="B118" i="28"/>
  <c r="C118" i="28"/>
  <c r="E118" i="28"/>
  <c r="D118" i="28"/>
  <c r="F118" i="28"/>
  <c r="E113" i="32"/>
  <c r="F113" i="32"/>
  <c r="B113" i="32"/>
  <c r="D113" i="32"/>
  <c r="C113" i="32"/>
  <c r="B113" i="28"/>
  <c r="C113" i="28"/>
  <c r="D113" i="28"/>
  <c r="E113" i="28"/>
  <c r="F113" i="28"/>
  <c r="C99" i="32"/>
  <c r="D99" i="32"/>
  <c r="E99" i="32"/>
  <c r="F99" i="32"/>
  <c r="B99" i="32"/>
  <c r="F99" i="28"/>
  <c r="B99" i="28"/>
  <c r="D99" i="28"/>
  <c r="C99" i="28"/>
  <c r="E99" i="28"/>
  <c r="D110" i="32"/>
  <c r="E110" i="32"/>
  <c r="F110" i="32"/>
  <c r="C110" i="32"/>
  <c r="B110" i="28"/>
  <c r="E110" i="28"/>
  <c r="C110" i="28"/>
  <c r="B110" i="32"/>
  <c r="D110" i="28"/>
  <c r="F110" i="28"/>
  <c r="C62" i="32"/>
  <c r="D62" i="32"/>
  <c r="E62" i="32"/>
  <c r="F62" i="32"/>
  <c r="B62" i="32"/>
  <c r="C62" i="28"/>
  <c r="D62" i="28"/>
  <c r="F62" i="28"/>
  <c r="B62" i="28"/>
  <c r="E62" i="28"/>
  <c r="B67" i="32"/>
  <c r="C67" i="32"/>
  <c r="D67" i="32"/>
  <c r="E67" i="32"/>
  <c r="F67" i="32"/>
  <c r="B67" i="28"/>
  <c r="C67" i="28"/>
  <c r="F67" i="28"/>
  <c r="E67" i="28"/>
  <c r="D67" i="28"/>
  <c r="D81" i="32"/>
  <c r="E81" i="32"/>
  <c r="D81" i="28"/>
  <c r="B81" i="32"/>
  <c r="C81" i="32"/>
  <c r="F81" i="32"/>
  <c r="B81" i="28"/>
  <c r="C81" i="28"/>
  <c r="E81" i="28"/>
  <c r="F81" i="28"/>
  <c r="E68" i="32"/>
  <c r="F68" i="32"/>
  <c r="E68" i="28"/>
  <c r="F68" i="28"/>
  <c r="B68" i="32"/>
  <c r="C68" i="32"/>
  <c r="D68" i="32"/>
  <c r="B68" i="28"/>
  <c r="D68" i="28"/>
  <c r="C68" i="28"/>
  <c r="B83" i="32"/>
  <c r="C83" i="32"/>
  <c r="E83" i="32"/>
  <c r="F83" i="32"/>
  <c r="B83" i="28"/>
  <c r="D83" i="32"/>
  <c r="C83" i="28"/>
  <c r="D83" i="28"/>
  <c r="F83" i="28"/>
  <c r="E83" i="28"/>
  <c r="C54" i="32"/>
  <c r="D54" i="32"/>
  <c r="E54" i="32"/>
  <c r="F54" i="32"/>
  <c r="C54" i="28"/>
  <c r="B54" i="32"/>
  <c r="D54" i="28"/>
  <c r="F54" i="28"/>
  <c r="B54" i="28"/>
  <c r="E54" i="28"/>
  <c r="B91" i="32"/>
  <c r="C91" i="32"/>
  <c r="E91" i="32"/>
  <c r="F91" i="32"/>
  <c r="B91" i="28"/>
  <c r="D91" i="32"/>
  <c r="E91" i="28"/>
  <c r="F91" i="28"/>
  <c r="C91" i="28"/>
  <c r="D91" i="28"/>
  <c r="B56" i="32"/>
  <c r="C56" i="32"/>
  <c r="D56" i="32"/>
  <c r="E56" i="32"/>
  <c r="B56" i="28"/>
  <c r="D56" i="28"/>
  <c r="E56" i="28"/>
  <c r="F56" i="32"/>
  <c r="F56" i="28"/>
  <c r="C56" i="28"/>
  <c r="B19" i="32"/>
  <c r="C19" i="32"/>
  <c r="D19" i="32"/>
  <c r="E19" i="32"/>
  <c r="F19" i="32"/>
  <c r="B19" i="28"/>
  <c r="C19" i="28"/>
  <c r="D19" i="28"/>
  <c r="E19" i="28"/>
  <c r="F19" i="28"/>
  <c r="C115" i="32"/>
  <c r="D115" i="32"/>
  <c r="E115" i="32"/>
  <c r="F115" i="32"/>
  <c r="B115" i="32"/>
  <c r="F115" i="28"/>
  <c r="D115" i="28"/>
  <c r="B115" i="28"/>
  <c r="C115" i="28"/>
  <c r="E115" i="28"/>
  <c r="C70" i="32"/>
  <c r="D70" i="32"/>
  <c r="E70" i="32"/>
  <c r="F70" i="32"/>
  <c r="C70" i="28"/>
  <c r="D70" i="28"/>
  <c r="B70" i="32"/>
  <c r="B70" i="28"/>
  <c r="E70" i="28"/>
  <c r="F70" i="28"/>
  <c r="B75" i="32"/>
  <c r="C75" i="32"/>
  <c r="E75" i="32"/>
  <c r="F75" i="32"/>
  <c r="B75" i="28"/>
  <c r="C75" i="28"/>
  <c r="D75" i="32"/>
  <c r="F75" i="28"/>
  <c r="D75" i="28"/>
  <c r="E75" i="28"/>
  <c r="B98" i="32"/>
  <c r="C98" i="32"/>
  <c r="D98" i="32"/>
  <c r="E98" i="32"/>
  <c r="C98" i="28"/>
  <c r="D98" i="28"/>
  <c r="E98" i="28"/>
  <c r="F98" i="28"/>
  <c r="F98" i="32"/>
  <c r="B98" i="28"/>
  <c r="F7" i="32"/>
  <c r="B7" i="32"/>
  <c r="C7" i="32"/>
  <c r="E7" i="32"/>
  <c r="F7" i="28"/>
  <c r="D7" i="32"/>
  <c r="B7" i="28"/>
  <c r="C7" i="28"/>
  <c r="E7" i="28"/>
  <c r="D7" i="28"/>
  <c r="B21" i="32"/>
  <c r="C21" i="32"/>
  <c r="D21" i="32"/>
  <c r="B21" i="28"/>
  <c r="E21" i="32"/>
  <c r="C21" i="28"/>
  <c r="F21" i="32"/>
  <c r="D21" i="28"/>
  <c r="E21" i="28"/>
  <c r="F21" i="28"/>
  <c r="E76" i="32"/>
  <c r="F76" i="32"/>
  <c r="E76" i="28"/>
  <c r="F76" i="28"/>
  <c r="B76" i="32"/>
  <c r="C76" i="32"/>
  <c r="B76" i="28"/>
  <c r="D76" i="32"/>
  <c r="C76" i="28"/>
  <c r="D76" i="28"/>
  <c r="D33" i="32"/>
  <c r="E33" i="32"/>
  <c r="F33" i="32"/>
  <c r="D33" i="28"/>
  <c r="B33" i="32"/>
  <c r="E33" i="28"/>
  <c r="C33" i="32"/>
  <c r="C33" i="28"/>
  <c r="F33" i="28"/>
  <c r="B33" i="28"/>
  <c r="D57" i="32"/>
  <c r="E57" i="32"/>
  <c r="F57" i="32"/>
  <c r="D57" i="28"/>
  <c r="E57" i="28"/>
  <c r="C57" i="32"/>
  <c r="C57" i="28"/>
  <c r="B57" i="32"/>
  <c r="B57" i="28"/>
  <c r="F57" i="28"/>
  <c r="F15" i="32"/>
  <c r="B15" i="32"/>
  <c r="C15" i="32"/>
  <c r="D15" i="32"/>
  <c r="F15" i="28"/>
  <c r="E15" i="32"/>
  <c r="B15" i="28"/>
  <c r="C15" i="28"/>
  <c r="E15" i="28"/>
  <c r="D15" i="28"/>
  <c r="B69" i="32"/>
  <c r="C69" i="32"/>
  <c r="D69" i="32"/>
  <c r="D69" i="28"/>
  <c r="E69" i="32"/>
  <c r="E69" i="28"/>
  <c r="B69" i="28"/>
  <c r="C69" i="28"/>
  <c r="F69" i="28"/>
  <c r="F69" i="32"/>
  <c r="C93" i="32"/>
  <c r="D93" i="32"/>
  <c r="E93" i="32"/>
  <c r="F93" i="32"/>
  <c r="B93" i="32"/>
  <c r="D93" i="28"/>
  <c r="E93" i="28"/>
  <c r="F93" i="28"/>
  <c r="B93" i="28"/>
  <c r="C93" i="28"/>
  <c r="D9" i="32"/>
  <c r="E9" i="32"/>
  <c r="F9" i="32"/>
  <c r="C9" i="32"/>
  <c r="D9" i="28"/>
  <c r="E9" i="28"/>
  <c r="F9" i="28"/>
  <c r="B9" i="32"/>
  <c r="C9" i="28"/>
  <c r="B9" i="28"/>
  <c r="E12" i="32"/>
  <c r="F12" i="32"/>
  <c r="B12" i="32"/>
  <c r="D12" i="32"/>
  <c r="E12" i="28"/>
  <c r="F12" i="28"/>
  <c r="C12" i="32"/>
  <c r="B12" i="28"/>
  <c r="D12" i="28"/>
  <c r="C12" i="28"/>
  <c r="C46" i="32"/>
  <c r="D46" i="32"/>
  <c r="E46" i="32"/>
  <c r="F46" i="32"/>
  <c r="C46" i="28"/>
  <c r="D46" i="28"/>
  <c r="B46" i="32"/>
  <c r="F46" i="28"/>
  <c r="B46" i="28"/>
  <c r="E46" i="28"/>
  <c r="D41" i="32"/>
  <c r="E41" i="32"/>
  <c r="F41" i="32"/>
  <c r="B41" i="32"/>
  <c r="D41" i="28"/>
  <c r="C41" i="32"/>
  <c r="E41" i="28"/>
  <c r="C41" i="28"/>
  <c r="B41" i="28"/>
  <c r="F41" i="28"/>
  <c r="C30" i="32"/>
  <c r="D30" i="32"/>
  <c r="E30" i="32"/>
  <c r="F30" i="32"/>
  <c r="C30" i="28"/>
  <c r="D30" i="28"/>
  <c r="E30" i="28"/>
  <c r="F30" i="28"/>
  <c r="B30" i="32"/>
  <c r="B30" i="28"/>
  <c r="B35" i="32"/>
  <c r="C35" i="32"/>
  <c r="D35" i="32"/>
  <c r="E35" i="32"/>
  <c r="F35" i="32"/>
  <c r="B35" i="28"/>
  <c r="C35" i="28"/>
  <c r="E35" i="28"/>
  <c r="F35" i="28"/>
  <c r="D35" i="28"/>
  <c r="B96" i="32"/>
  <c r="D96" i="32"/>
  <c r="E96" i="32"/>
  <c r="F96" i="32"/>
  <c r="C96" i="32"/>
  <c r="E96" i="28"/>
  <c r="F96" i="28"/>
  <c r="B96" i="28"/>
  <c r="C96" i="28"/>
  <c r="D96" i="28"/>
  <c r="B5" i="32"/>
  <c r="C5" i="32"/>
  <c r="D5" i="32"/>
  <c r="E5" i="32"/>
  <c r="F5" i="32"/>
  <c r="B5" i="28"/>
  <c r="C5" i="28"/>
  <c r="D5" i="28"/>
  <c r="E5" i="28"/>
  <c r="F5" i="28"/>
  <c r="B90" i="32"/>
  <c r="C90" i="32"/>
  <c r="D90" i="32"/>
  <c r="E90" i="32"/>
  <c r="F90" i="32"/>
  <c r="B90" i="28"/>
  <c r="C90" i="28"/>
  <c r="D90" i="28"/>
  <c r="E90" i="28"/>
  <c r="F90" i="28"/>
  <c r="C22" i="32"/>
  <c r="D22" i="32"/>
  <c r="E22" i="32"/>
  <c r="F22" i="32"/>
  <c r="C22" i="28"/>
  <c r="D22" i="28"/>
  <c r="E22" i="28"/>
  <c r="F22" i="28"/>
  <c r="B22" i="32"/>
  <c r="B22" i="28"/>
  <c r="B59" i="32"/>
  <c r="C59" i="32"/>
  <c r="D59" i="32"/>
  <c r="E59" i="32"/>
  <c r="F59" i="32"/>
  <c r="B59" i="28"/>
  <c r="C59" i="28"/>
  <c r="E59" i="28"/>
  <c r="F59" i="28"/>
  <c r="D59" i="28"/>
  <c r="B24" i="32"/>
  <c r="C24" i="32"/>
  <c r="D24" i="32"/>
  <c r="E24" i="32"/>
  <c r="F24" i="32"/>
  <c r="B24" i="28"/>
  <c r="C24" i="28"/>
  <c r="D24" i="28"/>
  <c r="E24" i="28"/>
  <c r="F24" i="28"/>
  <c r="D73" i="32"/>
  <c r="E73" i="32"/>
  <c r="D73" i="28"/>
  <c r="E73" i="28"/>
  <c r="B73" i="32"/>
  <c r="F73" i="32"/>
  <c r="B73" i="28"/>
  <c r="C73" i="28"/>
  <c r="F73" i="28"/>
  <c r="C73" i="32"/>
  <c r="B51" i="32"/>
  <c r="C51" i="32"/>
  <c r="D51" i="32"/>
  <c r="E51" i="32"/>
  <c r="F51" i="32"/>
  <c r="B51" i="28"/>
  <c r="C51" i="28"/>
  <c r="E51" i="28"/>
  <c r="F51" i="28"/>
  <c r="D51" i="28"/>
  <c r="C38" i="32"/>
  <c r="D38" i="32"/>
  <c r="E38" i="32"/>
  <c r="F38" i="32"/>
  <c r="C38" i="28"/>
  <c r="D38" i="28"/>
  <c r="B38" i="32"/>
  <c r="F38" i="28"/>
  <c r="B38" i="28"/>
  <c r="E38" i="28"/>
  <c r="B11" i="32"/>
  <c r="C11" i="32"/>
  <c r="D11" i="32"/>
  <c r="E11" i="32"/>
  <c r="F11" i="32"/>
  <c r="B11" i="28"/>
  <c r="C11" i="28"/>
  <c r="D11" i="28"/>
  <c r="E11" i="28"/>
  <c r="F11" i="28"/>
  <c r="B72" i="32"/>
  <c r="D72" i="32"/>
  <c r="E72" i="32"/>
  <c r="B72" i="28"/>
  <c r="C72" i="32"/>
  <c r="F72" i="32"/>
  <c r="E72" i="28"/>
  <c r="F72" i="28"/>
  <c r="C72" i="28"/>
  <c r="D72" i="28"/>
  <c r="E44" i="86"/>
  <c r="B111" i="32"/>
  <c r="C111" i="32"/>
  <c r="D111" i="32"/>
  <c r="F111" i="32"/>
  <c r="B111" i="28"/>
  <c r="C111" i="28"/>
  <c r="D111" i="28"/>
  <c r="E111" i="28"/>
  <c r="F111" i="28"/>
  <c r="E111" i="32"/>
  <c r="E20" i="32"/>
  <c r="F20" i="32"/>
  <c r="B20" i="32"/>
  <c r="E20" i="28"/>
  <c r="C20" i="32"/>
  <c r="F20" i="28"/>
  <c r="D20" i="32"/>
  <c r="B20" i="28"/>
  <c r="D20" i="28"/>
  <c r="C20" i="28"/>
  <c r="E44" i="32"/>
  <c r="F44" i="32"/>
  <c r="E44" i="28"/>
  <c r="F44" i="28"/>
  <c r="B44" i="32"/>
  <c r="B44" i="28"/>
  <c r="D44" i="32"/>
  <c r="D44" i="28"/>
  <c r="C44" i="32"/>
  <c r="C44" i="28"/>
  <c r="F23" i="32"/>
  <c r="B23" i="32"/>
  <c r="E23" i="32"/>
  <c r="F23" i="28"/>
  <c r="B23" i="28"/>
  <c r="C23" i="28"/>
  <c r="D23" i="32"/>
  <c r="E23" i="28"/>
  <c r="D23" i="28"/>
  <c r="C23" i="32"/>
  <c r="B103" i="32"/>
  <c r="C103" i="32"/>
  <c r="D103" i="32"/>
  <c r="F103" i="32"/>
  <c r="B103" i="28"/>
  <c r="C103" i="28"/>
  <c r="E103" i="32"/>
  <c r="D103" i="28"/>
  <c r="E103" i="28"/>
  <c r="F103" i="28"/>
  <c r="F100" i="32"/>
  <c r="B100" i="32"/>
  <c r="C100" i="32"/>
  <c r="E100" i="32"/>
  <c r="D100" i="32"/>
  <c r="B100" i="28"/>
  <c r="C100" i="28"/>
  <c r="D100" i="28"/>
  <c r="E100" i="28"/>
  <c r="F100" i="28"/>
  <c r="B114" i="32"/>
  <c r="C114" i="32"/>
  <c r="D114" i="32"/>
  <c r="E114" i="32"/>
  <c r="C114" i="28"/>
  <c r="F114" i="32"/>
  <c r="D114" i="28"/>
  <c r="E114" i="28"/>
  <c r="F114" i="28"/>
  <c r="B114" i="28"/>
  <c r="E28" i="32"/>
  <c r="F28" i="32"/>
  <c r="C28" i="32"/>
  <c r="E28" i="28"/>
  <c r="D28" i="32"/>
  <c r="F28" i="28"/>
  <c r="B28" i="28"/>
  <c r="B28" i="32"/>
  <c r="D28" i="28"/>
  <c r="C28" i="28"/>
  <c r="F116" i="32"/>
  <c r="B116" i="32"/>
  <c r="C116" i="32"/>
  <c r="E116" i="32"/>
  <c r="B116" i="28"/>
  <c r="D116" i="32"/>
  <c r="C116" i="28"/>
  <c r="D116" i="28"/>
  <c r="E116" i="28"/>
  <c r="F116" i="28"/>
  <c r="B74" i="32"/>
  <c r="C74" i="32"/>
  <c r="D74" i="32"/>
  <c r="E74" i="32"/>
  <c r="F74" i="32"/>
  <c r="C74" i="28"/>
  <c r="D74" i="28"/>
  <c r="F74" i="28"/>
  <c r="B74" i="28"/>
  <c r="E74" i="28"/>
  <c r="B64" i="32"/>
  <c r="C64" i="32"/>
  <c r="D64" i="32"/>
  <c r="E64" i="32"/>
  <c r="B64" i="28"/>
  <c r="F64" i="32"/>
  <c r="E64" i="28"/>
  <c r="F64" i="28"/>
  <c r="C64" i="28"/>
  <c r="D64" i="28"/>
  <c r="B48" i="32"/>
  <c r="C48" i="32"/>
  <c r="D48" i="32"/>
  <c r="E48" i="32"/>
  <c r="B48" i="28"/>
  <c r="D48" i="28"/>
  <c r="E48" i="28"/>
  <c r="F48" i="28"/>
  <c r="F48" i="32"/>
  <c r="C48" i="28"/>
  <c r="B26" i="32"/>
  <c r="C26" i="32"/>
  <c r="B26" i="28"/>
  <c r="D26" i="32"/>
  <c r="C26" i="28"/>
  <c r="E26" i="32"/>
  <c r="D26" i="28"/>
  <c r="F26" i="28"/>
  <c r="E26" i="28"/>
  <c r="F26" i="32"/>
  <c r="B109" i="32"/>
  <c r="C109" i="32"/>
  <c r="D109" i="32"/>
  <c r="E109" i="32"/>
  <c r="F109" i="32"/>
  <c r="D109" i="28"/>
  <c r="E109" i="28"/>
  <c r="B109" i="28"/>
  <c r="F109" i="28"/>
  <c r="C109" i="28"/>
  <c r="B27" i="32"/>
  <c r="C27" i="32"/>
  <c r="D27" i="32"/>
  <c r="E27" i="32"/>
  <c r="F27" i="32"/>
  <c r="B27" i="28"/>
  <c r="C27" i="28"/>
  <c r="D27" i="28"/>
  <c r="E27" i="28"/>
  <c r="F27" i="28"/>
  <c r="B119" i="32"/>
  <c r="C119" i="32"/>
  <c r="D119" i="32"/>
  <c r="F119" i="32"/>
  <c r="B119" i="28"/>
  <c r="C119" i="28"/>
  <c r="D119" i="28"/>
  <c r="E119" i="28"/>
  <c r="E119" i="32"/>
  <c r="F119" i="28"/>
  <c r="B112" i="32"/>
  <c r="C112" i="32"/>
  <c r="D112" i="32"/>
  <c r="E112" i="32"/>
  <c r="F112" i="32"/>
  <c r="E112" i="28"/>
  <c r="F112" i="28"/>
  <c r="C112" i="28"/>
  <c r="B112" i="28"/>
  <c r="D112" i="28"/>
  <c r="B58" i="32"/>
  <c r="C58" i="32"/>
  <c r="D58" i="32"/>
  <c r="E58" i="32"/>
  <c r="F58" i="32"/>
  <c r="B58" i="28"/>
  <c r="C58" i="28"/>
  <c r="D58" i="28"/>
  <c r="F58" i="28"/>
  <c r="E58" i="28"/>
  <c r="C6" i="32"/>
  <c r="D6" i="32"/>
  <c r="E6" i="32"/>
  <c r="F6" i="32"/>
  <c r="B6" i="32"/>
  <c r="C6" i="28"/>
  <c r="D6" i="28"/>
  <c r="E6" i="28"/>
  <c r="F6" i="28"/>
  <c r="B6" i="28"/>
  <c r="B82" i="32"/>
  <c r="C82" i="32"/>
  <c r="D82" i="32"/>
  <c r="E82" i="32"/>
  <c r="D82" i="28"/>
  <c r="E82" i="28"/>
  <c r="F82" i="32"/>
  <c r="F82" i="28"/>
  <c r="B82" i="28"/>
  <c r="C82" i="28"/>
  <c r="B40" i="32"/>
  <c r="C40" i="32"/>
  <c r="D40" i="32"/>
  <c r="E40" i="32"/>
  <c r="B40" i="28"/>
  <c r="D40" i="28"/>
  <c r="E40" i="28"/>
  <c r="F40" i="28"/>
  <c r="F40" i="32"/>
  <c r="C40" i="28"/>
  <c r="E52" i="32"/>
  <c r="F52" i="32"/>
  <c r="E52" i="28"/>
  <c r="F52" i="28"/>
  <c r="B52" i="32"/>
  <c r="C52" i="32"/>
  <c r="B52" i="28"/>
  <c r="D52" i="28"/>
  <c r="D52" i="32"/>
  <c r="C52" i="28"/>
  <c r="B34" i="32"/>
  <c r="C34" i="32"/>
  <c r="D34" i="32"/>
  <c r="B34" i="28"/>
  <c r="E34" i="32"/>
  <c r="C34" i="28"/>
  <c r="F34" i="32"/>
  <c r="D34" i="28"/>
  <c r="F34" i="28"/>
  <c r="E34" i="28"/>
  <c r="E84" i="32"/>
  <c r="F84" i="32"/>
  <c r="B84" i="32"/>
  <c r="E84" i="28"/>
  <c r="C84" i="32"/>
  <c r="D84" i="32"/>
  <c r="C84" i="28"/>
  <c r="D84" i="28"/>
  <c r="F84" i="28"/>
  <c r="B84" i="28"/>
  <c r="B10" i="32"/>
  <c r="C10" i="32"/>
  <c r="D10" i="32"/>
  <c r="F10" i="32"/>
  <c r="B10" i="28"/>
  <c r="E10" i="32"/>
  <c r="C10" i="28"/>
  <c r="D10" i="28"/>
  <c r="F10" i="28"/>
  <c r="E10" i="28"/>
  <c r="B32" i="32"/>
  <c r="C32" i="32"/>
  <c r="D32" i="32"/>
  <c r="E32" i="32"/>
  <c r="F32" i="32"/>
  <c r="B32" i="28"/>
  <c r="C32" i="28"/>
  <c r="D32" i="28"/>
  <c r="E32" i="28"/>
  <c r="F32" i="28"/>
  <c r="F47" i="32"/>
  <c r="B47" i="32"/>
  <c r="F47" i="28"/>
  <c r="C47" i="32"/>
  <c r="D47" i="32"/>
  <c r="B47" i="28"/>
  <c r="E47" i="32"/>
  <c r="C47" i="28"/>
  <c r="E47" i="28"/>
  <c r="D47" i="28"/>
  <c r="D49" i="32"/>
  <c r="E49" i="32"/>
  <c r="F49" i="32"/>
  <c r="C49" i="32"/>
  <c r="D49" i="28"/>
  <c r="E49" i="28"/>
  <c r="B49" i="32"/>
  <c r="C49" i="28"/>
  <c r="B49" i="28"/>
  <c r="F49" i="28"/>
  <c r="F108" i="32"/>
  <c r="B108" i="32"/>
  <c r="C108" i="32"/>
  <c r="E108" i="32"/>
  <c r="B108" i="28"/>
  <c r="C108" i="28"/>
  <c r="D108" i="28"/>
  <c r="E108" i="28"/>
  <c r="D108" i="32"/>
  <c r="F108" i="28"/>
  <c r="B106" i="32"/>
  <c r="C106" i="32"/>
  <c r="D106" i="32"/>
  <c r="E106" i="32"/>
  <c r="C106" i="28"/>
  <c r="D106" i="28"/>
  <c r="E106" i="28"/>
  <c r="F106" i="28"/>
  <c r="F106" i="32"/>
  <c r="B106" i="28"/>
  <c r="F87" i="32"/>
  <c r="B87" i="32"/>
  <c r="C87" i="32"/>
  <c r="F87" i="28"/>
  <c r="D87" i="32"/>
  <c r="E87" i="32"/>
  <c r="B87" i="28"/>
  <c r="D87" i="28"/>
  <c r="C87" i="28"/>
  <c r="E87" i="28"/>
  <c r="B80" i="32"/>
  <c r="D80" i="32"/>
  <c r="E80" i="32"/>
  <c r="F80" i="32"/>
  <c r="F80" i="28"/>
  <c r="C80" i="32"/>
  <c r="D80" i="28"/>
  <c r="E80" i="28"/>
  <c r="B80" i="28"/>
  <c r="C80" i="28"/>
  <c r="B117" i="32"/>
  <c r="C117" i="32"/>
  <c r="D117" i="32"/>
  <c r="E117" i="32"/>
  <c r="F117" i="32"/>
  <c r="D117" i="28"/>
  <c r="E117" i="28"/>
  <c r="F117" i="28"/>
  <c r="B117" i="28"/>
  <c r="C117" i="28"/>
  <c r="B13" i="32"/>
  <c r="C13" i="32"/>
  <c r="D13" i="32"/>
  <c r="E13" i="32"/>
  <c r="B13" i="28"/>
  <c r="C13" i="28"/>
  <c r="D13" i="28"/>
  <c r="E13" i="28"/>
  <c r="F13" i="32"/>
  <c r="F13" i="28"/>
  <c r="B50" i="32"/>
  <c r="C50" i="32"/>
  <c r="D50" i="32"/>
  <c r="E50" i="32"/>
  <c r="F50" i="32"/>
  <c r="B50" i="28"/>
  <c r="C50" i="28"/>
  <c r="D50" i="28"/>
  <c r="F50" i="28"/>
  <c r="E50" i="28"/>
  <c r="B8" i="32"/>
  <c r="C8" i="32"/>
  <c r="D8" i="32"/>
  <c r="E8" i="32"/>
  <c r="F8" i="32"/>
  <c r="B8" i="28"/>
  <c r="C8" i="28"/>
  <c r="D8" i="28"/>
  <c r="E8" i="28"/>
  <c r="F8" i="28"/>
  <c r="D45" i="86"/>
  <c r="G45" i="86" s="1"/>
  <c r="D68" i="86"/>
  <c r="D44" i="86"/>
  <c r="G44" i="86" s="1"/>
  <c r="D106" i="86"/>
  <c r="AF106" i="86" s="1"/>
  <c r="D5" i="86"/>
  <c r="G5" i="86" s="1"/>
  <c r="O98" i="8"/>
  <c r="N98" i="8"/>
  <c r="O117" i="8"/>
  <c r="N117" i="8"/>
  <c r="O94" i="8"/>
  <c r="N94" i="8"/>
  <c r="O5" i="8"/>
  <c r="N5" i="8"/>
  <c r="E6" i="86" s="1"/>
  <c r="O50" i="8"/>
  <c r="N50" i="8"/>
  <c r="N109" i="8"/>
  <c r="O109" i="8"/>
  <c r="O46" i="8"/>
  <c r="N46" i="8"/>
  <c r="N47" i="8"/>
  <c r="O47" i="8"/>
  <c r="N113" i="8"/>
  <c r="O113" i="8"/>
  <c r="N115" i="8"/>
  <c r="O115" i="8"/>
  <c r="N59" i="8"/>
  <c r="O59" i="8"/>
  <c r="N7" i="8"/>
  <c r="O7" i="8"/>
  <c r="N83" i="8"/>
  <c r="O83" i="8"/>
  <c r="N72" i="8"/>
  <c r="O72" i="8"/>
  <c r="O34" i="8"/>
  <c r="N34" i="8"/>
  <c r="O97" i="8"/>
  <c r="N97" i="8"/>
  <c r="E98" i="86" s="1"/>
  <c r="N64" i="8"/>
  <c r="O64" i="8"/>
  <c r="N6" i="8"/>
  <c r="O6" i="8"/>
  <c r="N79" i="8"/>
  <c r="O79" i="8"/>
  <c r="N55" i="8"/>
  <c r="O55" i="8"/>
  <c r="O54" i="8"/>
  <c r="N54" i="8"/>
  <c r="N120" i="8"/>
  <c r="O120" i="8"/>
  <c r="O114" i="8"/>
  <c r="N114" i="8"/>
  <c r="N29" i="8"/>
  <c r="O29" i="8"/>
  <c r="O42" i="8"/>
  <c r="N42" i="8"/>
  <c r="N41" i="8"/>
  <c r="O41" i="8"/>
  <c r="N77" i="8"/>
  <c r="O77" i="8"/>
  <c r="N92" i="8"/>
  <c r="O92" i="8"/>
  <c r="N88" i="8"/>
  <c r="O88" i="8"/>
  <c r="N103" i="8"/>
  <c r="O103" i="8"/>
  <c r="N51" i="8"/>
  <c r="O51" i="8"/>
  <c r="N40" i="8"/>
  <c r="O40" i="8"/>
  <c r="N49" i="8"/>
  <c r="O49" i="8"/>
  <c r="O23" i="8"/>
  <c r="N23" i="8"/>
  <c r="N89" i="8"/>
  <c r="O89" i="8"/>
  <c r="N37" i="8"/>
  <c r="O37" i="8"/>
  <c r="N81" i="8"/>
  <c r="O81" i="8"/>
  <c r="O62" i="8"/>
  <c r="N62" i="8"/>
  <c r="O118" i="8"/>
  <c r="N118" i="8"/>
  <c r="N14" i="8"/>
  <c r="O14" i="8"/>
  <c r="N108" i="8"/>
  <c r="O108" i="8"/>
  <c r="N18" i="8"/>
  <c r="O18" i="8"/>
  <c r="O9" i="8"/>
  <c r="N9" i="8"/>
  <c r="N112" i="8"/>
  <c r="O112" i="8"/>
  <c r="N63" i="8"/>
  <c r="O63" i="8"/>
  <c r="N10" i="8"/>
  <c r="O10" i="8"/>
  <c r="N53" i="8"/>
  <c r="O53" i="8"/>
  <c r="N111" i="8"/>
  <c r="O111" i="8"/>
  <c r="O30" i="8"/>
  <c r="N30" i="8"/>
  <c r="N45" i="8"/>
  <c r="O45" i="8"/>
  <c r="N60" i="8"/>
  <c r="O60" i="8"/>
  <c r="N35" i="8"/>
  <c r="O35" i="8"/>
  <c r="N56" i="8"/>
  <c r="O56" i="8"/>
  <c r="O17" i="8"/>
  <c r="N17" i="8"/>
  <c r="N71" i="8"/>
  <c r="O71" i="8"/>
  <c r="N19" i="8"/>
  <c r="O19" i="8"/>
  <c r="N99" i="8"/>
  <c r="O99" i="8"/>
  <c r="N95" i="8"/>
  <c r="O95" i="8"/>
  <c r="N91" i="8"/>
  <c r="O91" i="8"/>
  <c r="N68" i="8"/>
  <c r="O68" i="8"/>
  <c r="N31" i="8"/>
  <c r="O31" i="8"/>
  <c r="O102" i="8"/>
  <c r="N102" i="8"/>
  <c r="N33" i="8"/>
  <c r="O33" i="8"/>
  <c r="N48" i="8"/>
  <c r="O48" i="8"/>
  <c r="N27" i="8"/>
  <c r="O27" i="8"/>
  <c r="N119" i="8"/>
  <c r="O119" i="8"/>
  <c r="N28" i="8"/>
  <c r="O28" i="8"/>
  <c r="N57" i="8"/>
  <c r="O57" i="8"/>
  <c r="N20" i="8"/>
  <c r="O20" i="8"/>
  <c r="O86" i="8"/>
  <c r="N86" i="8"/>
  <c r="N116" i="8"/>
  <c r="O116" i="8"/>
  <c r="N93" i="8"/>
  <c r="O93" i="8"/>
  <c r="N76" i="8"/>
  <c r="O76" i="8"/>
  <c r="O38" i="8"/>
  <c r="N38" i="8"/>
  <c r="N8" i="8"/>
  <c r="O8" i="8"/>
  <c r="N100" i="8"/>
  <c r="O100" i="8"/>
  <c r="N32" i="8"/>
  <c r="O32" i="8"/>
  <c r="N15" i="8"/>
  <c r="O15" i="8"/>
  <c r="N11" i="8"/>
  <c r="O11" i="8"/>
  <c r="O78" i="8"/>
  <c r="N78" i="8"/>
  <c r="E79" i="86" s="1"/>
  <c r="O21" i="8"/>
  <c r="N21" i="8"/>
  <c r="N101" i="8"/>
  <c r="O101" i="8"/>
  <c r="O110" i="8"/>
  <c r="N110" i="8"/>
  <c r="O13" i="8"/>
  <c r="N13" i="8"/>
  <c r="E14" i="86" s="1"/>
  <c r="N39" i="8"/>
  <c r="O39" i="8"/>
  <c r="N12" i="8"/>
  <c r="O12" i="8"/>
  <c r="N104" i="8"/>
  <c r="O104" i="8"/>
  <c r="N85" i="8"/>
  <c r="O85" i="8"/>
  <c r="N84" i="8"/>
  <c r="O84" i="8"/>
  <c r="N65" i="8"/>
  <c r="O65" i="8"/>
  <c r="N36" i="8"/>
  <c r="O36" i="8"/>
  <c r="N75" i="8"/>
  <c r="O75" i="8"/>
  <c r="N22" i="8"/>
  <c r="O22" i="8"/>
  <c r="O82" i="8"/>
  <c r="N82" i="8"/>
  <c r="N96" i="8"/>
  <c r="O96" i="8"/>
  <c r="N69" i="8"/>
  <c r="O69" i="8"/>
  <c r="N87" i="8"/>
  <c r="O87" i="8"/>
  <c r="N107" i="8"/>
  <c r="O107" i="8"/>
  <c r="O58" i="8"/>
  <c r="N58" i="8"/>
  <c r="N25" i="8"/>
  <c r="O25" i="8"/>
  <c r="N24" i="8"/>
  <c r="O24" i="8"/>
  <c r="O74" i="8"/>
  <c r="N74" i="8"/>
  <c r="N80" i="8"/>
  <c r="O80" i="8"/>
  <c r="N52" i="8"/>
  <c r="O52" i="8"/>
  <c r="N16" i="8"/>
  <c r="O16" i="8"/>
  <c r="N61" i="8"/>
  <c r="O61" i="8"/>
  <c r="O70" i="8"/>
  <c r="N70" i="8"/>
  <c r="N73" i="8"/>
  <c r="O73" i="8"/>
  <c r="B38" i="66"/>
  <c r="C38" i="66"/>
  <c r="D38" i="66"/>
  <c r="F38" i="66"/>
  <c r="G38" i="66"/>
  <c r="H38" i="66"/>
  <c r="I38" i="66"/>
  <c r="J38" i="66"/>
  <c r="C30" i="21" l="1"/>
  <c r="C85" i="21"/>
  <c r="C65" i="21"/>
  <c r="C21" i="21"/>
  <c r="C112" i="21"/>
  <c r="C76" i="21"/>
  <c r="C48" i="21"/>
  <c r="C12" i="21"/>
  <c r="C103" i="21"/>
  <c r="C67" i="21"/>
  <c r="C39" i="21"/>
  <c r="C3" i="21"/>
  <c r="C94" i="21"/>
  <c r="C58" i="21"/>
  <c r="C73" i="21"/>
  <c r="C9" i="21"/>
  <c r="C56" i="21"/>
  <c r="C111" i="21"/>
  <c r="C47" i="21"/>
  <c r="C102" i="21"/>
  <c r="C38" i="21"/>
  <c r="C93" i="21"/>
  <c r="C29" i="21"/>
  <c r="C84" i="21"/>
  <c r="C20" i="21"/>
  <c r="C75" i="21"/>
  <c r="C11" i="21"/>
  <c r="C66" i="21"/>
  <c r="C57" i="21"/>
  <c r="C104" i="21"/>
  <c r="C40" i="21"/>
  <c r="C95" i="21"/>
  <c r="C31" i="21"/>
  <c r="C86" i="21"/>
  <c r="C22" i="21"/>
  <c r="C77" i="21"/>
  <c r="C13" i="21"/>
  <c r="C68" i="21"/>
  <c r="C4" i="21"/>
  <c r="C59" i="21"/>
  <c r="C114" i="21"/>
  <c r="C50" i="21"/>
  <c r="C113" i="21"/>
  <c r="C49" i="21"/>
  <c r="C96" i="21"/>
  <c r="C32" i="21"/>
  <c r="C87" i="21"/>
  <c r="C23" i="21"/>
  <c r="C78" i="21"/>
  <c r="C14" i="21"/>
  <c r="C69" i="21"/>
  <c r="C5" i="21"/>
  <c r="C60" i="21"/>
  <c r="C115" i="21"/>
  <c r="C51" i="21"/>
  <c r="C106" i="21"/>
  <c r="C42" i="21"/>
  <c r="C105" i="21"/>
  <c r="C41" i="21"/>
  <c r="C88" i="21"/>
  <c r="C24" i="21"/>
  <c r="C79" i="21"/>
  <c r="C15" i="21"/>
  <c r="C70" i="21"/>
  <c r="C6" i="21"/>
  <c r="C61" i="21"/>
  <c r="C116" i="21"/>
  <c r="C52" i="21"/>
  <c r="C107" i="21"/>
  <c r="C43" i="21"/>
  <c r="C98" i="21"/>
  <c r="C34" i="21"/>
  <c r="C97" i="21"/>
  <c r="C33" i="21"/>
  <c r="C80" i="21"/>
  <c r="C16" i="21"/>
  <c r="C71" i="21"/>
  <c r="C7" i="21"/>
  <c r="C62" i="21"/>
  <c r="C117" i="21"/>
  <c r="C53" i="21"/>
  <c r="C108" i="21"/>
  <c r="C44" i="21"/>
  <c r="C99" i="21"/>
  <c r="C35" i="21"/>
  <c r="C90" i="21"/>
  <c r="C26" i="21"/>
  <c r="C89" i="21"/>
  <c r="C25" i="21"/>
  <c r="C72" i="21"/>
  <c r="C8" i="21"/>
  <c r="C63" i="21"/>
  <c r="C118" i="21"/>
  <c r="C54" i="21"/>
  <c r="C109" i="21"/>
  <c r="C45" i="21"/>
  <c r="C100" i="21"/>
  <c r="C36" i="21"/>
  <c r="C91" i="21"/>
  <c r="C27" i="21"/>
  <c r="C82" i="21"/>
  <c r="C18" i="21"/>
  <c r="C81" i="21"/>
  <c r="C17" i="21"/>
  <c r="C64" i="21"/>
  <c r="C2" i="21"/>
  <c r="C55" i="21"/>
  <c r="C110" i="21"/>
  <c r="C46" i="21"/>
  <c r="C101" i="21"/>
  <c r="C37" i="21"/>
  <c r="C92" i="21"/>
  <c r="C28" i="21"/>
  <c r="C83" i="21"/>
  <c r="C19" i="21"/>
  <c r="C74" i="21"/>
  <c r="E60" i="86"/>
  <c r="H60" i="86" s="1"/>
  <c r="AF45" i="86"/>
  <c r="H45" i="86"/>
  <c r="H79" i="86"/>
  <c r="H98" i="86"/>
  <c r="H6" i="86"/>
  <c r="AF68" i="86"/>
  <c r="H68" i="86"/>
  <c r="G106" i="86"/>
  <c r="E20" i="86"/>
  <c r="E112" i="86"/>
  <c r="H14" i="86"/>
  <c r="AF5" i="86"/>
  <c r="H5" i="86"/>
  <c r="AF44" i="86"/>
  <c r="H44" i="86"/>
  <c r="E62" i="86"/>
  <c r="E13" i="86"/>
  <c r="E120" i="86"/>
  <c r="E104" i="86"/>
  <c r="E73" i="86"/>
  <c r="E66" i="86"/>
  <c r="E16" i="86"/>
  <c r="E96" i="86"/>
  <c r="E46" i="86"/>
  <c r="E19" i="86"/>
  <c r="E42" i="86"/>
  <c r="E7" i="86"/>
  <c r="E116" i="86"/>
  <c r="E71" i="86"/>
  <c r="E59" i="86"/>
  <c r="E97" i="86"/>
  <c r="E111" i="86"/>
  <c r="E117" i="86"/>
  <c r="E10" i="86"/>
  <c r="E119" i="86"/>
  <c r="E115" i="86"/>
  <c r="E35" i="86"/>
  <c r="E47" i="86"/>
  <c r="E95" i="86"/>
  <c r="E108" i="86"/>
  <c r="E102" i="86"/>
  <c r="E11" i="86"/>
  <c r="E121" i="86"/>
  <c r="E110" i="86"/>
  <c r="E23" i="86"/>
  <c r="E89" i="86"/>
  <c r="E17" i="86"/>
  <c r="E85" i="86"/>
  <c r="E32" i="86"/>
  <c r="E82" i="86"/>
  <c r="E84" i="86"/>
  <c r="E94" i="86"/>
  <c r="E69" i="86"/>
  <c r="E30" i="86"/>
  <c r="E40" i="86"/>
  <c r="E50" i="86"/>
  <c r="E88" i="86"/>
  <c r="E77" i="86"/>
  <c r="E57" i="86"/>
  <c r="E65" i="86"/>
  <c r="E29" i="86"/>
  <c r="E80" i="86"/>
  <c r="E25" i="86"/>
  <c r="E100" i="86"/>
  <c r="E43" i="86"/>
  <c r="E22" i="86"/>
  <c r="E33" i="86"/>
  <c r="E21" i="86"/>
  <c r="E28" i="86"/>
  <c r="E31" i="86"/>
  <c r="E64" i="86"/>
  <c r="E109" i="86"/>
  <c r="E55" i="86"/>
  <c r="E114" i="86"/>
  <c r="E51" i="86"/>
  <c r="E99" i="86"/>
  <c r="E74" i="86"/>
  <c r="E53" i="86"/>
  <c r="E26" i="86"/>
  <c r="E70" i="86"/>
  <c r="E76" i="86"/>
  <c r="E86" i="86"/>
  <c r="E101" i="86"/>
  <c r="E58" i="86"/>
  <c r="E49" i="86"/>
  <c r="E36" i="86"/>
  <c r="E113" i="86"/>
  <c r="E15" i="86"/>
  <c r="E38" i="86"/>
  <c r="E41" i="86"/>
  <c r="E93" i="86"/>
  <c r="E56" i="86"/>
  <c r="E8" i="86"/>
  <c r="E48" i="86"/>
  <c r="E81" i="86"/>
  <c r="E37" i="86"/>
  <c r="E12" i="86"/>
  <c r="E92" i="86"/>
  <c r="E61" i="86"/>
  <c r="E78" i="86"/>
  <c r="E105" i="86"/>
  <c r="E9" i="86"/>
  <c r="E34" i="86"/>
  <c r="E72" i="86"/>
  <c r="E54" i="86"/>
  <c r="E90" i="86"/>
  <c r="E52" i="86"/>
  <c r="E75" i="86"/>
  <c r="E83" i="86"/>
  <c r="E39" i="86"/>
  <c r="E87" i="86"/>
  <c r="E103" i="86"/>
  <c r="E18" i="86"/>
  <c r="E63" i="86"/>
  <c r="E24" i="86"/>
  <c r="E118" i="86"/>
  <c r="D52" i="86"/>
  <c r="G52" i="86" s="1"/>
  <c r="D19" i="86"/>
  <c r="G19" i="86" s="1"/>
  <c r="D40" i="86"/>
  <c r="G40" i="86" s="1"/>
  <c r="D22" i="86"/>
  <c r="G22" i="86" s="1"/>
  <c r="D76" i="86"/>
  <c r="D86" i="86"/>
  <c r="D56" i="86"/>
  <c r="G56" i="86" s="1"/>
  <c r="D98" i="86"/>
  <c r="G98" i="86" s="1"/>
  <c r="D119" i="86"/>
  <c r="G119" i="86" s="1"/>
  <c r="D95" i="86"/>
  <c r="D109" i="86"/>
  <c r="G109" i="86" s="1"/>
  <c r="D85" i="86"/>
  <c r="D55" i="86"/>
  <c r="G55" i="86" s="1"/>
  <c r="D84" i="86"/>
  <c r="D51" i="86"/>
  <c r="G51" i="86" s="1"/>
  <c r="D79" i="86"/>
  <c r="AF79" i="86" s="1"/>
  <c r="D37" i="86"/>
  <c r="G37" i="86" s="1"/>
  <c r="D78" i="86"/>
  <c r="D101" i="86"/>
  <c r="G101" i="86" s="1"/>
  <c r="D116" i="86"/>
  <c r="G116" i="86" s="1"/>
  <c r="D110" i="86"/>
  <c r="G110" i="86" s="1"/>
  <c r="D32" i="86"/>
  <c r="G32" i="86" s="1"/>
  <c r="D100" i="86"/>
  <c r="G100" i="86" s="1"/>
  <c r="D104" i="86"/>
  <c r="G104" i="86" s="1"/>
  <c r="D28" i="86"/>
  <c r="G28" i="86" s="1"/>
  <c r="D69" i="86"/>
  <c r="D36" i="86"/>
  <c r="G36" i="86" s="1"/>
  <c r="D77" i="86"/>
  <c r="D88" i="86"/>
  <c r="D115" i="86"/>
  <c r="G115" i="86" s="1"/>
  <c r="D87" i="86"/>
  <c r="D120" i="86"/>
  <c r="G120" i="86" s="1"/>
  <c r="D75" i="86"/>
  <c r="D31" i="86"/>
  <c r="G31" i="86" s="1"/>
  <c r="D64" i="86"/>
  <c r="G64" i="86" s="1"/>
  <c r="D73" i="86"/>
  <c r="D99" i="86"/>
  <c r="G99" i="86" s="1"/>
  <c r="D9" i="86"/>
  <c r="G9" i="86" s="1"/>
  <c r="D6" i="86"/>
  <c r="G6" i="86" s="1"/>
  <c r="D49" i="86"/>
  <c r="G49" i="86" s="1"/>
  <c r="D93" i="86"/>
  <c r="D30" i="86"/>
  <c r="G30" i="86" s="1"/>
  <c r="D35" i="86"/>
  <c r="G35" i="86" s="1"/>
  <c r="D12" i="86"/>
  <c r="G12" i="86" s="1"/>
  <c r="D63" i="86"/>
  <c r="G63" i="86" s="1"/>
  <c r="D24" i="86"/>
  <c r="G24" i="86" s="1"/>
  <c r="D108" i="86"/>
  <c r="G108" i="86" s="1"/>
  <c r="D61" i="86"/>
  <c r="G61" i="86" s="1"/>
  <c r="D54" i="86"/>
  <c r="G54" i="86" s="1"/>
  <c r="D10" i="86"/>
  <c r="G10" i="86" s="1"/>
  <c r="D15" i="86"/>
  <c r="G15" i="86" s="1"/>
  <c r="D41" i="86"/>
  <c r="G41" i="86" s="1"/>
  <c r="D43" i="86"/>
  <c r="G43" i="86" s="1"/>
  <c r="D121" i="86"/>
  <c r="G121" i="86" s="1"/>
  <c r="D118" i="86"/>
  <c r="G118" i="86" s="1"/>
  <c r="D94" i="86"/>
  <c r="D58" i="86"/>
  <c r="G58" i="86" s="1"/>
  <c r="D90" i="86"/>
  <c r="D65" i="86"/>
  <c r="G65" i="86" s="1"/>
  <c r="D16" i="86"/>
  <c r="G16" i="86" s="1"/>
  <c r="D117" i="86"/>
  <c r="G117" i="86" s="1"/>
  <c r="D17" i="86"/>
  <c r="G17" i="86" s="1"/>
  <c r="D25" i="86"/>
  <c r="G25" i="86" s="1"/>
  <c r="D70" i="86"/>
  <c r="D33" i="86"/>
  <c r="G33" i="86" s="1"/>
  <c r="D103" i="86"/>
  <c r="G103" i="86" s="1"/>
  <c r="D72" i="86"/>
  <c r="D82" i="86"/>
  <c r="D50" i="86"/>
  <c r="G50" i="86" s="1"/>
  <c r="D47" i="86"/>
  <c r="G47" i="86" s="1"/>
  <c r="D83" i="86"/>
  <c r="D14" i="86"/>
  <c r="G14" i="86" s="1"/>
  <c r="D39" i="86"/>
  <c r="G39" i="86" s="1"/>
  <c r="D18" i="86"/>
  <c r="G18" i="86" s="1"/>
  <c r="D66" i="86"/>
  <c r="D105" i="86"/>
  <c r="G105" i="86" s="1"/>
  <c r="D29" i="86"/>
  <c r="G29" i="86" s="1"/>
  <c r="D46" i="86"/>
  <c r="G46" i="86" s="1"/>
  <c r="D11" i="86"/>
  <c r="G11" i="86" s="1"/>
  <c r="D38" i="86"/>
  <c r="G38" i="86" s="1"/>
  <c r="D74" i="86"/>
  <c r="D53" i="86"/>
  <c r="G53" i="86" s="1"/>
  <c r="D26" i="86"/>
  <c r="G26" i="86" s="1"/>
  <c r="D23" i="86"/>
  <c r="G23" i="86" s="1"/>
  <c r="D111" i="86"/>
  <c r="G111" i="86" s="1"/>
  <c r="D57" i="86"/>
  <c r="G57" i="86" s="1"/>
  <c r="D89" i="86"/>
  <c r="D42" i="86"/>
  <c r="G42" i="86" s="1"/>
  <c r="D114" i="86"/>
  <c r="G114" i="86" s="1"/>
  <c r="D13" i="86"/>
  <c r="G13" i="86" s="1"/>
  <c r="D34" i="86"/>
  <c r="G34" i="86" s="1"/>
  <c r="D80" i="86"/>
  <c r="D8" i="86"/>
  <c r="G8" i="86" s="1"/>
  <c r="D71" i="86"/>
  <c r="D81" i="86"/>
  <c r="D59" i="86"/>
  <c r="G59" i="86" s="1"/>
  <c r="D102" i="86"/>
  <c r="G102" i="86" s="1"/>
  <c r="D20" i="86"/>
  <c r="G20" i="86" s="1"/>
  <c r="D48" i="86"/>
  <c r="G48" i="86" s="1"/>
  <c r="D21" i="86"/>
  <c r="G21" i="86" s="1"/>
  <c r="D92" i="86"/>
  <c r="D112" i="86"/>
  <c r="G112" i="86" s="1"/>
  <c r="D7" i="86"/>
  <c r="G7" i="86" s="1"/>
  <c r="D60" i="86"/>
  <c r="G60" i="86" s="1"/>
  <c r="D62" i="86"/>
  <c r="G62" i="86" s="1"/>
  <c r="D97" i="86"/>
  <c r="G97" i="86" s="1"/>
  <c r="D96" i="86"/>
  <c r="G96" i="86" s="1"/>
  <c r="D113" i="86"/>
  <c r="G113" i="86" s="1"/>
  <c r="R5" i="86"/>
  <c r="AT5" i="86"/>
  <c r="AF63" i="86" l="1"/>
  <c r="H63" i="86"/>
  <c r="AF90" i="86"/>
  <c r="H90" i="86"/>
  <c r="AF92" i="86"/>
  <c r="H92" i="86"/>
  <c r="AF41" i="86"/>
  <c r="H41" i="86"/>
  <c r="AF86" i="86"/>
  <c r="H86" i="86"/>
  <c r="AF114" i="86"/>
  <c r="H114" i="86"/>
  <c r="AF22" i="86"/>
  <c r="H22" i="86"/>
  <c r="AF77" i="86"/>
  <c r="H77" i="86"/>
  <c r="AF82" i="86"/>
  <c r="H82" i="86"/>
  <c r="AF11" i="86"/>
  <c r="H11" i="86"/>
  <c r="AF10" i="86"/>
  <c r="H10" i="86"/>
  <c r="AF42" i="86"/>
  <c r="H42" i="86"/>
  <c r="AF120" i="86"/>
  <c r="H120" i="86"/>
  <c r="AF18" i="86"/>
  <c r="H18" i="86"/>
  <c r="AF54" i="86"/>
  <c r="H54" i="86"/>
  <c r="AF12" i="86"/>
  <c r="H12" i="86"/>
  <c r="AF38" i="86"/>
  <c r="H38" i="86"/>
  <c r="AF76" i="86"/>
  <c r="H76" i="86"/>
  <c r="AF55" i="86"/>
  <c r="H55" i="86"/>
  <c r="AF43" i="86"/>
  <c r="H43" i="86"/>
  <c r="AF88" i="86"/>
  <c r="H88" i="86"/>
  <c r="AF32" i="86"/>
  <c r="H32" i="86"/>
  <c r="AF102" i="86"/>
  <c r="H102" i="86"/>
  <c r="AF117" i="86"/>
  <c r="H117" i="86"/>
  <c r="AF19" i="86"/>
  <c r="H19" i="86"/>
  <c r="AF13" i="86"/>
  <c r="H13" i="86"/>
  <c r="AF112" i="86"/>
  <c r="H112" i="86"/>
  <c r="AF98" i="86"/>
  <c r="AF103" i="86"/>
  <c r="H103" i="86"/>
  <c r="AF72" i="86"/>
  <c r="H72" i="86"/>
  <c r="AF37" i="86"/>
  <c r="H37" i="86"/>
  <c r="AF15" i="86"/>
  <c r="H15" i="86"/>
  <c r="AF70" i="86"/>
  <c r="H70" i="86"/>
  <c r="AF109" i="86"/>
  <c r="H109" i="86"/>
  <c r="AF100" i="86"/>
  <c r="H100" i="86"/>
  <c r="AF50" i="86"/>
  <c r="H50" i="86"/>
  <c r="AF85" i="86"/>
  <c r="H85" i="86"/>
  <c r="AF108" i="86"/>
  <c r="H108" i="86"/>
  <c r="AF111" i="86"/>
  <c r="H111" i="86"/>
  <c r="AF46" i="86"/>
  <c r="H46" i="86"/>
  <c r="AF62" i="86"/>
  <c r="H62" i="86"/>
  <c r="AF60" i="86"/>
  <c r="AF20" i="86"/>
  <c r="H20" i="86"/>
  <c r="AF87" i="86"/>
  <c r="H87" i="86"/>
  <c r="AF34" i="86"/>
  <c r="H34" i="86"/>
  <c r="AF81" i="86"/>
  <c r="H81" i="86"/>
  <c r="AF113" i="86"/>
  <c r="H113" i="86"/>
  <c r="AF26" i="86"/>
  <c r="H26" i="86"/>
  <c r="AF64" i="86"/>
  <c r="H64" i="86"/>
  <c r="AF25" i="86"/>
  <c r="H25" i="86"/>
  <c r="AF40" i="86"/>
  <c r="H40" i="86"/>
  <c r="AF17" i="86"/>
  <c r="H17" i="86"/>
  <c r="AF95" i="86"/>
  <c r="H95" i="86"/>
  <c r="AF97" i="86"/>
  <c r="H97" i="86"/>
  <c r="AF96" i="86"/>
  <c r="H96" i="86"/>
  <c r="AF39" i="86"/>
  <c r="H39" i="86"/>
  <c r="AF9" i="86"/>
  <c r="H9" i="86"/>
  <c r="AF48" i="86"/>
  <c r="H48" i="86"/>
  <c r="AF36" i="86"/>
  <c r="H36" i="86"/>
  <c r="AF53" i="86"/>
  <c r="H53" i="86"/>
  <c r="AF31" i="86"/>
  <c r="H31" i="86"/>
  <c r="AF80" i="86"/>
  <c r="H80" i="86"/>
  <c r="AF30" i="86"/>
  <c r="H30" i="86"/>
  <c r="AF89" i="86"/>
  <c r="H89" i="86"/>
  <c r="AF47" i="86"/>
  <c r="H47" i="86"/>
  <c r="AF59" i="86"/>
  <c r="H59" i="86"/>
  <c r="AF16" i="86"/>
  <c r="H16" i="86"/>
  <c r="AF83" i="86"/>
  <c r="H83" i="86"/>
  <c r="AF105" i="86"/>
  <c r="H105" i="86"/>
  <c r="AF8" i="86"/>
  <c r="H8" i="86"/>
  <c r="AF49" i="86"/>
  <c r="H49" i="86"/>
  <c r="AF74" i="86"/>
  <c r="H74" i="86"/>
  <c r="AF28" i="86"/>
  <c r="H28" i="86"/>
  <c r="AF29" i="86"/>
  <c r="H29" i="86"/>
  <c r="AF69" i="86"/>
  <c r="H69" i="86"/>
  <c r="AF23" i="86"/>
  <c r="H23" i="86"/>
  <c r="AF35" i="86"/>
  <c r="H35" i="86"/>
  <c r="AF71" i="86"/>
  <c r="H71" i="86"/>
  <c r="AF66" i="86"/>
  <c r="H66" i="86"/>
  <c r="AF14" i="86"/>
  <c r="AF118" i="86"/>
  <c r="H118" i="86"/>
  <c r="AF75" i="86"/>
  <c r="H75" i="86"/>
  <c r="AF78" i="86"/>
  <c r="H78" i="86"/>
  <c r="AF56" i="86"/>
  <c r="H56" i="86"/>
  <c r="AF58" i="86"/>
  <c r="H58" i="86"/>
  <c r="AF99" i="86"/>
  <c r="H99" i="86"/>
  <c r="AF21" i="86"/>
  <c r="H21" i="86"/>
  <c r="AF65" i="86"/>
  <c r="H65" i="86"/>
  <c r="AF94" i="86"/>
  <c r="H94" i="86"/>
  <c r="AF110" i="86"/>
  <c r="H110" i="86"/>
  <c r="AF115" i="86"/>
  <c r="H115" i="86"/>
  <c r="AF116" i="86"/>
  <c r="H116" i="86"/>
  <c r="AF73" i="86"/>
  <c r="H73" i="86"/>
  <c r="AF24" i="86"/>
  <c r="H24" i="86"/>
  <c r="AF52" i="86"/>
  <c r="H52" i="86"/>
  <c r="AF61" i="86"/>
  <c r="H61" i="86"/>
  <c r="AF93" i="86"/>
  <c r="H93" i="86"/>
  <c r="AF101" i="86"/>
  <c r="H101" i="86"/>
  <c r="AF51" i="86"/>
  <c r="H51" i="86"/>
  <c r="AF33" i="86"/>
  <c r="H33" i="86"/>
  <c r="AF57" i="86"/>
  <c r="H57" i="86"/>
  <c r="AF84" i="86"/>
  <c r="H84" i="86"/>
  <c r="AF121" i="86"/>
  <c r="H121" i="86"/>
  <c r="AF119" i="86"/>
  <c r="H119" i="86"/>
  <c r="AF7" i="86"/>
  <c r="H7" i="86"/>
  <c r="AF104" i="86"/>
  <c r="H104" i="86"/>
  <c r="AF6" i="86"/>
  <c r="G91" i="86"/>
  <c r="G68" i="86"/>
  <c r="G69" i="86"/>
  <c r="G83" i="86"/>
  <c r="G71" i="86"/>
  <c r="G67" i="86"/>
  <c r="G84" i="86"/>
  <c r="G93" i="86"/>
  <c r="G86" i="86"/>
  <c r="G95" i="86"/>
  <c r="G88" i="86"/>
  <c r="G92" i="86"/>
  <c r="G77" i="86"/>
  <c r="G70" i="86"/>
  <c r="G94" i="86"/>
  <c r="G79" i="86"/>
  <c r="G72" i="86"/>
  <c r="G73" i="86"/>
  <c r="G81" i="86"/>
  <c r="G89" i="86"/>
  <c r="G75" i="86"/>
  <c r="G76" i="86"/>
  <c r="G85" i="86"/>
  <c r="G78" i="86"/>
  <c r="G87" i="86"/>
  <c r="G80" i="86"/>
  <c r="G66" i="86"/>
  <c r="G74" i="86"/>
  <c r="G82" i="86"/>
  <c r="G90" i="86"/>
  <c r="R6" i="86"/>
  <c r="R7" i="86" s="1"/>
  <c r="AT6" i="86"/>
  <c r="AT7" i="86" s="1"/>
  <c r="AT8" i="86" s="1"/>
  <c r="AT9" i="86" s="1"/>
  <c r="AT10" i="86" s="1"/>
  <c r="AT11" i="86" s="1"/>
  <c r="AT12" i="86" s="1"/>
  <c r="AT13" i="86" s="1"/>
  <c r="AT14" i="86" s="1"/>
  <c r="AT15" i="86" s="1"/>
  <c r="AT16" i="86" s="1"/>
  <c r="AT17" i="86" s="1"/>
  <c r="AT18" i="86" s="1"/>
  <c r="AT19" i="86" s="1"/>
  <c r="AT20" i="86" s="1"/>
  <c r="AT21" i="86" s="1"/>
  <c r="AT22" i="86" s="1"/>
  <c r="AT23" i="86" s="1"/>
  <c r="AT24" i="86" s="1"/>
  <c r="AT25" i="86" s="1"/>
  <c r="AT26" i="86" s="1"/>
  <c r="AT27" i="86" s="1"/>
  <c r="AT28" i="86" s="1"/>
  <c r="AT29" i="86" s="1"/>
  <c r="AT30" i="86" s="1"/>
  <c r="AT31" i="86" s="1"/>
  <c r="AT32" i="86" s="1"/>
  <c r="AT33" i="86" s="1"/>
  <c r="AT34" i="86" s="1"/>
  <c r="AT35" i="86" s="1"/>
  <c r="AT36" i="86" s="1"/>
  <c r="AT37" i="86" s="1"/>
  <c r="AT38" i="86" s="1"/>
  <c r="AT39" i="86" s="1"/>
  <c r="AT40" i="86" s="1"/>
  <c r="AT41" i="86" s="1"/>
  <c r="AT42" i="86" s="1"/>
  <c r="AT43" i="86" s="1"/>
  <c r="AT44" i="86" s="1"/>
  <c r="AT45" i="86" s="1"/>
  <c r="AT46" i="86" s="1"/>
  <c r="AT47" i="86" s="1"/>
  <c r="AT48" i="86" s="1"/>
  <c r="AT49" i="86" s="1"/>
  <c r="AT50" i="86" s="1"/>
  <c r="AT51" i="86" s="1"/>
  <c r="AT52" i="86" s="1"/>
  <c r="AT53" i="86" s="1"/>
  <c r="AT54" i="86" s="1"/>
  <c r="AT55" i="86" s="1"/>
  <c r="AT56" i="86" s="1"/>
  <c r="AT57" i="86" s="1"/>
  <c r="AT58" i="86" s="1"/>
  <c r="AT59" i="86" s="1"/>
  <c r="AT60" i="86" s="1"/>
  <c r="AT61" i="86" s="1"/>
  <c r="AT62" i="86" s="1"/>
  <c r="D123" i="86"/>
  <c r="B122" i="8"/>
  <c r="F120" i="8"/>
  <c r="F95" i="8"/>
  <c r="F96" i="8"/>
  <c r="F97" i="8"/>
  <c r="F98" i="8"/>
  <c r="F99" i="8"/>
  <c r="F100" i="8"/>
  <c r="F101" i="8"/>
  <c r="F102" i="8"/>
  <c r="F103" i="8"/>
  <c r="F104" i="8"/>
  <c r="F105" i="8"/>
  <c r="F106" i="8"/>
  <c r="F107" i="8"/>
  <c r="F108" i="8"/>
  <c r="F109" i="8"/>
  <c r="F110" i="8"/>
  <c r="F111" i="8"/>
  <c r="F112" i="8"/>
  <c r="F113" i="8"/>
  <c r="F114" i="8"/>
  <c r="F115" i="8"/>
  <c r="F116" i="8"/>
  <c r="F117" i="8"/>
  <c r="F118" i="8"/>
  <c r="F119" i="8"/>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C134" i="68"/>
  <c r="D134" i="68"/>
  <c r="E134" i="68"/>
  <c r="F134" i="68"/>
  <c r="M101" i="27"/>
  <c r="M104" i="27"/>
  <c r="M106" i="27"/>
  <c r="D107" i="27"/>
  <c r="M108" i="27"/>
  <c r="M112" i="27"/>
  <c r="M114" i="27"/>
  <c r="L115" i="27"/>
  <c r="M116" i="27"/>
  <c r="L117" i="27"/>
  <c r="B118" i="27"/>
  <c r="L119" i="27"/>
  <c r="M120" i="27"/>
  <c r="M122" i="27"/>
  <c r="L123" i="27"/>
  <c r="M124" i="27"/>
  <c r="L125" i="27"/>
  <c r="H100" i="27"/>
  <c r="L119" i="83"/>
  <c r="B95" i="83"/>
  <c r="M96" i="83"/>
  <c r="L97" i="83"/>
  <c r="N99" i="83"/>
  <c r="M100" i="83"/>
  <c r="L101" i="83"/>
  <c r="N103" i="83"/>
  <c r="L104" i="83"/>
  <c r="L105" i="83"/>
  <c r="N106" i="83"/>
  <c r="M107" i="83"/>
  <c r="L108" i="83"/>
  <c r="M109" i="83"/>
  <c r="N110" i="83"/>
  <c r="M111" i="83"/>
  <c r="L112" i="83"/>
  <c r="E113" i="83"/>
  <c r="N114" i="83"/>
  <c r="M115" i="83"/>
  <c r="M116" i="83"/>
  <c r="N117" i="83"/>
  <c r="M118" i="83"/>
  <c r="N94" i="83"/>
  <c r="Q66" i="86" l="1"/>
  <c r="Q67" i="86" s="1"/>
  <c r="Q68" i="86" s="1"/>
  <c r="Q69" i="86" s="1"/>
  <c r="Q70" i="86" s="1"/>
  <c r="Q71" i="86" s="1"/>
  <c r="Q72" i="86" s="1"/>
  <c r="Q73" i="86" s="1"/>
  <c r="Q74" i="86" s="1"/>
  <c r="Q75" i="86" s="1"/>
  <c r="Q76" i="86" s="1"/>
  <c r="Q77" i="86" s="1"/>
  <c r="Q78" i="86" s="1"/>
  <c r="Q79" i="86" s="1"/>
  <c r="Q80" i="86" s="1"/>
  <c r="Q81" i="86" s="1"/>
  <c r="Q82" i="86" s="1"/>
  <c r="Q83" i="86" s="1"/>
  <c r="Q84" i="86" s="1"/>
  <c r="Q85" i="86" s="1"/>
  <c r="Q86" i="86" s="1"/>
  <c r="Q87" i="86" s="1"/>
  <c r="Q88" i="86" s="1"/>
  <c r="Q89" i="86" s="1"/>
  <c r="Q90" i="86" s="1"/>
  <c r="Q91" i="86" s="1"/>
  <c r="Q92" i="86" s="1"/>
  <c r="Q93" i="86" s="1"/>
  <c r="Q94" i="86" s="1"/>
  <c r="Q95" i="86" s="1"/>
  <c r="Q96" i="86" s="1"/>
  <c r="Q97" i="86" s="1"/>
  <c r="Q98" i="86" s="1"/>
  <c r="Q99" i="86" s="1"/>
  <c r="Q100" i="86" s="1"/>
  <c r="Q101" i="86" s="1"/>
  <c r="Q102" i="86" s="1"/>
  <c r="Q103" i="86" s="1"/>
  <c r="Q104" i="86" s="1"/>
  <c r="Q105" i="86" s="1"/>
  <c r="Q106" i="86" s="1"/>
  <c r="Q107" i="86" s="1"/>
  <c r="Q108" i="86" s="1"/>
  <c r="Q109" i="86" s="1"/>
  <c r="Q110" i="86" s="1"/>
  <c r="Q111" i="86" s="1"/>
  <c r="Q112" i="86" s="1"/>
  <c r="Q113" i="86" s="1"/>
  <c r="Q114" i="86" s="1"/>
  <c r="Q115" i="86" s="1"/>
  <c r="Q116" i="86" s="1"/>
  <c r="Q117" i="86" s="1"/>
  <c r="Q118" i="86" s="1"/>
  <c r="Q119" i="86" s="1"/>
  <c r="Q120" i="86" s="1"/>
  <c r="Q121" i="86" s="1"/>
  <c r="C123" i="86"/>
  <c r="B123" i="86"/>
  <c r="AM66" i="86"/>
  <c r="AM67" i="86" s="1"/>
  <c r="AM68" i="86" s="1"/>
  <c r="AM69" i="86" s="1"/>
  <c r="AM70" i="86" s="1"/>
  <c r="AM71" i="86" s="1"/>
  <c r="AM72" i="86" s="1"/>
  <c r="AM73" i="86" s="1"/>
  <c r="AM74" i="86" s="1"/>
  <c r="AM75" i="86" s="1"/>
  <c r="AM76" i="86" s="1"/>
  <c r="AM77" i="86" s="1"/>
  <c r="AM78" i="86" s="1"/>
  <c r="AM79" i="86" s="1"/>
  <c r="AM80" i="86" s="1"/>
  <c r="AM81" i="86" s="1"/>
  <c r="AM82" i="86" s="1"/>
  <c r="AM83" i="86" s="1"/>
  <c r="AM84" i="86" s="1"/>
  <c r="AM85" i="86" s="1"/>
  <c r="AM86" i="86" s="1"/>
  <c r="AM87" i="86" s="1"/>
  <c r="AM88" i="86" s="1"/>
  <c r="AM89" i="86" s="1"/>
  <c r="AM90" i="86" s="1"/>
  <c r="AM91" i="86" s="1"/>
  <c r="AM92" i="86" s="1"/>
  <c r="AM93" i="86" s="1"/>
  <c r="AM94" i="86" s="1"/>
  <c r="AM95" i="86" s="1"/>
  <c r="AM96" i="86" s="1"/>
  <c r="AM97" i="86" s="1"/>
  <c r="AM98" i="86" s="1"/>
  <c r="AM99" i="86" s="1"/>
  <c r="AM100" i="86" s="1"/>
  <c r="AM101" i="86" s="1"/>
  <c r="AM102" i="86" s="1"/>
  <c r="AM103" i="86" s="1"/>
  <c r="AM104" i="86" s="1"/>
  <c r="AM105" i="86" s="1"/>
  <c r="AM106" i="86" s="1"/>
  <c r="AM107" i="86" s="1"/>
  <c r="AM108" i="86" s="1"/>
  <c r="AM109" i="86" s="1"/>
  <c r="AM110" i="86" s="1"/>
  <c r="AM111" i="86" s="1"/>
  <c r="AM112" i="86" s="1"/>
  <c r="AM113" i="86" s="1"/>
  <c r="AM114" i="86" s="1"/>
  <c r="AM115" i="86" s="1"/>
  <c r="AM116" i="86" s="1"/>
  <c r="AM117" i="86" s="1"/>
  <c r="AM118" i="86" s="1"/>
  <c r="AM119" i="86" s="1"/>
  <c r="AM120" i="86" s="1"/>
  <c r="AM121" i="86" s="1"/>
  <c r="AT63" i="86"/>
  <c r="AT64" i="86" s="1"/>
  <c r="AT65" i="86" s="1"/>
  <c r="AT66" i="86" s="1"/>
  <c r="AT67" i="86" s="1"/>
  <c r="AT68" i="86" s="1"/>
  <c r="AT69" i="86" s="1"/>
  <c r="AT70" i="86" s="1"/>
  <c r="AT71" i="86" s="1"/>
  <c r="AT72" i="86" s="1"/>
  <c r="AT73" i="86" s="1"/>
  <c r="AT74" i="86" s="1"/>
  <c r="AT75" i="86" s="1"/>
  <c r="AT76" i="86" s="1"/>
  <c r="AT77" i="86" s="1"/>
  <c r="AT78" i="86" s="1"/>
  <c r="AT79" i="86" s="1"/>
  <c r="AT80" i="86" s="1"/>
  <c r="AT81" i="86" s="1"/>
  <c r="AT82" i="86" s="1"/>
  <c r="AT83" i="86" s="1"/>
  <c r="AT84" i="86" s="1"/>
  <c r="AT85" i="86" s="1"/>
  <c r="AT86" i="86" s="1"/>
  <c r="AT87" i="86" s="1"/>
  <c r="AT88" i="86" s="1"/>
  <c r="AT89" i="86" s="1"/>
  <c r="AT90" i="86" s="1"/>
  <c r="AT91" i="86" s="1"/>
  <c r="AT92" i="86" s="1"/>
  <c r="AT93" i="86" s="1"/>
  <c r="AT94" i="86" s="1"/>
  <c r="AT95" i="86" s="1"/>
  <c r="AT96" i="86" s="1"/>
  <c r="AT97" i="86" s="1"/>
  <c r="AT98" i="86" s="1"/>
  <c r="AT99" i="86" s="1"/>
  <c r="AT100" i="86" s="1"/>
  <c r="AT101" i="86" s="1"/>
  <c r="AT102" i="86" s="1"/>
  <c r="AT103" i="86" s="1"/>
  <c r="AT104" i="86" s="1"/>
  <c r="AT105" i="86" s="1"/>
  <c r="AT106" i="86" s="1"/>
  <c r="AT107" i="86" s="1"/>
  <c r="AT108" i="86" s="1"/>
  <c r="AT109" i="86" s="1"/>
  <c r="AT110" i="86" s="1"/>
  <c r="AT111" i="86" s="1"/>
  <c r="AT112" i="86" s="1"/>
  <c r="AT113" i="86" s="1"/>
  <c r="AT114" i="86" s="1"/>
  <c r="AT115" i="86" s="1"/>
  <c r="AT116" i="86" s="1"/>
  <c r="AT117" i="86" s="1"/>
  <c r="AT118" i="86" s="1"/>
  <c r="AT119" i="86" s="1"/>
  <c r="AT120" i="86" s="1"/>
  <c r="AT121" i="86" s="1"/>
  <c r="R8" i="86"/>
  <c r="R9" i="86" s="1"/>
  <c r="R10" i="86" s="1"/>
  <c r="R11" i="86" s="1"/>
  <c r="R12" i="86" s="1"/>
  <c r="R13" i="86" s="1"/>
  <c r="R14" i="86" s="1"/>
  <c r="R15" i="86" s="1"/>
  <c r="R16" i="86" s="1"/>
  <c r="R17" i="86" s="1"/>
  <c r="R18" i="86" s="1"/>
  <c r="R19" i="86" s="1"/>
  <c r="R20" i="86" s="1"/>
  <c r="R21" i="86" s="1"/>
  <c r="R22" i="86" s="1"/>
  <c r="R23" i="86" s="1"/>
  <c r="R24" i="86" s="1"/>
  <c r="R25" i="86" s="1"/>
  <c r="R26" i="86" s="1"/>
  <c r="R27" i="86" s="1"/>
  <c r="R28" i="86" s="1"/>
  <c r="R29" i="86" s="1"/>
  <c r="R30" i="86" s="1"/>
  <c r="R31" i="86" s="1"/>
  <c r="R32" i="86" s="1"/>
  <c r="R33" i="86" s="1"/>
  <c r="R34" i="86" s="1"/>
  <c r="R35" i="86" s="1"/>
  <c r="R36" i="86" s="1"/>
  <c r="R37" i="86" s="1"/>
  <c r="R38" i="86" s="1"/>
  <c r="R39" i="86" s="1"/>
  <c r="R40" i="86" s="1"/>
  <c r="R41" i="86" s="1"/>
  <c r="R42" i="86" s="1"/>
  <c r="R43" i="86" s="1"/>
  <c r="R44" i="86" s="1"/>
  <c r="R45" i="86" s="1"/>
  <c r="R46" i="86" s="1"/>
  <c r="R47" i="86" s="1"/>
  <c r="R48" i="86" s="1"/>
  <c r="R49" i="86" s="1"/>
  <c r="R50" i="86" s="1"/>
  <c r="R51" i="86" s="1"/>
  <c r="R52" i="86" s="1"/>
  <c r="R53" i="86" s="1"/>
  <c r="R54" i="86" s="1"/>
  <c r="R55" i="86" s="1"/>
  <c r="R56" i="86" s="1"/>
  <c r="R57" i="86" s="1"/>
  <c r="R58" i="86" s="1"/>
  <c r="R59" i="86" s="1"/>
  <c r="R60" i="86" s="1"/>
  <c r="R61" i="86" s="1"/>
  <c r="R62" i="86" s="1"/>
  <c r="R63" i="86" s="1"/>
  <c r="R64" i="86" s="1"/>
  <c r="R65" i="86" s="1"/>
  <c r="R66" i="86" s="1"/>
  <c r="R67" i="86" s="1"/>
  <c r="R68" i="86" s="1"/>
  <c r="R69" i="86" s="1"/>
  <c r="C100" i="83"/>
  <c r="D108" i="27"/>
  <c r="F105" i="83"/>
  <c r="C103" i="83"/>
  <c r="N114" i="27"/>
  <c r="C97" i="83"/>
  <c r="N116" i="83"/>
  <c r="N101" i="83"/>
  <c r="C114" i="27"/>
  <c r="B116" i="83"/>
  <c r="C107" i="83"/>
  <c r="F97" i="83"/>
  <c r="M105" i="83"/>
  <c r="C115" i="27"/>
  <c r="I112" i="27"/>
  <c r="N115" i="27"/>
  <c r="B115" i="34"/>
  <c r="F115" i="34"/>
  <c r="C115" i="34"/>
  <c r="D115" i="34"/>
  <c r="G115" i="34"/>
  <c r="E115" i="34"/>
  <c r="F107" i="34"/>
  <c r="B107" i="34"/>
  <c r="C107" i="34"/>
  <c r="D107" i="34"/>
  <c r="E107" i="34"/>
  <c r="G107" i="34"/>
  <c r="F99" i="34"/>
  <c r="B99" i="34"/>
  <c r="C99" i="34"/>
  <c r="D99" i="34"/>
  <c r="E99" i="34"/>
  <c r="G99" i="34"/>
  <c r="F98" i="34"/>
  <c r="G98" i="34"/>
  <c r="D98" i="34"/>
  <c r="B98" i="34"/>
  <c r="C98" i="34"/>
  <c r="E98" i="34"/>
  <c r="F113" i="83"/>
  <c r="C105" i="83"/>
  <c r="B97" i="83"/>
  <c r="L100" i="83"/>
  <c r="D112" i="27"/>
  <c r="I104" i="27"/>
  <c r="N106" i="27"/>
  <c r="D113" i="34"/>
  <c r="E113" i="34"/>
  <c r="F113" i="34"/>
  <c r="G113" i="34"/>
  <c r="B113" i="34"/>
  <c r="C113" i="34"/>
  <c r="D105" i="34"/>
  <c r="E105" i="34"/>
  <c r="F105" i="34"/>
  <c r="G105" i="34"/>
  <c r="B105" i="34"/>
  <c r="C105" i="34"/>
  <c r="D97" i="34"/>
  <c r="E97" i="34"/>
  <c r="F97" i="34"/>
  <c r="G97" i="34"/>
  <c r="C97" i="34"/>
  <c r="B97" i="34"/>
  <c r="F106" i="34"/>
  <c r="G106" i="34"/>
  <c r="D106" i="34"/>
  <c r="B106" i="34"/>
  <c r="C106" i="34"/>
  <c r="E106" i="34"/>
  <c r="C113" i="83"/>
  <c r="B105" i="83"/>
  <c r="O97" i="83"/>
  <c r="H104" i="27"/>
  <c r="F94" i="34"/>
  <c r="G94" i="34"/>
  <c r="B94" i="34"/>
  <c r="C94" i="34"/>
  <c r="D94" i="34"/>
  <c r="E94" i="34"/>
  <c r="B112" i="34"/>
  <c r="C112" i="34"/>
  <c r="D112" i="34"/>
  <c r="E112" i="34"/>
  <c r="F112" i="34"/>
  <c r="G112" i="34"/>
  <c r="B104" i="34"/>
  <c r="C104" i="34"/>
  <c r="D104" i="34"/>
  <c r="E104" i="34"/>
  <c r="F104" i="34"/>
  <c r="G104" i="34"/>
  <c r="B96" i="34"/>
  <c r="C96" i="34"/>
  <c r="D96" i="34"/>
  <c r="E96" i="34"/>
  <c r="F96" i="34"/>
  <c r="G96" i="34"/>
  <c r="H112" i="27"/>
  <c r="B113" i="83"/>
  <c r="N113" i="83"/>
  <c r="K97" i="83"/>
  <c r="L124" i="27"/>
  <c r="E119" i="34"/>
  <c r="B119" i="34"/>
  <c r="C119" i="34"/>
  <c r="D119" i="34"/>
  <c r="F119" i="34"/>
  <c r="G119" i="34"/>
  <c r="F111" i="34"/>
  <c r="B111" i="34"/>
  <c r="C111" i="34"/>
  <c r="D111" i="34"/>
  <c r="E111" i="34"/>
  <c r="G111" i="34"/>
  <c r="B103" i="34"/>
  <c r="C103" i="34"/>
  <c r="D103" i="34"/>
  <c r="E103" i="34"/>
  <c r="G103" i="34"/>
  <c r="F103" i="34"/>
  <c r="B95" i="34"/>
  <c r="C95" i="34"/>
  <c r="D95" i="34"/>
  <c r="F95" i="34"/>
  <c r="E95" i="34"/>
  <c r="G95" i="34"/>
  <c r="C115" i="83"/>
  <c r="C111" i="83"/>
  <c r="L113" i="83"/>
  <c r="D123" i="27"/>
  <c r="G123" i="27"/>
  <c r="N123" i="27"/>
  <c r="F118" i="34"/>
  <c r="G118" i="34"/>
  <c r="C118" i="34"/>
  <c r="B118" i="34"/>
  <c r="E118" i="34"/>
  <c r="D118" i="34"/>
  <c r="F110" i="34"/>
  <c r="G110" i="34"/>
  <c r="B110" i="34"/>
  <c r="C110" i="34"/>
  <c r="E110" i="34"/>
  <c r="D110" i="34"/>
  <c r="F102" i="34"/>
  <c r="D102" i="34"/>
  <c r="G102" i="34"/>
  <c r="B102" i="34"/>
  <c r="C102" i="34"/>
  <c r="E102" i="34"/>
  <c r="F114" i="34"/>
  <c r="G114" i="34"/>
  <c r="B114" i="34"/>
  <c r="C114" i="34"/>
  <c r="D114" i="34"/>
  <c r="E114" i="34"/>
  <c r="C108" i="83"/>
  <c r="B100" i="83"/>
  <c r="M108" i="83"/>
  <c r="D120" i="27"/>
  <c r="H120" i="27"/>
  <c r="N122" i="27"/>
  <c r="D117" i="34"/>
  <c r="E117" i="34"/>
  <c r="B117" i="34"/>
  <c r="F117" i="34"/>
  <c r="G117" i="34"/>
  <c r="C117" i="34"/>
  <c r="D109" i="34"/>
  <c r="E109" i="34"/>
  <c r="F109" i="34"/>
  <c r="G109" i="34"/>
  <c r="B109" i="34"/>
  <c r="C109" i="34"/>
  <c r="D101" i="34"/>
  <c r="E101" i="34"/>
  <c r="F101" i="34"/>
  <c r="G101" i="34"/>
  <c r="B101" i="34"/>
  <c r="C101" i="34"/>
  <c r="C116" i="83"/>
  <c r="B108" i="83"/>
  <c r="C99" i="83"/>
  <c r="N105" i="83"/>
  <c r="B120" i="27"/>
  <c r="H115" i="27"/>
  <c r="L120" i="27"/>
  <c r="B116" i="34"/>
  <c r="C116" i="34"/>
  <c r="D116" i="34"/>
  <c r="E116" i="34"/>
  <c r="F116" i="34"/>
  <c r="G116" i="34"/>
  <c r="B108" i="34"/>
  <c r="C108" i="34"/>
  <c r="D108" i="34"/>
  <c r="E108" i="34"/>
  <c r="F108" i="34"/>
  <c r="G108" i="34"/>
  <c r="B100" i="34"/>
  <c r="C100" i="34"/>
  <c r="D100" i="34"/>
  <c r="E100" i="34"/>
  <c r="F100" i="34"/>
  <c r="G100" i="34"/>
  <c r="C103" i="27"/>
  <c r="B112" i="83"/>
  <c r="B104" i="83"/>
  <c r="B96" i="83"/>
  <c r="L107" i="83"/>
  <c r="M101" i="83"/>
  <c r="O96" i="83"/>
  <c r="C102" i="27"/>
  <c r="H119" i="27"/>
  <c r="C96" i="83"/>
  <c r="O112" i="83"/>
  <c r="K101" i="83"/>
  <c r="K96" i="83"/>
  <c r="D119" i="27"/>
  <c r="D100" i="27"/>
  <c r="G119" i="27"/>
  <c r="H111" i="27"/>
  <c r="N103" i="27"/>
  <c r="F109" i="83"/>
  <c r="F101" i="83"/>
  <c r="O117" i="83"/>
  <c r="N112" i="83"/>
  <c r="O94" i="83"/>
  <c r="B125" i="27"/>
  <c r="C119" i="27"/>
  <c r="I125" i="27"/>
  <c r="G118" i="27"/>
  <c r="H103" i="27"/>
  <c r="N111" i="27"/>
  <c r="M102" i="27"/>
  <c r="F117" i="83"/>
  <c r="E117" i="83"/>
  <c r="E109" i="83"/>
  <c r="E105" i="83"/>
  <c r="E101" i="83"/>
  <c r="E97" i="83"/>
  <c r="L117" i="83"/>
  <c r="N111" i="83"/>
  <c r="K100" i="83"/>
  <c r="D124" i="27"/>
  <c r="C118" i="27"/>
  <c r="C107" i="27"/>
  <c r="H124" i="27"/>
  <c r="I116" i="27"/>
  <c r="N119" i="27"/>
  <c r="M110" i="27"/>
  <c r="C117" i="83"/>
  <c r="C109" i="83"/>
  <c r="C101" i="83"/>
  <c r="K117" i="83"/>
  <c r="N109" i="83"/>
  <c r="M104" i="83"/>
  <c r="K99" i="83"/>
  <c r="B124" i="27"/>
  <c r="D116" i="27"/>
  <c r="D111" i="27"/>
  <c r="D104" i="27"/>
  <c r="G124" i="27"/>
  <c r="H116" i="27"/>
  <c r="I108" i="27"/>
  <c r="M118" i="27"/>
  <c r="M109" i="27"/>
  <c r="B117" i="83"/>
  <c r="B109" i="83"/>
  <c r="B101" i="83"/>
  <c r="K104" i="83"/>
  <c r="B116" i="27"/>
  <c r="C111" i="27"/>
  <c r="H108" i="27"/>
  <c r="M117" i="27"/>
  <c r="C112" i="83"/>
  <c r="C104" i="83"/>
  <c r="F116" i="83"/>
  <c r="F112" i="83"/>
  <c r="F108" i="83"/>
  <c r="F104" i="83"/>
  <c r="F100" i="83"/>
  <c r="F96" i="83"/>
  <c r="O115" i="83"/>
  <c r="N108" i="83"/>
  <c r="L103" i="83"/>
  <c r="M97" i="83"/>
  <c r="C123" i="27"/>
  <c r="D115" i="27"/>
  <c r="D103" i="27"/>
  <c r="I120" i="27"/>
  <c r="G115" i="27"/>
  <c r="H107" i="27"/>
  <c r="M125" i="27"/>
  <c r="L116" i="27"/>
  <c r="N107" i="27"/>
  <c r="K102" i="83"/>
  <c r="O102" i="83"/>
  <c r="K98" i="83"/>
  <c r="O98" i="83"/>
  <c r="K95" i="83"/>
  <c r="O95" i="83"/>
  <c r="E95" i="83"/>
  <c r="N121" i="27"/>
  <c r="G121" i="27"/>
  <c r="C121" i="27"/>
  <c r="H121" i="27"/>
  <c r="D121" i="27"/>
  <c r="N113" i="27"/>
  <c r="C113" i="27"/>
  <c r="H113" i="27"/>
  <c r="D113" i="27"/>
  <c r="N105" i="27"/>
  <c r="C105" i="27"/>
  <c r="H105" i="27"/>
  <c r="D105" i="27"/>
  <c r="N101" i="27"/>
  <c r="C101" i="27"/>
  <c r="H101" i="27"/>
  <c r="D101" i="27"/>
  <c r="K113" i="83"/>
  <c r="O113" i="83"/>
  <c r="K109" i="83"/>
  <c r="O109" i="83"/>
  <c r="K105" i="83"/>
  <c r="O105" i="83"/>
  <c r="C119" i="83"/>
  <c r="D110" i="83"/>
  <c r="D106" i="83"/>
  <c r="D102" i="83"/>
  <c r="O119" i="83"/>
  <c r="O114" i="83"/>
  <c r="L102" i="83"/>
  <c r="D119" i="83"/>
  <c r="E118" i="83"/>
  <c r="D115" i="83"/>
  <c r="D111" i="83"/>
  <c r="E110" i="83"/>
  <c r="D103" i="83"/>
  <c r="E102" i="83"/>
  <c r="C95" i="83"/>
  <c r="K119" i="83"/>
  <c r="K118" i="83"/>
  <c r="O111" i="83"/>
  <c r="N107" i="83"/>
  <c r="M106" i="83"/>
  <c r="M103" i="83"/>
  <c r="M102" i="83"/>
  <c r="L99" i="83"/>
  <c r="L98" i="83"/>
  <c r="L95" i="83"/>
  <c r="K94" i="83"/>
  <c r="I113" i="27"/>
  <c r="L121" i="27"/>
  <c r="F119" i="83"/>
  <c r="B119" i="83"/>
  <c r="C118" i="83"/>
  <c r="D117" i="83"/>
  <c r="E116" i="83"/>
  <c r="F115" i="83"/>
  <c r="B115" i="83"/>
  <c r="C114" i="83"/>
  <c r="D113" i="83"/>
  <c r="E112" i="83"/>
  <c r="F111" i="83"/>
  <c r="B111" i="83"/>
  <c r="C110" i="83"/>
  <c r="D109" i="83"/>
  <c r="E108" i="83"/>
  <c r="F107" i="83"/>
  <c r="B107" i="83"/>
  <c r="C106" i="83"/>
  <c r="D105" i="83"/>
  <c r="E104" i="83"/>
  <c r="F103" i="83"/>
  <c r="B103" i="83"/>
  <c r="C102" i="83"/>
  <c r="D101" i="83"/>
  <c r="E100" i="83"/>
  <c r="F99" i="83"/>
  <c r="B99" i="83"/>
  <c r="C98" i="83"/>
  <c r="D97" i="83"/>
  <c r="E96" i="83"/>
  <c r="F95" i="83"/>
  <c r="E94" i="83"/>
  <c r="N119" i="83"/>
  <c r="N118" i="83"/>
  <c r="M117" i="83"/>
  <c r="N115" i="83"/>
  <c r="M114" i="83"/>
  <c r="M113" i="83"/>
  <c r="M112" i="83"/>
  <c r="L111" i="83"/>
  <c r="L110" i="83"/>
  <c r="L109" i="83"/>
  <c r="K108" i="83"/>
  <c r="K107" i="83"/>
  <c r="K106" i="83"/>
  <c r="O104" i="83"/>
  <c r="K103" i="83"/>
  <c r="O101" i="83"/>
  <c r="O100" i="83"/>
  <c r="O99" i="83"/>
  <c r="N98" i="83"/>
  <c r="N97" i="83"/>
  <c r="N96" i="83"/>
  <c r="N95" i="83"/>
  <c r="C122" i="27"/>
  <c r="C106" i="27"/>
  <c r="H125" i="27"/>
  <c r="I122" i="27"/>
  <c r="I117" i="27"/>
  <c r="I109" i="27"/>
  <c r="I101" i="27"/>
  <c r="L94" i="83"/>
  <c r="B94" i="83"/>
  <c r="F94" i="83"/>
  <c r="N125" i="27"/>
  <c r="C125" i="27"/>
  <c r="G125" i="27"/>
  <c r="D125" i="27"/>
  <c r="N117" i="27"/>
  <c r="G117" i="27"/>
  <c r="C117" i="27"/>
  <c r="H117" i="27"/>
  <c r="D117" i="27"/>
  <c r="N109" i="27"/>
  <c r="C109" i="27"/>
  <c r="H109" i="27"/>
  <c r="D109" i="27"/>
  <c r="K116" i="83"/>
  <c r="O116" i="83"/>
  <c r="M100" i="27"/>
  <c r="N100" i="27"/>
  <c r="C100" i="27"/>
  <c r="G122" i="27"/>
  <c r="D122" i="27"/>
  <c r="L122" i="27"/>
  <c r="O122" i="27" s="1"/>
  <c r="Z118" i="86" s="1"/>
  <c r="H122" i="27"/>
  <c r="H118" i="27"/>
  <c r="D118" i="27"/>
  <c r="E118" i="27" s="1"/>
  <c r="X114" i="86" s="1"/>
  <c r="L118" i="27"/>
  <c r="I118" i="27"/>
  <c r="H114" i="27"/>
  <c r="D114" i="27"/>
  <c r="I114" i="27"/>
  <c r="H110" i="27"/>
  <c r="D110" i="27"/>
  <c r="I110" i="27"/>
  <c r="H106" i="27"/>
  <c r="D106" i="27"/>
  <c r="I106" i="27"/>
  <c r="H102" i="27"/>
  <c r="D102" i="27"/>
  <c r="I102" i="27"/>
  <c r="D118" i="83"/>
  <c r="D114" i="83"/>
  <c r="D98" i="83"/>
  <c r="O118" i="83"/>
  <c r="M110" i="83"/>
  <c r="L106" i="83"/>
  <c r="O117" i="27"/>
  <c r="Z113" i="86" s="1"/>
  <c r="E114" i="83"/>
  <c r="D107" i="83"/>
  <c r="E106" i="83"/>
  <c r="D99" i="83"/>
  <c r="E98" i="83"/>
  <c r="C94" i="83"/>
  <c r="K115" i="83"/>
  <c r="K114" i="83"/>
  <c r="O110" i="83"/>
  <c r="B121" i="27"/>
  <c r="I121" i="27"/>
  <c r="I105" i="27"/>
  <c r="E119" i="83"/>
  <c r="F118" i="83"/>
  <c r="B118" i="83"/>
  <c r="D116" i="83"/>
  <c r="E115" i="83"/>
  <c r="F114" i="83"/>
  <c r="B114" i="83"/>
  <c r="D112" i="83"/>
  <c r="E111" i="83"/>
  <c r="F110" i="83"/>
  <c r="B110" i="83"/>
  <c r="D108" i="83"/>
  <c r="E107" i="83"/>
  <c r="F106" i="83"/>
  <c r="B106" i="83"/>
  <c r="D104" i="83"/>
  <c r="E103" i="83"/>
  <c r="F102" i="83"/>
  <c r="B102" i="83"/>
  <c r="D100" i="83"/>
  <c r="E99" i="83"/>
  <c r="F98" i="83"/>
  <c r="B98" i="83"/>
  <c r="D96" i="83"/>
  <c r="D95" i="83"/>
  <c r="D94" i="83"/>
  <c r="M119" i="83"/>
  <c r="L118" i="83"/>
  <c r="L116" i="83"/>
  <c r="L115" i="83"/>
  <c r="L114" i="83"/>
  <c r="K112" i="83"/>
  <c r="K111" i="83"/>
  <c r="K110" i="83"/>
  <c r="O108" i="83"/>
  <c r="O107" i="83"/>
  <c r="O106" i="83"/>
  <c r="N104" i="83"/>
  <c r="O103" i="83"/>
  <c r="N102" i="83"/>
  <c r="N100" i="83"/>
  <c r="M99" i="83"/>
  <c r="M98" i="83"/>
  <c r="L96" i="83"/>
  <c r="M95" i="83"/>
  <c r="M94" i="83"/>
  <c r="B122" i="27"/>
  <c r="B117" i="27"/>
  <c r="C110" i="27"/>
  <c r="I100" i="27"/>
  <c r="M121" i="27"/>
  <c r="N118" i="27"/>
  <c r="M113" i="27"/>
  <c r="N110" i="27"/>
  <c r="M105" i="27"/>
  <c r="N102" i="27"/>
  <c r="C124" i="27"/>
  <c r="E124" i="27" s="1"/>
  <c r="X120" i="86" s="1"/>
  <c r="B123" i="27"/>
  <c r="C120" i="27"/>
  <c r="E120" i="27" s="1"/>
  <c r="X116" i="86" s="1"/>
  <c r="B119" i="27"/>
  <c r="C116" i="27"/>
  <c r="B115" i="27"/>
  <c r="C112" i="27"/>
  <c r="C108" i="27"/>
  <c r="C104" i="27"/>
  <c r="I123" i="27"/>
  <c r="G120" i="27"/>
  <c r="G116" i="27"/>
  <c r="N124" i="27"/>
  <c r="M123" i="27"/>
  <c r="O123" i="27" s="1"/>
  <c r="Z119" i="86" s="1"/>
  <c r="N120" i="27"/>
  <c r="M119" i="27"/>
  <c r="O119" i="27" s="1"/>
  <c r="Z115" i="86" s="1"/>
  <c r="N116" i="27"/>
  <c r="M115" i="27"/>
  <c r="O115" i="27" s="1"/>
  <c r="Z111" i="86" s="1"/>
  <c r="N112" i="27"/>
  <c r="M111" i="27"/>
  <c r="N108" i="27"/>
  <c r="M107" i="27"/>
  <c r="N104" i="27"/>
  <c r="M103" i="27"/>
  <c r="I124" i="27"/>
  <c r="H123" i="27"/>
  <c r="I119" i="27"/>
  <c r="J119" i="27" s="1"/>
  <c r="Y115" i="86" s="1"/>
  <c r="I115" i="27"/>
  <c r="I111" i="27"/>
  <c r="I107" i="27"/>
  <c r="I103" i="27"/>
  <c r="E84" i="66"/>
  <c r="E43" i="66"/>
  <c r="E44" i="66"/>
  <c r="E63" i="66"/>
  <c r="E64" i="66"/>
  <c r="E65" i="66"/>
  <c r="E66" i="66"/>
  <c r="E67" i="66"/>
  <c r="E68" i="66"/>
  <c r="E69" i="66"/>
  <c r="E70" i="66"/>
  <c r="E81" i="66"/>
  <c r="E82" i="66"/>
  <c r="E83" i="66"/>
  <c r="J115" i="27" l="1"/>
  <c r="Y111" i="86" s="1"/>
  <c r="E46" i="66"/>
  <c r="E45" i="66" s="1"/>
  <c r="E9" i="21" s="1"/>
  <c r="E114" i="21"/>
  <c r="I41" i="87"/>
  <c r="O116" i="27"/>
  <c r="Z112" i="86" s="1"/>
  <c r="O124" i="27"/>
  <c r="Z120" i="86" s="1"/>
  <c r="E116" i="27"/>
  <c r="X112" i="86" s="1"/>
  <c r="H100" i="32"/>
  <c r="AC102" i="86" s="1"/>
  <c r="R70" i="86"/>
  <c r="R71" i="86" s="1"/>
  <c r="R72" i="86" s="1"/>
  <c r="R73" i="86" s="1"/>
  <c r="R74" i="86" s="1"/>
  <c r="R75" i="86" s="1"/>
  <c r="R76" i="86" s="1"/>
  <c r="R77" i="86" s="1"/>
  <c r="R78" i="86" s="1"/>
  <c r="R79" i="86" s="1"/>
  <c r="R80" i="86" s="1"/>
  <c r="R81" i="86" s="1"/>
  <c r="R82" i="86" s="1"/>
  <c r="R83" i="86" s="1"/>
  <c r="R84" i="86" s="1"/>
  <c r="R85" i="86" s="1"/>
  <c r="R86" i="86" s="1"/>
  <c r="R87" i="86" s="1"/>
  <c r="R88" i="86" s="1"/>
  <c r="R89" i="86" s="1"/>
  <c r="R90" i="86" s="1"/>
  <c r="R91" i="86" s="1"/>
  <c r="R92" i="86" s="1"/>
  <c r="R93" i="86" s="1"/>
  <c r="R94" i="86" s="1"/>
  <c r="R95" i="86" s="1"/>
  <c r="R96" i="86" s="1"/>
  <c r="R97" i="86" s="1"/>
  <c r="R98" i="86" s="1"/>
  <c r="R99" i="86" s="1"/>
  <c r="R100" i="86" s="1"/>
  <c r="R101" i="86" s="1"/>
  <c r="R102" i="86" s="1"/>
  <c r="R103" i="86" s="1"/>
  <c r="R104" i="86" s="1"/>
  <c r="R105" i="86" s="1"/>
  <c r="R106" i="86" s="1"/>
  <c r="R107" i="86" s="1"/>
  <c r="R108" i="86" s="1"/>
  <c r="R109" i="86" s="1"/>
  <c r="R110" i="86" s="1"/>
  <c r="R111" i="86" s="1"/>
  <c r="R112" i="86" s="1"/>
  <c r="R113" i="86" s="1"/>
  <c r="R114" i="86" s="1"/>
  <c r="R115" i="86" s="1"/>
  <c r="R116" i="86" s="1"/>
  <c r="R117" i="86" s="1"/>
  <c r="R118" i="86" s="1"/>
  <c r="R119" i="86" s="1"/>
  <c r="R120" i="86" s="1"/>
  <c r="R121" i="86" s="1"/>
  <c r="Q123" i="86"/>
  <c r="J116" i="27"/>
  <c r="Y112" i="86" s="1"/>
  <c r="H97" i="32"/>
  <c r="AC99" i="86" s="1"/>
  <c r="E115" i="27"/>
  <c r="X111" i="86" s="1"/>
  <c r="G97" i="83"/>
  <c r="W99" i="86" s="1"/>
  <c r="AV99" i="86" s="1"/>
  <c r="E123" i="27"/>
  <c r="X119" i="86" s="1"/>
  <c r="H113" i="28"/>
  <c r="AA115" i="86" s="1"/>
  <c r="H114" i="28"/>
  <c r="AA116" i="86" s="1"/>
  <c r="H101" i="32"/>
  <c r="AC103" i="86" s="1"/>
  <c r="O120" i="27"/>
  <c r="Z116" i="86" s="1"/>
  <c r="G113" i="83"/>
  <c r="W115" i="86" s="1"/>
  <c r="AV115" i="86" s="1"/>
  <c r="E119" i="27"/>
  <c r="X115" i="86" s="1"/>
  <c r="J120" i="27"/>
  <c r="Y116" i="86" s="1"/>
  <c r="I116" i="34"/>
  <c r="AD118" i="86" s="1"/>
  <c r="H102" i="29"/>
  <c r="AB100" i="86" s="1"/>
  <c r="H112" i="32"/>
  <c r="AC114" i="86" s="1"/>
  <c r="H102" i="28"/>
  <c r="AA104" i="86" s="1"/>
  <c r="H94" i="28"/>
  <c r="AA96" i="86" s="1"/>
  <c r="H121" i="29"/>
  <c r="AB119" i="86" s="1"/>
  <c r="H106" i="28"/>
  <c r="AA108" i="86" s="1"/>
  <c r="H117" i="32"/>
  <c r="AC119" i="86" s="1"/>
  <c r="J125" i="27"/>
  <c r="H106" i="29"/>
  <c r="AB104" i="86" s="1"/>
  <c r="I97" i="34"/>
  <c r="AD99" i="86" s="1"/>
  <c r="H120" i="29"/>
  <c r="AB118" i="86" s="1"/>
  <c r="E122" i="27"/>
  <c r="X118" i="86" s="1"/>
  <c r="J124" i="27"/>
  <c r="Y120" i="86" s="1"/>
  <c r="E125" i="27"/>
  <c r="I119" i="34"/>
  <c r="AD121" i="86" s="1"/>
  <c r="H114" i="29"/>
  <c r="AB112" i="86" s="1"/>
  <c r="I113" i="34"/>
  <c r="AD115" i="86" s="1"/>
  <c r="H107" i="29"/>
  <c r="AB105" i="86" s="1"/>
  <c r="H111" i="29"/>
  <c r="AB109" i="86" s="1"/>
  <c r="H98" i="29"/>
  <c r="AB96" i="86" s="1"/>
  <c r="I118" i="34"/>
  <c r="AD120" i="86" s="1"/>
  <c r="H104" i="29"/>
  <c r="AB102" i="86" s="1"/>
  <c r="I111" i="34"/>
  <c r="AD113" i="86" s="1"/>
  <c r="I105" i="34"/>
  <c r="AD107" i="86" s="1"/>
  <c r="H99" i="29"/>
  <c r="AB97" i="86" s="1"/>
  <c r="H123" i="29"/>
  <c r="AB121" i="86" s="1"/>
  <c r="I115" i="34"/>
  <c r="AD117" i="86" s="1"/>
  <c r="H108" i="29"/>
  <c r="AB106" i="86" s="1"/>
  <c r="I108" i="34"/>
  <c r="AD110" i="86" s="1"/>
  <c r="H118" i="29"/>
  <c r="AB116" i="86" s="1"/>
  <c r="I109" i="34"/>
  <c r="AD111" i="86" s="1"/>
  <c r="I117" i="34"/>
  <c r="AD119" i="86" s="1"/>
  <c r="I112" i="34"/>
  <c r="AD114" i="86" s="1"/>
  <c r="I107" i="34"/>
  <c r="AD109" i="86" s="1"/>
  <c r="H117" i="29"/>
  <c r="AB115" i="86" s="1"/>
  <c r="H113" i="29"/>
  <c r="AB111" i="86" s="1"/>
  <c r="H116" i="29"/>
  <c r="AB114" i="86" s="1"/>
  <c r="H115" i="29"/>
  <c r="AB113" i="86" s="1"/>
  <c r="H109" i="29"/>
  <c r="AB107" i="86" s="1"/>
  <c r="I100" i="34"/>
  <c r="AD102" i="86" s="1"/>
  <c r="H110" i="29"/>
  <c r="AB108" i="86" s="1"/>
  <c r="I101" i="34"/>
  <c r="AD103" i="86" s="1"/>
  <c r="H103" i="29"/>
  <c r="AB101" i="86" s="1"/>
  <c r="I110" i="34"/>
  <c r="AD112" i="86" s="1"/>
  <c r="I103" i="34"/>
  <c r="AD105" i="86" s="1"/>
  <c r="I104" i="34"/>
  <c r="AD106" i="86" s="1"/>
  <c r="H122" i="29"/>
  <c r="AB120" i="86" s="1"/>
  <c r="I106" i="34"/>
  <c r="AD108" i="86" s="1"/>
  <c r="H100" i="29"/>
  <c r="AB98" i="86" s="1"/>
  <c r="I99" i="34"/>
  <c r="AD101" i="86" s="1"/>
  <c r="O118" i="27"/>
  <c r="Z114" i="86" s="1"/>
  <c r="I102" i="34"/>
  <c r="AD104" i="86" s="1"/>
  <c r="H105" i="29"/>
  <c r="AB103" i="86" s="1"/>
  <c r="I98" i="34"/>
  <c r="AD100" i="86" s="1"/>
  <c r="H119" i="29"/>
  <c r="AB117" i="86" s="1"/>
  <c r="I114" i="34"/>
  <c r="AD116" i="86" s="1"/>
  <c r="H112" i="29"/>
  <c r="AB110" i="86" s="1"/>
  <c r="I95" i="34"/>
  <c r="AD97" i="86" s="1"/>
  <c r="I96" i="34"/>
  <c r="AD98" i="86" s="1"/>
  <c r="I94" i="34"/>
  <c r="AD96" i="86" s="1"/>
  <c r="BB96" i="86" s="1"/>
  <c r="H101" i="29"/>
  <c r="AB99" i="86" s="1"/>
  <c r="G109" i="83"/>
  <c r="W111" i="86" s="1"/>
  <c r="AV111" i="86" s="1"/>
  <c r="G107" i="83"/>
  <c r="W109" i="86" s="1"/>
  <c r="AV109" i="86" s="1"/>
  <c r="P100" i="83"/>
  <c r="G99" i="83"/>
  <c r="W101" i="86" s="1"/>
  <c r="AV101" i="86" s="1"/>
  <c r="P112" i="83"/>
  <c r="H115" i="28"/>
  <c r="AA117" i="86" s="1"/>
  <c r="H107" i="32"/>
  <c r="AC109" i="86" s="1"/>
  <c r="H118" i="28"/>
  <c r="AA120" i="86" s="1"/>
  <c r="H99" i="28"/>
  <c r="AA101" i="86" s="1"/>
  <c r="H109" i="32"/>
  <c r="AC111" i="86" s="1"/>
  <c r="H98" i="28"/>
  <c r="AA100" i="86" s="1"/>
  <c r="H97" i="28"/>
  <c r="AA99" i="86" s="1"/>
  <c r="H103" i="32"/>
  <c r="AC105" i="86" s="1"/>
  <c r="H95" i="28"/>
  <c r="AA97" i="86" s="1"/>
  <c r="H110" i="28"/>
  <c r="AA112" i="86" s="1"/>
  <c r="H107" i="28"/>
  <c r="AA109" i="86" s="1"/>
  <c r="H105" i="32"/>
  <c r="AC107" i="86" s="1"/>
  <c r="H99" i="32"/>
  <c r="AC101" i="86" s="1"/>
  <c r="H103" i="28"/>
  <c r="AA105" i="86" s="1"/>
  <c r="H119" i="28"/>
  <c r="AA121" i="86" s="1"/>
  <c r="H113" i="32"/>
  <c r="AC115" i="86" s="1"/>
  <c r="G101" i="83"/>
  <c r="P99" i="83"/>
  <c r="G110" i="83"/>
  <c r="G104" i="83"/>
  <c r="G98" i="83"/>
  <c r="P106" i="83"/>
  <c r="P105" i="83"/>
  <c r="G112" i="83"/>
  <c r="G105" i="83"/>
  <c r="P98" i="83"/>
  <c r="P104" i="83"/>
  <c r="G96" i="83"/>
  <c r="P97" i="83"/>
  <c r="P96" i="83"/>
  <c r="G108" i="83"/>
  <c r="G116" i="83"/>
  <c r="G95" i="83"/>
  <c r="P116" i="83"/>
  <c r="P94" i="83"/>
  <c r="G106" i="83"/>
  <c r="P111" i="83"/>
  <c r="G119" i="83"/>
  <c r="J118" i="27"/>
  <c r="Y114" i="86" s="1"/>
  <c r="H95" i="32"/>
  <c r="AC97" i="86" s="1"/>
  <c r="H114" i="32"/>
  <c r="AC116" i="86" s="1"/>
  <c r="H105" i="28"/>
  <c r="AA107" i="86" s="1"/>
  <c r="P101" i="83"/>
  <c r="G94" i="83"/>
  <c r="G114" i="83"/>
  <c r="P118" i="83"/>
  <c r="H101" i="28"/>
  <c r="AA103" i="86" s="1"/>
  <c r="H111" i="32"/>
  <c r="AC113" i="86" s="1"/>
  <c r="P103" i="83"/>
  <c r="G115" i="83"/>
  <c r="O121" i="27"/>
  <c r="Z117" i="86" s="1"/>
  <c r="H118" i="32"/>
  <c r="AC120" i="86" s="1"/>
  <c r="G100" i="83"/>
  <c r="H109" i="28"/>
  <c r="AA111" i="86" s="1"/>
  <c r="H111" i="28"/>
  <c r="AA113" i="86" s="1"/>
  <c r="P109" i="83"/>
  <c r="P114" i="83"/>
  <c r="H116" i="32"/>
  <c r="AC118" i="86" s="1"/>
  <c r="G111" i="83"/>
  <c r="G117" i="83"/>
  <c r="G103" i="83"/>
  <c r="J123" i="27"/>
  <c r="Y119" i="86" s="1"/>
  <c r="H119" i="32"/>
  <c r="AC121" i="86" s="1"/>
  <c r="P110" i="83"/>
  <c r="P115" i="83"/>
  <c r="O125" i="27"/>
  <c r="P108" i="83"/>
  <c r="P117" i="83"/>
  <c r="G118" i="83"/>
  <c r="P113" i="83"/>
  <c r="E121" i="27"/>
  <c r="X117" i="86" s="1"/>
  <c r="H112" i="28"/>
  <c r="AA114" i="86" s="1"/>
  <c r="J117" i="27"/>
  <c r="Y113" i="86" s="1"/>
  <c r="H98" i="32"/>
  <c r="AC100" i="86" s="1"/>
  <c r="H96" i="32"/>
  <c r="AC98" i="86" s="1"/>
  <c r="H108" i="32"/>
  <c r="AC110" i="86" s="1"/>
  <c r="H115" i="32"/>
  <c r="AC117" i="86" s="1"/>
  <c r="H104" i="28"/>
  <c r="AA106" i="86" s="1"/>
  <c r="H96" i="28"/>
  <c r="AA98" i="86" s="1"/>
  <c r="H117" i="28"/>
  <c r="AA119" i="86" s="1"/>
  <c r="P95" i="83"/>
  <c r="J122" i="27"/>
  <c r="Y118" i="86" s="1"/>
  <c r="H110" i="32"/>
  <c r="AC112" i="86" s="1"/>
  <c r="P107" i="83"/>
  <c r="H100" i="28"/>
  <c r="AA102" i="86" s="1"/>
  <c r="P102" i="83"/>
  <c r="E117" i="27"/>
  <c r="X113" i="86" s="1"/>
  <c r="G102" i="83"/>
  <c r="H106" i="32"/>
  <c r="AC108" i="86" s="1"/>
  <c r="H104" i="32"/>
  <c r="AC106" i="86" s="1"/>
  <c r="H108" i="28"/>
  <c r="AA110" i="86" s="1"/>
  <c r="H116" i="28"/>
  <c r="AA118" i="86" s="1"/>
  <c r="P119" i="83"/>
  <c r="H94" i="32"/>
  <c r="AC96" i="86" s="1"/>
  <c r="J121" i="27"/>
  <c r="Y117" i="86" s="1"/>
  <c r="H102" i="32"/>
  <c r="AC104" i="86" s="1"/>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4" i="8"/>
  <c r="B39" i="73"/>
  <c r="B44" i="66" s="1"/>
  <c r="C119" i="62"/>
  <c r="D119" i="62"/>
  <c r="E119" i="62"/>
  <c r="F119" i="62"/>
  <c r="B119" i="62"/>
  <c r="C103" i="62"/>
  <c r="C104" i="62"/>
  <c r="C105" i="62"/>
  <c r="D103" i="62"/>
  <c r="D104" i="62"/>
  <c r="D105" i="62"/>
  <c r="D109" i="62" s="1"/>
  <c r="E103" i="62"/>
  <c r="E104" i="62"/>
  <c r="E109" i="62" s="1"/>
  <c r="E105" i="62"/>
  <c r="F103" i="62"/>
  <c r="F104" i="62"/>
  <c r="F105" i="62"/>
  <c r="B103" i="62"/>
  <c r="B104" i="62"/>
  <c r="B105" i="62"/>
  <c r="C107" i="62"/>
  <c r="D107" i="62"/>
  <c r="E107" i="62"/>
  <c r="F107" i="62"/>
  <c r="B107" i="62"/>
  <c r="C106" i="62"/>
  <c r="D106" i="62"/>
  <c r="E106" i="62"/>
  <c r="F106" i="62"/>
  <c r="B106" i="62"/>
  <c r="B4" i="29"/>
  <c r="C4" i="29"/>
  <c r="D4" i="29"/>
  <c r="E4" i="29"/>
  <c r="F4" i="29"/>
  <c r="B115" i="62"/>
  <c r="C115" i="62"/>
  <c r="D115" i="62"/>
  <c r="E115" i="62"/>
  <c r="F115" i="62"/>
  <c r="B116" i="62"/>
  <c r="C116" i="62"/>
  <c r="D116" i="62"/>
  <c r="E116" i="62"/>
  <c r="F116" i="62"/>
  <c r="D143" i="6"/>
  <c r="D117" i="62" s="1"/>
  <c r="E143" i="6"/>
  <c r="E117" i="62" s="1"/>
  <c r="F143" i="6"/>
  <c r="F117" i="62" s="1"/>
  <c r="D118" i="62"/>
  <c r="E118" i="62"/>
  <c r="F118" i="62"/>
  <c r="F109" i="62"/>
  <c r="C46" i="81"/>
  <c r="C57" i="81" s="1"/>
  <c r="E46" i="81"/>
  <c r="F46" i="81"/>
  <c r="N6" i="6"/>
  <c r="D23" i="81"/>
  <c r="D67" i="81"/>
  <c r="C23" i="81"/>
  <c r="E23" i="81"/>
  <c r="F23" i="81"/>
  <c r="F56" i="81" s="1"/>
  <c r="F59" i="81" s="1"/>
  <c r="C67" i="81"/>
  <c r="E67" i="81"/>
  <c r="I3" i="83"/>
  <c r="D46" i="81"/>
  <c r="D57" i="81" s="1"/>
  <c r="D59" i="81" s="1"/>
  <c r="B46" i="81"/>
  <c r="B23" i="81"/>
  <c r="B67" i="81"/>
  <c r="E57" i="81"/>
  <c r="E56" i="81"/>
  <c r="D56" i="81"/>
  <c r="C56" i="81"/>
  <c r="C59" i="81" s="1"/>
  <c r="C61" i="81" s="1"/>
  <c r="B57" i="81"/>
  <c r="B56" i="81"/>
  <c r="F57" i="81"/>
  <c r="G44" i="66"/>
  <c r="G46" i="66" s="1"/>
  <c r="G45" i="66" s="1"/>
  <c r="H44" i="66"/>
  <c r="J44" i="66"/>
  <c r="K44" i="66"/>
  <c r="L44" i="66"/>
  <c r="M44" i="66"/>
  <c r="N44" i="66"/>
  <c r="O44" i="66"/>
  <c r="P44" i="66"/>
  <c r="Q44" i="66"/>
  <c r="R44" i="66"/>
  <c r="S44" i="66"/>
  <c r="M35" i="23"/>
  <c r="M36" i="23"/>
  <c r="C142" i="68"/>
  <c r="C143" i="68"/>
  <c r="C144" i="68"/>
  <c r="C145" i="68"/>
  <c r="D142" i="68"/>
  <c r="D143" i="68"/>
  <c r="D144" i="68"/>
  <c r="D145" i="68"/>
  <c r="E142" i="68"/>
  <c r="E143" i="68"/>
  <c r="E144" i="68"/>
  <c r="E145" i="68"/>
  <c r="F142" i="68"/>
  <c r="F143" i="68"/>
  <c r="F144" i="68"/>
  <c r="F145" i="68"/>
  <c r="B144" i="68"/>
  <c r="L10" i="27"/>
  <c r="N10" i="27"/>
  <c r="L11" i="27"/>
  <c r="M11" i="27"/>
  <c r="L12" i="27"/>
  <c r="M12" i="27"/>
  <c r="N12" i="27"/>
  <c r="L13" i="27"/>
  <c r="M13" i="27"/>
  <c r="N13" i="27"/>
  <c r="L14" i="27"/>
  <c r="M14" i="27"/>
  <c r="N14" i="27"/>
  <c r="L15" i="27"/>
  <c r="M15" i="27"/>
  <c r="N15" i="27"/>
  <c r="L16" i="27"/>
  <c r="M16" i="27"/>
  <c r="N16" i="27"/>
  <c r="L17" i="27"/>
  <c r="M17" i="27"/>
  <c r="N17" i="27"/>
  <c r="L18" i="27"/>
  <c r="M18" i="27"/>
  <c r="N18" i="27"/>
  <c r="L19" i="27"/>
  <c r="M19" i="27"/>
  <c r="N19" i="27"/>
  <c r="L20" i="27"/>
  <c r="M20" i="27"/>
  <c r="N20" i="27"/>
  <c r="L21" i="27"/>
  <c r="M21" i="27"/>
  <c r="N21" i="27"/>
  <c r="L22" i="27"/>
  <c r="M22" i="27"/>
  <c r="N22" i="27"/>
  <c r="L23" i="27"/>
  <c r="M23" i="27"/>
  <c r="N23" i="27"/>
  <c r="L24" i="27"/>
  <c r="M24" i="27"/>
  <c r="N24" i="27"/>
  <c r="L25" i="27"/>
  <c r="M25" i="27"/>
  <c r="N25" i="27"/>
  <c r="L26" i="27"/>
  <c r="M26" i="27"/>
  <c r="N26" i="27"/>
  <c r="L27" i="27"/>
  <c r="M27" i="27"/>
  <c r="N27" i="27"/>
  <c r="L28" i="27"/>
  <c r="M28" i="27"/>
  <c r="N28" i="27"/>
  <c r="L29" i="27"/>
  <c r="M29" i="27"/>
  <c r="N29" i="27"/>
  <c r="L30" i="27"/>
  <c r="M30" i="27"/>
  <c r="N30" i="27"/>
  <c r="L31" i="27"/>
  <c r="M31" i="27"/>
  <c r="N31" i="27"/>
  <c r="L32" i="27"/>
  <c r="M32" i="27"/>
  <c r="N32" i="27"/>
  <c r="L33" i="27"/>
  <c r="O33" i="27" s="1"/>
  <c r="Z29" i="86" s="1"/>
  <c r="M33" i="27"/>
  <c r="N33" i="27"/>
  <c r="L34" i="27"/>
  <c r="M34" i="27"/>
  <c r="N34" i="27"/>
  <c r="L35" i="27"/>
  <c r="M35" i="27"/>
  <c r="N35" i="27"/>
  <c r="L36" i="27"/>
  <c r="M36" i="27"/>
  <c r="N36" i="27"/>
  <c r="L37" i="27"/>
  <c r="M37" i="27"/>
  <c r="N37" i="27"/>
  <c r="L38" i="27"/>
  <c r="M38" i="27"/>
  <c r="N38" i="27"/>
  <c r="L39" i="27"/>
  <c r="M39" i="27"/>
  <c r="N39" i="27"/>
  <c r="L40" i="27"/>
  <c r="M40" i="27"/>
  <c r="N40" i="27"/>
  <c r="L41" i="27"/>
  <c r="M41" i="27"/>
  <c r="N41" i="27"/>
  <c r="L42" i="27"/>
  <c r="M42" i="27"/>
  <c r="N42" i="27"/>
  <c r="L43" i="27"/>
  <c r="M43" i="27"/>
  <c r="N43" i="27"/>
  <c r="L44" i="27"/>
  <c r="M44" i="27"/>
  <c r="N44" i="27"/>
  <c r="M45" i="27"/>
  <c r="N45" i="27"/>
  <c r="M46" i="27"/>
  <c r="N46" i="27"/>
  <c r="M47" i="27"/>
  <c r="N47" i="27"/>
  <c r="M48" i="27"/>
  <c r="N48" i="27"/>
  <c r="M49" i="27"/>
  <c r="N49" i="27"/>
  <c r="M50" i="27"/>
  <c r="N50" i="27"/>
  <c r="M51" i="27"/>
  <c r="N51" i="27"/>
  <c r="M52" i="27"/>
  <c r="N52" i="27"/>
  <c r="M53" i="27"/>
  <c r="N53" i="27"/>
  <c r="M54" i="27"/>
  <c r="N54" i="27"/>
  <c r="M55" i="27"/>
  <c r="N55" i="27"/>
  <c r="M56" i="27"/>
  <c r="N56" i="27"/>
  <c r="M57" i="27"/>
  <c r="N57" i="27"/>
  <c r="M58" i="27"/>
  <c r="N58" i="27"/>
  <c r="M59" i="27"/>
  <c r="N59" i="27"/>
  <c r="M60" i="27"/>
  <c r="N60" i="27"/>
  <c r="M61" i="27"/>
  <c r="N61" i="27"/>
  <c r="M62" i="27"/>
  <c r="N62" i="27"/>
  <c r="M63" i="27"/>
  <c r="N63" i="27"/>
  <c r="M64" i="27"/>
  <c r="N64" i="27"/>
  <c r="M65" i="27"/>
  <c r="N65" i="27"/>
  <c r="M66" i="27"/>
  <c r="N66" i="27"/>
  <c r="M67" i="27"/>
  <c r="N67" i="27"/>
  <c r="M68" i="27"/>
  <c r="N68" i="27"/>
  <c r="M69" i="27"/>
  <c r="N69" i="27"/>
  <c r="M70" i="27"/>
  <c r="N70" i="27"/>
  <c r="M71" i="27"/>
  <c r="N71" i="27"/>
  <c r="M72" i="27"/>
  <c r="N72" i="27"/>
  <c r="M73" i="27"/>
  <c r="N73" i="27"/>
  <c r="M74" i="27"/>
  <c r="N74" i="27"/>
  <c r="M75" i="27"/>
  <c r="N75" i="27"/>
  <c r="M76" i="27"/>
  <c r="N76" i="27"/>
  <c r="M77" i="27"/>
  <c r="N77" i="27"/>
  <c r="M78" i="27"/>
  <c r="N78" i="27"/>
  <c r="M79" i="27"/>
  <c r="N79" i="27"/>
  <c r="M80" i="27"/>
  <c r="N80" i="27"/>
  <c r="M81" i="27"/>
  <c r="N81" i="27"/>
  <c r="M82" i="27"/>
  <c r="N82" i="27"/>
  <c r="M83" i="27"/>
  <c r="N83" i="27"/>
  <c r="M84" i="27"/>
  <c r="N84" i="27"/>
  <c r="M85" i="27"/>
  <c r="N85" i="27"/>
  <c r="M86" i="27"/>
  <c r="N86" i="27"/>
  <c r="M87" i="27"/>
  <c r="N87" i="27"/>
  <c r="M88" i="27"/>
  <c r="N88" i="27"/>
  <c r="M89" i="27"/>
  <c r="N89" i="27"/>
  <c r="M90" i="27"/>
  <c r="N90" i="27"/>
  <c r="M91" i="27"/>
  <c r="N91" i="27"/>
  <c r="M92" i="27"/>
  <c r="N92" i="27"/>
  <c r="M93" i="27"/>
  <c r="N93" i="27"/>
  <c r="M94" i="27"/>
  <c r="N94" i="27"/>
  <c r="M95" i="27"/>
  <c r="N95" i="27"/>
  <c r="M96" i="27"/>
  <c r="N96" i="27"/>
  <c r="M97" i="27"/>
  <c r="N97" i="27"/>
  <c r="M98" i="27"/>
  <c r="N98" i="27"/>
  <c r="M99" i="27"/>
  <c r="N99" i="27"/>
  <c r="M9" i="27"/>
  <c r="N9" i="27"/>
  <c r="L9" i="27"/>
  <c r="N5"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4" i="6"/>
  <c r="C97" i="62"/>
  <c r="D97" i="62"/>
  <c r="E97" i="62"/>
  <c r="F97" i="62"/>
  <c r="B97" i="62"/>
  <c r="H80" i="32"/>
  <c r="AC82" i="86" s="1"/>
  <c r="C76" i="62"/>
  <c r="D76" i="62"/>
  <c r="E76" i="62"/>
  <c r="F76" i="62"/>
  <c r="B76" i="62"/>
  <c r="C65" i="81"/>
  <c r="D65" i="81"/>
  <c r="E65" i="81"/>
  <c r="F65" i="81"/>
  <c r="C66" i="81"/>
  <c r="D66" i="81"/>
  <c r="E66" i="81"/>
  <c r="F66" i="81"/>
  <c r="B66" i="81"/>
  <c r="B65" i="81"/>
  <c r="A60" i="81"/>
  <c r="A61" i="81"/>
  <c r="A59" i="81"/>
  <c r="C55" i="81"/>
  <c r="C60" i="81" s="1"/>
  <c r="D55" i="81"/>
  <c r="D60" i="81"/>
  <c r="E55" i="81"/>
  <c r="E60" i="81" s="1"/>
  <c r="E26" i="23" s="1"/>
  <c r="F55" i="81"/>
  <c r="F60" i="81" s="1"/>
  <c r="B55" i="81"/>
  <c r="B60" i="81" s="1"/>
  <c r="B61" i="81" s="1"/>
  <c r="C2" i="83"/>
  <c r="L2" i="83" s="1"/>
  <c r="D2" i="83"/>
  <c r="M2" i="83" s="1"/>
  <c r="E2" i="83"/>
  <c r="N2" i="83" s="1"/>
  <c r="F2" i="83"/>
  <c r="O2" i="83" s="1"/>
  <c r="B2" i="83"/>
  <c r="K2" i="83" s="1"/>
  <c r="D83" i="83"/>
  <c r="O85" i="83"/>
  <c r="C86" i="83"/>
  <c r="O87" i="83"/>
  <c r="F88" i="83"/>
  <c r="F89" i="83"/>
  <c r="B90" i="83"/>
  <c r="L91" i="83"/>
  <c r="O93" i="83"/>
  <c r="E69" i="83"/>
  <c r="D70" i="83"/>
  <c r="C71" i="83"/>
  <c r="D72" i="83"/>
  <c r="N73" i="83"/>
  <c r="C74" i="83"/>
  <c r="D75" i="83"/>
  <c r="L76" i="83"/>
  <c r="E77" i="83"/>
  <c r="D78" i="83"/>
  <c r="M79" i="83"/>
  <c r="C80" i="83"/>
  <c r="F81" i="83"/>
  <c r="B82" i="83"/>
  <c r="K49" i="83"/>
  <c r="N50" i="83"/>
  <c r="K51" i="83"/>
  <c r="F52" i="83"/>
  <c r="O53" i="83"/>
  <c r="E54" i="83"/>
  <c r="B55" i="83"/>
  <c r="D56" i="83"/>
  <c r="K57" i="83"/>
  <c r="F58" i="83"/>
  <c r="L59" i="83"/>
  <c r="L60" i="83"/>
  <c r="E61" i="83"/>
  <c r="E62" i="83"/>
  <c r="E64" i="83"/>
  <c r="K65" i="83"/>
  <c r="F66" i="83"/>
  <c r="B67" i="83"/>
  <c r="N68" i="83"/>
  <c r="C33" i="83"/>
  <c r="L36" i="83"/>
  <c r="C38" i="83"/>
  <c r="C39" i="83"/>
  <c r="F40" i="83"/>
  <c r="K41" i="83"/>
  <c r="L44" i="83"/>
  <c r="B45" i="83"/>
  <c r="L46" i="83"/>
  <c r="M47" i="83"/>
  <c r="D48" i="83"/>
  <c r="O4" i="83"/>
  <c r="O5" i="83"/>
  <c r="L6" i="83"/>
  <c r="C9" i="83"/>
  <c r="N10" i="83"/>
  <c r="K11" i="83"/>
  <c r="B12" i="83"/>
  <c r="L14" i="83"/>
  <c r="C15" i="83"/>
  <c r="C17" i="83"/>
  <c r="D18" i="83"/>
  <c r="L19" i="83"/>
  <c r="D20" i="83"/>
  <c r="M22" i="83"/>
  <c r="E23" i="83"/>
  <c r="K25" i="83"/>
  <c r="D26" i="83"/>
  <c r="K27" i="83"/>
  <c r="L28" i="83"/>
  <c r="O31" i="83"/>
  <c r="F32" i="83"/>
  <c r="E3" i="83"/>
  <c r="B70" i="81"/>
  <c r="E59" i="81"/>
  <c r="B69" i="81"/>
  <c r="B59" i="81"/>
  <c r="C154" i="68"/>
  <c r="D154" i="68"/>
  <c r="E154" i="68"/>
  <c r="F154" i="68"/>
  <c r="B154" i="68"/>
  <c r="D26" i="23"/>
  <c r="C83" i="66"/>
  <c r="D83" i="66"/>
  <c r="F83" i="66"/>
  <c r="G83" i="66"/>
  <c r="H83" i="66"/>
  <c r="I83" i="66"/>
  <c r="J83" i="66"/>
  <c r="K83" i="66"/>
  <c r="L83" i="66"/>
  <c r="M83" i="66"/>
  <c r="N83" i="66"/>
  <c r="O83" i="66"/>
  <c r="P83" i="66"/>
  <c r="Q83" i="66"/>
  <c r="R83" i="66"/>
  <c r="S83" i="66"/>
  <c r="B83" i="66"/>
  <c r="B46" i="64"/>
  <c r="C46" i="64"/>
  <c r="D46" i="64"/>
  <c r="E46" i="64"/>
  <c r="F46" i="64"/>
  <c r="G46" i="64"/>
  <c r="H13" i="64"/>
  <c r="I12" i="64"/>
  <c r="B44" i="64"/>
  <c r="C44" i="64"/>
  <c r="I23" i="64"/>
  <c r="J24" i="64"/>
  <c r="H23" i="64"/>
  <c r="J22" i="64"/>
  <c r="I22" i="64"/>
  <c r="I18" i="64"/>
  <c r="H18" i="64"/>
  <c r="J17" i="64"/>
  <c r="I17" i="64"/>
  <c r="J12" i="64"/>
  <c r="I13" i="64"/>
  <c r="H21" i="64"/>
  <c r="H16" i="64"/>
  <c r="H11" i="64"/>
  <c r="C9" i="27"/>
  <c r="D9" i="27"/>
  <c r="H9" i="27"/>
  <c r="I9" i="27"/>
  <c r="D10" i="27"/>
  <c r="G10" i="27"/>
  <c r="I10" i="27"/>
  <c r="C11" i="27"/>
  <c r="G11" i="27"/>
  <c r="H11" i="27"/>
  <c r="C12" i="27"/>
  <c r="D12" i="27"/>
  <c r="G12" i="27"/>
  <c r="H12" i="27"/>
  <c r="I12" i="27"/>
  <c r="C13" i="27"/>
  <c r="D13" i="27"/>
  <c r="G13" i="27"/>
  <c r="H13" i="27"/>
  <c r="I13" i="27"/>
  <c r="C14" i="27"/>
  <c r="D14" i="27"/>
  <c r="G14" i="27"/>
  <c r="H14" i="27"/>
  <c r="I14" i="27"/>
  <c r="B15" i="27"/>
  <c r="D15" i="27"/>
  <c r="G15" i="27"/>
  <c r="H15" i="27"/>
  <c r="I15" i="27"/>
  <c r="B16" i="27"/>
  <c r="C16" i="27"/>
  <c r="D16" i="27"/>
  <c r="G16" i="27"/>
  <c r="H16" i="27"/>
  <c r="I16" i="27"/>
  <c r="B17" i="27"/>
  <c r="C17" i="27"/>
  <c r="D17" i="27"/>
  <c r="G17" i="27"/>
  <c r="H17" i="27"/>
  <c r="I17" i="27"/>
  <c r="B18" i="27"/>
  <c r="C18" i="27"/>
  <c r="D18" i="27"/>
  <c r="G18" i="27"/>
  <c r="H18" i="27"/>
  <c r="I18" i="27"/>
  <c r="B19" i="27"/>
  <c r="C19" i="27"/>
  <c r="D19" i="27"/>
  <c r="G19" i="27"/>
  <c r="J19" i="27" s="1"/>
  <c r="Y15" i="86" s="1"/>
  <c r="H19" i="27"/>
  <c r="I19" i="27"/>
  <c r="B20" i="27"/>
  <c r="C20" i="27"/>
  <c r="D20" i="27"/>
  <c r="G20" i="27"/>
  <c r="H20" i="27"/>
  <c r="I20" i="27"/>
  <c r="B21" i="27"/>
  <c r="C21" i="27"/>
  <c r="D21" i="27"/>
  <c r="G21" i="27"/>
  <c r="H21" i="27"/>
  <c r="I21" i="27"/>
  <c r="B22" i="27"/>
  <c r="C22" i="27"/>
  <c r="D22" i="27"/>
  <c r="G22" i="27"/>
  <c r="H22" i="27"/>
  <c r="I22" i="27"/>
  <c r="B23" i="27"/>
  <c r="C23" i="27"/>
  <c r="D23" i="27"/>
  <c r="G23" i="27"/>
  <c r="J23" i="27" s="1"/>
  <c r="Y19" i="86" s="1"/>
  <c r="H23" i="27"/>
  <c r="I23" i="27"/>
  <c r="B24" i="27"/>
  <c r="C24" i="27"/>
  <c r="D24" i="27"/>
  <c r="G24" i="27"/>
  <c r="H24" i="27"/>
  <c r="I24" i="27"/>
  <c r="B25" i="27"/>
  <c r="C25" i="27"/>
  <c r="D25" i="27"/>
  <c r="G25" i="27"/>
  <c r="H25" i="27"/>
  <c r="I25" i="27"/>
  <c r="B26" i="27"/>
  <c r="C26" i="27"/>
  <c r="D26" i="27"/>
  <c r="G26" i="27"/>
  <c r="H26" i="27"/>
  <c r="I26" i="27"/>
  <c r="B27" i="27"/>
  <c r="C27" i="27"/>
  <c r="D27" i="27"/>
  <c r="G27" i="27"/>
  <c r="J27" i="27" s="1"/>
  <c r="Y23" i="86" s="1"/>
  <c r="H27" i="27"/>
  <c r="I27" i="27"/>
  <c r="B28" i="27"/>
  <c r="C28" i="27"/>
  <c r="D28" i="27"/>
  <c r="G28" i="27"/>
  <c r="H28" i="27"/>
  <c r="I28" i="27"/>
  <c r="B29" i="27"/>
  <c r="C29" i="27"/>
  <c r="D29" i="27"/>
  <c r="G29" i="27"/>
  <c r="H29" i="27"/>
  <c r="I29" i="27"/>
  <c r="B30" i="27"/>
  <c r="C30" i="27"/>
  <c r="D30" i="27"/>
  <c r="G30" i="27"/>
  <c r="H30" i="27"/>
  <c r="I30" i="27"/>
  <c r="B31" i="27"/>
  <c r="C31" i="27"/>
  <c r="D31" i="27"/>
  <c r="G31" i="27"/>
  <c r="J31" i="27" s="1"/>
  <c r="Y27" i="86" s="1"/>
  <c r="H31" i="27"/>
  <c r="I31" i="27"/>
  <c r="B32" i="27"/>
  <c r="C32" i="27"/>
  <c r="D32" i="27"/>
  <c r="G32" i="27"/>
  <c r="H32" i="27"/>
  <c r="I32" i="27"/>
  <c r="B33" i="27"/>
  <c r="C33" i="27"/>
  <c r="D33" i="27"/>
  <c r="G33" i="27"/>
  <c r="H33" i="27"/>
  <c r="I33" i="27"/>
  <c r="B34" i="27"/>
  <c r="C34" i="27"/>
  <c r="D34" i="27"/>
  <c r="G34" i="27"/>
  <c r="H34" i="27"/>
  <c r="I34" i="27"/>
  <c r="B35" i="27"/>
  <c r="C35" i="27"/>
  <c r="D35" i="27"/>
  <c r="G35" i="27"/>
  <c r="J35" i="27" s="1"/>
  <c r="Y31" i="86" s="1"/>
  <c r="H35" i="27"/>
  <c r="I35" i="27"/>
  <c r="B36" i="27"/>
  <c r="C36" i="27"/>
  <c r="D36" i="27"/>
  <c r="G36" i="27"/>
  <c r="H36" i="27"/>
  <c r="I36" i="27"/>
  <c r="B37" i="27"/>
  <c r="C37" i="27"/>
  <c r="D37" i="27"/>
  <c r="G37" i="27"/>
  <c r="H37" i="27"/>
  <c r="I37" i="27"/>
  <c r="B38" i="27"/>
  <c r="C38" i="27"/>
  <c r="D38" i="27"/>
  <c r="G38" i="27"/>
  <c r="H38" i="27"/>
  <c r="I38" i="27"/>
  <c r="B39" i="27"/>
  <c r="C39" i="27"/>
  <c r="D39" i="27"/>
  <c r="G39" i="27"/>
  <c r="J39" i="27" s="1"/>
  <c r="Y35" i="86" s="1"/>
  <c r="H39" i="27"/>
  <c r="I39" i="27"/>
  <c r="B40" i="27"/>
  <c r="C40" i="27"/>
  <c r="D40" i="27"/>
  <c r="G40" i="27"/>
  <c r="H40" i="27"/>
  <c r="I40" i="27"/>
  <c r="B41" i="27"/>
  <c r="C41" i="27"/>
  <c r="D41" i="27"/>
  <c r="G41" i="27"/>
  <c r="H41" i="27"/>
  <c r="I41" i="27"/>
  <c r="B42" i="27"/>
  <c r="C42" i="27"/>
  <c r="D42" i="27"/>
  <c r="G42" i="27"/>
  <c r="H42" i="27"/>
  <c r="I42" i="27"/>
  <c r="B43" i="27"/>
  <c r="C43" i="27"/>
  <c r="D43" i="27"/>
  <c r="G43" i="27"/>
  <c r="J43" i="27" s="1"/>
  <c r="Y39" i="86" s="1"/>
  <c r="H43" i="27"/>
  <c r="I43" i="27"/>
  <c r="B44" i="27"/>
  <c r="C44" i="27"/>
  <c r="D44" i="27"/>
  <c r="G44" i="27"/>
  <c r="H44" i="27"/>
  <c r="I44" i="27"/>
  <c r="C45" i="27"/>
  <c r="D45" i="27"/>
  <c r="H45" i="27"/>
  <c r="I45" i="27"/>
  <c r="C46" i="27"/>
  <c r="D46" i="27"/>
  <c r="H46" i="27"/>
  <c r="I46" i="27"/>
  <c r="C47" i="27"/>
  <c r="D47" i="27"/>
  <c r="H47" i="27"/>
  <c r="I47" i="27"/>
  <c r="C48" i="27"/>
  <c r="D48" i="27"/>
  <c r="H48" i="27"/>
  <c r="I48" i="27"/>
  <c r="C49" i="27"/>
  <c r="D49" i="27"/>
  <c r="H49" i="27"/>
  <c r="I49" i="27"/>
  <c r="C50" i="27"/>
  <c r="D50" i="27"/>
  <c r="H50" i="27"/>
  <c r="I50" i="27"/>
  <c r="C51" i="27"/>
  <c r="D51" i="27"/>
  <c r="H51" i="27"/>
  <c r="I51" i="27"/>
  <c r="C52" i="27"/>
  <c r="D52" i="27"/>
  <c r="H52" i="27"/>
  <c r="I52" i="27"/>
  <c r="C53" i="27"/>
  <c r="D53" i="27"/>
  <c r="H53" i="27"/>
  <c r="I53" i="27"/>
  <c r="C54" i="27"/>
  <c r="D54" i="27"/>
  <c r="H54" i="27"/>
  <c r="I54" i="27"/>
  <c r="C55" i="27"/>
  <c r="D55" i="27"/>
  <c r="H55" i="27"/>
  <c r="I55" i="27"/>
  <c r="C56" i="27"/>
  <c r="D56" i="27"/>
  <c r="H56" i="27"/>
  <c r="I56" i="27"/>
  <c r="C57" i="27"/>
  <c r="D57" i="27"/>
  <c r="H57" i="27"/>
  <c r="I57" i="27"/>
  <c r="C58" i="27"/>
  <c r="D58" i="27"/>
  <c r="H58" i="27"/>
  <c r="I58" i="27"/>
  <c r="C59" i="27"/>
  <c r="D59" i="27"/>
  <c r="H59" i="27"/>
  <c r="I59" i="27"/>
  <c r="C60" i="27"/>
  <c r="D60" i="27"/>
  <c r="H60" i="27"/>
  <c r="I60" i="27"/>
  <c r="C61" i="27"/>
  <c r="D61" i="27"/>
  <c r="H61" i="27"/>
  <c r="I61" i="27"/>
  <c r="C62" i="27"/>
  <c r="D62" i="27"/>
  <c r="H62" i="27"/>
  <c r="I62" i="27"/>
  <c r="C63" i="27"/>
  <c r="D63" i="27"/>
  <c r="H63" i="27"/>
  <c r="I63" i="27"/>
  <c r="C64" i="27"/>
  <c r="D64" i="27"/>
  <c r="H64" i="27"/>
  <c r="I64" i="27"/>
  <c r="C65" i="27"/>
  <c r="D65" i="27"/>
  <c r="H65" i="27"/>
  <c r="I65" i="27"/>
  <c r="C66" i="27"/>
  <c r="D66" i="27"/>
  <c r="H66" i="27"/>
  <c r="I66" i="27"/>
  <c r="C67" i="27"/>
  <c r="D67" i="27"/>
  <c r="H67" i="27"/>
  <c r="I67" i="27"/>
  <c r="C68" i="27"/>
  <c r="D68" i="27"/>
  <c r="H68" i="27"/>
  <c r="I68" i="27"/>
  <c r="C69" i="27"/>
  <c r="D69" i="27"/>
  <c r="H69" i="27"/>
  <c r="I69" i="27"/>
  <c r="C70" i="27"/>
  <c r="D70" i="27"/>
  <c r="H70" i="27"/>
  <c r="I70" i="27"/>
  <c r="C71" i="27"/>
  <c r="D71" i="27"/>
  <c r="H71" i="27"/>
  <c r="I71" i="27"/>
  <c r="C72" i="27"/>
  <c r="D72" i="27"/>
  <c r="H72" i="27"/>
  <c r="I72" i="27"/>
  <c r="C73" i="27"/>
  <c r="D73" i="27"/>
  <c r="H73" i="27"/>
  <c r="I73" i="27"/>
  <c r="C74" i="27"/>
  <c r="D74" i="27"/>
  <c r="H74" i="27"/>
  <c r="I74" i="27"/>
  <c r="C75" i="27"/>
  <c r="D75" i="27"/>
  <c r="H75" i="27"/>
  <c r="I75" i="27"/>
  <c r="C76" i="27"/>
  <c r="D76" i="27"/>
  <c r="H76" i="27"/>
  <c r="I76" i="27"/>
  <c r="C77" i="27"/>
  <c r="D77" i="27"/>
  <c r="H77" i="27"/>
  <c r="I77" i="27"/>
  <c r="C78" i="27"/>
  <c r="D78" i="27"/>
  <c r="H78" i="27"/>
  <c r="I78" i="27"/>
  <c r="C79" i="27"/>
  <c r="D79" i="27"/>
  <c r="H79" i="27"/>
  <c r="I79" i="27"/>
  <c r="C80" i="27"/>
  <c r="D80" i="27"/>
  <c r="H80" i="27"/>
  <c r="I80" i="27"/>
  <c r="C81" i="27"/>
  <c r="D81" i="27"/>
  <c r="H81" i="27"/>
  <c r="I81" i="27"/>
  <c r="C82" i="27"/>
  <c r="D82" i="27"/>
  <c r="H82" i="27"/>
  <c r="I82" i="27"/>
  <c r="C83" i="27"/>
  <c r="D83" i="27"/>
  <c r="H83" i="27"/>
  <c r="I83" i="27"/>
  <c r="C84" i="27"/>
  <c r="D84" i="27"/>
  <c r="H84" i="27"/>
  <c r="I84" i="27"/>
  <c r="C85" i="27"/>
  <c r="D85" i="27"/>
  <c r="H85" i="27"/>
  <c r="I85" i="27"/>
  <c r="C86" i="27"/>
  <c r="D86" i="27"/>
  <c r="H86" i="27"/>
  <c r="I86" i="27"/>
  <c r="C87" i="27"/>
  <c r="D87" i="27"/>
  <c r="H87" i="27"/>
  <c r="I87" i="27"/>
  <c r="C88" i="27"/>
  <c r="D88" i="27"/>
  <c r="H88" i="27"/>
  <c r="I88" i="27"/>
  <c r="C89" i="27"/>
  <c r="D89" i="27"/>
  <c r="H89" i="27"/>
  <c r="I89" i="27"/>
  <c r="C90" i="27"/>
  <c r="D90" i="27"/>
  <c r="H90" i="27"/>
  <c r="I90" i="27"/>
  <c r="C91" i="27"/>
  <c r="D91" i="27"/>
  <c r="H91" i="27"/>
  <c r="I91" i="27"/>
  <c r="C92" i="27"/>
  <c r="D92" i="27"/>
  <c r="H92" i="27"/>
  <c r="I92" i="27"/>
  <c r="C93" i="27"/>
  <c r="D93" i="27"/>
  <c r="H93" i="27"/>
  <c r="I93" i="27"/>
  <c r="C94" i="27"/>
  <c r="D94" i="27"/>
  <c r="H94" i="27"/>
  <c r="I94" i="27"/>
  <c r="C95" i="27"/>
  <c r="D95" i="27"/>
  <c r="H95" i="27"/>
  <c r="I95" i="27"/>
  <c r="C96" i="27"/>
  <c r="D96" i="27"/>
  <c r="H96" i="27"/>
  <c r="I96" i="27"/>
  <c r="C97" i="27"/>
  <c r="D97" i="27"/>
  <c r="H97" i="27"/>
  <c r="I97" i="27"/>
  <c r="C98" i="27"/>
  <c r="D98" i="27"/>
  <c r="H98" i="27"/>
  <c r="I98" i="27"/>
  <c r="C99" i="27"/>
  <c r="D99" i="27"/>
  <c r="H99" i="27"/>
  <c r="I99" i="27"/>
  <c r="B37" i="77"/>
  <c r="C140" i="61"/>
  <c r="K150" i="61" s="1"/>
  <c r="D140" i="61"/>
  <c r="L150" i="61" s="1"/>
  <c r="E140" i="61"/>
  <c r="F140" i="61"/>
  <c r="B63" i="66"/>
  <c r="B65" i="66"/>
  <c r="B69" i="66"/>
  <c r="B70" i="66"/>
  <c r="B64" i="66"/>
  <c r="B150" i="61"/>
  <c r="B151" i="61"/>
  <c r="B152" i="61"/>
  <c r="B160" i="61" s="1"/>
  <c r="C150" i="61"/>
  <c r="C151" i="61"/>
  <c r="C152" i="61"/>
  <c r="D150" i="61"/>
  <c r="D151" i="61"/>
  <c r="D152" i="61"/>
  <c r="E150" i="61"/>
  <c r="E151" i="61"/>
  <c r="E152" i="61"/>
  <c r="F150" i="61"/>
  <c r="F151" i="61"/>
  <c r="F152" i="61"/>
  <c r="B62" i="62"/>
  <c r="G122" i="8"/>
  <c r="B36" i="77"/>
  <c r="C36" i="77"/>
  <c r="D36" i="77"/>
  <c r="E36" i="77"/>
  <c r="F36" i="77"/>
  <c r="I8" i="77"/>
  <c r="F10" i="77" s="1"/>
  <c r="C10" i="77"/>
  <c r="D10" i="77"/>
  <c r="C11" i="77"/>
  <c r="F11" i="77"/>
  <c r="B12" i="77"/>
  <c r="C12" i="77"/>
  <c r="C13" i="77"/>
  <c r="D13" i="77"/>
  <c r="E13" i="77"/>
  <c r="C14" i="77"/>
  <c r="D14" i="77"/>
  <c r="B15" i="77"/>
  <c r="C15" i="77"/>
  <c r="B16" i="77"/>
  <c r="C16" i="77"/>
  <c r="E16" i="77"/>
  <c r="F16" i="77"/>
  <c r="E17" i="77"/>
  <c r="C18" i="77"/>
  <c r="D18" i="77"/>
  <c r="C19" i="77"/>
  <c r="F19" i="77"/>
  <c r="B20" i="77"/>
  <c r="C20" i="77"/>
  <c r="F20" i="77"/>
  <c r="C21" i="77"/>
  <c r="D21" i="77"/>
  <c r="E21" i="77"/>
  <c r="C22" i="77"/>
  <c r="D22" i="77"/>
  <c r="B23" i="77"/>
  <c r="C23" i="77"/>
  <c r="B24" i="77"/>
  <c r="C24" i="77"/>
  <c r="E24" i="77"/>
  <c r="F24" i="77"/>
  <c r="C25" i="77"/>
  <c r="E25" i="77"/>
  <c r="C26" i="77"/>
  <c r="D26" i="77"/>
  <c r="C27" i="77"/>
  <c r="F27" i="77"/>
  <c r="B28" i="77"/>
  <c r="C28" i="77"/>
  <c r="E28" i="77"/>
  <c r="F28" i="77"/>
  <c r="C29" i="77"/>
  <c r="D29" i="77"/>
  <c r="E29" i="77"/>
  <c r="C30" i="77"/>
  <c r="D30" i="77"/>
  <c r="B31" i="77"/>
  <c r="C31" i="77"/>
  <c r="F31" i="77"/>
  <c r="B32" i="77"/>
  <c r="C32" i="77"/>
  <c r="E32" i="77"/>
  <c r="F32" i="77"/>
  <c r="C33" i="77"/>
  <c r="D33" i="77"/>
  <c r="E33" i="77"/>
  <c r="C9" i="77"/>
  <c r="D9" i="77"/>
  <c r="E9" i="77"/>
  <c r="L8" i="77"/>
  <c r="K8" i="77"/>
  <c r="J8" i="77"/>
  <c r="F26" i="77" s="1"/>
  <c r="C8" i="77"/>
  <c r="D8" i="77"/>
  <c r="E8" i="77"/>
  <c r="F8" i="77"/>
  <c r="B8" i="77"/>
  <c r="C67" i="62"/>
  <c r="D67" i="62"/>
  <c r="E67" i="62"/>
  <c r="F67" i="62"/>
  <c r="B67" i="62"/>
  <c r="C65" i="62"/>
  <c r="D65" i="62"/>
  <c r="E65" i="62"/>
  <c r="F65" i="62"/>
  <c r="B65" i="62"/>
  <c r="E45" i="73"/>
  <c r="F45" i="73"/>
  <c r="G45" i="73"/>
  <c r="H45" i="73"/>
  <c r="I45" i="73"/>
  <c r="J45" i="73"/>
  <c r="K45" i="73"/>
  <c r="L45" i="73"/>
  <c r="M45" i="73"/>
  <c r="N45" i="73"/>
  <c r="O45" i="73"/>
  <c r="P45" i="73"/>
  <c r="Q45" i="73"/>
  <c r="R45" i="73"/>
  <c r="S45" i="73"/>
  <c r="E46" i="73"/>
  <c r="F46" i="73"/>
  <c r="G46" i="73"/>
  <c r="H46" i="73"/>
  <c r="I46" i="73"/>
  <c r="J46" i="73"/>
  <c r="K46" i="73"/>
  <c r="L46" i="73"/>
  <c r="M46" i="73"/>
  <c r="N46" i="73"/>
  <c r="O46" i="73"/>
  <c r="P46" i="73"/>
  <c r="Q46" i="73"/>
  <c r="R46" i="73"/>
  <c r="S46" i="73"/>
  <c r="E47" i="73"/>
  <c r="F47" i="73"/>
  <c r="G47" i="73"/>
  <c r="H47" i="73"/>
  <c r="I47" i="73"/>
  <c r="J47" i="73"/>
  <c r="K47" i="73"/>
  <c r="L47" i="73"/>
  <c r="M47" i="73"/>
  <c r="N47" i="73"/>
  <c r="O47" i="73"/>
  <c r="P47" i="73"/>
  <c r="Q47" i="73"/>
  <c r="R47" i="73"/>
  <c r="S47" i="73"/>
  <c r="C35" i="66"/>
  <c r="C84" i="66" s="1"/>
  <c r="C39" i="73"/>
  <c r="C40" i="73"/>
  <c r="C41" i="73"/>
  <c r="F35" i="66"/>
  <c r="F84" i="66" s="1"/>
  <c r="G35" i="66"/>
  <c r="G84" i="66" s="1"/>
  <c r="H35" i="66"/>
  <c r="H84" i="66" s="1"/>
  <c r="J35" i="66"/>
  <c r="J84" i="66" s="1"/>
  <c r="K35" i="66"/>
  <c r="K84" i="66" s="1"/>
  <c r="L35" i="66"/>
  <c r="L84" i="66" s="1"/>
  <c r="M35" i="66"/>
  <c r="M84" i="66" s="1"/>
  <c r="N35" i="66"/>
  <c r="N84" i="66" s="1"/>
  <c r="O35" i="66"/>
  <c r="O84" i="66" s="1"/>
  <c r="P35" i="66"/>
  <c r="P84" i="66" s="1"/>
  <c r="Q35" i="66"/>
  <c r="Q84" i="66" s="1"/>
  <c r="R35" i="66"/>
  <c r="R84" i="66" s="1"/>
  <c r="S35" i="66"/>
  <c r="S84" i="66" s="1"/>
  <c r="B40" i="73"/>
  <c r="B41" i="73"/>
  <c r="N26" i="69"/>
  <c r="C63" i="66"/>
  <c r="C65" i="66"/>
  <c r="C69" i="66"/>
  <c r="C70" i="66"/>
  <c r="C64" i="66"/>
  <c r="C66" i="66"/>
  <c r="C67" i="66"/>
  <c r="C68" i="66"/>
  <c r="D63" i="66"/>
  <c r="D64" i="66"/>
  <c r="D65" i="66"/>
  <c r="D66" i="66"/>
  <c r="D67" i="66"/>
  <c r="D68" i="66"/>
  <c r="D69" i="66"/>
  <c r="D70" i="66"/>
  <c r="F63" i="66"/>
  <c r="F64" i="66"/>
  <c r="F65" i="66"/>
  <c r="F66" i="66"/>
  <c r="F67" i="66"/>
  <c r="F68" i="66"/>
  <c r="F69" i="66"/>
  <c r="F70" i="66"/>
  <c r="G63" i="66"/>
  <c r="G64" i="66"/>
  <c r="G65" i="66"/>
  <c r="G66" i="66"/>
  <c r="G67" i="66"/>
  <c r="G68" i="66"/>
  <c r="G69" i="66"/>
  <c r="G70" i="66"/>
  <c r="H63" i="66"/>
  <c r="H64" i="66"/>
  <c r="H65" i="66"/>
  <c r="H66" i="66"/>
  <c r="H67" i="66"/>
  <c r="H68" i="66"/>
  <c r="H69" i="66"/>
  <c r="H70" i="66"/>
  <c r="I63" i="66"/>
  <c r="I64" i="66"/>
  <c r="I65" i="66"/>
  <c r="I66" i="66"/>
  <c r="I67" i="66"/>
  <c r="I68" i="66"/>
  <c r="I69" i="66"/>
  <c r="I70" i="66"/>
  <c r="J63" i="66"/>
  <c r="J64" i="66"/>
  <c r="J65" i="66"/>
  <c r="J66" i="66"/>
  <c r="J67" i="66"/>
  <c r="J68" i="66"/>
  <c r="J69" i="66"/>
  <c r="J70" i="66"/>
  <c r="K63" i="66"/>
  <c r="K64" i="66"/>
  <c r="K65" i="66"/>
  <c r="K66" i="66"/>
  <c r="K67" i="66"/>
  <c r="K68" i="66"/>
  <c r="K69" i="66"/>
  <c r="K70" i="66"/>
  <c r="L63" i="66"/>
  <c r="L64" i="66"/>
  <c r="L65" i="66"/>
  <c r="L66" i="66"/>
  <c r="L67" i="66"/>
  <c r="L68" i="66"/>
  <c r="L69" i="66"/>
  <c r="L70" i="66"/>
  <c r="M63" i="66"/>
  <c r="M64" i="66"/>
  <c r="M65" i="66"/>
  <c r="M66" i="66"/>
  <c r="M67" i="66"/>
  <c r="M68" i="66"/>
  <c r="M69" i="66"/>
  <c r="M70" i="66"/>
  <c r="N63" i="66"/>
  <c r="N64" i="66"/>
  <c r="N65" i="66"/>
  <c r="N66" i="66"/>
  <c r="N67" i="66"/>
  <c r="N68" i="66"/>
  <c r="N69" i="66"/>
  <c r="N70" i="66"/>
  <c r="O63" i="66"/>
  <c r="O64" i="66"/>
  <c r="O65" i="66"/>
  <c r="O66" i="66"/>
  <c r="O67" i="66"/>
  <c r="O68" i="66"/>
  <c r="O69" i="66"/>
  <c r="O70" i="66"/>
  <c r="P63" i="66"/>
  <c r="P64" i="66"/>
  <c r="P65" i="66"/>
  <c r="P66" i="66"/>
  <c r="P67" i="66"/>
  <c r="P68" i="66"/>
  <c r="P69" i="66"/>
  <c r="P70" i="66"/>
  <c r="Q63" i="66"/>
  <c r="Q64" i="66"/>
  <c r="Q65" i="66"/>
  <c r="Q66" i="66"/>
  <c r="Q67" i="66"/>
  <c r="Q68" i="66"/>
  <c r="Q69" i="66"/>
  <c r="Q70" i="66"/>
  <c r="R63" i="66"/>
  <c r="R64" i="66"/>
  <c r="R65" i="66"/>
  <c r="R66" i="66"/>
  <c r="R67" i="66"/>
  <c r="R68" i="66"/>
  <c r="R69" i="66"/>
  <c r="R70" i="66"/>
  <c r="S63" i="66"/>
  <c r="S64" i="66"/>
  <c r="S65" i="66"/>
  <c r="S66" i="66"/>
  <c r="S67" i="66"/>
  <c r="S68" i="66"/>
  <c r="S69" i="66"/>
  <c r="S70" i="66"/>
  <c r="B66" i="66"/>
  <c r="B67" i="66"/>
  <c r="B68" i="66"/>
  <c r="B122" i="6"/>
  <c r="B126" i="6" s="1"/>
  <c r="C28" i="76"/>
  <c r="I43" i="87" s="1"/>
  <c r="I35" i="23"/>
  <c r="O26" i="69"/>
  <c r="P26" i="69"/>
  <c r="F39" i="73"/>
  <c r="F40" i="73"/>
  <c r="F41" i="73"/>
  <c r="K38" i="66"/>
  <c r="L38" i="66"/>
  <c r="M38" i="66"/>
  <c r="N38" i="66"/>
  <c r="O38" i="66"/>
  <c r="P38" i="66"/>
  <c r="Q38" i="66"/>
  <c r="R38" i="66"/>
  <c r="S38" i="66"/>
  <c r="C22" i="73"/>
  <c r="C23" i="73" s="1"/>
  <c r="C24" i="73" s="1"/>
  <c r="C25" i="73" s="1"/>
  <c r="C26" i="73" s="1"/>
  <c r="C27" i="73" s="1"/>
  <c r="C28" i="73" s="1"/>
  <c r="D22" i="73"/>
  <c r="D23" i="73" s="1"/>
  <c r="E22" i="73"/>
  <c r="E23" i="73" s="1"/>
  <c r="E24" i="73" s="1"/>
  <c r="E25" i="73" s="1"/>
  <c r="E26" i="73" s="1"/>
  <c r="E27" i="73" s="1"/>
  <c r="E28" i="73" s="1"/>
  <c r="E36" i="73" s="1"/>
  <c r="F22" i="73"/>
  <c r="F30" i="73" s="1"/>
  <c r="G22" i="73"/>
  <c r="G23" i="73" s="1"/>
  <c r="G24" i="73" s="1"/>
  <c r="G25" i="73" s="1"/>
  <c r="G26" i="73" s="1"/>
  <c r="G27" i="73" s="1"/>
  <c r="G28" i="73" s="1"/>
  <c r="H22" i="73"/>
  <c r="H30" i="73" s="1"/>
  <c r="I22" i="73"/>
  <c r="I23" i="73" s="1"/>
  <c r="J22" i="73"/>
  <c r="J30" i="73" s="1"/>
  <c r="K22" i="73"/>
  <c r="K23" i="73" s="1"/>
  <c r="K24" i="73" s="1"/>
  <c r="K25" i="73" s="1"/>
  <c r="K26" i="73" s="1"/>
  <c r="K27" i="73" s="1"/>
  <c r="K28" i="73" s="1"/>
  <c r="L22" i="73"/>
  <c r="L23" i="73" s="1"/>
  <c r="L24" i="73" s="1"/>
  <c r="L25" i="73" s="1"/>
  <c r="L26" i="73" s="1"/>
  <c r="L27" i="73" s="1"/>
  <c r="L28" i="73" s="1"/>
  <c r="M22" i="73"/>
  <c r="M30" i="73" s="1"/>
  <c r="N22" i="73"/>
  <c r="N23" i="73" s="1"/>
  <c r="N24" i="73" s="1"/>
  <c r="N25" i="73" s="1"/>
  <c r="N26" i="73" s="1"/>
  <c r="N27" i="73" s="1"/>
  <c r="N28" i="73" s="1"/>
  <c r="O22" i="73"/>
  <c r="O23" i="73" s="1"/>
  <c r="O24" i="73" s="1"/>
  <c r="O25" i="73" s="1"/>
  <c r="O26" i="73" s="1"/>
  <c r="O27" i="73" s="1"/>
  <c r="O28" i="73" s="1"/>
  <c r="P22" i="73"/>
  <c r="P23" i="73" s="1"/>
  <c r="P24" i="73" s="1"/>
  <c r="P25" i="73" s="1"/>
  <c r="P26" i="73" s="1"/>
  <c r="P27" i="73" s="1"/>
  <c r="P28" i="73" s="1"/>
  <c r="Q22" i="73"/>
  <c r="Q23" i="73" s="1"/>
  <c r="Q24" i="73" s="1"/>
  <c r="Q25" i="73" s="1"/>
  <c r="Q26" i="73" s="1"/>
  <c r="Q27" i="73" s="1"/>
  <c r="Q28" i="73" s="1"/>
  <c r="R22" i="73"/>
  <c r="R23" i="73" s="1"/>
  <c r="R24" i="73" s="1"/>
  <c r="R25" i="73" s="1"/>
  <c r="R26" i="73" s="1"/>
  <c r="R27" i="73" s="1"/>
  <c r="R28" i="73" s="1"/>
  <c r="S22" i="73"/>
  <c r="S23" i="73" s="1"/>
  <c r="S24" i="73" s="1"/>
  <c r="S25" i="73" s="1"/>
  <c r="S26" i="73" s="1"/>
  <c r="S27" i="73" s="1"/>
  <c r="S28" i="73" s="1"/>
  <c r="A26" i="69"/>
  <c r="A22" i="69"/>
  <c r="A16" i="69"/>
  <c r="A9" i="69"/>
  <c r="B8" i="69"/>
  <c r="B7" i="69"/>
  <c r="A7" i="69" s="1"/>
  <c r="B10" i="69"/>
  <c r="B11" i="69"/>
  <c r="B12" i="69"/>
  <c r="B13" i="69"/>
  <c r="B14" i="69"/>
  <c r="B15" i="69"/>
  <c r="B17" i="69"/>
  <c r="B18" i="69"/>
  <c r="B19" i="69"/>
  <c r="B20" i="69"/>
  <c r="B21" i="69"/>
  <c r="B23" i="69"/>
  <c r="B24" i="69"/>
  <c r="B25" i="69"/>
  <c r="B27" i="69"/>
  <c r="W58" i="69"/>
  <c r="W59" i="69"/>
  <c r="D5" i="73" s="1"/>
  <c r="W60" i="69"/>
  <c r="W61" i="69"/>
  <c r="X58" i="69"/>
  <c r="X59" i="69"/>
  <c r="Y58" i="69" s="1"/>
  <c r="W62" i="69"/>
  <c r="W63" i="69"/>
  <c r="W64" i="69"/>
  <c r="B31" i="69"/>
  <c r="A30" i="69"/>
  <c r="B29" i="69"/>
  <c r="B28" i="69"/>
  <c r="W65" i="69"/>
  <c r="B35" i="69"/>
  <c r="A34" i="69"/>
  <c r="B33" i="69"/>
  <c r="B32" i="69"/>
  <c r="W66" i="69"/>
  <c r="B38" i="69"/>
  <c r="A37" i="69"/>
  <c r="B36" i="69"/>
  <c r="W67" i="69"/>
  <c r="B41" i="69"/>
  <c r="A40" i="69"/>
  <c r="B39" i="69"/>
  <c r="W68" i="69"/>
  <c r="B43" i="69"/>
  <c r="A42" i="69"/>
  <c r="W69" i="69"/>
  <c r="B45" i="69"/>
  <c r="A44" i="69"/>
  <c r="W70" i="69"/>
  <c r="B47" i="69"/>
  <c r="A46" i="69"/>
  <c r="W71" i="69"/>
  <c r="B50" i="69"/>
  <c r="A49" i="69"/>
  <c r="B48" i="69"/>
  <c r="B22" i="73"/>
  <c r="B23" i="73" s="1"/>
  <c r="B24" i="73" s="1"/>
  <c r="D39" i="73"/>
  <c r="D44" i="66" s="1"/>
  <c r="E39" i="73"/>
  <c r="G39" i="73"/>
  <c r="H39" i="73"/>
  <c r="I39" i="73"/>
  <c r="J39" i="73"/>
  <c r="K39" i="73"/>
  <c r="L39" i="73"/>
  <c r="M39" i="73"/>
  <c r="N39" i="73"/>
  <c r="O39" i="73"/>
  <c r="P39" i="73"/>
  <c r="Q39" i="73"/>
  <c r="R39" i="73"/>
  <c r="S39" i="73"/>
  <c r="D40" i="73"/>
  <c r="E40" i="73"/>
  <c r="G40" i="73"/>
  <c r="H40" i="73"/>
  <c r="I40" i="73"/>
  <c r="J40" i="73"/>
  <c r="K40" i="73"/>
  <c r="L40" i="73"/>
  <c r="M40" i="73"/>
  <c r="N40" i="73"/>
  <c r="O40" i="73"/>
  <c r="P40" i="73"/>
  <c r="Q40" i="73"/>
  <c r="R40" i="73"/>
  <c r="S40" i="73"/>
  <c r="D41" i="73"/>
  <c r="E41" i="73"/>
  <c r="G41" i="73"/>
  <c r="H41" i="73"/>
  <c r="I41" i="73"/>
  <c r="I44" i="66" s="1"/>
  <c r="J41" i="73"/>
  <c r="K41" i="73"/>
  <c r="L41" i="73"/>
  <c r="M41" i="73"/>
  <c r="N41" i="73"/>
  <c r="O41" i="73"/>
  <c r="P41" i="73"/>
  <c r="Q41" i="73"/>
  <c r="R41" i="73"/>
  <c r="S41" i="73"/>
  <c r="G31" i="73"/>
  <c r="J31" i="73"/>
  <c r="K31" i="73"/>
  <c r="L31" i="73"/>
  <c r="M31" i="73"/>
  <c r="N31" i="73"/>
  <c r="O31" i="73"/>
  <c r="P31" i="73"/>
  <c r="Q31" i="73"/>
  <c r="R31" i="73"/>
  <c r="S31" i="73"/>
  <c r="G32" i="73"/>
  <c r="J32" i="73"/>
  <c r="K32" i="73"/>
  <c r="L32" i="73"/>
  <c r="M32" i="73"/>
  <c r="N32" i="73"/>
  <c r="O32" i="73"/>
  <c r="P32" i="73"/>
  <c r="Q32" i="73"/>
  <c r="R32" i="73"/>
  <c r="S32" i="73"/>
  <c r="G33" i="73"/>
  <c r="J33" i="73"/>
  <c r="K33" i="73"/>
  <c r="L33" i="73"/>
  <c r="M33" i="73"/>
  <c r="N33" i="73"/>
  <c r="O33" i="73"/>
  <c r="P33" i="73"/>
  <c r="Q33" i="73"/>
  <c r="R33" i="73"/>
  <c r="S33" i="73"/>
  <c r="G34" i="73"/>
  <c r="J34" i="73"/>
  <c r="K34" i="73"/>
  <c r="L34" i="73"/>
  <c r="M34" i="73"/>
  <c r="N34" i="73"/>
  <c r="O34" i="73"/>
  <c r="P34" i="73"/>
  <c r="Q34" i="73"/>
  <c r="R34" i="73"/>
  <c r="S34" i="73"/>
  <c r="G35" i="73"/>
  <c r="J35" i="73"/>
  <c r="K35" i="73"/>
  <c r="L35" i="73"/>
  <c r="M35" i="73"/>
  <c r="N35" i="73"/>
  <c r="O35" i="73"/>
  <c r="P35" i="73"/>
  <c r="Q35" i="73"/>
  <c r="R35" i="73"/>
  <c r="S35" i="73"/>
  <c r="G36" i="73"/>
  <c r="J36" i="73"/>
  <c r="K36" i="73"/>
  <c r="L36" i="73"/>
  <c r="M36" i="73"/>
  <c r="N36" i="73"/>
  <c r="O36" i="73"/>
  <c r="P36" i="73"/>
  <c r="Q36" i="73"/>
  <c r="R36" i="73"/>
  <c r="S36" i="73"/>
  <c r="B51" i="69"/>
  <c r="B52" i="69"/>
  <c r="B4" i="73"/>
  <c r="B3" i="73"/>
  <c r="C4" i="73"/>
  <c r="D4" i="73"/>
  <c r="E4" i="73"/>
  <c r="F4" i="73"/>
  <c r="G4" i="73"/>
  <c r="H4" i="73"/>
  <c r="I4" i="73"/>
  <c r="J4" i="73"/>
  <c r="K4" i="73"/>
  <c r="L4" i="73"/>
  <c r="M4" i="73"/>
  <c r="N4" i="73"/>
  <c r="O4" i="73"/>
  <c r="P4" i="73"/>
  <c r="Q4" i="73"/>
  <c r="R4" i="73"/>
  <c r="S4" i="73"/>
  <c r="C5" i="73"/>
  <c r="E5" i="73"/>
  <c r="F5" i="73"/>
  <c r="G5" i="73"/>
  <c r="H5" i="73"/>
  <c r="I5" i="73"/>
  <c r="J5" i="73"/>
  <c r="K5" i="73"/>
  <c r="L5" i="73"/>
  <c r="M5" i="73"/>
  <c r="N5" i="73"/>
  <c r="O5" i="73"/>
  <c r="P5" i="73"/>
  <c r="Q5" i="73"/>
  <c r="R5" i="73"/>
  <c r="S5" i="73"/>
  <c r="C6" i="73"/>
  <c r="D6" i="73"/>
  <c r="E6" i="73"/>
  <c r="F6" i="73"/>
  <c r="G6" i="73"/>
  <c r="H6" i="73"/>
  <c r="I6" i="73"/>
  <c r="J6" i="73"/>
  <c r="K6" i="73"/>
  <c r="L6" i="73"/>
  <c r="M6" i="73"/>
  <c r="N6" i="73"/>
  <c r="O6" i="73"/>
  <c r="P6" i="73"/>
  <c r="Q6" i="73"/>
  <c r="R6" i="73"/>
  <c r="S6" i="73"/>
  <c r="C7" i="73"/>
  <c r="D7" i="73"/>
  <c r="E7" i="73"/>
  <c r="F7" i="73"/>
  <c r="G7" i="73"/>
  <c r="H7" i="73"/>
  <c r="I7" i="73"/>
  <c r="J7" i="73"/>
  <c r="K7" i="73"/>
  <c r="L7" i="73"/>
  <c r="M7" i="73"/>
  <c r="N7" i="73"/>
  <c r="O7" i="73"/>
  <c r="P7" i="73"/>
  <c r="Q7" i="73"/>
  <c r="R7" i="73"/>
  <c r="S7" i="73"/>
  <c r="C8" i="73"/>
  <c r="D8" i="73"/>
  <c r="E8" i="73"/>
  <c r="F8" i="73"/>
  <c r="G8" i="73"/>
  <c r="H8" i="73"/>
  <c r="I8" i="73"/>
  <c r="J8" i="73"/>
  <c r="K8" i="73"/>
  <c r="L8" i="73"/>
  <c r="M8" i="73"/>
  <c r="N8" i="73"/>
  <c r="O8" i="73"/>
  <c r="P8" i="73"/>
  <c r="Q8" i="73"/>
  <c r="R8" i="73"/>
  <c r="S8" i="73"/>
  <c r="C9" i="73"/>
  <c r="D9" i="73"/>
  <c r="E9" i="73"/>
  <c r="F9" i="73"/>
  <c r="G9" i="73"/>
  <c r="H9" i="73"/>
  <c r="I9" i="73"/>
  <c r="J9" i="73"/>
  <c r="K9" i="73"/>
  <c r="L9" i="73"/>
  <c r="M9" i="73"/>
  <c r="N9" i="73"/>
  <c r="O9" i="73"/>
  <c r="P9" i="73"/>
  <c r="Q9" i="73"/>
  <c r="R9" i="73"/>
  <c r="S9" i="73"/>
  <c r="C10" i="73"/>
  <c r="D10" i="73"/>
  <c r="E10" i="73"/>
  <c r="F10" i="73"/>
  <c r="G10" i="73"/>
  <c r="H10" i="73"/>
  <c r="I10" i="73"/>
  <c r="J10" i="73"/>
  <c r="K10" i="73"/>
  <c r="L10" i="73"/>
  <c r="M10" i="73"/>
  <c r="N10" i="73"/>
  <c r="O10" i="73"/>
  <c r="P10" i="73"/>
  <c r="Q10" i="73"/>
  <c r="R10" i="73"/>
  <c r="S10" i="73"/>
  <c r="C11" i="73"/>
  <c r="D11" i="73"/>
  <c r="E11" i="73"/>
  <c r="F11" i="73"/>
  <c r="G11" i="73"/>
  <c r="H11" i="73"/>
  <c r="I11" i="73"/>
  <c r="J11" i="73"/>
  <c r="K11" i="73"/>
  <c r="L11" i="73"/>
  <c r="M11" i="73"/>
  <c r="N11" i="73"/>
  <c r="O11" i="73"/>
  <c r="P11" i="73"/>
  <c r="Q11" i="73"/>
  <c r="R11" i="73"/>
  <c r="S11" i="73"/>
  <c r="E12" i="73"/>
  <c r="F12" i="73"/>
  <c r="G12" i="73"/>
  <c r="H12" i="73"/>
  <c r="I12" i="73"/>
  <c r="J12" i="73"/>
  <c r="K12" i="73"/>
  <c r="L12" i="73"/>
  <c r="M12" i="73"/>
  <c r="N12" i="73"/>
  <c r="O12" i="73"/>
  <c r="P12" i="73"/>
  <c r="Q12" i="73"/>
  <c r="R12" i="73"/>
  <c r="S12" i="73"/>
  <c r="C13" i="73"/>
  <c r="D13" i="73"/>
  <c r="E13" i="73"/>
  <c r="F13" i="73"/>
  <c r="G13" i="73"/>
  <c r="H13" i="73"/>
  <c r="I13" i="73"/>
  <c r="J13" i="73"/>
  <c r="K13" i="73"/>
  <c r="L13" i="73"/>
  <c r="M13" i="73"/>
  <c r="N13" i="73"/>
  <c r="O13" i="73"/>
  <c r="P13" i="73"/>
  <c r="Q13" i="73"/>
  <c r="R13" i="73"/>
  <c r="S13" i="73"/>
  <c r="C14" i="73"/>
  <c r="D14" i="73"/>
  <c r="E14" i="73"/>
  <c r="F14" i="73"/>
  <c r="G14" i="73"/>
  <c r="H14" i="73"/>
  <c r="I14" i="73"/>
  <c r="J14" i="73"/>
  <c r="K14" i="73"/>
  <c r="L14" i="73"/>
  <c r="M14" i="73"/>
  <c r="N14" i="73"/>
  <c r="O14" i="73"/>
  <c r="P14" i="73"/>
  <c r="Q14" i="73"/>
  <c r="R14" i="73"/>
  <c r="S14" i="73"/>
  <c r="C15" i="73"/>
  <c r="D15" i="73"/>
  <c r="E15" i="73"/>
  <c r="F15" i="73"/>
  <c r="G15" i="73"/>
  <c r="H15" i="73"/>
  <c r="I15" i="73"/>
  <c r="J15" i="73"/>
  <c r="K15" i="73"/>
  <c r="L15" i="73"/>
  <c r="M15" i="73"/>
  <c r="N15" i="73"/>
  <c r="O15" i="73"/>
  <c r="P15" i="73"/>
  <c r="Q15" i="73"/>
  <c r="R15" i="73"/>
  <c r="S15" i="73"/>
  <c r="E16" i="73"/>
  <c r="F16" i="73"/>
  <c r="G16" i="73"/>
  <c r="H16" i="73"/>
  <c r="I16" i="73"/>
  <c r="J16" i="73"/>
  <c r="K16" i="73"/>
  <c r="L16" i="73"/>
  <c r="M16" i="73"/>
  <c r="N16" i="73"/>
  <c r="O16" i="73"/>
  <c r="P16" i="73"/>
  <c r="Q16" i="73"/>
  <c r="R16" i="73"/>
  <c r="S16" i="73"/>
  <c r="C17" i="73"/>
  <c r="D17" i="73"/>
  <c r="E17" i="73"/>
  <c r="F17" i="73"/>
  <c r="G17" i="73"/>
  <c r="H17" i="73"/>
  <c r="I17" i="73"/>
  <c r="J17" i="73"/>
  <c r="K17" i="73"/>
  <c r="L17" i="73"/>
  <c r="M17" i="73"/>
  <c r="N17" i="73"/>
  <c r="O17" i="73"/>
  <c r="P17" i="73"/>
  <c r="Q17" i="73"/>
  <c r="R17" i="73"/>
  <c r="S17" i="73"/>
  <c r="C18" i="73"/>
  <c r="D18" i="73"/>
  <c r="E18" i="73"/>
  <c r="F18" i="73"/>
  <c r="G18" i="73"/>
  <c r="H18" i="73"/>
  <c r="I18" i="73"/>
  <c r="J18" i="73"/>
  <c r="K18" i="73"/>
  <c r="L18" i="73"/>
  <c r="M18" i="73"/>
  <c r="N18" i="73"/>
  <c r="O18" i="73"/>
  <c r="P18" i="73"/>
  <c r="Q18" i="73"/>
  <c r="R18" i="73"/>
  <c r="S18" i="73"/>
  <c r="C19" i="73"/>
  <c r="D19" i="73"/>
  <c r="E19" i="73"/>
  <c r="F19" i="73"/>
  <c r="G19" i="73"/>
  <c r="H19" i="73"/>
  <c r="I19" i="73"/>
  <c r="J19" i="73"/>
  <c r="K19" i="73"/>
  <c r="L19" i="73"/>
  <c r="M19" i="73"/>
  <c r="N19" i="73"/>
  <c r="O19" i="73"/>
  <c r="P19" i="73"/>
  <c r="Q19" i="73"/>
  <c r="R19" i="73"/>
  <c r="S19" i="73"/>
  <c r="C20" i="73"/>
  <c r="D20" i="73"/>
  <c r="E20" i="73"/>
  <c r="F20" i="73"/>
  <c r="G20" i="73"/>
  <c r="H20" i="73"/>
  <c r="I20" i="73"/>
  <c r="J20" i="73"/>
  <c r="K20" i="73"/>
  <c r="L20" i="73"/>
  <c r="M20" i="73"/>
  <c r="N20" i="73"/>
  <c r="O20" i="73"/>
  <c r="P20" i="73"/>
  <c r="Q20" i="73"/>
  <c r="R20" i="73"/>
  <c r="S20" i="73"/>
  <c r="B5" i="73"/>
  <c r="B6" i="73"/>
  <c r="B7" i="73"/>
  <c r="B8" i="73"/>
  <c r="B9" i="73"/>
  <c r="B10" i="73"/>
  <c r="B11" i="73"/>
  <c r="B13" i="73"/>
  <c r="B14" i="73"/>
  <c r="B15" i="73"/>
  <c r="B17" i="73"/>
  <c r="B18" i="73"/>
  <c r="B19" i="73"/>
  <c r="B20" i="73"/>
  <c r="C3" i="73"/>
  <c r="D3" i="73"/>
  <c r="E3" i="73"/>
  <c r="F3" i="73"/>
  <c r="G3" i="73"/>
  <c r="H3" i="73"/>
  <c r="I3" i="73"/>
  <c r="J3" i="73"/>
  <c r="K3" i="73"/>
  <c r="L3" i="73"/>
  <c r="M3" i="73"/>
  <c r="N3" i="73"/>
  <c r="O3" i="73"/>
  <c r="P3" i="73"/>
  <c r="Q3" i="73"/>
  <c r="R3" i="73"/>
  <c r="S3" i="73"/>
  <c r="B43" i="66"/>
  <c r="C10" i="71"/>
  <c r="W30" i="71"/>
  <c r="K42" i="72"/>
  <c r="A33" i="72"/>
  <c r="A35" i="72"/>
  <c r="P118" i="70"/>
  <c r="A8" i="70"/>
  <c r="A12" i="70"/>
  <c r="A15" i="70"/>
  <c r="A19" i="70"/>
  <c r="A26" i="70"/>
  <c r="A30" i="70"/>
  <c r="A35" i="70"/>
  <c r="A38" i="70"/>
  <c r="A42" i="70"/>
  <c r="A46" i="70"/>
  <c r="A49" i="70"/>
  <c r="A51" i="70"/>
  <c r="A53" i="70"/>
  <c r="A55" i="70"/>
  <c r="A57" i="70"/>
  <c r="A59" i="70"/>
  <c r="A7" i="70"/>
  <c r="A7" i="71"/>
  <c r="A9" i="71"/>
  <c r="A14" i="71"/>
  <c r="H21" i="74"/>
  <c r="A8" i="74"/>
  <c r="A12" i="74"/>
  <c r="A15" i="74"/>
  <c r="B16" i="74"/>
  <c r="B14" i="74"/>
  <c r="B13" i="74"/>
  <c r="B11" i="74"/>
  <c r="B10" i="74"/>
  <c r="B9" i="74"/>
  <c r="B7" i="74"/>
  <c r="B6" i="74"/>
  <c r="A6" i="74" s="1"/>
  <c r="A7" i="74" s="1"/>
  <c r="B5" i="74"/>
  <c r="A5" i="74" s="1"/>
  <c r="B4" i="74"/>
  <c r="B36" i="72"/>
  <c r="B34" i="72"/>
  <c r="B32" i="72"/>
  <c r="A32" i="72" s="1"/>
  <c r="B31" i="72"/>
  <c r="B16" i="71"/>
  <c r="B15" i="71"/>
  <c r="B13" i="71"/>
  <c r="B12" i="71"/>
  <c r="B11" i="71"/>
  <c r="B10" i="71"/>
  <c r="B8" i="71"/>
  <c r="B6" i="71"/>
  <c r="A6" i="71" s="1"/>
  <c r="W31" i="71" s="1"/>
  <c r="X30" i="71" s="1"/>
  <c r="B4" i="71"/>
  <c r="B60" i="70"/>
  <c r="B58" i="70"/>
  <c r="B56" i="70"/>
  <c r="B54" i="70"/>
  <c r="B52" i="70"/>
  <c r="B50" i="70"/>
  <c r="B48" i="70"/>
  <c r="B47" i="70"/>
  <c r="B45" i="70"/>
  <c r="B44" i="70"/>
  <c r="B43" i="70"/>
  <c r="B41" i="70"/>
  <c r="B40" i="70"/>
  <c r="B39" i="70"/>
  <c r="B37" i="70"/>
  <c r="B36" i="70"/>
  <c r="B34" i="70"/>
  <c r="B33" i="70"/>
  <c r="B32" i="70"/>
  <c r="B31" i="70"/>
  <c r="B29" i="70"/>
  <c r="B28" i="70"/>
  <c r="B27" i="70"/>
  <c r="B25" i="70"/>
  <c r="B24" i="70"/>
  <c r="B23" i="70"/>
  <c r="B22" i="70"/>
  <c r="B21" i="70"/>
  <c r="B20" i="70"/>
  <c r="B18" i="70"/>
  <c r="B17" i="70"/>
  <c r="B16" i="70"/>
  <c r="B14" i="70"/>
  <c r="B13" i="70"/>
  <c r="B11" i="70"/>
  <c r="B10" i="70"/>
  <c r="B9" i="70"/>
  <c r="A9" i="70" s="1"/>
  <c r="B7" i="70"/>
  <c r="B6" i="70"/>
  <c r="B5" i="69"/>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K4" i="70"/>
  <c r="J4" i="70"/>
  <c r="I4" i="70"/>
  <c r="J44" i="72"/>
  <c r="J43" i="72"/>
  <c r="J42" i="72"/>
  <c r="V34" i="71"/>
  <c r="V33" i="71"/>
  <c r="V32" i="71"/>
  <c r="V31" i="71"/>
  <c r="V30" i="71"/>
  <c r="O134" i="70"/>
  <c r="O133" i="70"/>
  <c r="O132" i="70"/>
  <c r="O131" i="70"/>
  <c r="O130" i="70"/>
  <c r="O129" i="70"/>
  <c r="O128" i="70"/>
  <c r="O127" i="70"/>
  <c r="O126" i="70"/>
  <c r="O125" i="70"/>
  <c r="O124" i="70"/>
  <c r="O123" i="70"/>
  <c r="O122" i="70"/>
  <c r="O121" i="70"/>
  <c r="O120" i="70"/>
  <c r="O119" i="70"/>
  <c r="O118" i="70"/>
  <c r="C54" i="69"/>
  <c r="C55" i="69"/>
  <c r="C56" i="69"/>
  <c r="C57" i="69"/>
  <c r="C58" i="69"/>
  <c r="C59" i="69"/>
  <c r="C60" i="69"/>
  <c r="C61" i="69"/>
  <c r="C62" i="69"/>
  <c r="C63" i="69"/>
  <c r="C64" i="69"/>
  <c r="C65" i="69"/>
  <c r="C66" i="69"/>
  <c r="C67" i="69"/>
  <c r="C68" i="69"/>
  <c r="C69" i="69"/>
  <c r="C70" i="69"/>
  <c r="C71" i="69"/>
  <c r="C72" i="69"/>
  <c r="C73" i="69"/>
  <c r="C74" i="69"/>
  <c r="C53" i="69"/>
  <c r="D45" i="73" s="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38" i="72"/>
  <c r="C39" i="72"/>
  <c r="C40" i="72"/>
  <c r="C41" i="72"/>
  <c r="C42" i="72"/>
  <c r="C43" i="72"/>
  <c r="C44" i="72"/>
  <c r="C37" i="72"/>
  <c r="G24" i="74"/>
  <c r="G23" i="74"/>
  <c r="G22" i="74"/>
  <c r="G21" i="74"/>
  <c r="N15" i="74"/>
  <c r="O15" i="74"/>
  <c r="M15" i="74"/>
  <c r="N12" i="74"/>
  <c r="O12" i="74"/>
  <c r="M12" i="74"/>
  <c r="N8" i="74"/>
  <c r="O8" i="74"/>
  <c r="M8" i="74"/>
  <c r="N3" i="74"/>
  <c r="O3" i="74"/>
  <c r="M3"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C100" i="74"/>
  <c r="C101" i="74"/>
  <c r="C102" i="74"/>
  <c r="C103" i="74"/>
  <c r="C104" i="74"/>
  <c r="C105" i="74"/>
  <c r="C106" i="74"/>
  <c r="C107" i="74"/>
  <c r="C108" i="74"/>
  <c r="C109" i="74"/>
  <c r="C110" i="74"/>
  <c r="C111" i="74"/>
  <c r="C112" i="74"/>
  <c r="C113" i="74"/>
  <c r="C114" i="74"/>
  <c r="C115" i="74"/>
  <c r="C116" i="74"/>
  <c r="C117" i="74"/>
  <c r="C118" i="74"/>
  <c r="C119" i="74"/>
  <c r="C120" i="74"/>
  <c r="C121" i="74"/>
  <c r="C122" i="74"/>
  <c r="C123" i="74"/>
  <c r="C124" i="74"/>
  <c r="C125" i="74"/>
  <c r="C126" i="74"/>
  <c r="C127" i="74"/>
  <c r="C128" i="74"/>
  <c r="C129" i="74"/>
  <c r="C130" i="74"/>
  <c r="C131" i="74"/>
  <c r="C132" i="74"/>
  <c r="C133" i="74"/>
  <c r="C134" i="74"/>
  <c r="C135" i="74"/>
  <c r="C136" i="74"/>
  <c r="C137" i="74"/>
  <c r="C138" i="74"/>
  <c r="C139" i="74"/>
  <c r="C140" i="74"/>
  <c r="C141" i="74"/>
  <c r="C142" i="74"/>
  <c r="C143" i="74"/>
  <c r="C144" i="74"/>
  <c r="C145" i="74"/>
  <c r="C146" i="74"/>
  <c r="C147" i="74"/>
  <c r="C148" i="74"/>
  <c r="C149" i="74"/>
  <c r="C150" i="74"/>
  <c r="C151" i="74"/>
  <c r="C152" i="74"/>
  <c r="C153" i="74"/>
  <c r="C154" i="74"/>
  <c r="C155" i="74"/>
  <c r="C156" i="74"/>
  <c r="C157" i="74"/>
  <c r="C158" i="74"/>
  <c r="C159" i="74"/>
  <c r="C160" i="74"/>
  <c r="C161" i="74"/>
  <c r="C162" i="74"/>
  <c r="C17" i="74"/>
  <c r="C63" i="70"/>
  <c r="C62" i="70"/>
  <c r="C61" i="70"/>
  <c r="K35" i="72"/>
  <c r="K33" i="72"/>
  <c r="K30" i="72"/>
  <c r="O14" i="71"/>
  <c r="P14" i="71"/>
  <c r="N14" i="71"/>
  <c r="O9" i="71"/>
  <c r="P9" i="71"/>
  <c r="N9" i="71"/>
  <c r="O7" i="71"/>
  <c r="P7" i="71"/>
  <c r="N7" i="71"/>
  <c r="O5" i="71"/>
  <c r="P5" i="71"/>
  <c r="N5" i="71"/>
  <c r="O3" i="71"/>
  <c r="P3" i="71"/>
  <c r="N3" i="71"/>
  <c r="I59" i="70"/>
  <c r="J59" i="70"/>
  <c r="K59" i="70"/>
  <c r="I57" i="70"/>
  <c r="J57" i="70"/>
  <c r="K57" i="70"/>
  <c r="I55" i="70"/>
  <c r="J55" i="70"/>
  <c r="K55" i="70"/>
  <c r="I53" i="70"/>
  <c r="J53" i="70"/>
  <c r="K53" i="70"/>
  <c r="I51" i="70"/>
  <c r="J51" i="70"/>
  <c r="K51" i="70"/>
  <c r="I49" i="70"/>
  <c r="J49" i="70"/>
  <c r="K49" i="70"/>
  <c r="I46" i="70"/>
  <c r="J46" i="70"/>
  <c r="K46" i="70"/>
  <c r="I42" i="70"/>
  <c r="J42" i="70"/>
  <c r="K42" i="70"/>
  <c r="I38" i="70"/>
  <c r="J38" i="70"/>
  <c r="K38" i="70"/>
  <c r="I35" i="70"/>
  <c r="J35" i="70"/>
  <c r="K35" i="70"/>
  <c r="I30" i="70"/>
  <c r="J30" i="70"/>
  <c r="K30" i="70"/>
  <c r="I26" i="70"/>
  <c r="J26" i="70"/>
  <c r="K26" i="70"/>
  <c r="I19" i="70"/>
  <c r="J19" i="70"/>
  <c r="K19" i="70"/>
  <c r="I15" i="70"/>
  <c r="J15" i="70"/>
  <c r="K15" i="70"/>
  <c r="I12" i="70"/>
  <c r="J12" i="70"/>
  <c r="K12" i="70"/>
  <c r="I8" i="70"/>
  <c r="J8" i="70"/>
  <c r="K8" i="70"/>
  <c r="I5" i="70"/>
  <c r="J5" i="70"/>
  <c r="K5" i="70"/>
  <c r="M50" i="70"/>
  <c r="M60" i="70"/>
  <c r="M59" i="70" s="1"/>
  <c r="M58" i="70"/>
  <c r="M57" i="70" s="1"/>
  <c r="M56" i="70"/>
  <c r="M55" i="70"/>
  <c r="M54" i="70"/>
  <c r="M53" i="70" s="1"/>
  <c r="M52" i="70"/>
  <c r="M51" i="70" s="1"/>
  <c r="M49" i="70"/>
  <c r="M47" i="70"/>
  <c r="M48" i="70"/>
  <c r="M46" i="70"/>
  <c r="M43" i="70"/>
  <c r="M42" i="70" s="1"/>
  <c r="M44" i="70"/>
  <c r="M45" i="70"/>
  <c r="M39" i="70"/>
  <c r="N40" i="70" s="1"/>
  <c r="M40" i="70"/>
  <c r="M41" i="70"/>
  <c r="M36" i="70"/>
  <c r="M37" i="70"/>
  <c r="N37" i="70" s="1"/>
  <c r="M31" i="70"/>
  <c r="M32" i="70"/>
  <c r="M30" i="70" s="1"/>
  <c r="M33" i="70"/>
  <c r="M34" i="70"/>
  <c r="M27" i="70"/>
  <c r="M28" i="70"/>
  <c r="N29" i="70" s="1"/>
  <c r="M29" i="70"/>
  <c r="M20" i="70"/>
  <c r="M21" i="70"/>
  <c r="M22" i="70"/>
  <c r="M23" i="70"/>
  <c r="N23" i="70" s="1"/>
  <c r="M24" i="70"/>
  <c r="N21" i="70" s="1"/>
  <c r="M25" i="70"/>
  <c r="N25" i="70" s="1"/>
  <c r="M16" i="70"/>
  <c r="M17" i="70"/>
  <c r="N17" i="70" s="1"/>
  <c r="M18" i="70"/>
  <c r="M13" i="70"/>
  <c r="M12" i="70" s="1"/>
  <c r="M14" i="70"/>
  <c r="M9" i="70"/>
  <c r="M10" i="70"/>
  <c r="M8" i="70"/>
  <c r="M6" i="70"/>
  <c r="M7" i="70"/>
  <c r="N7" i="70" s="1"/>
  <c r="M5" i="70"/>
  <c r="O49" i="69"/>
  <c r="P49" i="69"/>
  <c r="N49" i="69"/>
  <c r="O46" i="69"/>
  <c r="P46" i="69"/>
  <c r="N46" i="69"/>
  <c r="O44" i="69"/>
  <c r="P44" i="69"/>
  <c r="N44" i="69"/>
  <c r="U44" i="69" s="1"/>
  <c r="O42" i="69"/>
  <c r="P42" i="69"/>
  <c r="N42" i="69"/>
  <c r="O40" i="69"/>
  <c r="P40" i="69"/>
  <c r="N40" i="69"/>
  <c r="U40" i="69" s="1"/>
  <c r="O37" i="69"/>
  <c r="P37" i="69"/>
  <c r="N37" i="69"/>
  <c r="O34" i="69"/>
  <c r="P34" i="69"/>
  <c r="N34" i="69"/>
  <c r="O30" i="69"/>
  <c r="P30" i="69"/>
  <c r="V30" i="69" s="1"/>
  <c r="N30" i="69"/>
  <c r="U30" i="69" s="1"/>
  <c r="O22" i="69"/>
  <c r="P22" i="69"/>
  <c r="N22" i="69"/>
  <c r="O16" i="69"/>
  <c r="P16" i="69"/>
  <c r="N16" i="69"/>
  <c r="O9" i="69"/>
  <c r="P9" i="69"/>
  <c r="N9" i="69"/>
  <c r="O6" i="69"/>
  <c r="P6" i="69"/>
  <c r="N6" i="69"/>
  <c r="O4" i="69"/>
  <c r="P4" i="69"/>
  <c r="N4" i="69"/>
  <c r="L37" i="72"/>
  <c r="L36" i="72"/>
  <c r="M36" i="72" s="1"/>
  <c r="L34" i="72"/>
  <c r="M34" i="72" s="1"/>
  <c r="L31" i="72"/>
  <c r="L32" i="72"/>
  <c r="M32" i="72" s="1"/>
  <c r="J23" i="72"/>
  <c r="K23" i="72" s="1"/>
  <c r="J18" i="72"/>
  <c r="K18" i="72" s="1"/>
  <c r="K22" i="72" s="1"/>
  <c r="L22" i="72" s="1"/>
  <c r="J19" i="72"/>
  <c r="K19" i="72"/>
  <c r="J20" i="72"/>
  <c r="K20" i="72"/>
  <c r="L20" i="72" s="1"/>
  <c r="J21" i="72"/>
  <c r="K21" i="72" s="1"/>
  <c r="L21" i="72" s="1"/>
  <c r="L19" i="72"/>
  <c r="J14" i="72"/>
  <c r="K14" i="72" s="1"/>
  <c r="J15" i="72"/>
  <c r="K15" i="72" s="1"/>
  <c r="J16" i="72"/>
  <c r="K16" i="72" s="1"/>
  <c r="L16" i="72" s="1"/>
  <c r="L14" i="72"/>
  <c r="J12" i="72"/>
  <c r="K12" i="72" s="1"/>
  <c r="K13" i="72"/>
  <c r="L13" i="72" s="1"/>
  <c r="M13" i="72"/>
  <c r="L12" i="72"/>
  <c r="M12" i="72" s="1"/>
  <c r="J7" i="72"/>
  <c r="K7" i="72" s="1"/>
  <c r="J8" i="72"/>
  <c r="K8" i="72"/>
  <c r="J9" i="72"/>
  <c r="K9" i="72"/>
  <c r="J10" i="72"/>
  <c r="K10" i="72"/>
  <c r="K11" i="72" s="1"/>
  <c r="L8" i="72"/>
  <c r="J5" i="72"/>
  <c r="K5" i="72" s="1"/>
  <c r="L5" i="72" s="1"/>
  <c r="M5" i="72" s="1"/>
  <c r="K6" i="72"/>
  <c r="L6" i="72" s="1"/>
  <c r="R4" i="71"/>
  <c r="S4" i="71" s="1"/>
  <c r="R6" i="71"/>
  <c r="S6" i="71"/>
  <c r="R8" i="71"/>
  <c r="S8" i="71"/>
  <c r="R10" i="71"/>
  <c r="S10" i="71" s="1"/>
  <c r="R12" i="71"/>
  <c r="S12" i="71"/>
  <c r="R11" i="71"/>
  <c r="R14" i="71"/>
  <c r="R13" i="71"/>
  <c r="R15" i="71"/>
  <c r="R16" i="71"/>
  <c r="R17" i="71" s="1"/>
  <c r="S17" i="71" s="1"/>
  <c r="R18" i="71"/>
  <c r="S18" i="71" s="1"/>
  <c r="R19" i="71"/>
  <c r="S19" i="71"/>
  <c r="R20" i="71"/>
  <c r="S20" i="71"/>
  <c r="R21" i="71"/>
  <c r="S21" i="71"/>
  <c r="R22" i="71"/>
  <c r="S22" i="71" s="1"/>
  <c r="R23" i="71"/>
  <c r="S23" i="71"/>
  <c r="R24" i="71"/>
  <c r="S24" i="71"/>
  <c r="R25" i="71"/>
  <c r="S25" i="71" s="1"/>
  <c r="N6" i="70"/>
  <c r="N9" i="70"/>
  <c r="N10" i="70"/>
  <c r="N16" i="70"/>
  <c r="N18" i="70"/>
  <c r="N22" i="70"/>
  <c r="N24" i="70"/>
  <c r="N28" i="70"/>
  <c r="N31" i="70"/>
  <c r="N32" i="70"/>
  <c r="N33" i="70"/>
  <c r="N34" i="70"/>
  <c r="N36" i="70"/>
  <c r="N45" i="70"/>
  <c r="N47" i="70"/>
  <c r="N48" i="70"/>
  <c r="R36" i="69"/>
  <c r="R17" i="69"/>
  <c r="R18" i="69"/>
  <c r="R19" i="69"/>
  <c r="R20" i="69"/>
  <c r="U20" i="69" s="1"/>
  <c r="R21" i="69"/>
  <c r="R22" i="69" s="1"/>
  <c r="R50" i="69"/>
  <c r="R51" i="69"/>
  <c r="R52" i="69"/>
  <c r="R47" i="69"/>
  <c r="R48" i="69"/>
  <c r="S47" i="69" s="1"/>
  <c r="R49" i="69"/>
  <c r="V49" i="69" s="1"/>
  <c r="R45" i="69"/>
  <c r="S45" i="69" s="1"/>
  <c r="R43" i="69"/>
  <c r="R44" i="69" s="1"/>
  <c r="R41" i="69"/>
  <c r="R38" i="69"/>
  <c r="S38" i="69" s="1"/>
  <c r="R40" i="69"/>
  <c r="R31" i="69"/>
  <c r="R32" i="69"/>
  <c r="S32" i="69" s="1"/>
  <c r="R33" i="69"/>
  <c r="V33" i="69" s="1"/>
  <c r="R27" i="69"/>
  <c r="S29" i="69" s="1"/>
  <c r="R29" i="69"/>
  <c r="R30" i="69"/>
  <c r="R23" i="69"/>
  <c r="S23" i="69" s="1"/>
  <c r="R24" i="69"/>
  <c r="R25" i="69"/>
  <c r="V25" i="69" s="1"/>
  <c r="R26" i="69"/>
  <c r="V26" i="69" s="1"/>
  <c r="R10" i="69"/>
  <c r="R11" i="69"/>
  <c r="V11" i="69" s="1"/>
  <c r="R12" i="69"/>
  <c r="R13" i="69"/>
  <c r="S13" i="69" s="1"/>
  <c r="R14" i="69"/>
  <c r="R15" i="69"/>
  <c r="R7" i="69"/>
  <c r="V7" i="69" s="1"/>
  <c r="R8" i="69"/>
  <c r="R5" i="69"/>
  <c r="R6" i="69"/>
  <c r="S52" i="69"/>
  <c r="V51" i="69"/>
  <c r="U51" i="69"/>
  <c r="S51" i="69"/>
  <c r="U50" i="69"/>
  <c r="U49" i="69"/>
  <c r="V48" i="69"/>
  <c r="V47" i="69"/>
  <c r="U47" i="69"/>
  <c r="V45" i="69"/>
  <c r="V43" i="69"/>
  <c r="U43" i="69"/>
  <c r="S43" i="69"/>
  <c r="V41" i="69"/>
  <c r="V40" i="69"/>
  <c r="V39" i="69"/>
  <c r="U39" i="69"/>
  <c r="V38" i="69"/>
  <c r="U38" i="69"/>
  <c r="V35" i="69"/>
  <c r="U35" i="69"/>
  <c r="V32" i="69"/>
  <c r="V31" i="69"/>
  <c r="U31" i="69"/>
  <c r="S31" i="69"/>
  <c r="V29" i="69"/>
  <c r="U29" i="69"/>
  <c r="V28" i="69"/>
  <c r="U28" i="69"/>
  <c r="V27" i="69"/>
  <c r="U27" i="69"/>
  <c r="U25" i="69"/>
  <c r="S25" i="69"/>
  <c r="V24" i="69"/>
  <c r="U24" i="69"/>
  <c r="S24" i="69"/>
  <c r="V23" i="69"/>
  <c r="U23" i="69"/>
  <c r="S21" i="69"/>
  <c r="V20" i="69"/>
  <c r="V19" i="69"/>
  <c r="U19" i="69"/>
  <c r="S19" i="69"/>
  <c r="V18" i="69"/>
  <c r="U18" i="69"/>
  <c r="S18" i="69"/>
  <c r="V17" i="69"/>
  <c r="U17" i="69"/>
  <c r="S17" i="69"/>
  <c r="V15" i="69"/>
  <c r="U15" i="69"/>
  <c r="S15" i="69"/>
  <c r="V14" i="69"/>
  <c r="U14" i="69"/>
  <c r="S14" i="69"/>
  <c r="V13" i="69"/>
  <c r="U13" i="69"/>
  <c r="V12" i="69"/>
  <c r="U12" i="69"/>
  <c r="S12" i="69"/>
  <c r="S11" i="69"/>
  <c r="V10" i="69"/>
  <c r="U10" i="69"/>
  <c r="S10" i="69"/>
  <c r="V8" i="69"/>
  <c r="U8" i="69"/>
  <c r="S8" i="69"/>
  <c r="S7" i="69"/>
  <c r="C153" i="68"/>
  <c r="D153" i="68"/>
  <c r="E153" i="68"/>
  <c r="F153" i="68"/>
  <c r="B153" i="68"/>
  <c r="C155" i="68"/>
  <c r="D155" i="68"/>
  <c r="E155" i="68"/>
  <c r="F155" i="68"/>
  <c r="B155" i="68"/>
  <c r="AE56" i="86"/>
  <c r="B145" i="68"/>
  <c r="B143" i="68"/>
  <c r="B142" i="68"/>
  <c r="C64" i="62"/>
  <c r="C66" i="62"/>
  <c r="C68" i="62"/>
  <c r="C69" i="62"/>
  <c r="D64" i="62"/>
  <c r="D66" i="62"/>
  <c r="D68" i="62"/>
  <c r="D69" i="62"/>
  <c r="E64" i="62"/>
  <c r="E66" i="62"/>
  <c r="E68" i="62"/>
  <c r="E69" i="62"/>
  <c r="F64" i="62"/>
  <c r="F66" i="62"/>
  <c r="F68" i="62"/>
  <c r="F69" i="62"/>
  <c r="B96" i="62"/>
  <c r="C94" i="62"/>
  <c r="D94" i="62"/>
  <c r="E94" i="62"/>
  <c r="F94" i="62"/>
  <c r="C95" i="62"/>
  <c r="D95" i="62"/>
  <c r="E95" i="62"/>
  <c r="F95" i="62"/>
  <c r="C96" i="62"/>
  <c r="D96" i="62"/>
  <c r="E96" i="62"/>
  <c r="F96" i="62"/>
  <c r="B95" i="62"/>
  <c r="B94" i="62"/>
  <c r="C77" i="62"/>
  <c r="D77" i="62"/>
  <c r="E77" i="62"/>
  <c r="F77" i="62"/>
  <c r="C78" i="62"/>
  <c r="D78" i="62"/>
  <c r="E78" i="62"/>
  <c r="F78" i="62"/>
  <c r="B78" i="62"/>
  <c r="B77" i="62"/>
  <c r="C81" i="66"/>
  <c r="D81" i="66"/>
  <c r="F81" i="66"/>
  <c r="G81" i="66"/>
  <c r="H81" i="66"/>
  <c r="I81" i="66"/>
  <c r="J81" i="66"/>
  <c r="K81" i="66"/>
  <c r="L81" i="66"/>
  <c r="M81" i="66"/>
  <c r="N81" i="66"/>
  <c r="O81" i="66"/>
  <c r="P81" i="66"/>
  <c r="Q81" i="66"/>
  <c r="R81" i="66"/>
  <c r="S81" i="66"/>
  <c r="C82" i="66"/>
  <c r="D82" i="66"/>
  <c r="F82" i="66"/>
  <c r="G82" i="66"/>
  <c r="H82" i="66"/>
  <c r="I82" i="66"/>
  <c r="J82" i="66"/>
  <c r="K82" i="66"/>
  <c r="L82" i="66"/>
  <c r="M82" i="66"/>
  <c r="N82" i="66"/>
  <c r="O82" i="66"/>
  <c r="P82" i="66"/>
  <c r="Q82" i="66"/>
  <c r="R82" i="66"/>
  <c r="S82" i="66"/>
  <c r="B82" i="66"/>
  <c r="B81" i="66"/>
  <c r="S4" i="6"/>
  <c r="S5" i="6" s="1"/>
  <c r="T4" i="6"/>
  <c r="U4" i="6"/>
  <c r="V4" i="6"/>
  <c r="AC2" i="6"/>
  <c r="AB2" i="6"/>
  <c r="D44" i="64"/>
  <c r="C83" i="62"/>
  <c r="D83" i="62"/>
  <c r="E83" i="62"/>
  <c r="F83" i="62"/>
  <c r="C84" i="62"/>
  <c r="D84" i="62"/>
  <c r="D85" i="62"/>
  <c r="D86" i="62"/>
  <c r="E84" i="62"/>
  <c r="F84" i="62"/>
  <c r="C85" i="62"/>
  <c r="E85" i="62"/>
  <c r="F85" i="62"/>
  <c r="C86" i="62"/>
  <c r="E86" i="62"/>
  <c r="F86" i="62"/>
  <c r="B85" i="62"/>
  <c r="B86" i="62"/>
  <c r="B84" i="62"/>
  <c r="B83" i="62"/>
  <c r="C62" i="62"/>
  <c r="D62" i="62"/>
  <c r="E62" i="62"/>
  <c r="F62" i="62"/>
  <c r="C63" i="62"/>
  <c r="D63" i="62"/>
  <c r="E63" i="62"/>
  <c r="F63" i="62"/>
  <c r="B69" i="62"/>
  <c r="B64" i="62"/>
  <c r="B66" i="62"/>
  <c r="B68" i="62"/>
  <c r="B63" i="62"/>
  <c r="C6" i="29"/>
  <c r="E6" i="29"/>
  <c r="F6" i="29"/>
  <c r="S43" i="66"/>
  <c r="R43" i="66"/>
  <c r="Q43" i="66"/>
  <c r="P43" i="66"/>
  <c r="O43" i="66"/>
  <c r="N43" i="66"/>
  <c r="M43" i="66"/>
  <c r="L43" i="66"/>
  <c r="K43" i="66"/>
  <c r="J43" i="66"/>
  <c r="I43" i="66"/>
  <c r="H43" i="66"/>
  <c r="G43" i="66"/>
  <c r="F43" i="66"/>
  <c r="F44" i="66" s="1"/>
  <c r="F46" i="66" s="1"/>
  <c r="D43" i="66"/>
  <c r="C43" i="66"/>
  <c r="C2" i="34"/>
  <c r="D2" i="34"/>
  <c r="E2" i="34"/>
  <c r="F2" i="34"/>
  <c r="G2" i="34"/>
  <c r="B2" i="34"/>
  <c r="C4" i="27"/>
  <c r="G67" i="27" s="1"/>
  <c r="J67" i="27" s="1"/>
  <c r="Y63" i="86" s="1"/>
  <c r="G9" i="27"/>
  <c r="C5" i="27"/>
  <c r="C3" i="27"/>
  <c r="D11" i="27" s="1"/>
  <c r="B11" i="27"/>
  <c r="F2" i="32"/>
  <c r="C2" i="32"/>
  <c r="D2" i="32"/>
  <c r="E2" i="32"/>
  <c r="B2" i="32"/>
  <c r="B6" i="29"/>
  <c r="C2" i="28"/>
  <c r="D2" i="28"/>
  <c r="E2" i="28"/>
  <c r="F2" i="28"/>
  <c r="B2" i="28"/>
  <c r="O4" i="6"/>
  <c r="W2" i="6"/>
  <c r="V2" i="6"/>
  <c r="U2" i="6"/>
  <c r="T2" i="6"/>
  <c r="S2" i="6"/>
  <c r="C122" i="6"/>
  <c r="B127" i="6" s="1"/>
  <c r="D122" i="6"/>
  <c r="B128" i="6" s="1"/>
  <c r="I19" i="64"/>
  <c r="J14" i="64"/>
  <c r="J19" i="64"/>
  <c r="I24" i="64"/>
  <c r="M9" i="72"/>
  <c r="L9" i="72"/>
  <c r="M7" i="72"/>
  <c r="L7" i="72"/>
  <c r="M8" i="72"/>
  <c r="L15" i="72"/>
  <c r="M10" i="72"/>
  <c r="M31" i="72"/>
  <c r="L10" i="72"/>
  <c r="S15" i="71"/>
  <c r="S13" i="71"/>
  <c r="R9" i="71"/>
  <c r="S9" i="71"/>
  <c r="S11" i="71"/>
  <c r="A8" i="71"/>
  <c r="W32" i="71" s="1"/>
  <c r="X31" i="71" s="1"/>
  <c r="A10" i="71"/>
  <c r="W33" i="71" s="1"/>
  <c r="X32" i="71" s="1"/>
  <c r="B14" i="27"/>
  <c r="B10" i="27"/>
  <c r="B13" i="27"/>
  <c r="B9" i="27"/>
  <c r="C15" i="27"/>
  <c r="B12" i="27"/>
  <c r="E68" i="21" l="1"/>
  <c r="E86" i="21"/>
  <c r="E22" i="21"/>
  <c r="E39" i="21"/>
  <c r="E74" i="21"/>
  <c r="E79" i="21"/>
  <c r="E104" i="21"/>
  <c r="E32" i="21"/>
  <c r="E63" i="21"/>
  <c r="E58" i="21"/>
  <c r="E51" i="21"/>
  <c r="E88" i="21"/>
  <c r="E8" i="21"/>
  <c r="E77" i="21"/>
  <c r="E71" i="66"/>
  <c r="E73" i="66" s="1"/>
  <c r="E98" i="21"/>
  <c r="E103" i="21"/>
  <c r="E11" i="21"/>
  <c r="E48" i="21"/>
  <c r="E18" i="21"/>
  <c r="E54" i="21"/>
  <c r="E107" i="21"/>
  <c r="E109" i="21"/>
  <c r="E45" i="21"/>
  <c r="E118" i="21"/>
  <c r="E78" i="21"/>
  <c r="E46" i="21"/>
  <c r="E91" i="21"/>
  <c r="E47" i="21"/>
  <c r="E116" i="21"/>
  <c r="E72" i="21"/>
  <c r="E40" i="21"/>
  <c r="E4" i="21"/>
  <c r="E26" i="21"/>
  <c r="E71" i="21"/>
  <c r="E101" i="21"/>
  <c r="E13" i="21"/>
  <c r="E110" i="21"/>
  <c r="E66" i="21"/>
  <c r="E14" i="21"/>
  <c r="E67" i="21"/>
  <c r="E15" i="21"/>
  <c r="E96" i="21"/>
  <c r="E64" i="21"/>
  <c r="E20" i="21"/>
  <c r="E82" i="21"/>
  <c r="E115" i="21"/>
  <c r="E117" i="21"/>
  <c r="E65" i="21"/>
  <c r="D30" i="23"/>
  <c r="E30" i="21"/>
  <c r="E99" i="21"/>
  <c r="E59" i="21"/>
  <c r="E23" i="21"/>
  <c r="E112" i="21"/>
  <c r="E84" i="21"/>
  <c r="E52" i="21"/>
  <c r="E24" i="21"/>
  <c r="E102" i="21"/>
  <c r="E38" i="21"/>
  <c r="E111" i="21"/>
  <c r="E31" i="21"/>
  <c r="E85" i="21"/>
  <c r="E37" i="21"/>
  <c r="E33" i="21"/>
  <c r="E106" i="21"/>
  <c r="E70" i="21"/>
  <c r="E42" i="21"/>
  <c r="E6" i="21"/>
  <c r="E83" i="21"/>
  <c r="E55" i="21"/>
  <c r="E27" i="21"/>
  <c r="E3" i="21"/>
  <c r="E100" i="21"/>
  <c r="E80" i="21"/>
  <c r="E56" i="21"/>
  <c r="E36" i="21"/>
  <c r="E16" i="21"/>
  <c r="E90" i="21"/>
  <c r="E50" i="21"/>
  <c r="E10" i="21"/>
  <c r="E75" i="21"/>
  <c r="E19" i="21"/>
  <c r="E97" i="21"/>
  <c r="E61" i="21"/>
  <c r="E17" i="21"/>
  <c r="E81" i="21"/>
  <c r="E53" i="21"/>
  <c r="E21" i="21"/>
  <c r="E108" i="21"/>
  <c r="E92" i="21"/>
  <c r="E76" i="21"/>
  <c r="E60" i="21"/>
  <c r="E44" i="21"/>
  <c r="E28" i="21"/>
  <c r="E12" i="21"/>
  <c r="E94" i="21"/>
  <c r="E62" i="21"/>
  <c r="E34" i="21"/>
  <c r="E2" i="21"/>
  <c r="E95" i="21"/>
  <c r="E35" i="21"/>
  <c r="E113" i="21"/>
  <c r="E93" i="21"/>
  <c r="E69" i="21"/>
  <c r="E49" i="21"/>
  <c r="E29" i="21"/>
  <c r="E5" i="21"/>
  <c r="E87" i="21"/>
  <c r="E43" i="21"/>
  <c r="E7" i="21"/>
  <c r="E105" i="21"/>
  <c r="E89" i="21"/>
  <c r="E73" i="21"/>
  <c r="E57" i="21"/>
  <c r="E41" i="21"/>
  <c r="E25" i="21"/>
  <c r="I42" i="87"/>
  <c r="F37" i="77"/>
  <c r="N150" i="61"/>
  <c r="E37" i="77"/>
  <c r="M150" i="61"/>
  <c r="O18" i="27"/>
  <c r="Z14" i="86" s="1"/>
  <c r="H140" i="77"/>
  <c r="V107" i="86" s="1"/>
  <c r="H139" i="77"/>
  <c r="V106" i="86" s="1"/>
  <c r="B160" i="77"/>
  <c r="H142" i="77"/>
  <c r="V109" i="86" s="1"/>
  <c r="H143" i="77"/>
  <c r="V110" i="86" s="1"/>
  <c r="H136" i="77"/>
  <c r="V103" i="86" s="1"/>
  <c r="H131" i="77"/>
  <c r="V98" i="86" s="1"/>
  <c r="H151" i="77"/>
  <c r="V118" i="86" s="1"/>
  <c r="H154" i="77"/>
  <c r="V121" i="86" s="1"/>
  <c r="H130" i="77"/>
  <c r="V97" i="86" s="1"/>
  <c r="H133" i="77"/>
  <c r="V100" i="86" s="1"/>
  <c r="H135" i="77"/>
  <c r="V102" i="86" s="1"/>
  <c r="H152" i="77"/>
  <c r="V119" i="86" s="1"/>
  <c r="H129" i="77"/>
  <c r="V96" i="86" s="1"/>
  <c r="H137" i="77"/>
  <c r="V104" i="86" s="1"/>
  <c r="H153" i="77"/>
  <c r="V120" i="86" s="1"/>
  <c r="H149" i="77"/>
  <c r="V116" i="86" s="1"/>
  <c r="H141" i="77"/>
  <c r="V108" i="86" s="1"/>
  <c r="H145" i="77"/>
  <c r="V112" i="86" s="1"/>
  <c r="H150" i="77"/>
  <c r="V117" i="86" s="1"/>
  <c r="H148" i="77"/>
  <c r="V115" i="86" s="1"/>
  <c r="H144" i="77"/>
  <c r="V111" i="86" s="1"/>
  <c r="H146" i="77"/>
  <c r="V113" i="86" s="1"/>
  <c r="H132" i="77"/>
  <c r="V99" i="86" s="1"/>
  <c r="H138" i="77"/>
  <c r="V105" i="86" s="1"/>
  <c r="B46" i="66"/>
  <c r="B45" i="66" s="1"/>
  <c r="B3" i="21" s="1"/>
  <c r="D89" i="62"/>
  <c r="D71" i="62"/>
  <c r="D73" i="62" s="1"/>
  <c r="F89" i="62"/>
  <c r="E110" i="62"/>
  <c r="E111" i="62" s="1"/>
  <c r="B109" i="62"/>
  <c r="D110" i="62"/>
  <c r="D111" i="62" s="1"/>
  <c r="E72" i="62"/>
  <c r="D72" i="62"/>
  <c r="F88" i="62"/>
  <c r="E88" i="62"/>
  <c r="F110" i="62"/>
  <c r="F111" i="62" s="1"/>
  <c r="F162" i="61"/>
  <c r="F153" i="61"/>
  <c r="F154" i="61" s="1"/>
  <c r="E162" i="61"/>
  <c r="E153" i="61"/>
  <c r="E154" i="61" s="1"/>
  <c r="D153" i="61"/>
  <c r="D155" i="61" s="1"/>
  <c r="D37" i="77"/>
  <c r="C162" i="61"/>
  <c r="C37" i="77"/>
  <c r="C153" i="61"/>
  <c r="C154" i="61" s="1"/>
  <c r="B277" i="61"/>
  <c r="E278" i="61"/>
  <c r="C254" i="61"/>
  <c r="F255" i="61"/>
  <c r="D257" i="61"/>
  <c r="B259" i="61"/>
  <c r="E260" i="61"/>
  <c r="C262" i="61"/>
  <c r="F263" i="61"/>
  <c r="D265" i="61"/>
  <c r="B267" i="61"/>
  <c r="E268" i="61"/>
  <c r="C270" i="61"/>
  <c r="F271" i="61"/>
  <c r="D273" i="61"/>
  <c r="B275" i="61"/>
  <c r="E276" i="61"/>
  <c r="C164" i="61"/>
  <c r="F165" i="61"/>
  <c r="D167" i="61"/>
  <c r="B169" i="61"/>
  <c r="E170" i="61"/>
  <c r="C172" i="61"/>
  <c r="F173" i="61"/>
  <c r="D175" i="61"/>
  <c r="B177" i="61"/>
  <c r="E178" i="61"/>
  <c r="C180" i="61"/>
  <c r="F181" i="61"/>
  <c r="D183" i="61"/>
  <c r="B185" i="61"/>
  <c r="E186" i="61"/>
  <c r="C188" i="61"/>
  <c r="F189" i="61"/>
  <c r="D191" i="61"/>
  <c r="B193" i="61"/>
  <c r="E194" i="61"/>
  <c r="C196" i="61"/>
  <c r="F197" i="61"/>
  <c r="D199" i="61"/>
  <c r="B201" i="61"/>
  <c r="E202" i="61"/>
  <c r="C204" i="61"/>
  <c r="F205" i="61"/>
  <c r="D207" i="61"/>
  <c r="B209" i="61"/>
  <c r="E210" i="61"/>
  <c r="C212" i="61"/>
  <c r="F213" i="61"/>
  <c r="D215" i="61"/>
  <c r="B217" i="61"/>
  <c r="E218" i="61"/>
  <c r="C220" i="61"/>
  <c r="F221" i="61"/>
  <c r="D223" i="61"/>
  <c r="B225" i="61"/>
  <c r="E226" i="61"/>
  <c r="C228" i="61"/>
  <c r="F229" i="61"/>
  <c r="D231" i="61"/>
  <c r="B233" i="61"/>
  <c r="E234" i="61"/>
  <c r="C236" i="61"/>
  <c r="F237" i="61"/>
  <c r="D239" i="61"/>
  <c r="B241" i="61"/>
  <c r="E242" i="61"/>
  <c r="C244" i="61"/>
  <c r="F245" i="61"/>
  <c r="D247" i="61"/>
  <c r="B249" i="61"/>
  <c r="E250" i="61"/>
  <c r="C252" i="61"/>
  <c r="B163" i="61"/>
  <c r="D248" i="61"/>
  <c r="B247" i="61"/>
  <c r="C277" i="61"/>
  <c r="F278" i="61"/>
  <c r="D254" i="61"/>
  <c r="B256" i="61"/>
  <c r="E257" i="61"/>
  <c r="C259" i="61"/>
  <c r="F260" i="61"/>
  <c r="D262" i="61"/>
  <c r="B264" i="61"/>
  <c r="E265" i="61"/>
  <c r="C267" i="61"/>
  <c r="F268" i="61"/>
  <c r="D270" i="61"/>
  <c r="B272" i="61"/>
  <c r="E273" i="61"/>
  <c r="C275" i="61"/>
  <c r="F276" i="61"/>
  <c r="D164" i="61"/>
  <c r="B166" i="61"/>
  <c r="E167" i="61"/>
  <c r="C169" i="61"/>
  <c r="F170" i="61"/>
  <c r="D172" i="61"/>
  <c r="B174" i="61"/>
  <c r="E175" i="61"/>
  <c r="C177" i="61"/>
  <c r="F178" i="61"/>
  <c r="D180" i="61"/>
  <c r="B182" i="61"/>
  <c r="E183" i="61"/>
  <c r="C185" i="61"/>
  <c r="F186" i="61"/>
  <c r="D188" i="61"/>
  <c r="B190" i="61"/>
  <c r="E191" i="61"/>
  <c r="C193" i="61"/>
  <c r="F194" i="61"/>
  <c r="D196" i="61"/>
  <c r="B198" i="61"/>
  <c r="E199" i="61"/>
  <c r="C201" i="61"/>
  <c r="F202" i="61"/>
  <c r="D204" i="61"/>
  <c r="B206" i="61"/>
  <c r="E207" i="61"/>
  <c r="C209" i="61"/>
  <c r="F210" i="61"/>
  <c r="D212" i="61"/>
  <c r="B214" i="61"/>
  <c r="E215" i="61"/>
  <c r="C217" i="61"/>
  <c r="F218" i="61"/>
  <c r="D220" i="61"/>
  <c r="B222" i="61"/>
  <c r="E223" i="61"/>
  <c r="C225" i="61"/>
  <c r="F226" i="61"/>
  <c r="D228" i="61"/>
  <c r="B230" i="61"/>
  <c r="E231" i="61"/>
  <c r="C233" i="61"/>
  <c r="F234" i="61"/>
  <c r="D236" i="61"/>
  <c r="B238" i="61"/>
  <c r="E239" i="61"/>
  <c r="C241" i="61"/>
  <c r="F242" i="61"/>
  <c r="D244" i="61"/>
  <c r="B246" i="61"/>
  <c r="E247" i="61"/>
  <c r="C249" i="61"/>
  <c r="F250" i="61"/>
  <c r="D252" i="61"/>
  <c r="C163" i="61"/>
  <c r="C205" i="61"/>
  <c r="D216" i="61"/>
  <c r="F222" i="61"/>
  <c r="E227" i="61"/>
  <c r="D232" i="61"/>
  <c r="F238" i="61"/>
  <c r="C245" i="61"/>
  <c r="D245" i="61"/>
  <c r="D277" i="61"/>
  <c r="B279" i="61"/>
  <c r="E254" i="61"/>
  <c r="C256" i="61"/>
  <c r="F257" i="61"/>
  <c r="D259" i="61"/>
  <c r="B261" i="61"/>
  <c r="E262" i="61"/>
  <c r="C264" i="61"/>
  <c r="F265" i="61"/>
  <c r="D267" i="61"/>
  <c r="B269" i="61"/>
  <c r="E270" i="61"/>
  <c r="C272" i="61"/>
  <c r="F273" i="61"/>
  <c r="D275" i="61"/>
  <c r="B253" i="61"/>
  <c r="E164" i="61"/>
  <c r="C166" i="61"/>
  <c r="F167" i="61"/>
  <c r="D169" i="61"/>
  <c r="B171" i="61"/>
  <c r="E172" i="61"/>
  <c r="C174" i="61"/>
  <c r="F175" i="61"/>
  <c r="D177" i="61"/>
  <c r="B179" i="61"/>
  <c r="E180" i="61"/>
  <c r="C182" i="61"/>
  <c r="F183" i="61"/>
  <c r="D185" i="61"/>
  <c r="B187" i="61"/>
  <c r="E188" i="61"/>
  <c r="C190" i="61"/>
  <c r="F191" i="61"/>
  <c r="D193" i="61"/>
  <c r="B195" i="61"/>
  <c r="E196" i="61"/>
  <c r="C198" i="61"/>
  <c r="F199" i="61"/>
  <c r="D201" i="61"/>
  <c r="B203" i="61"/>
  <c r="E204" i="61"/>
  <c r="C206" i="61"/>
  <c r="F207" i="61"/>
  <c r="D209" i="61"/>
  <c r="B211" i="61"/>
  <c r="E212" i="61"/>
  <c r="C214" i="61"/>
  <c r="F215" i="61"/>
  <c r="D217" i="61"/>
  <c r="B219" i="61"/>
  <c r="E220" i="61"/>
  <c r="C222" i="61"/>
  <c r="F223" i="61"/>
  <c r="D225" i="61"/>
  <c r="B227" i="61"/>
  <c r="E228" i="61"/>
  <c r="C230" i="61"/>
  <c r="F231" i="61"/>
  <c r="D233" i="61"/>
  <c r="B235" i="61"/>
  <c r="E236" i="61"/>
  <c r="C238" i="61"/>
  <c r="F239" i="61"/>
  <c r="D241" i="61"/>
  <c r="B243" i="61"/>
  <c r="E244" i="61"/>
  <c r="C246" i="61"/>
  <c r="F247" i="61"/>
  <c r="D249" i="61"/>
  <c r="B251" i="61"/>
  <c r="E252" i="61"/>
  <c r="F206" i="61"/>
  <c r="B218" i="61"/>
  <c r="D224" i="61"/>
  <c r="C229" i="61"/>
  <c r="C237" i="61"/>
  <c r="E243" i="61"/>
  <c r="B250" i="61"/>
  <c r="E277" i="61"/>
  <c r="C279" i="61"/>
  <c r="F254" i="61"/>
  <c r="D256" i="61"/>
  <c r="B258" i="61"/>
  <c r="E259" i="61"/>
  <c r="C261" i="61"/>
  <c r="F262" i="61"/>
  <c r="D264" i="61"/>
  <c r="B266" i="61"/>
  <c r="E267" i="61"/>
  <c r="C269" i="61"/>
  <c r="F270" i="61"/>
  <c r="D272" i="61"/>
  <c r="B274" i="61"/>
  <c r="E275" i="61"/>
  <c r="C253" i="61"/>
  <c r="F164" i="61"/>
  <c r="D166" i="61"/>
  <c r="B168" i="61"/>
  <c r="E169" i="61"/>
  <c r="C171" i="61"/>
  <c r="F172" i="61"/>
  <c r="D174" i="61"/>
  <c r="B176" i="61"/>
  <c r="E177" i="61"/>
  <c r="C179" i="61"/>
  <c r="F180" i="61"/>
  <c r="D182" i="61"/>
  <c r="B184" i="61"/>
  <c r="E185" i="61"/>
  <c r="C187" i="61"/>
  <c r="F188" i="61"/>
  <c r="D190" i="61"/>
  <c r="B192" i="61"/>
  <c r="E193" i="61"/>
  <c r="C195" i="61"/>
  <c r="F196" i="61"/>
  <c r="D198" i="61"/>
  <c r="B200" i="61"/>
  <c r="E201" i="61"/>
  <c r="C203" i="61"/>
  <c r="F204" i="61"/>
  <c r="D206" i="61"/>
  <c r="B208" i="61"/>
  <c r="E209" i="61"/>
  <c r="C211" i="61"/>
  <c r="F212" i="61"/>
  <c r="D214" i="61"/>
  <c r="B216" i="61"/>
  <c r="E217" i="61"/>
  <c r="C219" i="61"/>
  <c r="F220" i="61"/>
  <c r="D222" i="61"/>
  <c r="B224" i="61"/>
  <c r="E225" i="61"/>
  <c r="C227" i="61"/>
  <c r="F228" i="61"/>
  <c r="D230" i="61"/>
  <c r="B232" i="61"/>
  <c r="E233" i="61"/>
  <c r="C235" i="61"/>
  <c r="F236" i="61"/>
  <c r="D238" i="61"/>
  <c r="B240" i="61"/>
  <c r="E241" i="61"/>
  <c r="C243" i="61"/>
  <c r="F244" i="61"/>
  <c r="D246" i="61"/>
  <c r="B248" i="61"/>
  <c r="E249" i="61"/>
  <c r="C251" i="61"/>
  <c r="F252" i="61"/>
  <c r="E203" i="61"/>
  <c r="F214" i="61"/>
  <c r="E219" i="61"/>
  <c r="B226" i="61"/>
  <c r="B234" i="61"/>
  <c r="D240" i="61"/>
  <c r="F246" i="61"/>
  <c r="C242" i="61"/>
  <c r="F277" i="61"/>
  <c r="D279" i="61"/>
  <c r="B255" i="61"/>
  <c r="E256" i="61"/>
  <c r="C258" i="61"/>
  <c r="F259" i="61"/>
  <c r="D261" i="61"/>
  <c r="B263" i="61"/>
  <c r="E264" i="61"/>
  <c r="C266" i="61"/>
  <c r="F267" i="61"/>
  <c r="D269" i="61"/>
  <c r="B271" i="61"/>
  <c r="E272" i="61"/>
  <c r="C274" i="61"/>
  <c r="F275" i="61"/>
  <c r="D253" i="61"/>
  <c r="B165" i="61"/>
  <c r="E166" i="61"/>
  <c r="C168" i="61"/>
  <c r="F169" i="61"/>
  <c r="D171" i="61"/>
  <c r="B173" i="61"/>
  <c r="E174" i="61"/>
  <c r="C176" i="61"/>
  <c r="F177" i="61"/>
  <c r="D179" i="61"/>
  <c r="B181" i="61"/>
  <c r="E182" i="61"/>
  <c r="C184" i="61"/>
  <c r="F185" i="61"/>
  <c r="D187" i="61"/>
  <c r="B189" i="61"/>
  <c r="E190" i="61"/>
  <c r="C192" i="61"/>
  <c r="F193" i="61"/>
  <c r="D195" i="61"/>
  <c r="B197" i="61"/>
  <c r="E198" i="61"/>
  <c r="C200" i="61"/>
  <c r="F201" i="61"/>
  <c r="D203" i="61"/>
  <c r="B205" i="61"/>
  <c r="E206" i="61"/>
  <c r="C208" i="61"/>
  <c r="F209" i="61"/>
  <c r="D211" i="61"/>
  <c r="B213" i="61"/>
  <c r="E214" i="61"/>
  <c r="C216" i="61"/>
  <c r="F217" i="61"/>
  <c r="D219" i="61"/>
  <c r="B221" i="61"/>
  <c r="E222" i="61"/>
  <c r="C224" i="61"/>
  <c r="F225" i="61"/>
  <c r="D227" i="61"/>
  <c r="B229" i="61"/>
  <c r="E230" i="61"/>
  <c r="C232" i="61"/>
  <c r="F233" i="61"/>
  <c r="D235" i="61"/>
  <c r="B237" i="61"/>
  <c r="E238" i="61"/>
  <c r="C240" i="61"/>
  <c r="F241" i="61"/>
  <c r="D243" i="61"/>
  <c r="B245" i="61"/>
  <c r="E246" i="61"/>
  <c r="C248" i="61"/>
  <c r="F249" i="61"/>
  <c r="D251" i="61"/>
  <c r="E211" i="61"/>
  <c r="F230" i="61"/>
  <c r="B242" i="61"/>
  <c r="E251" i="61"/>
  <c r="F243" i="61"/>
  <c r="E163" i="61"/>
  <c r="B278" i="61"/>
  <c r="E279" i="61"/>
  <c r="C255" i="61"/>
  <c r="F256" i="61"/>
  <c r="D258" i="61"/>
  <c r="B260" i="61"/>
  <c r="E261" i="61"/>
  <c r="C263" i="61"/>
  <c r="F264" i="61"/>
  <c r="D266" i="61"/>
  <c r="B268" i="61"/>
  <c r="E269" i="61"/>
  <c r="C271" i="61"/>
  <c r="F272" i="61"/>
  <c r="D274" i="61"/>
  <c r="B276" i="61"/>
  <c r="E253" i="61"/>
  <c r="C165" i="61"/>
  <c r="F166" i="61"/>
  <c r="D168" i="61"/>
  <c r="B170" i="61"/>
  <c r="E171" i="61"/>
  <c r="C173" i="61"/>
  <c r="F174" i="61"/>
  <c r="D176" i="61"/>
  <c r="B178" i="61"/>
  <c r="E179" i="61"/>
  <c r="C181" i="61"/>
  <c r="F182" i="61"/>
  <c r="D184" i="61"/>
  <c r="B186" i="61"/>
  <c r="E187" i="61"/>
  <c r="C189" i="61"/>
  <c r="F190" i="61"/>
  <c r="D192" i="61"/>
  <c r="B194" i="61"/>
  <c r="E195" i="61"/>
  <c r="C197" i="61"/>
  <c r="F198" i="61"/>
  <c r="D200" i="61"/>
  <c r="B202" i="61"/>
  <c r="D208" i="61"/>
  <c r="B210" i="61"/>
  <c r="C213" i="61"/>
  <c r="C221" i="61"/>
  <c r="E235" i="61"/>
  <c r="D163" i="61"/>
  <c r="C278" i="61"/>
  <c r="F279" i="61"/>
  <c r="D255" i="61"/>
  <c r="B257" i="61"/>
  <c r="E258" i="61"/>
  <c r="C260" i="61"/>
  <c r="F261" i="61"/>
  <c r="D263" i="61"/>
  <c r="B265" i="61"/>
  <c r="E266" i="61"/>
  <c r="C268" i="61"/>
  <c r="F269" i="61"/>
  <c r="D271" i="61"/>
  <c r="B273" i="61"/>
  <c r="E274" i="61"/>
  <c r="C276" i="61"/>
  <c r="F253" i="61"/>
  <c r="D165" i="61"/>
  <c r="B167" i="61"/>
  <c r="E168" i="61"/>
  <c r="C170" i="61"/>
  <c r="F171" i="61"/>
  <c r="D173" i="61"/>
  <c r="B175" i="61"/>
  <c r="E176" i="61"/>
  <c r="C178" i="61"/>
  <c r="F179" i="61"/>
  <c r="D181" i="61"/>
  <c r="B183" i="61"/>
  <c r="E184" i="61"/>
  <c r="C186" i="61"/>
  <c r="F187" i="61"/>
  <c r="D189" i="61"/>
  <c r="B191" i="61"/>
  <c r="E192" i="61"/>
  <c r="C194" i="61"/>
  <c r="F195" i="61"/>
  <c r="D197" i="61"/>
  <c r="B199" i="61"/>
  <c r="E200" i="61"/>
  <c r="C202" i="61"/>
  <c r="F203" i="61"/>
  <c r="D205" i="61"/>
  <c r="B207" i="61"/>
  <c r="E208" i="61"/>
  <c r="C210" i="61"/>
  <c r="F211" i="61"/>
  <c r="D213" i="61"/>
  <c r="B215" i="61"/>
  <c r="E216" i="61"/>
  <c r="C218" i="61"/>
  <c r="F219" i="61"/>
  <c r="D221" i="61"/>
  <c r="B223" i="61"/>
  <c r="E224" i="61"/>
  <c r="C226" i="61"/>
  <c r="F227" i="61"/>
  <c r="D229" i="61"/>
  <c r="B231" i="61"/>
  <c r="E232" i="61"/>
  <c r="C234" i="61"/>
  <c r="F235" i="61"/>
  <c r="D237" i="61"/>
  <c r="B239" i="61"/>
  <c r="E240" i="61"/>
  <c r="E248" i="61"/>
  <c r="C250" i="61"/>
  <c r="F251" i="61"/>
  <c r="D278" i="61"/>
  <c r="B254" i="61"/>
  <c r="E255" i="61"/>
  <c r="C257" i="61"/>
  <c r="F258" i="61"/>
  <c r="D260" i="61"/>
  <c r="B262" i="61"/>
  <c r="E263" i="61"/>
  <c r="C265" i="61"/>
  <c r="F266" i="61"/>
  <c r="D268" i="61"/>
  <c r="B270" i="61"/>
  <c r="E271" i="61"/>
  <c r="C273" i="61"/>
  <c r="F274" i="61"/>
  <c r="D276" i="61"/>
  <c r="B164" i="61"/>
  <c r="E165" i="61"/>
  <c r="C167" i="61"/>
  <c r="F168" i="61"/>
  <c r="D170" i="61"/>
  <c r="B172" i="61"/>
  <c r="E173" i="61"/>
  <c r="C175" i="61"/>
  <c r="F176" i="61"/>
  <c r="D178" i="61"/>
  <c r="B180" i="61"/>
  <c r="E181" i="61"/>
  <c r="C183" i="61"/>
  <c r="F184" i="61"/>
  <c r="D186" i="61"/>
  <c r="B188" i="61"/>
  <c r="E189" i="61"/>
  <c r="C191" i="61"/>
  <c r="F192" i="61"/>
  <c r="D194" i="61"/>
  <c r="B196" i="61"/>
  <c r="E197" i="61"/>
  <c r="C199" i="61"/>
  <c r="F200" i="61"/>
  <c r="D202" i="61"/>
  <c r="B204" i="61"/>
  <c r="E205" i="61"/>
  <c r="C207" i="61"/>
  <c r="F208" i="61"/>
  <c r="D210" i="61"/>
  <c r="B212" i="61"/>
  <c r="E213" i="61"/>
  <c r="C215" i="61"/>
  <c r="F216" i="61"/>
  <c r="D218" i="61"/>
  <c r="B220" i="61"/>
  <c r="E221" i="61"/>
  <c r="C223" i="61"/>
  <c r="F224" i="61"/>
  <c r="D226" i="61"/>
  <c r="B228" i="61"/>
  <c r="E229" i="61"/>
  <c r="C231" i="61"/>
  <c r="F232" i="61"/>
  <c r="D234" i="61"/>
  <c r="B236" i="61"/>
  <c r="E237" i="61"/>
  <c r="C239" i="61"/>
  <c r="F240" i="61"/>
  <c r="D242" i="61"/>
  <c r="B244" i="61"/>
  <c r="E245" i="61"/>
  <c r="C247" i="61"/>
  <c r="F248" i="61"/>
  <c r="D250" i="61"/>
  <c r="B252" i="61"/>
  <c r="F163" i="61"/>
  <c r="H147" i="77"/>
  <c r="V114" i="86" s="1"/>
  <c r="D162" i="61"/>
  <c r="BB97" i="86"/>
  <c r="BB98" i="86" s="1"/>
  <c r="BB99" i="86" s="1"/>
  <c r="BB100" i="86" s="1"/>
  <c r="BB101" i="86" s="1"/>
  <c r="BB102" i="86" s="1"/>
  <c r="BB103" i="86" s="1"/>
  <c r="BB104" i="86" s="1"/>
  <c r="BB105" i="86" s="1"/>
  <c r="BB106" i="86" s="1"/>
  <c r="BB107" i="86" s="1"/>
  <c r="BB108" i="86" s="1"/>
  <c r="BB109" i="86" s="1"/>
  <c r="BB110" i="86" s="1"/>
  <c r="BB111" i="86" s="1"/>
  <c r="BB112" i="86" s="1"/>
  <c r="BB113" i="86" s="1"/>
  <c r="BB114" i="86" s="1"/>
  <c r="BB115" i="86" s="1"/>
  <c r="BB116" i="86" s="1"/>
  <c r="BB117" i="86" s="1"/>
  <c r="BB118" i="86" s="1"/>
  <c r="BB119" i="86" s="1"/>
  <c r="BB120" i="86" s="1"/>
  <c r="BB121" i="86" s="1"/>
  <c r="AD123" i="86"/>
  <c r="R123" i="86"/>
  <c r="E148" i="68"/>
  <c r="C147" i="68"/>
  <c r="F147" i="68"/>
  <c r="D147" i="68"/>
  <c r="O5" i="6"/>
  <c r="O6" i="6" s="1"/>
  <c r="O7" i="6" s="1"/>
  <c r="E147" i="68"/>
  <c r="F148" i="68"/>
  <c r="D148" i="68"/>
  <c r="J9" i="27"/>
  <c r="Y5" i="86" s="1"/>
  <c r="G79" i="27"/>
  <c r="J79" i="27" s="1"/>
  <c r="Y75" i="86" s="1"/>
  <c r="G47" i="27"/>
  <c r="J47" i="27" s="1"/>
  <c r="Y43" i="86" s="1"/>
  <c r="O42" i="27"/>
  <c r="Z38" i="86" s="1"/>
  <c r="O34" i="27"/>
  <c r="Z30" i="86" s="1"/>
  <c r="O26" i="27"/>
  <c r="Z22" i="86" s="1"/>
  <c r="J33" i="27"/>
  <c r="Y29" i="86" s="1"/>
  <c r="J29" i="27"/>
  <c r="Y25" i="86" s="1"/>
  <c r="J25" i="27"/>
  <c r="Y21" i="86" s="1"/>
  <c r="J21" i="27"/>
  <c r="Y17" i="86" s="1"/>
  <c r="J17" i="27"/>
  <c r="Y13" i="86" s="1"/>
  <c r="O41" i="27"/>
  <c r="Z37" i="86" s="1"/>
  <c r="O25" i="27"/>
  <c r="Z21" i="86" s="1"/>
  <c r="O17" i="27"/>
  <c r="Z13" i="86" s="1"/>
  <c r="J15" i="27"/>
  <c r="Y11" i="86" s="1"/>
  <c r="J40" i="27"/>
  <c r="Y36" i="86" s="1"/>
  <c r="O9" i="27"/>
  <c r="Z5" i="86" s="1"/>
  <c r="BA5" i="86" s="1"/>
  <c r="O37" i="27"/>
  <c r="Z33" i="86" s="1"/>
  <c r="O29" i="27"/>
  <c r="Z25" i="86" s="1"/>
  <c r="F9" i="77"/>
  <c r="B33" i="77"/>
  <c r="D31" i="77"/>
  <c r="F29" i="77"/>
  <c r="E26" i="77"/>
  <c r="B25" i="77"/>
  <c r="D23" i="77"/>
  <c r="F21" i="77"/>
  <c r="E18" i="77"/>
  <c r="B17" i="77"/>
  <c r="D15" i="77"/>
  <c r="F13" i="77"/>
  <c r="E10" i="77"/>
  <c r="D32" i="77"/>
  <c r="F30" i="77"/>
  <c r="E27" i="77"/>
  <c r="B26" i="77"/>
  <c r="D24" i="77"/>
  <c r="F22" i="77"/>
  <c r="E19" i="77"/>
  <c r="B18" i="77"/>
  <c r="D16" i="77"/>
  <c r="F14" i="77"/>
  <c r="E11" i="77"/>
  <c r="B10" i="77"/>
  <c r="F33" i="77"/>
  <c r="E30" i="77"/>
  <c r="B29" i="77"/>
  <c r="D27" i="77"/>
  <c r="F25" i="77"/>
  <c r="E22" i="77"/>
  <c r="B21" i="77"/>
  <c r="D19" i="77"/>
  <c r="F17" i="77"/>
  <c r="E14" i="77"/>
  <c r="B13" i="77"/>
  <c r="D11" i="77"/>
  <c r="F12" i="77"/>
  <c r="B27" i="77"/>
  <c r="D25" i="77"/>
  <c r="F23" i="77"/>
  <c r="E20" i="77"/>
  <c r="B19" i="77"/>
  <c r="D17" i="77"/>
  <c r="F15" i="77"/>
  <c r="E12" i="77"/>
  <c r="B11" i="77"/>
  <c r="B9" i="77"/>
  <c r="E31" i="77"/>
  <c r="B30" i="77"/>
  <c r="D28" i="77"/>
  <c r="E23" i="77"/>
  <c r="B22" i="77"/>
  <c r="D20" i="77"/>
  <c r="F18" i="77"/>
  <c r="C17" i="77"/>
  <c r="E15" i="77"/>
  <c r="B14" i="77"/>
  <c r="D12" i="77"/>
  <c r="Z121" i="86"/>
  <c r="W119" i="86"/>
  <c r="AV119" i="86" s="1"/>
  <c r="W96" i="86"/>
  <c r="AV96" i="86" s="1"/>
  <c r="W108" i="86"/>
  <c r="AV108" i="86" s="1"/>
  <c r="W98" i="86"/>
  <c r="AV98" i="86" s="1"/>
  <c r="W113" i="86"/>
  <c r="AV113" i="86" s="1"/>
  <c r="W100" i="86"/>
  <c r="AV100" i="86" s="1"/>
  <c r="F160" i="77"/>
  <c r="W117" i="86"/>
  <c r="AV117" i="86" s="1"/>
  <c r="W106" i="86"/>
  <c r="AV106" i="86" s="1"/>
  <c r="W112" i="86"/>
  <c r="AV112" i="86" s="1"/>
  <c r="W104" i="86"/>
  <c r="AV104" i="86" s="1"/>
  <c r="W118" i="86"/>
  <c r="AV118" i="86" s="1"/>
  <c r="W107" i="86"/>
  <c r="AV107" i="86" s="1"/>
  <c r="W110" i="86"/>
  <c r="AV110" i="86" s="1"/>
  <c r="W114" i="86"/>
  <c r="AV114" i="86" s="1"/>
  <c r="W103" i="86"/>
  <c r="AV103" i="86" s="1"/>
  <c r="W121" i="86"/>
  <c r="AV121" i="86" s="1"/>
  <c r="W120" i="86"/>
  <c r="AV120" i="86" s="1"/>
  <c r="W105" i="86"/>
  <c r="AV105" i="86" s="1"/>
  <c r="W116" i="86"/>
  <c r="AV116" i="86" s="1"/>
  <c r="C148" i="68"/>
  <c r="B148" i="68"/>
  <c r="C109" i="62"/>
  <c r="D29" i="23" s="1"/>
  <c r="C110" i="62"/>
  <c r="C89" i="62"/>
  <c r="F72" i="62"/>
  <c r="H8" i="32"/>
  <c r="AC10" i="86" s="1"/>
  <c r="H9" i="32"/>
  <c r="AC11" i="86" s="1"/>
  <c r="AE90" i="86"/>
  <c r="AE69" i="86"/>
  <c r="AE19" i="86"/>
  <c r="AE59" i="86"/>
  <c r="AE35" i="86"/>
  <c r="AE62" i="86"/>
  <c r="AE25" i="86"/>
  <c r="AE7" i="86"/>
  <c r="AE5" i="86"/>
  <c r="AE71" i="86"/>
  <c r="H79" i="32"/>
  <c r="AC81" i="86" s="1"/>
  <c r="H63" i="32"/>
  <c r="AC65" i="86" s="1"/>
  <c r="H60" i="32"/>
  <c r="AC62" i="86" s="1"/>
  <c r="H55" i="32"/>
  <c r="AC57" i="86" s="1"/>
  <c r="H39" i="32"/>
  <c r="AC41" i="86" s="1"/>
  <c r="H31" i="32"/>
  <c r="AC33" i="86" s="1"/>
  <c r="H23" i="32"/>
  <c r="AC25" i="86" s="1"/>
  <c r="H15" i="32"/>
  <c r="AC17" i="86" s="1"/>
  <c r="B162" i="61"/>
  <c r="B153" i="61"/>
  <c r="W102" i="86"/>
  <c r="AV102" i="86" s="1"/>
  <c r="W97" i="86"/>
  <c r="AV97" i="86" s="1"/>
  <c r="V22" i="69"/>
  <c r="U22" i="69"/>
  <c r="M6" i="72"/>
  <c r="K17" i="72"/>
  <c r="L17" i="72" s="1"/>
  <c r="M17" i="72" s="1"/>
  <c r="M22" i="72"/>
  <c r="L23" i="72"/>
  <c r="M23" i="72" s="1"/>
  <c r="K24" i="72"/>
  <c r="L24" i="72" s="1"/>
  <c r="A15" i="71"/>
  <c r="M11" i="72"/>
  <c r="L11" i="72"/>
  <c r="M21" i="72"/>
  <c r="M20" i="72"/>
  <c r="M19" i="72"/>
  <c r="M16" i="72"/>
  <c r="M14" i="72"/>
  <c r="M15" i="72"/>
  <c r="A11" i="71"/>
  <c r="A12" i="71" s="1"/>
  <c r="A13" i="71" s="1"/>
  <c r="AE54" i="86"/>
  <c r="AE66" i="86"/>
  <c r="AE77" i="86"/>
  <c r="AE63" i="86"/>
  <c r="AE82" i="86"/>
  <c r="AE45" i="86"/>
  <c r="AE48" i="86"/>
  <c r="AE27" i="86"/>
  <c r="AE17" i="86"/>
  <c r="AE74" i="86"/>
  <c r="AE6" i="86"/>
  <c r="U45" i="69"/>
  <c r="U41" i="69"/>
  <c r="R42" i="69"/>
  <c r="S16" i="71"/>
  <c r="C16" i="73"/>
  <c r="B16" i="73"/>
  <c r="G83" i="27"/>
  <c r="J83" i="27" s="1"/>
  <c r="Y79" i="86" s="1"/>
  <c r="G51" i="27"/>
  <c r="J51" i="27" s="1"/>
  <c r="Y47" i="86" s="1"/>
  <c r="E61" i="81"/>
  <c r="F61" i="81"/>
  <c r="S35" i="69"/>
  <c r="R37" i="69"/>
  <c r="L112" i="27"/>
  <c r="O112" i="27" s="1"/>
  <c r="Z108" i="86" s="1"/>
  <c r="L104" i="27"/>
  <c r="O104" i="27" s="1"/>
  <c r="Z100" i="86" s="1"/>
  <c r="L109" i="27"/>
  <c r="O109" i="27" s="1"/>
  <c r="Z105" i="86" s="1"/>
  <c r="L108" i="27"/>
  <c r="O108" i="27" s="1"/>
  <c r="Z104" i="86" s="1"/>
  <c r="L100" i="27"/>
  <c r="O100" i="27" s="1"/>
  <c r="Z96" i="86" s="1"/>
  <c r="L105" i="27"/>
  <c r="O105" i="27" s="1"/>
  <c r="Z101" i="86" s="1"/>
  <c r="L110" i="27"/>
  <c r="O110" i="27" s="1"/>
  <c r="Z106" i="86" s="1"/>
  <c r="L102" i="27"/>
  <c r="O102" i="27" s="1"/>
  <c r="Z98" i="86" s="1"/>
  <c r="L107" i="27"/>
  <c r="O107" i="27" s="1"/>
  <c r="Z103" i="86" s="1"/>
  <c r="L103" i="27"/>
  <c r="O103" i="27" s="1"/>
  <c r="Z99" i="86" s="1"/>
  <c r="L111" i="27"/>
  <c r="O111" i="27" s="1"/>
  <c r="Z107" i="86" s="1"/>
  <c r="L113" i="27"/>
  <c r="O113" i="27" s="1"/>
  <c r="Z109" i="86" s="1"/>
  <c r="L101" i="27"/>
  <c r="O101" i="27" s="1"/>
  <c r="Z97" i="86" s="1"/>
  <c r="L114" i="27"/>
  <c r="O114" i="27" s="1"/>
  <c r="Z110" i="86" s="1"/>
  <c r="L106" i="27"/>
  <c r="O106" i="27" s="1"/>
  <c r="Z102" i="86" s="1"/>
  <c r="L47" i="27"/>
  <c r="O47" i="27" s="1"/>
  <c r="Z43" i="86" s="1"/>
  <c r="L55" i="27"/>
  <c r="O55" i="27" s="1"/>
  <c r="Z51" i="86" s="1"/>
  <c r="L63" i="27"/>
  <c r="O63" i="27" s="1"/>
  <c r="Z59" i="86" s="1"/>
  <c r="L71" i="27"/>
  <c r="O71" i="27" s="1"/>
  <c r="Z67" i="86" s="1"/>
  <c r="L79" i="27"/>
  <c r="O79" i="27" s="1"/>
  <c r="Z75" i="86" s="1"/>
  <c r="L87" i="27"/>
  <c r="O87" i="27" s="1"/>
  <c r="Z83" i="86" s="1"/>
  <c r="L95" i="27"/>
  <c r="O95" i="27" s="1"/>
  <c r="Z91" i="86" s="1"/>
  <c r="L50" i="27"/>
  <c r="O50" i="27" s="1"/>
  <c r="Z46" i="86" s="1"/>
  <c r="L58" i="27"/>
  <c r="O58" i="27" s="1"/>
  <c r="Z54" i="86" s="1"/>
  <c r="L66" i="27"/>
  <c r="O66" i="27" s="1"/>
  <c r="Z62" i="86" s="1"/>
  <c r="L74" i="27"/>
  <c r="O74" i="27" s="1"/>
  <c r="Z70" i="86" s="1"/>
  <c r="L82" i="27"/>
  <c r="O82" i="27" s="1"/>
  <c r="Z78" i="86" s="1"/>
  <c r="L90" i="27"/>
  <c r="O90" i="27" s="1"/>
  <c r="Z86" i="86" s="1"/>
  <c r="L98" i="27"/>
  <c r="O98" i="27" s="1"/>
  <c r="Z94" i="86" s="1"/>
  <c r="M10" i="27"/>
  <c r="O10" i="27" s="1"/>
  <c r="Z6" i="86" s="1"/>
  <c r="L45" i="27"/>
  <c r="O45" i="27" s="1"/>
  <c r="Z41" i="86" s="1"/>
  <c r="L53" i="27"/>
  <c r="O53" i="27" s="1"/>
  <c r="Z49" i="86" s="1"/>
  <c r="L61" i="27"/>
  <c r="O61" i="27" s="1"/>
  <c r="Z57" i="86" s="1"/>
  <c r="L69" i="27"/>
  <c r="O69" i="27" s="1"/>
  <c r="Z65" i="86" s="1"/>
  <c r="L77" i="27"/>
  <c r="O77" i="27" s="1"/>
  <c r="Z73" i="86" s="1"/>
  <c r="L85" i="27"/>
  <c r="O85" i="27" s="1"/>
  <c r="Z81" i="86" s="1"/>
  <c r="L93" i="27"/>
  <c r="O93" i="27" s="1"/>
  <c r="Z89" i="86" s="1"/>
  <c r="L48" i="27"/>
  <c r="O48" i="27" s="1"/>
  <c r="Z44" i="86" s="1"/>
  <c r="L56" i="27"/>
  <c r="O56" i="27" s="1"/>
  <c r="Z52" i="86" s="1"/>
  <c r="L64" i="27"/>
  <c r="O64" i="27" s="1"/>
  <c r="Z60" i="86" s="1"/>
  <c r="L72" i="27"/>
  <c r="O72" i="27" s="1"/>
  <c r="Z68" i="86" s="1"/>
  <c r="L80" i="27"/>
  <c r="O80" i="27" s="1"/>
  <c r="Z76" i="86" s="1"/>
  <c r="L88" i="27"/>
  <c r="O88" i="27" s="1"/>
  <c r="Z84" i="86" s="1"/>
  <c r="L96" i="27"/>
  <c r="O96" i="27" s="1"/>
  <c r="Z92" i="86" s="1"/>
  <c r="L51" i="27"/>
  <c r="L59" i="27"/>
  <c r="O59" i="27" s="1"/>
  <c r="Z55" i="86" s="1"/>
  <c r="L67" i="27"/>
  <c r="O67" i="27" s="1"/>
  <c r="Z63" i="86" s="1"/>
  <c r="L75" i="27"/>
  <c r="O75" i="27" s="1"/>
  <c r="Z71" i="86" s="1"/>
  <c r="L83" i="27"/>
  <c r="O83" i="27" s="1"/>
  <c r="Z79" i="86" s="1"/>
  <c r="L91" i="27"/>
  <c r="O91" i="27" s="1"/>
  <c r="Z87" i="86" s="1"/>
  <c r="L99" i="27"/>
  <c r="O99" i="27" s="1"/>
  <c r="Z95" i="86" s="1"/>
  <c r="L46" i="27"/>
  <c r="O46" i="27" s="1"/>
  <c r="Z42" i="86" s="1"/>
  <c r="L54" i="27"/>
  <c r="O54" i="27" s="1"/>
  <c r="Z50" i="86" s="1"/>
  <c r="L62" i="27"/>
  <c r="O62" i="27" s="1"/>
  <c r="Z58" i="86" s="1"/>
  <c r="L70" i="27"/>
  <c r="O70" i="27" s="1"/>
  <c r="Z66" i="86" s="1"/>
  <c r="L78" i="27"/>
  <c r="O78" i="27" s="1"/>
  <c r="Z74" i="86" s="1"/>
  <c r="L86" i="27"/>
  <c r="O86" i="27" s="1"/>
  <c r="Z82" i="86" s="1"/>
  <c r="L94" i="27"/>
  <c r="O94" i="27" s="1"/>
  <c r="Z90" i="86" s="1"/>
  <c r="N11" i="27"/>
  <c r="L49" i="27"/>
  <c r="O49" i="27" s="1"/>
  <c r="Z45" i="86" s="1"/>
  <c r="L57" i="27"/>
  <c r="O57" i="27" s="1"/>
  <c r="Z53" i="86" s="1"/>
  <c r="L65" i="27"/>
  <c r="O65" i="27" s="1"/>
  <c r="Z61" i="86" s="1"/>
  <c r="L73" i="27"/>
  <c r="O73" i="27" s="1"/>
  <c r="Z69" i="86" s="1"/>
  <c r="L52" i="27"/>
  <c r="O52" i="27" s="1"/>
  <c r="Z48" i="86" s="1"/>
  <c r="L60" i="27"/>
  <c r="L68" i="27"/>
  <c r="O68" i="27" s="1"/>
  <c r="Z64" i="86" s="1"/>
  <c r="L76" i="27"/>
  <c r="O76" i="27" s="1"/>
  <c r="Z72" i="86" s="1"/>
  <c r="L84" i="27"/>
  <c r="O84" i="27" s="1"/>
  <c r="Z80" i="86" s="1"/>
  <c r="L92" i="27"/>
  <c r="O92" i="27" s="1"/>
  <c r="Z88" i="86" s="1"/>
  <c r="AE70" i="86"/>
  <c r="AE51" i="86"/>
  <c r="AE15" i="86"/>
  <c r="AE79" i="86"/>
  <c r="AE43" i="86"/>
  <c r="AE93" i="86"/>
  <c r="AE64" i="86"/>
  <c r="AE83" i="86"/>
  <c r="AE41" i="86"/>
  <c r="AE75" i="86"/>
  <c r="U7" i="69"/>
  <c r="U21" i="69"/>
  <c r="R9" i="69"/>
  <c r="U9" i="69" s="1"/>
  <c r="R46" i="69"/>
  <c r="U46" i="69" s="1"/>
  <c r="V50" i="69"/>
  <c r="S50" i="69"/>
  <c r="M15" i="70"/>
  <c r="D16" i="73"/>
  <c r="G75" i="27"/>
  <c r="J75" i="27" s="1"/>
  <c r="Y71" i="86" s="1"/>
  <c r="L97" i="27"/>
  <c r="O97" i="27" s="1"/>
  <c r="Z93" i="86" s="1"/>
  <c r="V44" i="69"/>
  <c r="D88" i="62"/>
  <c r="D90" i="62" s="1"/>
  <c r="AE14" i="86"/>
  <c r="AE78" i="86"/>
  <c r="AE91" i="86"/>
  <c r="AE23" i="86"/>
  <c r="AE87" i="86"/>
  <c r="AE67" i="86"/>
  <c r="AE8" i="86"/>
  <c r="AE72" i="86"/>
  <c r="AE28" i="86"/>
  <c r="AE49" i="86"/>
  <c r="AE36" i="86"/>
  <c r="V21" i="69"/>
  <c r="U32" i="69"/>
  <c r="M19" i="70"/>
  <c r="N20" i="70"/>
  <c r="N44" i="70"/>
  <c r="A9" i="74"/>
  <c r="G71" i="27"/>
  <c r="J71" i="27" s="1"/>
  <c r="Y67" i="86" s="1"/>
  <c r="L89" i="27"/>
  <c r="O89" i="27" s="1"/>
  <c r="Z85" i="86" s="1"/>
  <c r="F71" i="62"/>
  <c r="AE86" i="86"/>
  <c r="AE52" i="86"/>
  <c r="AE31" i="86"/>
  <c r="AE95" i="86"/>
  <c r="AE20" i="86"/>
  <c r="AE16" i="86"/>
  <c r="AE80" i="86"/>
  <c r="AE60" i="86"/>
  <c r="S36" i="69"/>
  <c r="I36" i="23"/>
  <c r="G99" i="27"/>
  <c r="J99" i="27" s="1"/>
  <c r="Y95" i="86" s="1"/>
  <c r="G26" i="23"/>
  <c r="M26" i="23" s="1"/>
  <c r="L81" i="27"/>
  <c r="O81" i="27" s="1"/>
  <c r="Z77" i="86" s="1"/>
  <c r="D61" i="81"/>
  <c r="G107" i="27"/>
  <c r="J107" i="27" s="1"/>
  <c r="Y103" i="86" s="1"/>
  <c r="G114" i="27"/>
  <c r="J114" i="27" s="1"/>
  <c r="Y110" i="86" s="1"/>
  <c r="G112" i="27"/>
  <c r="J112" i="27" s="1"/>
  <c r="Y108" i="86" s="1"/>
  <c r="G106" i="27"/>
  <c r="J106" i="27" s="1"/>
  <c r="Y102" i="86" s="1"/>
  <c r="G108" i="27"/>
  <c r="J108" i="27" s="1"/>
  <c r="Y104" i="86" s="1"/>
  <c r="G104" i="27"/>
  <c r="J104" i="27" s="1"/>
  <c r="Y100" i="86" s="1"/>
  <c r="G110" i="27"/>
  <c r="J110" i="27" s="1"/>
  <c r="Y106" i="86" s="1"/>
  <c r="G100" i="27"/>
  <c r="J100" i="27" s="1"/>
  <c r="Y96" i="86" s="1"/>
  <c r="G103" i="27"/>
  <c r="J103" i="27" s="1"/>
  <c r="Y99" i="86" s="1"/>
  <c r="G113" i="27"/>
  <c r="J113" i="27" s="1"/>
  <c r="Y109" i="86" s="1"/>
  <c r="G109" i="27"/>
  <c r="J109" i="27" s="1"/>
  <c r="Y105" i="86" s="1"/>
  <c r="G111" i="27"/>
  <c r="J111" i="27" s="1"/>
  <c r="Y107" i="86" s="1"/>
  <c r="G102" i="27"/>
  <c r="J102" i="27" s="1"/>
  <c r="Y98" i="86" s="1"/>
  <c r="G101" i="27"/>
  <c r="J101" i="27" s="1"/>
  <c r="Y97" i="86" s="1"/>
  <c r="G105" i="27"/>
  <c r="J105" i="27" s="1"/>
  <c r="Y101" i="86" s="1"/>
  <c r="G48" i="27"/>
  <c r="J48" i="27" s="1"/>
  <c r="Y44" i="86" s="1"/>
  <c r="G52" i="27"/>
  <c r="J52" i="27" s="1"/>
  <c r="Y48" i="86" s="1"/>
  <c r="G56" i="27"/>
  <c r="J56" i="27" s="1"/>
  <c r="Y52" i="86" s="1"/>
  <c r="G60" i="27"/>
  <c r="J60" i="27" s="1"/>
  <c r="Y56" i="86" s="1"/>
  <c r="G64" i="27"/>
  <c r="J64" i="27" s="1"/>
  <c r="Y60" i="86" s="1"/>
  <c r="G68" i="27"/>
  <c r="J68" i="27" s="1"/>
  <c r="Y64" i="86" s="1"/>
  <c r="G72" i="27"/>
  <c r="J72" i="27" s="1"/>
  <c r="Y68" i="86" s="1"/>
  <c r="G76" i="27"/>
  <c r="J76" i="27" s="1"/>
  <c r="Y72" i="86" s="1"/>
  <c r="G80" i="27"/>
  <c r="J80" i="27" s="1"/>
  <c r="Y76" i="86" s="1"/>
  <c r="G84" i="27"/>
  <c r="J84" i="27" s="1"/>
  <c r="Y80" i="86" s="1"/>
  <c r="G88" i="27"/>
  <c r="J88" i="27" s="1"/>
  <c r="Y84" i="86" s="1"/>
  <c r="G92" i="27"/>
  <c r="J92" i="27" s="1"/>
  <c r="Y88" i="86" s="1"/>
  <c r="G96" i="27"/>
  <c r="J96" i="27" s="1"/>
  <c r="Y92" i="86" s="1"/>
  <c r="I11" i="27"/>
  <c r="J11" i="27" s="1"/>
  <c r="Y7" i="86" s="1"/>
  <c r="G45" i="27"/>
  <c r="J45" i="27" s="1"/>
  <c r="Y41" i="86" s="1"/>
  <c r="G49" i="27"/>
  <c r="J49" i="27" s="1"/>
  <c r="Y45" i="86" s="1"/>
  <c r="G53" i="27"/>
  <c r="J53" i="27" s="1"/>
  <c r="Y49" i="86" s="1"/>
  <c r="G57" i="27"/>
  <c r="J57" i="27" s="1"/>
  <c r="Y53" i="86" s="1"/>
  <c r="G61" i="27"/>
  <c r="J61" i="27" s="1"/>
  <c r="Y57" i="86" s="1"/>
  <c r="G65" i="27"/>
  <c r="J65" i="27" s="1"/>
  <c r="Y61" i="86" s="1"/>
  <c r="G69" i="27"/>
  <c r="J69" i="27" s="1"/>
  <c r="Y65" i="86" s="1"/>
  <c r="G73" i="27"/>
  <c r="J73" i="27" s="1"/>
  <c r="Y69" i="86" s="1"/>
  <c r="G77" i="27"/>
  <c r="J77" i="27" s="1"/>
  <c r="Y73" i="86" s="1"/>
  <c r="G81" i="27"/>
  <c r="J81" i="27" s="1"/>
  <c r="Y77" i="86" s="1"/>
  <c r="G85" i="27"/>
  <c r="J85" i="27" s="1"/>
  <c r="Y81" i="86" s="1"/>
  <c r="G89" i="27"/>
  <c r="J89" i="27" s="1"/>
  <c r="Y85" i="86" s="1"/>
  <c r="G93" i="27"/>
  <c r="J93" i="27" s="1"/>
  <c r="Y89" i="86" s="1"/>
  <c r="G97" i="27"/>
  <c r="J97" i="27" s="1"/>
  <c r="Y93" i="86" s="1"/>
  <c r="G46" i="27"/>
  <c r="J46" i="27" s="1"/>
  <c r="Y42" i="86" s="1"/>
  <c r="G50" i="27"/>
  <c r="J50" i="27" s="1"/>
  <c r="Y46" i="86" s="1"/>
  <c r="G54" i="27"/>
  <c r="J54" i="27" s="1"/>
  <c r="Y50" i="86" s="1"/>
  <c r="G58" i="27"/>
  <c r="J58" i="27" s="1"/>
  <c r="Y54" i="86" s="1"/>
  <c r="G62" i="27"/>
  <c r="J62" i="27" s="1"/>
  <c r="Y58" i="86" s="1"/>
  <c r="G66" i="27"/>
  <c r="J66" i="27" s="1"/>
  <c r="Y62" i="86" s="1"/>
  <c r="G70" i="27"/>
  <c r="J70" i="27" s="1"/>
  <c r="Y66" i="86" s="1"/>
  <c r="G74" i="27"/>
  <c r="J74" i="27" s="1"/>
  <c r="Y70" i="86" s="1"/>
  <c r="G78" i="27"/>
  <c r="J78" i="27" s="1"/>
  <c r="Y74" i="86" s="1"/>
  <c r="G82" i="27"/>
  <c r="J82" i="27" s="1"/>
  <c r="Y78" i="86" s="1"/>
  <c r="G86" i="27"/>
  <c r="J86" i="27" s="1"/>
  <c r="Y82" i="86" s="1"/>
  <c r="G90" i="27"/>
  <c r="J90" i="27" s="1"/>
  <c r="Y86" i="86" s="1"/>
  <c r="G94" i="27"/>
  <c r="J94" i="27" s="1"/>
  <c r="Y90" i="86" s="1"/>
  <c r="G98" i="27"/>
  <c r="J98" i="27" s="1"/>
  <c r="Y94" i="86" s="1"/>
  <c r="AE57" i="86"/>
  <c r="E89" i="62"/>
  <c r="E90" i="62" s="1"/>
  <c r="H22" i="28"/>
  <c r="AA24" i="86" s="1"/>
  <c r="AE30" i="86"/>
  <c r="AE94" i="86"/>
  <c r="AE92" i="86"/>
  <c r="AE39" i="86"/>
  <c r="AE10" i="86"/>
  <c r="AE44" i="86"/>
  <c r="AE24" i="86"/>
  <c r="AE88" i="86"/>
  <c r="AE84" i="86"/>
  <c r="AE73" i="86"/>
  <c r="AE13" i="86"/>
  <c r="U11" i="69"/>
  <c r="U26" i="69"/>
  <c r="S33" i="69"/>
  <c r="U36" i="69"/>
  <c r="R16" i="69"/>
  <c r="R34" i="69"/>
  <c r="V34" i="69" s="1"/>
  <c r="N43" i="70"/>
  <c r="M35" i="70"/>
  <c r="N35" i="70" s="1"/>
  <c r="P119" i="70"/>
  <c r="Q118" i="70" s="1"/>
  <c r="A10" i="70"/>
  <c r="A11" i="70" s="1"/>
  <c r="A13" i="70" s="1"/>
  <c r="A34" i="72"/>
  <c r="G95" i="27"/>
  <c r="J95" i="27" s="1"/>
  <c r="Y91" i="86" s="1"/>
  <c r="G63" i="27"/>
  <c r="J63" i="27" s="1"/>
  <c r="Y59" i="86" s="1"/>
  <c r="B104" i="27"/>
  <c r="E104" i="27" s="1"/>
  <c r="X100" i="86" s="1"/>
  <c r="B108" i="27"/>
  <c r="E108" i="27" s="1"/>
  <c r="X104" i="86" s="1"/>
  <c r="B114" i="27"/>
  <c r="E114" i="27" s="1"/>
  <c r="X110" i="86" s="1"/>
  <c r="B109" i="27"/>
  <c r="E109" i="27" s="1"/>
  <c r="X105" i="86" s="1"/>
  <c r="B110" i="27"/>
  <c r="E110" i="27" s="1"/>
  <c r="X106" i="86" s="1"/>
  <c r="B101" i="27"/>
  <c r="E101" i="27" s="1"/>
  <c r="X97" i="86" s="1"/>
  <c r="B111" i="27"/>
  <c r="E111" i="27" s="1"/>
  <c r="X107" i="86" s="1"/>
  <c r="B105" i="27"/>
  <c r="E105" i="27" s="1"/>
  <c r="X101" i="86" s="1"/>
  <c r="B107" i="27"/>
  <c r="E107" i="27" s="1"/>
  <c r="X103" i="86" s="1"/>
  <c r="B103" i="27"/>
  <c r="E103" i="27" s="1"/>
  <c r="X99" i="86" s="1"/>
  <c r="B112" i="27"/>
  <c r="E112" i="27" s="1"/>
  <c r="X108" i="86" s="1"/>
  <c r="B113" i="27"/>
  <c r="E113" i="27" s="1"/>
  <c r="X109" i="86" s="1"/>
  <c r="B102" i="27"/>
  <c r="E102" i="27" s="1"/>
  <c r="X98" i="86" s="1"/>
  <c r="B100" i="27"/>
  <c r="E100" i="27" s="1"/>
  <c r="X96" i="86" s="1"/>
  <c r="B106" i="27"/>
  <c r="E106" i="27" s="1"/>
  <c r="X102" i="86" s="1"/>
  <c r="B46" i="27"/>
  <c r="B50" i="27"/>
  <c r="E50" i="27" s="1"/>
  <c r="X46" i="86" s="1"/>
  <c r="B54" i="27"/>
  <c r="E54" i="27" s="1"/>
  <c r="X50" i="86" s="1"/>
  <c r="B58" i="27"/>
  <c r="E58" i="27" s="1"/>
  <c r="X54" i="86" s="1"/>
  <c r="B62" i="27"/>
  <c r="E62" i="27" s="1"/>
  <c r="X58" i="86" s="1"/>
  <c r="B66" i="27"/>
  <c r="E66" i="27" s="1"/>
  <c r="X62" i="86" s="1"/>
  <c r="B70" i="27"/>
  <c r="E70" i="27" s="1"/>
  <c r="X66" i="86" s="1"/>
  <c r="B74" i="27"/>
  <c r="E74" i="27" s="1"/>
  <c r="X70" i="86" s="1"/>
  <c r="B78" i="27"/>
  <c r="E78" i="27" s="1"/>
  <c r="X74" i="86" s="1"/>
  <c r="B82" i="27"/>
  <c r="E82" i="27" s="1"/>
  <c r="X78" i="86" s="1"/>
  <c r="B86" i="27"/>
  <c r="E86" i="27" s="1"/>
  <c r="X82" i="86" s="1"/>
  <c r="B90" i="27"/>
  <c r="E90" i="27" s="1"/>
  <c r="X86" i="86" s="1"/>
  <c r="B94" i="27"/>
  <c r="E94" i="27" s="1"/>
  <c r="X90" i="86" s="1"/>
  <c r="B98" i="27"/>
  <c r="E98" i="27" s="1"/>
  <c r="X94" i="86" s="1"/>
  <c r="B47" i="27"/>
  <c r="E47" i="27" s="1"/>
  <c r="X43" i="86" s="1"/>
  <c r="B51" i="27"/>
  <c r="E51" i="27" s="1"/>
  <c r="X47" i="86" s="1"/>
  <c r="B55" i="27"/>
  <c r="E55" i="27" s="1"/>
  <c r="X51" i="86" s="1"/>
  <c r="B59" i="27"/>
  <c r="E59" i="27" s="1"/>
  <c r="X55" i="86" s="1"/>
  <c r="B63" i="27"/>
  <c r="E63" i="27" s="1"/>
  <c r="X59" i="86" s="1"/>
  <c r="B67" i="27"/>
  <c r="E67" i="27" s="1"/>
  <c r="X63" i="86" s="1"/>
  <c r="B71" i="27"/>
  <c r="E71" i="27" s="1"/>
  <c r="X67" i="86" s="1"/>
  <c r="B75" i="27"/>
  <c r="E75" i="27" s="1"/>
  <c r="X71" i="86" s="1"/>
  <c r="B79" i="27"/>
  <c r="E79" i="27" s="1"/>
  <c r="X75" i="86" s="1"/>
  <c r="B83" i="27"/>
  <c r="E83" i="27" s="1"/>
  <c r="X79" i="86" s="1"/>
  <c r="B87" i="27"/>
  <c r="E87" i="27" s="1"/>
  <c r="X83" i="86" s="1"/>
  <c r="B91" i="27"/>
  <c r="E91" i="27" s="1"/>
  <c r="X87" i="86" s="1"/>
  <c r="B95" i="27"/>
  <c r="E95" i="27" s="1"/>
  <c r="X91" i="86" s="1"/>
  <c r="B99" i="27"/>
  <c r="E99" i="27" s="1"/>
  <c r="X95" i="86" s="1"/>
  <c r="C10" i="27"/>
  <c r="E10" i="27" s="1"/>
  <c r="X6" i="86" s="1"/>
  <c r="B48" i="27"/>
  <c r="E48" i="27" s="1"/>
  <c r="X44" i="86" s="1"/>
  <c r="B52" i="27"/>
  <c r="E52" i="27" s="1"/>
  <c r="X48" i="86" s="1"/>
  <c r="B56" i="27"/>
  <c r="E56" i="27" s="1"/>
  <c r="X52" i="86" s="1"/>
  <c r="B60" i="27"/>
  <c r="E60" i="27" s="1"/>
  <c r="X56" i="86" s="1"/>
  <c r="B64" i="27"/>
  <c r="E64" i="27" s="1"/>
  <c r="X60" i="86" s="1"/>
  <c r="B68" i="27"/>
  <c r="E68" i="27" s="1"/>
  <c r="X64" i="86" s="1"/>
  <c r="B72" i="27"/>
  <c r="E72" i="27" s="1"/>
  <c r="X68" i="86" s="1"/>
  <c r="B76" i="27"/>
  <c r="E76" i="27" s="1"/>
  <c r="X72" i="86" s="1"/>
  <c r="B80" i="27"/>
  <c r="E80" i="27" s="1"/>
  <c r="X76" i="86" s="1"/>
  <c r="B84" i="27"/>
  <c r="E84" i="27" s="1"/>
  <c r="X80" i="86" s="1"/>
  <c r="B88" i="27"/>
  <c r="E88" i="27" s="1"/>
  <c r="X84" i="86" s="1"/>
  <c r="B92" i="27"/>
  <c r="E92" i="27" s="1"/>
  <c r="X88" i="86" s="1"/>
  <c r="B96" i="27"/>
  <c r="E96" i="27" s="1"/>
  <c r="X92" i="86" s="1"/>
  <c r="B45" i="27"/>
  <c r="E45" i="27" s="1"/>
  <c r="X41" i="86" s="1"/>
  <c r="B49" i="27"/>
  <c r="E49" i="27" s="1"/>
  <c r="X45" i="86" s="1"/>
  <c r="B53" i="27"/>
  <c r="E53" i="27" s="1"/>
  <c r="X49" i="86" s="1"/>
  <c r="B57" i="27"/>
  <c r="E57" i="27" s="1"/>
  <c r="X53" i="86" s="1"/>
  <c r="B61" i="27"/>
  <c r="E61" i="27" s="1"/>
  <c r="X57" i="86" s="1"/>
  <c r="B65" i="27"/>
  <c r="E65" i="27" s="1"/>
  <c r="X61" i="86" s="1"/>
  <c r="B69" i="27"/>
  <c r="B73" i="27"/>
  <c r="E73" i="27" s="1"/>
  <c r="X69" i="86" s="1"/>
  <c r="B77" i="27"/>
  <c r="E77" i="27" s="1"/>
  <c r="X73" i="86" s="1"/>
  <c r="B81" i="27"/>
  <c r="E81" i="27" s="1"/>
  <c r="X77" i="86" s="1"/>
  <c r="B85" i="27"/>
  <c r="E85" i="27" s="1"/>
  <c r="X81" i="86" s="1"/>
  <c r="B89" i="27"/>
  <c r="E89" i="27" s="1"/>
  <c r="X85" i="86" s="1"/>
  <c r="B93" i="27"/>
  <c r="E93" i="27" s="1"/>
  <c r="X89" i="86" s="1"/>
  <c r="B97" i="27"/>
  <c r="E97" i="27" s="1"/>
  <c r="X93" i="86" s="1"/>
  <c r="AE22" i="86"/>
  <c r="E71" i="62"/>
  <c r="C88" i="62"/>
  <c r="AE38" i="86"/>
  <c r="AE18" i="86"/>
  <c r="AE47" i="86"/>
  <c r="AE34" i="86"/>
  <c r="AE76" i="86"/>
  <c r="AE32" i="86"/>
  <c r="AE50" i="86"/>
  <c r="AE61" i="86"/>
  <c r="AE81" i="86"/>
  <c r="AE53" i="86"/>
  <c r="AE29" i="86"/>
  <c r="S20" i="69"/>
  <c r="U33" i="69"/>
  <c r="V36" i="69"/>
  <c r="S48" i="69"/>
  <c r="N39" i="70"/>
  <c r="N27" i="70"/>
  <c r="M26" i="70"/>
  <c r="N26" i="70" s="1"/>
  <c r="M38" i="70"/>
  <c r="G91" i="27"/>
  <c r="J91" i="27" s="1"/>
  <c r="Y87" i="86" s="1"/>
  <c r="G59" i="27"/>
  <c r="J59" i="27" s="1"/>
  <c r="Y55" i="86" s="1"/>
  <c r="AE68" i="86"/>
  <c r="H10" i="27"/>
  <c r="J10" i="27" s="1"/>
  <c r="Y6" i="86" s="1"/>
  <c r="AE46" i="86"/>
  <c r="AE42" i="86"/>
  <c r="AE37" i="86"/>
  <c r="AE55" i="86"/>
  <c r="AE58" i="86"/>
  <c r="AE21" i="86"/>
  <c r="AE40" i="86"/>
  <c r="AE11" i="86"/>
  <c r="AE9" i="86"/>
  <c r="AE89" i="86"/>
  <c r="AE85" i="86"/>
  <c r="S27" i="69"/>
  <c r="S41" i="69"/>
  <c r="U48" i="69"/>
  <c r="R53" i="69"/>
  <c r="L18" i="72"/>
  <c r="M18" i="72" s="1"/>
  <c r="N41" i="70"/>
  <c r="C12" i="73"/>
  <c r="B12" i="73"/>
  <c r="D12" i="73"/>
  <c r="A8" i="69"/>
  <c r="A10" i="69" s="1"/>
  <c r="G87" i="27"/>
  <c r="J87" i="27" s="1"/>
  <c r="Y83" i="86" s="1"/>
  <c r="G55" i="27"/>
  <c r="J55" i="27" s="1"/>
  <c r="Y51" i="86" s="1"/>
  <c r="C45" i="73"/>
  <c r="E122" i="32"/>
  <c r="E38" i="62" s="1"/>
  <c r="H88" i="32"/>
  <c r="AC90" i="86" s="1"/>
  <c r="H72" i="32"/>
  <c r="AC74" i="86" s="1"/>
  <c r="H67" i="32"/>
  <c r="AC69" i="86" s="1"/>
  <c r="H56" i="32"/>
  <c r="AC58" i="86" s="1"/>
  <c r="H43" i="32"/>
  <c r="AC45" i="86" s="1"/>
  <c r="H32" i="32"/>
  <c r="AC34" i="86" s="1"/>
  <c r="H24" i="32"/>
  <c r="AC26" i="86" s="1"/>
  <c r="H16" i="32"/>
  <c r="AC18" i="86" s="1"/>
  <c r="O38" i="27"/>
  <c r="Z34" i="86" s="1"/>
  <c r="O30" i="27"/>
  <c r="Z26" i="86" s="1"/>
  <c r="O22" i="27"/>
  <c r="Z18" i="86" s="1"/>
  <c r="O14" i="27"/>
  <c r="Z10" i="86" s="1"/>
  <c r="F126" i="29"/>
  <c r="F54" i="62" s="1"/>
  <c r="B45" i="73"/>
  <c r="F67" i="81"/>
  <c r="B46" i="73"/>
  <c r="D31" i="23"/>
  <c r="E126" i="29"/>
  <c r="E54" i="62" s="1"/>
  <c r="B47" i="73"/>
  <c r="D47" i="73"/>
  <c r="J41" i="27"/>
  <c r="Y37" i="86" s="1"/>
  <c r="J37" i="27"/>
  <c r="Y33" i="86" s="1"/>
  <c r="H81" i="32"/>
  <c r="AC83" i="86" s="1"/>
  <c r="H25" i="32"/>
  <c r="AC27" i="86" s="1"/>
  <c r="O21" i="27"/>
  <c r="Z17" i="86" s="1"/>
  <c r="O13" i="27"/>
  <c r="Z9" i="86" s="1"/>
  <c r="D126" i="29"/>
  <c r="D54" i="62" s="1"/>
  <c r="C47" i="73"/>
  <c r="D46" i="73"/>
  <c r="C46" i="73"/>
  <c r="A126" i="6"/>
  <c r="AE98" i="86"/>
  <c r="AE102" i="86"/>
  <c r="AE106" i="86"/>
  <c r="AE110" i="86"/>
  <c r="AE114" i="86"/>
  <c r="AE118" i="86"/>
  <c r="B134" i="68"/>
  <c r="AE107" i="86"/>
  <c r="AE119" i="86"/>
  <c r="AE97" i="86"/>
  <c r="AE105" i="86"/>
  <c r="AE113" i="86"/>
  <c r="AE121" i="86"/>
  <c r="AE96" i="86"/>
  <c r="AE104" i="86"/>
  <c r="AE120" i="86"/>
  <c r="AE100" i="86"/>
  <c r="AE108" i="86"/>
  <c r="AE116" i="86"/>
  <c r="AE112" i="86"/>
  <c r="AE117" i="86"/>
  <c r="D122" i="34"/>
  <c r="D40" i="64" s="1"/>
  <c r="H76" i="32"/>
  <c r="AC78" i="86" s="1"/>
  <c r="H68" i="32"/>
  <c r="AC70" i="86" s="1"/>
  <c r="H44" i="32"/>
  <c r="AC46" i="86" s="1"/>
  <c r="H28" i="32"/>
  <c r="AC30" i="86" s="1"/>
  <c r="H12" i="32"/>
  <c r="AC14" i="86" s="1"/>
  <c r="H71" i="32"/>
  <c r="AC73" i="86" s="1"/>
  <c r="H64" i="32"/>
  <c r="AC66" i="86" s="1"/>
  <c r="H52" i="32"/>
  <c r="AC54" i="86" s="1"/>
  <c r="H48" i="32"/>
  <c r="AC50" i="86" s="1"/>
  <c r="H45" i="32"/>
  <c r="AC47" i="86" s="1"/>
  <c r="H40" i="32"/>
  <c r="AC42" i="86" s="1"/>
  <c r="H33" i="32"/>
  <c r="AC35" i="86" s="1"/>
  <c r="H22" i="32"/>
  <c r="AC24" i="86" s="1"/>
  <c r="H17" i="32"/>
  <c r="AC19" i="86" s="1"/>
  <c r="E12" i="27"/>
  <c r="X8" i="86" s="1"/>
  <c r="E122" i="28"/>
  <c r="E24" i="62" s="1"/>
  <c r="H29" i="28"/>
  <c r="AA31" i="86" s="1"/>
  <c r="AE33" i="86"/>
  <c r="AE65" i="86"/>
  <c r="AE26" i="86"/>
  <c r="AE12" i="86"/>
  <c r="R30" i="73"/>
  <c r="J44" i="27"/>
  <c r="Y40" i="86" s="1"/>
  <c r="J36" i="27"/>
  <c r="Y32" i="86" s="1"/>
  <c r="J32" i="27"/>
  <c r="Y28" i="86" s="1"/>
  <c r="J28" i="27"/>
  <c r="Y24" i="86" s="1"/>
  <c r="J24" i="27"/>
  <c r="Y20" i="86" s="1"/>
  <c r="J16" i="27"/>
  <c r="Y12" i="86" s="1"/>
  <c r="G122" i="34"/>
  <c r="G40" i="64" s="1"/>
  <c r="C122" i="34"/>
  <c r="D128" i="27"/>
  <c r="D122" i="32"/>
  <c r="D38" i="62" s="1"/>
  <c r="O51" i="27"/>
  <c r="Z47" i="86" s="1"/>
  <c r="O43" i="27"/>
  <c r="Z39" i="86" s="1"/>
  <c r="O35" i="27"/>
  <c r="Z31" i="86" s="1"/>
  <c r="O27" i="27"/>
  <c r="Z23" i="86" s="1"/>
  <c r="O19" i="27"/>
  <c r="Z15" i="86" s="1"/>
  <c r="O11" i="27"/>
  <c r="Z7" i="86" s="1"/>
  <c r="F122" i="28"/>
  <c r="F24" i="62" s="1"/>
  <c r="E122" i="34"/>
  <c r="E40" i="64" s="1"/>
  <c r="F26" i="23"/>
  <c r="F122" i="32"/>
  <c r="F38" i="62" s="1"/>
  <c r="H89" i="32"/>
  <c r="AC91" i="86" s="1"/>
  <c r="H87" i="32"/>
  <c r="AC89" i="86" s="1"/>
  <c r="H73" i="32"/>
  <c r="AC75" i="86" s="1"/>
  <c r="H65" i="32"/>
  <c r="AC67" i="86" s="1"/>
  <c r="H57" i="32"/>
  <c r="AC59" i="86" s="1"/>
  <c r="H49" i="32"/>
  <c r="AC51" i="86" s="1"/>
  <c r="H47" i="32"/>
  <c r="AC49" i="86" s="1"/>
  <c r="H41" i="32"/>
  <c r="AC43" i="86" s="1"/>
  <c r="A127" i="6"/>
  <c r="D122" i="28"/>
  <c r="D24" i="62" s="1"/>
  <c r="E41" i="27"/>
  <c r="X37" i="86" s="1"/>
  <c r="E37" i="27"/>
  <c r="X33" i="86" s="1"/>
  <c r="E35" i="27"/>
  <c r="X31" i="86" s="1"/>
  <c r="E33" i="27"/>
  <c r="X29" i="86" s="1"/>
  <c r="E31" i="27"/>
  <c r="X27" i="86" s="1"/>
  <c r="E29" i="27"/>
  <c r="X25" i="86" s="1"/>
  <c r="E25" i="27"/>
  <c r="X21" i="86" s="1"/>
  <c r="J14" i="27"/>
  <c r="Y10" i="86" s="1"/>
  <c r="J12" i="27"/>
  <c r="Y8" i="86" s="1"/>
  <c r="F122" i="34"/>
  <c r="F40" i="64" s="1"/>
  <c r="C128" i="27"/>
  <c r="B122" i="32"/>
  <c r="C122" i="32"/>
  <c r="O24" i="27"/>
  <c r="Z20" i="86" s="1"/>
  <c r="O16" i="27"/>
  <c r="Z12" i="86" s="1"/>
  <c r="B89" i="62"/>
  <c r="O8" i="6"/>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O73" i="6" s="1"/>
  <c r="O74" i="6" s="1"/>
  <c r="O75" i="6" s="1"/>
  <c r="O76" i="6" s="1"/>
  <c r="O77" i="6" s="1"/>
  <c r="O78" i="6" s="1"/>
  <c r="O79" i="6" s="1"/>
  <c r="O80" i="6" s="1"/>
  <c r="O81" i="6" s="1"/>
  <c r="O82" i="6" s="1"/>
  <c r="O83" i="6" s="1"/>
  <c r="O84" i="6" s="1"/>
  <c r="O85" i="6" s="1"/>
  <c r="O86" i="6" s="1"/>
  <c r="O87" i="6" s="1"/>
  <c r="O88" i="6" s="1"/>
  <c r="O89" i="6" s="1"/>
  <c r="O90" i="6" s="1"/>
  <c r="O91" i="6" s="1"/>
  <c r="O92" i="6" s="1"/>
  <c r="O93" i="6" s="1"/>
  <c r="O94" i="6" s="1"/>
  <c r="O95" i="6" s="1"/>
  <c r="O96" i="6" s="1"/>
  <c r="O97" i="6" s="1"/>
  <c r="O98" i="6" s="1"/>
  <c r="O99" i="6" s="1"/>
  <c r="O100" i="6" s="1"/>
  <c r="O101" i="6" s="1"/>
  <c r="O102" i="6" s="1"/>
  <c r="O103" i="6" s="1"/>
  <c r="O104" i="6" s="1"/>
  <c r="O105" i="6" s="1"/>
  <c r="O106" i="6" s="1"/>
  <c r="O107" i="6" s="1"/>
  <c r="O108" i="6" s="1"/>
  <c r="O109" i="6" s="1"/>
  <c r="O110" i="6" s="1"/>
  <c r="O111" i="6" s="1"/>
  <c r="O112" i="6" s="1"/>
  <c r="O113" i="6" s="1"/>
  <c r="O114" i="6" s="1"/>
  <c r="O115" i="6" s="1"/>
  <c r="O116" i="6" s="1"/>
  <c r="O117" i="6" s="1"/>
  <c r="O118" i="6" s="1"/>
  <c r="O119" i="6" s="1"/>
  <c r="O120" i="6" s="1"/>
  <c r="B146" i="6"/>
  <c r="B118" i="62" s="1"/>
  <c r="C146" i="6"/>
  <c r="C118" i="62" s="1"/>
  <c r="H92" i="32"/>
  <c r="AC94" i="86" s="1"/>
  <c r="H84" i="32"/>
  <c r="AC86" i="86" s="1"/>
  <c r="H61" i="32"/>
  <c r="AC63" i="86" s="1"/>
  <c r="H36" i="32"/>
  <c r="AC38" i="86" s="1"/>
  <c r="H20" i="32"/>
  <c r="AC22" i="86" s="1"/>
  <c r="H7" i="32"/>
  <c r="AC9" i="86" s="1"/>
  <c r="H4" i="32"/>
  <c r="AC6" i="86" s="1"/>
  <c r="H74" i="32"/>
  <c r="AC76" i="86" s="1"/>
  <c r="H91" i="32"/>
  <c r="AC93" i="86" s="1"/>
  <c r="H83" i="32"/>
  <c r="AC85" i="86" s="1"/>
  <c r="H75" i="32"/>
  <c r="AC77" i="86" s="1"/>
  <c r="H59" i="32"/>
  <c r="AC61" i="86" s="1"/>
  <c r="H51" i="32"/>
  <c r="AC53" i="86" s="1"/>
  <c r="H35" i="32"/>
  <c r="AC37" i="86" s="1"/>
  <c r="H27" i="32"/>
  <c r="AC29" i="86" s="1"/>
  <c r="H19" i="32"/>
  <c r="AC21" i="86" s="1"/>
  <c r="H11" i="32"/>
  <c r="AC13" i="86" s="1"/>
  <c r="C122" i="28"/>
  <c r="H75" i="28"/>
  <c r="AA77" i="86" s="1"/>
  <c r="H71" i="28"/>
  <c r="AA73" i="86" s="1"/>
  <c r="B122" i="28"/>
  <c r="E9" i="27"/>
  <c r="X5" i="86" s="1"/>
  <c r="J42" i="27"/>
  <c r="Y38" i="86" s="1"/>
  <c r="J38" i="27"/>
  <c r="Y34" i="86" s="1"/>
  <c r="J34" i="27"/>
  <c r="Y30" i="86" s="1"/>
  <c r="J26" i="27"/>
  <c r="Y22" i="86" s="1"/>
  <c r="J22" i="27"/>
  <c r="Y18" i="86" s="1"/>
  <c r="J18" i="27"/>
  <c r="Y14" i="86" s="1"/>
  <c r="J13" i="27"/>
  <c r="Y9" i="86" s="1"/>
  <c r="O39" i="27"/>
  <c r="Z35" i="86" s="1"/>
  <c r="O31" i="27"/>
  <c r="Z27" i="86" s="1"/>
  <c r="O23" i="27"/>
  <c r="Z19" i="86" s="1"/>
  <c r="O15" i="27"/>
  <c r="Z11" i="86" s="1"/>
  <c r="B122" i="34"/>
  <c r="X2" i="6"/>
  <c r="B147" i="68"/>
  <c r="J20" i="27"/>
  <c r="Y16" i="86" s="1"/>
  <c r="O40" i="27"/>
  <c r="Z36" i="86" s="1"/>
  <c r="O32" i="27"/>
  <c r="Z28" i="86" s="1"/>
  <c r="E11" i="27"/>
  <c r="X7" i="86" s="1"/>
  <c r="E44" i="27"/>
  <c r="X40" i="86" s="1"/>
  <c r="E40" i="27"/>
  <c r="X36" i="86" s="1"/>
  <c r="E28" i="27"/>
  <c r="X24" i="86" s="1"/>
  <c r="E24" i="27"/>
  <c r="X20" i="86" s="1"/>
  <c r="E20" i="27"/>
  <c r="X16" i="86" s="1"/>
  <c r="E16" i="27"/>
  <c r="X12" i="86" s="1"/>
  <c r="J30" i="27"/>
  <c r="Y26" i="86" s="1"/>
  <c r="E15" i="27"/>
  <c r="X11" i="86" s="1"/>
  <c r="O60" i="27"/>
  <c r="Z56" i="86" s="1"/>
  <c r="O44" i="27"/>
  <c r="Z40" i="86" s="1"/>
  <c r="O36" i="27"/>
  <c r="Z32" i="86" s="1"/>
  <c r="O28" i="27"/>
  <c r="Z24" i="86" s="1"/>
  <c r="O20" i="27"/>
  <c r="Z16" i="86" s="1"/>
  <c r="O12" i="27"/>
  <c r="Z8" i="86" s="1"/>
  <c r="E14" i="27"/>
  <c r="X10" i="86" s="1"/>
  <c r="E46" i="27"/>
  <c r="X42" i="86" s="1"/>
  <c r="E42" i="27"/>
  <c r="X38" i="86" s="1"/>
  <c r="E26" i="27"/>
  <c r="X22" i="86" s="1"/>
  <c r="E22" i="27"/>
  <c r="X18" i="86" s="1"/>
  <c r="E18" i="27"/>
  <c r="X14" i="86" s="1"/>
  <c r="H3" i="32"/>
  <c r="H90" i="32"/>
  <c r="AC92" i="86" s="1"/>
  <c r="H82" i="32"/>
  <c r="AC84" i="86" s="1"/>
  <c r="H66" i="32"/>
  <c r="AC68" i="86" s="1"/>
  <c r="H58" i="32"/>
  <c r="AC60" i="86" s="1"/>
  <c r="H50" i="32"/>
  <c r="AC52" i="86" s="1"/>
  <c r="H42" i="32"/>
  <c r="AC44" i="86" s="1"/>
  <c r="H34" i="32"/>
  <c r="AC36" i="86" s="1"/>
  <c r="H26" i="32"/>
  <c r="AC28" i="86" s="1"/>
  <c r="H18" i="32"/>
  <c r="AC20" i="86" s="1"/>
  <c r="H10" i="32"/>
  <c r="AC12" i="86" s="1"/>
  <c r="H85" i="32"/>
  <c r="AC87" i="86" s="1"/>
  <c r="H77" i="32"/>
  <c r="AC79" i="86" s="1"/>
  <c r="H53" i="32"/>
  <c r="AC55" i="86" s="1"/>
  <c r="H37" i="32"/>
  <c r="AC39" i="86" s="1"/>
  <c r="H93" i="32"/>
  <c r="AC95" i="86" s="1"/>
  <c r="H69" i="32"/>
  <c r="AC71" i="86" s="1"/>
  <c r="H29" i="32"/>
  <c r="AC31" i="86" s="1"/>
  <c r="H21" i="32"/>
  <c r="AC23" i="86" s="1"/>
  <c r="H13" i="32"/>
  <c r="AC15" i="86" s="1"/>
  <c r="H5" i="32"/>
  <c r="AC7" i="86" s="1"/>
  <c r="H86" i="32"/>
  <c r="AC88" i="86" s="1"/>
  <c r="H78" i="32"/>
  <c r="AC80" i="86" s="1"/>
  <c r="H70" i="32"/>
  <c r="AC72" i="86" s="1"/>
  <c r="H62" i="32"/>
  <c r="AC64" i="86" s="1"/>
  <c r="H54" i="32"/>
  <c r="AC56" i="86" s="1"/>
  <c r="H46" i="32"/>
  <c r="AC48" i="86" s="1"/>
  <c r="H38" i="32"/>
  <c r="AC40" i="86" s="1"/>
  <c r="H30" i="32"/>
  <c r="AC32" i="86" s="1"/>
  <c r="H14" i="32"/>
  <c r="AC16" i="86" s="1"/>
  <c r="H6" i="32"/>
  <c r="AC8" i="86" s="1"/>
  <c r="H92" i="28"/>
  <c r="AA94" i="86" s="1"/>
  <c r="H18" i="28"/>
  <c r="AA20" i="86" s="1"/>
  <c r="H33" i="28"/>
  <c r="AA35" i="86" s="1"/>
  <c r="H25" i="28"/>
  <c r="AA27" i="86" s="1"/>
  <c r="H16" i="28"/>
  <c r="AA18" i="86" s="1"/>
  <c r="H13" i="28"/>
  <c r="AA15" i="86" s="1"/>
  <c r="H47" i="28"/>
  <c r="AA49" i="86" s="1"/>
  <c r="H36" i="28"/>
  <c r="AA38" i="86" s="1"/>
  <c r="H3" i="28"/>
  <c r="AA5" i="86" s="1"/>
  <c r="AW5" i="86" s="1"/>
  <c r="H19" i="28"/>
  <c r="AA21" i="86" s="1"/>
  <c r="H15" i="28"/>
  <c r="AA17" i="86" s="1"/>
  <c r="H85" i="28"/>
  <c r="AA87" i="86" s="1"/>
  <c r="H82" i="28"/>
  <c r="AA84" i="86" s="1"/>
  <c r="H63" i="28"/>
  <c r="AA65" i="86" s="1"/>
  <c r="H55" i="28"/>
  <c r="AA57" i="86" s="1"/>
  <c r="H17" i="28"/>
  <c r="AA19" i="86" s="1"/>
  <c r="H89" i="28"/>
  <c r="AA91" i="86" s="1"/>
  <c r="H78" i="28"/>
  <c r="AA80" i="86" s="1"/>
  <c r="H67" i="28"/>
  <c r="AA69" i="86" s="1"/>
  <c r="H59" i="28"/>
  <c r="AA61" i="86" s="1"/>
  <c r="H51" i="28"/>
  <c r="AA53" i="86" s="1"/>
  <c r="H40" i="28"/>
  <c r="AA42" i="86" s="1"/>
  <c r="D3" i="83"/>
  <c r="E88" i="83"/>
  <c r="B85" i="83"/>
  <c r="E78" i="83"/>
  <c r="B71" i="83"/>
  <c r="D67" i="83"/>
  <c r="D61" i="83"/>
  <c r="F57" i="83"/>
  <c r="E51" i="83"/>
  <c r="B28" i="83"/>
  <c r="F10" i="83"/>
  <c r="M86" i="83"/>
  <c r="O69" i="83"/>
  <c r="M57" i="83"/>
  <c r="K40" i="83"/>
  <c r="N18" i="83"/>
  <c r="F3" i="83"/>
  <c r="D88" i="83"/>
  <c r="F83" i="83"/>
  <c r="D77" i="83"/>
  <c r="F70" i="83"/>
  <c r="C66" i="83"/>
  <c r="C61" i="83"/>
  <c r="C56" i="83"/>
  <c r="D51" i="83"/>
  <c r="E44" i="83"/>
  <c r="B27" i="83"/>
  <c r="D10" i="83"/>
  <c r="L86" i="83"/>
  <c r="O68" i="83"/>
  <c r="O39" i="83"/>
  <c r="D93" i="83"/>
  <c r="C88" i="83"/>
  <c r="E83" i="83"/>
  <c r="C77" i="83"/>
  <c r="E70" i="83"/>
  <c r="B66" i="83"/>
  <c r="B61" i="83"/>
  <c r="C50" i="83"/>
  <c r="C41" i="83"/>
  <c r="F23" i="83"/>
  <c r="N82" i="83"/>
  <c r="N65" i="83"/>
  <c r="O52" i="83"/>
  <c r="M31" i="83"/>
  <c r="C93" i="83"/>
  <c r="B87" i="83"/>
  <c r="B77" i="83"/>
  <c r="D69" i="83"/>
  <c r="F65" i="83"/>
  <c r="F59" i="83"/>
  <c r="B50" i="83"/>
  <c r="B20" i="83"/>
  <c r="M78" i="83"/>
  <c r="M65" i="83"/>
  <c r="N52" i="83"/>
  <c r="L27" i="83"/>
  <c r="N9" i="83"/>
  <c r="B93" i="83"/>
  <c r="F86" i="83"/>
  <c r="E80" i="83"/>
  <c r="F75" i="83"/>
  <c r="C69" i="83"/>
  <c r="D64" i="83"/>
  <c r="E59" i="83"/>
  <c r="D53" i="83"/>
  <c r="F49" i="83"/>
  <c r="F39" i="83"/>
  <c r="B19" i="83"/>
  <c r="L78" i="83"/>
  <c r="L52" i="83"/>
  <c r="F91" i="83"/>
  <c r="E86" i="83"/>
  <c r="E75" i="83"/>
  <c r="B69" i="83"/>
  <c r="C64" i="83"/>
  <c r="D59" i="83"/>
  <c r="C53" i="83"/>
  <c r="C48" i="83"/>
  <c r="F18" i="83"/>
  <c r="L3" i="83"/>
  <c r="O77" i="83"/>
  <c r="O61" i="83"/>
  <c r="M23" i="83"/>
  <c r="C3" i="83"/>
  <c r="K3" i="83"/>
  <c r="D85" i="83"/>
  <c r="B79" i="83"/>
  <c r="F67" i="83"/>
  <c r="F62" i="83"/>
  <c r="C58" i="83"/>
  <c r="B53" i="83"/>
  <c r="F47" i="83"/>
  <c r="F31" i="83"/>
  <c r="E15" i="83"/>
  <c r="O60" i="83"/>
  <c r="K48" i="83"/>
  <c r="C85" i="83"/>
  <c r="F78" i="83"/>
  <c r="E67" i="83"/>
  <c r="B58" i="83"/>
  <c r="F51" i="83"/>
  <c r="E47" i="83"/>
  <c r="D28" i="83"/>
  <c r="B11" i="83"/>
  <c r="M87" i="83"/>
  <c r="L70" i="83"/>
  <c r="N60" i="83"/>
  <c r="N44" i="83"/>
  <c r="K19" i="83"/>
  <c r="O30" i="83"/>
  <c r="E30" i="83"/>
  <c r="F30" i="83"/>
  <c r="K30" i="83"/>
  <c r="N30" i="83"/>
  <c r="D30" i="83"/>
  <c r="B30" i="83"/>
  <c r="C30" i="83"/>
  <c r="L30" i="83"/>
  <c r="M30" i="83"/>
  <c r="O22" i="83"/>
  <c r="E22" i="83"/>
  <c r="F22" i="83"/>
  <c r="K22" i="83"/>
  <c r="N22" i="83"/>
  <c r="D22" i="83"/>
  <c r="B22" i="83"/>
  <c r="C22" i="83"/>
  <c r="L22" i="83"/>
  <c r="O14" i="83"/>
  <c r="E14" i="83"/>
  <c r="F14" i="83"/>
  <c r="K14" i="83"/>
  <c r="N14" i="83"/>
  <c r="D14" i="83"/>
  <c r="B14" i="83"/>
  <c r="C14" i="83"/>
  <c r="O6" i="83"/>
  <c r="E6" i="83"/>
  <c r="F6" i="83"/>
  <c r="K6" i="83"/>
  <c r="N6" i="83"/>
  <c r="D6" i="83"/>
  <c r="B6" i="83"/>
  <c r="M6" i="83"/>
  <c r="N43" i="83"/>
  <c r="D43" i="83"/>
  <c r="O43" i="83"/>
  <c r="E43" i="83"/>
  <c r="F43" i="83"/>
  <c r="M43" i="83"/>
  <c r="C43" i="83"/>
  <c r="B43" i="83"/>
  <c r="K43" i="83"/>
  <c r="L43" i="83"/>
  <c r="N35" i="83"/>
  <c r="D35" i="83"/>
  <c r="O35" i="83"/>
  <c r="E35" i="83"/>
  <c r="F35" i="83"/>
  <c r="M35" i="83"/>
  <c r="C35" i="83"/>
  <c r="B35" i="83"/>
  <c r="K35" i="83"/>
  <c r="K63" i="83"/>
  <c r="L63" i="83"/>
  <c r="N63" i="83"/>
  <c r="D63" i="83"/>
  <c r="M63" i="83"/>
  <c r="E63" i="83"/>
  <c r="O63" i="83"/>
  <c r="F63" i="83"/>
  <c r="C63" i="83"/>
  <c r="K55" i="83"/>
  <c r="L55" i="83"/>
  <c r="N55" i="83"/>
  <c r="D55" i="83"/>
  <c r="E55" i="83"/>
  <c r="M55" i="83"/>
  <c r="F55" i="83"/>
  <c r="O55" i="83"/>
  <c r="C55" i="83"/>
  <c r="L81" i="83"/>
  <c r="O81" i="83"/>
  <c r="B81" i="83"/>
  <c r="C81" i="83"/>
  <c r="K81" i="83"/>
  <c r="D81" i="83"/>
  <c r="M81" i="83"/>
  <c r="E81" i="83"/>
  <c r="N81" i="83"/>
  <c r="L73" i="83"/>
  <c r="O73" i="83"/>
  <c r="B73" i="83"/>
  <c r="C73" i="83"/>
  <c r="D73" i="83"/>
  <c r="K73" i="83"/>
  <c r="E73" i="83"/>
  <c r="M73" i="83"/>
  <c r="K90" i="83"/>
  <c r="L90" i="83"/>
  <c r="M90" i="83"/>
  <c r="O90" i="83"/>
  <c r="E90" i="83"/>
  <c r="F90" i="83"/>
  <c r="N90" i="83"/>
  <c r="D90" i="83"/>
  <c r="C90" i="83"/>
  <c r="F73" i="83"/>
  <c r="C6" i="83"/>
  <c r="N74" i="83"/>
  <c r="M14" i="83"/>
  <c r="L29" i="83"/>
  <c r="B29" i="83"/>
  <c r="M29" i="83"/>
  <c r="C29" i="83"/>
  <c r="N29" i="83"/>
  <c r="D29" i="83"/>
  <c r="F29" i="83"/>
  <c r="K29" i="83"/>
  <c r="E29" i="83"/>
  <c r="O29" i="83"/>
  <c r="L21" i="83"/>
  <c r="B21" i="83"/>
  <c r="M21" i="83"/>
  <c r="C21" i="83"/>
  <c r="N21" i="83"/>
  <c r="D21" i="83"/>
  <c r="F21" i="83"/>
  <c r="K21" i="83"/>
  <c r="E21" i="83"/>
  <c r="O21" i="83"/>
  <c r="L13" i="83"/>
  <c r="B13" i="83"/>
  <c r="M13" i="83"/>
  <c r="C13" i="83"/>
  <c r="N13" i="83"/>
  <c r="D13" i="83"/>
  <c r="F13" i="83"/>
  <c r="K13" i="83"/>
  <c r="E13" i="83"/>
  <c r="O13" i="83"/>
  <c r="L5" i="83"/>
  <c r="B5" i="83"/>
  <c r="M5" i="83"/>
  <c r="C5" i="83"/>
  <c r="N5" i="83"/>
  <c r="D5" i="83"/>
  <c r="F5" i="83"/>
  <c r="K5" i="83"/>
  <c r="E5" i="83"/>
  <c r="K42" i="83"/>
  <c r="L42" i="83"/>
  <c r="B42" i="83"/>
  <c r="M42" i="83"/>
  <c r="C42" i="83"/>
  <c r="O42" i="83"/>
  <c r="E42" i="83"/>
  <c r="D42" i="83"/>
  <c r="F42" i="83"/>
  <c r="N42" i="83"/>
  <c r="K34" i="83"/>
  <c r="L34" i="83"/>
  <c r="B34" i="83"/>
  <c r="M34" i="83"/>
  <c r="C34" i="83"/>
  <c r="O34" i="83"/>
  <c r="E34" i="83"/>
  <c r="D34" i="83"/>
  <c r="F34" i="83"/>
  <c r="N34" i="83"/>
  <c r="O62" i="83"/>
  <c r="K62" i="83"/>
  <c r="N62" i="83"/>
  <c r="M62" i="83"/>
  <c r="B62" i="83"/>
  <c r="C62" i="83"/>
  <c r="D62" i="83"/>
  <c r="L62" i="83"/>
  <c r="O54" i="83"/>
  <c r="K54" i="83"/>
  <c r="N54" i="83"/>
  <c r="L54" i="83"/>
  <c r="M54" i="83"/>
  <c r="B54" i="83"/>
  <c r="C54" i="83"/>
  <c r="D54" i="83"/>
  <c r="M80" i="83"/>
  <c r="N80" i="83"/>
  <c r="O80" i="83"/>
  <c r="L80" i="83"/>
  <c r="K80" i="83"/>
  <c r="B80" i="83"/>
  <c r="F80" i="83"/>
  <c r="M72" i="83"/>
  <c r="N72" i="83"/>
  <c r="O72" i="83"/>
  <c r="L72" i="83"/>
  <c r="K72" i="83"/>
  <c r="B72" i="83"/>
  <c r="F72" i="83"/>
  <c r="L89" i="83"/>
  <c r="O89" i="83"/>
  <c r="B89" i="83"/>
  <c r="K89" i="83"/>
  <c r="C89" i="83"/>
  <c r="M89" i="83"/>
  <c r="D89" i="83"/>
  <c r="N89" i="83"/>
  <c r="E89" i="83"/>
  <c r="E72" i="83"/>
  <c r="D80" i="83"/>
  <c r="C72" i="83"/>
  <c r="B63" i="83"/>
  <c r="F54" i="83"/>
  <c r="K83" i="83"/>
  <c r="E91" i="83"/>
  <c r="E36" i="83"/>
  <c r="K31" i="83"/>
  <c r="L31" i="83"/>
  <c r="B31" i="83"/>
  <c r="N31" i="83"/>
  <c r="D31" i="83"/>
  <c r="C31" i="83"/>
  <c r="E31" i="83"/>
  <c r="K23" i="83"/>
  <c r="L23" i="83"/>
  <c r="B23" i="83"/>
  <c r="N23" i="83"/>
  <c r="D23" i="83"/>
  <c r="C23" i="83"/>
  <c r="O23" i="83"/>
  <c r="K15" i="83"/>
  <c r="L15" i="83"/>
  <c r="B15" i="83"/>
  <c r="N15" i="83"/>
  <c r="D15" i="83"/>
  <c r="O15" i="83"/>
  <c r="M15" i="83"/>
  <c r="F15" i="83"/>
  <c r="K7" i="83"/>
  <c r="L7" i="83"/>
  <c r="B7" i="83"/>
  <c r="N7" i="83"/>
  <c r="D7" i="83"/>
  <c r="M7" i="83"/>
  <c r="F7" i="83"/>
  <c r="O7" i="83"/>
  <c r="E7" i="83"/>
  <c r="K44" i="83"/>
  <c r="M44" i="83"/>
  <c r="C44" i="83"/>
  <c r="F44" i="83"/>
  <c r="B44" i="83"/>
  <c r="D44" i="83"/>
  <c r="O44" i="83"/>
  <c r="K36" i="83"/>
  <c r="M36" i="83"/>
  <c r="C36" i="83"/>
  <c r="F36" i="83"/>
  <c r="O36" i="83"/>
  <c r="B36" i="83"/>
  <c r="N36" i="83"/>
  <c r="M64" i="83"/>
  <c r="N64" i="83"/>
  <c r="O64" i="83"/>
  <c r="L64" i="83"/>
  <c r="K64" i="83"/>
  <c r="B64" i="83"/>
  <c r="F64" i="83"/>
  <c r="M56" i="83"/>
  <c r="N56" i="83"/>
  <c r="O56" i="83"/>
  <c r="L56" i="83"/>
  <c r="B56" i="83"/>
  <c r="K56" i="83"/>
  <c r="F56" i="83"/>
  <c r="K82" i="83"/>
  <c r="L82" i="83"/>
  <c r="M82" i="83"/>
  <c r="O82" i="83"/>
  <c r="E82" i="83"/>
  <c r="F82" i="83"/>
  <c r="D82" i="83"/>
  <c r="K74" i="83"/>
  <c r="L74" i="83"/>
  <c r="M74" i="83"/>
  <c r="O74" i="83"/>
  <c r="E74" i="83"/>
  <c r="F74" i="83"/>
  <c r="D74" i="83"/>
  <c r="N91" i="83"/>
  <c r="O91" i="83"/>
  <c r="M91" i="83"/>
  <c r="B91" i="83"/>
  <c r="C91" i="83"/>
  <c r="N83" i="83"/>
  <c r="O83" i="83"/>
  <c r="M83" i="83"/>
  <c r="B83" i="83"/>
  <c r="C83" i="83"/>
  <c r="L83" i="83"/>
  <c r="D91" i="83"/>
  <c r="C82" i="83"/>
  <c r="B74" i="83"/>
  <c r="E56" i="83"/>
  <c r="D36" i="83"/>
  <c r="C7" i="83"/>
  <c r="K91" i="83"/>
  <c r="L35" i="83"/>
  <c r="M32" i="83"/>
  <c r="C32" i="83"/>
  <c r="N32" i="83"/>
  <c r="D32" i="83"/>
  <c r="O32" i="83"/>
  <c r="E32" i="83"/>
  <c r="L32" i="83"/>
  <c r="B32" i="83"/>
  <c r="M24" i="83"/>
  <c r="C24" i="83"/>
  <c r="N24" i="83"/>
  <c r="D24" i="83"/>
  <c r="O24" i="83"/>
  <c r="E24" i="83"/>
  <c r="L24" i="83"/>
  <c r="B24" i="83"/>
  <c r="M16" i="83"/>
  <c r="C16" i="83"/>
  <c r="N16" i="83"/>
  <c r="D16" i="83"/>
  <c r="O16" i="83"/>
  <c r="E16" i="83"/>
  <c r="L16" i="83"/>
  <c r="B16" i="83"/>
  <c r="M8" i="83"/>
  <c r="C8" i="83"/>
  <c r="N8" i="83"/>
  <c r="D8" i="83"/>
  <c r="O8" i="83"/>
  <c r="E8" i="83"/>
  <c r="L8" i="83"/>
  <c r="B8" i="83"/>
  <c r="L45" i="83"/>
  <c r="M45" i="83"/>
  <c r="C45" i="83"/>
  <c r="N45" i="83"/>
  <c r="D45" i="83"/>
  <c r="F45" i="83"/>
  <c r="K45" i="83"/>
  <c r="L37" i="83"/>
  <c r="B37" i="83"/>
  <c r="M37" i="83"/>
  <c r="C37" i="83"/>
  <c r="N37" i="83"/>
  <c r="D37" i="83"/>
  <c r="F37" i="83"/>
  <c r="K37" i="83"/>
  <c r="L65" i="83"/>
  <c r="O65" i="83"/>
  <c r="L57" i="83"/>
  <c r="O57" i="83"/>
  <c r="L49" i="83"/>
  <c r="B49" i="83"/>
  <c r="O49" i="83"/>
  <c r="N75" i="83"/>
  <c r="O75" i="83"/>
  <c r="M75" i="83"/>
  <c r="K92" i="83"/>
  <c r="M92" i="83"/>
  <c r="K84" i="83"/>
  <c r="M84" i="83"/>
  <c r="E93" i="83"/>
  <c r="B92" i="83"/>
  <c r="C87" i="83"/>
  <c r="E85" i="83"/>
  <c r="B84" i="83"/>
  <c r="C79" i="83"/>
  <c r="B76" i="83"/>
  <c r="B68" i="83"/>
  <c r="D66" i="83"/>
  <c r="B60" i="83"/>
  <c r="D58" i="83"/>
  <c r="E53" i="83"/>
  <c r="B52" i="83"/>
  <c r="D50" i="83"/>
  <c r="E45" i="83"/>
  <c r="D41" i="83"/>
  <c r="E37" i="83"/>
  <c r="E28" i="83"/>
  <c r="F24" i="83"/>
  <c r="L92" i="83"/>
  <c r="K75" i="83"/>
  <c r="M70" i="83"/>
  <c r="N66" i="83"/>
  <c r="N57" i="83"/>
  <c r="M49" i="83"/>
  <c r="K32" i="83"/>
  <c r="O47" i="83"/>
  <c r="M39" i="83"/>
  <c r="N26" i="83"/>
  <c r="N17" i="83"/>
  <c r="M9" i="83"/>
  <c r="K28" i="83"/>
  <c r="M28" i="83"/>
  <c r="C28" i="83"/>
  <c r="F28" i="83"/>
  <c r="K20" i="83"/>
  <c r="M20" i="83"/>
  <c r="C20" i="83"/>
  <c r="F20" i="83"/>
  <c r="K12" i="83"/>
  <c r="M12" i="83"/>
  <c r="C12" i="83"/>
  <c r="F12" i="83"/>
  <c r="K4" i="83"/>
  <c r="M4" i="83"/>
  <c r="C4" i="83"/>
  <c r="F4" i="83"/>
  <c r="F41" i="83"/>
  <c r="L41" i="83"/>
  <c r="B41" i="83"/>
  <c r="O41" i="83"/>
  <c r="E41" i="83"/>
  <c r="F33" i="83"/>
  <c r="L33" i="83"/>
  <c r="B33" i="83"/>
  <c r="O33" i="83"/>
  <c r="E33" i="83"/>
  <c r="L61" i="83"/>
  <c r="M61" i="83"/>
  <c r="N61" i="83"/>
  <c r="K61" i="83"/>
  <c r="L53" i="83"/>
  <c r="M53" i="83"/>
  <c r="N53" i="83"/>
  <c r="K53" i="83"/>
  <c r="K79" i="83"/>
  <c r="L79" i="83"/>
  <c r="N79" i="83"/>
  <c r="K71" i="83"/>
  <c r="L71" i="83"/>
  <c r="N71" i="83"/>
  <c r="M88" i="83"/>
  <c r="N88" i="83"/>
  <c r="O88" i="83"/>
  <c r="L88" i="83"/>
  <c r="M3" i="83"/>
  <c r="F92" i="83"/>
  <c r="B88" i="83"/>
  <c r="D86" i="83"/>
  <c r="F84" i="83"/>
  <c r="F76" i="83"/>
  <c r="C75" i="83"/>
  <c r="F68" i="83"/>
  <c r="C67" i="83"/>
  <c r="E65" i="83"/>
  <c r="F60" i="83"/>
  <c r="C59" i="83"/>
  <c r="E57" i="83"/>
  <c r="C51" i="83"/>
  <c r="E49" i="83"/>
  <c r="C47" i="83"/>
  <c r="E39" i="83"/>
  <c r="F26" i="83"/>
  <c r="D9" i="83"/>
  <c r="O76" i="83"/>
  <c r="L51" i="83"/>
  <c r="M38" i="83"/>
  <c r="N25" i="83"/>
  <c r="M17" i="83"/>
  <c r="O12" i="83"/>
  <c r="K9" i="83"/>
  <c r="N4" i="83"/>
  <c r="N27" i="83"/>
  <c r="D27" i="83"/>
  <c r="O27" i="83"/>
  <c r="E27" i="83"/>
  <c r="F27" i="83"/>
  <c r="M27" i="83"/>
  <c r="C27" i="83"/>
  <c r="N19" i="83"/>
  <c r="D19" i="83"/>
  <c r="O19" i="83"/>
  <c r="E19" i="83"/>
  <c r="F19" i="83"/>
  <c r="M19" i="83"/>
  <c r="C19" i="83"/>
  <c r="N11" i="83"/>
  <c r="D11" i="83"/>
  <c r="O11" i="83"/>
  <c r="E11" i="83"/>
  <c r="F11" i="83"/>
  <c r="M11" i="83"/>
  <c r="C11" i="83"/>
  <c r="M48" i="83"/>
  <c r="N48" i="83"/>
  <c r="O48" i="83"/>
  <c r="E48" i="83"/>
  <c r="L48" i="83"/>
  <c r="B48" i="83"/>
  <c r="M40" i="83"/>
  <c r="C40" i="83"/>
  <c r="N40" i="83"/>
  <c r="D40" i="83"/>
  <c r="O40" i="83"/>
  <c r="E40" i="83"/>
  <c r="L40" i="83"/>
  <c r="B40" i="83"/>
  <c r="K68" i="83"/>
  <c r="M68" i="83"/>
  <c r="K60" i="83"/>
  <c r="M60" i="83"/>
  <c r="K52" i="83"/>
  <c r="M52" i="83"/>
  <c r="O78" i="83"/>
  <c r="K78" i="83"/>
  <c r="N78" i="83"/>
  <c r="O70" i="83"/>
  <c r="K70" i="83"/>
  <c r="N70" i="83"/>
  <c r="K87" i="83"/>
  <c r="L87" i="83"/>
  <c r="N87" i="83"/>
  <c r="B3" i="83"/>
  <c r="E92" i="83"/>
  <c r="F87" i="83"/>
  <c r="E84" i="83"/>
  <c r="F79" i="83"/>
  <c r="C78" i="83"/>
  <c r="E76" i="83"/>
  <c r="B75" i="83"/>
  <c r="F71" i="83"/>
  <c r="C70" i="83"/>
  <c r="E68" i="83"/>
  <c r="D65" i="83"/>
  <c r="E60" i="83"/>
  <c r="B59" i="83"/>
  <c r="D57" i="83"/>
  <c r="E52" i="83"/>
  <c r="B51" i="83"/>
  <c r="D49" i="83"/>
  <c r="E46" i="83"/>
  <c r="D17" i="83"/>
  <c r="E4" i="83"/>
  <c r="O84" i="83"/>
  <c r="N76" i="83"/>
  <c r="L68" i="83"/>
  <c r="M46" i="83"/>
  <c r="L38" i="83"/>
  <c r="N33" i="83"/>
  <c r="M25" i="83"/>
  <c r="O20" i="83"/>
  <c r="K17" i="83"/>
  <c r="N12" i="83"/>
  <c r="K8" i="83"/>
  <c r="L4" i="83"/>
  <c r="K26" i="83"/>
  <c r="L26" i="83"/>
  <c r="B26" i="83"/>
  <c r="M26" i="83"/>
  <c r="C26" i="83"/>
  <c r="O26" i="83"/>
  <c r="E26" i="83"/>
  <c r="K18" i="83"/>
  <c r="L18" i="83"/>
  <c r="B18" i="83"/>
  <c r="M18" i="83"/>
  <c r="C18" i="83"/>
  <c r="O18" i="83"/>
  <c r="E18" i="83"/>
  <c r="K10" i="83"/>
  <c r="L10" i="83"/>
  <c r="B10" i="83"/>
  <c r="M10" i="83"/>
  <c r="C10" i="83"/>
  <c r="O10" i="83"/>
  <c r="E10" i="83"/>
  <c r="K47" i="83"/>
  <c r="L47" i="83"/>
  <c r="B47" i="83"/>
  <c r="N47" i="83"/>
  <c r="D47" i="83"/>
  <c r="K39" i="83"/>
  <c r="L39" i="83"/>
  <c r="B39" i="83"/>
  <c r="N39" i="83"/>
  <c r="D39" i="83"/>
  <c r="N67" i="83"/>
  <c r="O67" i="83"/>
  <c r="M67" i="83"/>
  <c r="N59" i="83"/>
  <c r="O59" i="83"/>
  <c r="M59" i="83"/>
  <c r="N51" i="83"/>
  <c r="O51" i="83"/>
  <c r="M51" i="83"/>
  <c r="L77" i="83"/>
  <c r="M77" i="83"/>
  <c r="N77" i="83"/>
  <c r="K77" i="83"/>
  <c r="L69" i="83"/>
  <c r="M69" i="83"/>
  <c r="N69" i="83"/>
  <c r="K69" i="83"/>
  <c r="O86" i="83"/>
  <c r="K86" i="83"/>
  <c r="N86" i="83"/>
  <c r="D92" i="83"/>
  <c r="E87" i="83"/>
  <c r="B86" i="83"/>
  <c r="D84" i="83"/>
  <c r="E79" i="83"/>
  <c r="B78" i="83"/>
  <c r="D76" i="83"/>
  <c r="E71" i="83"/>
  <c r="B70" i="83"/>
  <c r="D68" i="83"/>
  <c r="C65" i="83"/>
  <c r="D60" i="83"/>
  <c r="C57" i="83"/>
  <c r="D52" i="83"/>
  <c r="F50" i="83"/>
  <c r="C49" i="83"/>
  <c r="C46" i="83"/>
  <c r="D25" i="83"/>
  <c r="E12" i="83"/>
  <c r="F8" i="83"/>
  <c r="D4" i="83"/>
  <c r="O92" i="83"/>
  <c r="N84" i="83"/>
  <c r="O71" i="83"/>
  <c r="L67" i="83"/>
  <c r="K59" i="83"/>
  <c r="N41" i="83"/>
  <c r="O37" i="83"/>
  <c r="M33" i="83"/>
  <c r="O28" i="83"/>
  <c r="N20" i="83"/>
  <c r="K16" i="83"/>
  <c r="L12" i="83"/>
  <c r="O3" i="83"/>
  <c r="N3" i="83"/>
  <c r="F25" i="83"/>
  <c r="L25" i="83"/>
  <c r="B25" i="83"/>
  <c r="O25" i="83"/>
  <c r="E25" i="83"/>
  <c r="F17" i="83"/>
  <c r="L17" i="83"/>
  <c r="B17" i="83"/>
  <c r="O17" i="83"/>
  <c r="E17" i="83"/>
  <c r="F9" i="83"/>
  <c r="L9" i="83"/>
  <c r="B9" i="83"/>
  <c r="O9" i="83"/>
  <c r="E9" i="83"/>
  <c r="O46" i="83"/>
  <c r="F46" i="83"/>
  <c r="K46" i="83"/>
  <c r="N46" i="83"/>
  <c r="D46" i="83"/>
  <c r="O38" i="83"/>
  <c r="E38" i="83"/>
  <c r="F38" i="83"/>
  <c r="K38" i="83"/>
  <c r="N38" i="83"/>
  <c r="D38" i="83"/>
  <c r="K66" i="83"/>
  <c r="L66" i="83"/>
  <c r="M66" i="83"/>
  <c r="O66" i="83"/>
  <c r="K58" i="83"/>
  <c r="L58" i="83"/>
  <c r="M58" i="83"/>
  <c r="O58" i="83"/>
  <c r="K50" i="83"/>
  <c r="L50" i="83"/>
  <c r="M50" i="83"/>
  <c r="O50" i="83"/>
  <c r="K76" i="83"/>
  <c r="M76" i="83"/>
  <c r="L93" i="83"/>
  <c r="M93" i="83"/>
  <c r="N93" i="83"/>
  <c r="K93" i="83"/>
  <c r="L85" i="83"/>
  <c r="M85" i="83"/>
  <c r="N85" i="83"/>
  <c r="K85" i="83"/>
  <c r="F93" i="83"/>
  <c r="C92" i="83"/>
  <c r="D87" i="83"/>
  <c r="F85" i="83"/>
  <c r="C84" i="83"/>
  <c r="D79" i="83"/>
  <c r="F77" i="83"/>
  <c r="C76" i="83"/>
  <c r="D71" i="83"/>
  <c r="F69" i="83"/>
  <c r="C68" i="83"/>
  <c r="E66" i="83"/>
  <c r="B65" i="83"/>
  <c r="F61" i="83"/>
  <c r="C60" i="83"/>
  <c r="E58" i="83"/>
  <c r="B57" i="83"/>
  <c r="F53" i="83"/>
  <c r="C52" i="83"/>
  <c r="E50" i="83"/>
  <c r="F48" i="83"/>
  <c r="B46" i="83"/>
  <c r="B38" i="83"/>
  <c r="D33" i="83"/>
  <c r="C25" i="83"/>
  <c r="E20" i="83"/>
  <c r="F16" i="83"/>
  <c r="D12" i="83"/>
  <c r="B4" i="83"/>
  <c r="N92" i="83"/>
  <c r="K88" i="83"/>
  <c r="L84" i="83"/>
  <c r="O79" i="83"/>
  <c r="L75" i="83"/>
  <c r="M71" i="83"/>
  <c r="K67" i="83"/>
  <c r="N58" i="83"/>
  <c r="N49" i="83"/>
  <c r="O45" i="83"/>
  <c r="M41" i="83"/>
  <c r="K33" i="83"/>
  <c r="N28" i="83"/>
  <c r="K24" i="83"/>
  <c r="L20" i="83"/>
  <c r="L11" i="83"/>
  <c r="E31" i="23"/>
  <c r="E69" i="27"/>
  <c r="X65" i="86" s="1"/>
  <c r="E43" i="27"/>
  <c r="X39" i="86" s="1"/>
  <c r="E27" i="27"/>
  <c r="X23" i="86" s="1"/>
  <c r="E23" i="27"/>
  <c r="X19" i="86" s="1"/>
  <c r="E21" i="27"/>
  <c r="X17" i="86" s="1"/>
  <c r="E19" i="27"/>
  <c r="X15" i="86" s="1"/>
  <c r="E17" i="27"/>
  <c r="X13" i="86" s="1"/>
  <c r="B88" i="62"/>
  <c r="H6" i="28"/>
  <c r="AA8" i="86" s="1"/>
  <c r="H7" i="28"/>
  <c r="AA9" i="86" s="1"/>
  <c r="H91" i="28"/>
  <c r="AA93" i="86" s="1"/>
  <c r="H88" i="28"/>
  <c r="AA90" i="86" s="1"/>
  <c r="H84" i="28"/>
  <c r="AA86" i="86" s="1"/>
  <c r="H81" i="28"/>
  <c r="AA83" i="86" s="1"/>
  <c r="H77" i="28"/>
  <c r="AA79" i="86" s="1"/>
  <c r="H74" i="28"/>
  <c r="AA76" i="86" s="1"/>
  <c r="H70" i="28"/>
  <c r="AA72" i="86" s="1"/>
  <c r="H66" i="28"/>
  <c r="AA68" i="86" s="1"/>
  <c r="H62" i="28"/>
  <c r="AA64" i="86" s="1"/>
  <c r="H58" i="28"/>
  <c r="AA60" i="86" s="1"/>
  <c r="H54" i="28"/>
  <c r="AA56" i="86" s="1"/>
  <c r="H50" i="28"/>
  <c r="AA52" i="86" s="1"/>
  <c r="H46" i="28"/>
  <c r="AA48" i="86" s="1"/>
  <c r="H43" i="28"/>
  <c r="AA45" i="86" s="1"/>
  <c r="H39" i="28"/>
  <c r="AA41" i="86" s="1"/>
  <c r="H35" i="28"/>
  <c r="AA37" i="86" s="1"/>
  <c r="H32" i="28"/>
  <c r="AA34" i="86" s="1"/>
  <c r="H28" i="28"/>
  <c r="AA30" i="86" s="1"/>
  <c r="H21" i="28"/>
  <c r="AA23" i="86" s="1"/>
  <c r="H12" i="28"/>
  <c r="AA14" i="86" s="1"/>
  <c r="C71" i="62"/>
  <c r="C72" i="62"/>
  <c r="H76" i="28"/>
  <c r="AA78" i="86" s="1"/>
  <c r="H72" i="28"/>
  <c r="AA74" i="86" s="1"/>
  <c r="H68" i="28"/>
  <c r="AA70" i="86" s="1"/>
  <c r="H64" i="28"/>
  <c r="AA66" i="86" s="1"/>
  <c r="H60" i="28"/>
  <c r="AA62" i="86" s="1"/>
  <c r="H56" i="28"/>
  <c r="AA58" i="86" s="1"/>
  <c r="H52" i="28"/>
  <c r="AA54" i="86" s="1"/>
  <c r="H48" i="28"/>
  <c r="AA50" i="86" s="1"/>
  <c r="H44" i="28"/>
  <c r="AA46" i="86" s="1"/>
  <c r="H41" i="28"/>
  <c r="AA43" i="86" s="1"/>
  <c r="H37" i="28"/>
  <c r="AA39" i="86" s="1"/>
  <c r="H30" i="28"/>
  <c r="AA32" i="86" s="1"/>
  <c r="H26" i="28"/>
  <c r="AA28" i="86" s="1"/>
  <c r="H23" i="28"/>
  <c r="AA25" i="86" s="1"/>
  <c r="H20" i="28"/>
  <c r="AA22" i="86" s="1"/>
  <c r="H4" i="28"/>
  <c r="AA6" i="86" s="1"/>
  <c r="H9" i="28"/>
  <c r="AA11" i="86" s="1"/>
  <c r="H10" i="28"/>
  <c r="AA12" i="86" s="1"/>
  <c r="H11" i="28"/>
  <c r="AA13" i="86" s="1"/>
  <c r="H93" i="28"/>
  <c r="AA95" i="86" s="1"/>
  <c r="H90" i="28"/>
  <c r="AA92" i="86" s="1"/>
  <c r="H87" i="28"/>
  <c r="AA89" i="86" s="1"/>
  <c r="H80" i="28"/>
  <c r="AA82" i="86" s="1"/>
  <c r="H73" i="28"/>
  <c r="AA75" i="86" s="1"/>
  <c r="H69" i="28"/>
  <c r="AA71" i="86" s="1"/>
  <c r="H65" i="28"/>
  <c r="AA67" i="86" s="1"/>
  <c r="H61" i="28"/>
  <c r="AA63" i="86" s="1"/>
  <c r="H57" i="28"/>
  <c r="AA59" i="86" s="1"/>
  <c r="H53" i="28"/>
  <c r="AA55" i="86" s="1"/>
  <c r="H49" i="28"/>
  <c r="AA51" i="86" s="1"/>
  <c r="H45" i="28"/>
  <c r="AA47" i="86" s="1"/>
  <c r="H42" i="28"/>
  <c r="AA44" i="86" s="1"/>
  <c r="H38" i="28"/>
  <c r="AA40" i="86" s="1"/>
  <c r="H34" i="28"/>
  <c r="AA36" i="86" s="1"/>
  <c r="H31" i="28"/>
  <c r="AA33" i="86" s="1"/>
  <c r="H27" i="28"/>
  <c r="AA29" i="86" s="1"/>
  <c r="H24" i="28"/>
  <c r="AA26" i="86" s="1"/>
  <c r="H8" i="28"/>
  <c r="AA10" i="86" s="1"/>
  <c r="H14" i="28"/>
  <c r="AA16" i="86" s="1"/>
  <c r="H86" i="28"/>
  <c r="AA88" i="86" s="1"/>
  <c r="H83" i="28"/>
  <c r="AA85" i="86" s="1"/>
  <c r="H79" i="28"/>
  <c r="AA81" i="86" s="1"/>
  <c r="B71" i="62"/>
  <c r="B72" i="62"/>
  <c r="H5" i="28"/>
  <c r="AA7" i="86" s="1"/>
  <c r="E31" i="73"/>
  <c r="O30" i="73"/>
  <c r="C30" i="73"/>
  <c r="B30" i="73"/>
  <c r="L30" i="73"/>
  <c r="S46" i="66"/>
  <c r="S45" i="66" s="1"/>
  <c r="P46" i="66"/>
  <c r="P45" i="66" s="1"/>
  <c r="J46" i="66"/>
  <c r="J45" i="66" s="1"/>
  <c r="Q30" i="73"/>
  <c r="N46" i="66"/>
  <c r="N45" i="66" s="1"/>
  <c r="H23" i="73"/>
  <c r="H24" i="73" s="1"/>
  <c r="H32" i="73" s="1"/>
  <c r="S30" i="73"/>
  <c r="J23" i="73"/>
  <c r="J24" i="73" s="1"/>
  <c r="J25" i="73" s="1"/>
  <c r="J26" i="73" s="1"/>
  <c r="J27" i="73" s="1"/>
  <c r="J28" i="73" s="1"/>
  <c r="L46" i="66"/>
  <c r="L45" i="66" s="1"/>
  <c r="P30" i="73"/>
  <c r="E30" i="73"/>
  <c r="N30" i="73"/>
  <c r="O46" i="66"/>
  <c r="O45" i="66" s="1"/>
  <c r="K46" i="66"/>
  <c r="K45" i="66" s="1"/>
  <c r="M23" i="73"/>
  <c r="M24" i="73" s="1"/>
  <c r="M25" i="73" s="1"/>
  <c r="M26" i="73" s="1"/>
  <c r="M27" i="73" s="1"/>
  <c r="M28" i="73" s="1"/>
  <c r="K30" i="73"/>
  <c r="F23" i="73"/>
  <c r="F24" i="73" s="1"/>
  <c r="F25" i="73" s="1"/>
  <c r="D30" i="73"/>
  <c r="G30" i="73"/>
  <c r="D24" i="73"/>
  <c r="D25" i="73" s="1"/>
  <c r="D26" i="73" s="1"/>
  <c r="D27" i="73" s="1"/>
  <c r="D28" i="73" s="1"/>
  <c r="R46" i="66"/>
  <c r="R45" i="66" s="1"/>
  <c r="M46" i="66"/>
  <c r="M45" i="66" s="1"/>
  <c r="Q46" i="66"/>
  <c r="Q45" i="66" s="1"/>
  <c r="E33" i="73"/>
  <c r="M122" i="6"/>
  <c r="I14" i="64"/>
  <c r="G30" i="23" s="1"/>
  <c r="E38" i="27"/>
  <c r="X34" i="86" s="1"/>
  <c r="E36" i="27"/>
  <c r="X32" i="86" s="1"/>
  <c r="E34" i="27"/>
  <c r="X30" i="86" s="1"/>
  <c r="E32" i="27"/>
  <c r="X28" i="86" s="1"/>
  <c r="E13" i="27"/>
  <c r="X9" i="86" s="1"/>
  <c r="E39" i="27"/>
  <c r="X35" i="86" s="1"/>
  <c r="E30" i="27"/>
  <c r="X26" i="86" s="1"/>
  <c r="E30" i="23"/>
  <c r="I46" i="66"/>
  <c r="I45" i="66" s="1"/>
  <c r="I71" i="66" s="1"/>
  <c r="I30" i="73"/>
  <c r="I24" i="73"/>
  <c r="I31" i="73"/>
  <c r="H46" i="66"/>
  <c r="H45" i="66" s="1"/>
  <c r="G71" i="66"/>
  <c r="G74" i="66" s="1"/>
  <c r="F71" i="66"/>
  <c r="F73" i="66" s="1"/>
  <c r="F31" i="73"/>
  <c r="F32" i="73"/>
  <c r="E34" i="73"/>
  <c r="E32" i="73"/>
  <c r="E35" i="73"/>
  <c r="D46" i="66"/>
  <c r="D45" i="66" s="1"/>
  <c r="D4" i="21" s="1"/>
  <c r="C71" i="66"/>
  <c r="C74" i="66" s="1"/>
  <c r="B35" i="66"/>
  <c r="B84" i="66" s="1"/>
  <c r="B25" i="73"/>
  <c r="E74" i="66" l="1"/>
  <c r="E75" i="66" s="1"/>
  <c r="C155" i="61"/>
  <c r="B111" i="62"/>
  <c r="BA6" i="86"/>
  <c r="BA7" i="86" s="1"/>
  <c r="BA8" i="86" s="1"/>
  <c r="BA9" i="86" s="1"/>
  <c r="BA10" i="86" s="1"/>
  <c r="BA11" i="86" s="1"/>
  <c r="BA12" i="86" s="1"/>
  <c r="BA13" i="86" s="1"/>
  <c r="BA14" i="86" s="1"/>
  <c r="BA15" i="86" s="1"/>
  <c r="BA16" i="86" s="1"/>
  <c r="BA17" i="86" s="1"/>
  <c r="BA18" i="86" s="1"/>
  <c r="BA19" i="86" s="1"/>
  <c r="BA20" i="86" s="1"/>
  <c r="BA21" i="86" s="1"/>
  <c r="BA22" i="86" s="1"/>
  <c r="BA23" i="86" s="1"/>
  <c r="BA24" i="86" s="1"/>
  <c r="BA25" i="86" s="1"/>
  <c r="BA26" i="86" s="1"/>
  <c r="BA27" i="86" s="1"/>
  <c r="BA28" i="86" s="1"/>
  <c r="BA29" i="86" s="1"/>
  <c r="BA30" i="86" s="1"/>
  <c r="BA31" i="86" s="1"/>
  <c r="BA32" i="86" s="1"/>
  <c r="BA33" i="86" s="1"/>
  <c r="BA34" i="86" s="1"/>
  <c r="BA35" i="86" s="1"/>
  <c r="BA36" i="86" s="1"/>
  <c r="BA37" i="86" s="1"/>
  <c r="BA38" i="86" s="1"/>
  <c r="BA39" i="86" s="1"/>
  <c r="BA40" i="86" s="1"/>
  <c r="BA41" i="86" s="1"/>
  <c r="BA42" i="86" s="1"/>
  <c r="BA43" i="86" s="1"/>
  <c r="BA44" i="86" s="1"/>
  <c r="BA45" i="86" s="1"/>
  <c r="BA46" i="86" s="1"/>
  <c r="BA47" i="86" s="1"/>
  <c r="BA48" i="86" s="1"/>
  <c r="BA49" i="86" s="1"/>
  <c r="BA50" i="86" s="1"/>
  <c r="BA51" i="86" s="1"/>
  <c r="BA52" i="86" s="1"/>
  <c r="BA53" i="86" s="1"/>
  <c r="BA54" i="86" s="1"/>
  <c r="BA55" i="86" s="1"/>
  <c r="BA56" i="86" s="1"/>
  <c r="BA57" i="86" s="1"/>
  <c r="BA58" i="86" s="1"/>
  <c r="BA59" i="86" s="1"/>
  <c r="BA60" i="86" s="1"/>
  <c r="BA61" i="86" s="1"/>
  <c r="BA62" i="86" s="1"/>
  <c r="BA63" i="86" s="1"/>
  <c r="BA64" i="86" s="1"/>
  <c r="BA65" i="86" s="1"/>
  <c r="BA66" i="86" s="1"/>
  <c r="BA67" i="86" s="1"/>
  <c r="BA68" i="86" s="1"/>
  <c r="BA69" i="86" s="1"/>
  <c r="BA70" i="86" s="1"/>
  <c r="BA71" i="86" s="1"/>
  <c r="BA72" i="86" s="1"/>
  <c r="BA73" i="86" s="1"/>
  <c r="BA74" i="86" s="1"/>
  <c r="BA75" i="86" s="1"/>
  <c r="BA76" i="86" s="1"/>
  <c r="BA77" i="86" s="1"/>
  <c r="BA78" i="86" s="1"/>
  <c r="BA79" i="86" s="1"/>
  <c r="BA80" i="86" s="1"/>
  <c r="BA81" i="86" s="1"/>
  <c r="BA82" i="86" s="1"/>
  <c r="BA83" i="86" s="1"/>
  <c r="BA84" i="86" s="1"/>
  <c r="BA85" i="86" s="1"/>
  <c r="BA86" i="86" s="1"/>
  <c r="BA87" i="86" s="1"/>
  <c r="BA88" i="86" s="1"/>
  <c r="BA89" i="86" s="1"/>
  <c r="BA90" i="86" s="1"/>
  <c r="BA91" i="86" s="1"/>
  <c r="BA92" i="86" s="1"/>
  <c r="BA93" i="86" s="1"/>
  <c r="BA94" i="86" s="1"/>
  <c r="BA95" i="86" s="1"/>
  <c r="BA96" i="86" s="1"/>
  <c r="BA97" i="86" s="1"/>
  <c r="BA98" i="86" s="1"/>
  <c r="BA99" i="86" s="1"/>
  <c r="BA100" i="86" s="1"/>
  <c r="BA101" i="86" s="1"/>
  <c r="BA102" i="86" s="1"/>
  <c r="BA103" i="86" s="1"/>
  <c r="BA104" i="86" s="1"/>
  <c r="BA105" i="86" s="1"/>
  <c r="BA106" i="86" s="1"/>
  <c r="BA107" i="86" s="1"/>
  <c r="BA108" i="86" s="1"/>
  <c r="BA109" i="86" s="1"/>
  <c r="BA110" i="86" s="1"/>
  <c r="BA111" i="86" s="1"/>
  <c r="BA112" i="86" s="1"/>
  <c r="BA113" i="86" s="1"/>
  <c r="BA114" i="86" s="1"/>
  <c r="BA115" i="86" s="1"/>
  <c r="BA116" i="86" s="1"/>
  <c r="BA117" i="86" s="1"/>
  <c r="BA118" i="86" s="1"/>
  <c r="BA119" i="86" s="1"/>
  <c r="BA120" i="86" s="1"/>
  <c r="BA121" i="86" s="1"/>
  <c r="H102" i="77"/>
  <c r="V69" i="86" s="1"/>
  <c r="H103" i="77"/>
  <c r="V70" i="86" s="1"/>
  <c r="H105" i="77"/>
  <c r="V72" i="86" s="1"/>
  <c r="H107" i="77"/>
  <c r="V74" i="86" s="1"/>
  <c r="H109" i="77"/>
  <c r="V76" i="86" s="1"/>
  <c r="H111" i="77"/>
  <c r="V78" i="86" s="1"/>
  <c r="H101" i="77"/>
  <c r="V68" i="86" s="1"/>
  <c r="H104" i="77"/>
  <c r="V71" i="86" s="1"/>
  <c r="H106" i="77"/>
  <c r="V73" i="86" s="1"/>
  <c r="H108" i="77"/>
  <c r="V75" i="86" s="1"/>
  <c r="H110" i="77"/>
  <c r="V77" i="86" s="1"/>
  <c r="H112" i="77"/>
  <c r="V79" i="86" s="1"/>
  <c r="H97" i="77"/>
  <c r="V64" i="86" s="1"/>
  <c r="H98" i="77"/>
  <c r="V65" i="86" s="1"/>
  <c r="H99" i="77"/>
  <c r="V66" i="86" s="1"/>
  <c r="H91" i="77"/>
  <c r="V58" i="86" s="1"/>
  <c r="H93" i="77"/>
  <c r="V60" i="86" s="1"/>
  <c r="H95" i="77"/>
  <c r="V62" i="86" s="1"/>
  <c r="H92" i="77"/>
  <c r="V59" i="86" s="1"/>
  <c r="H94" i="77"/>
  <c r="V61" i="86" s="1"/>
  <c r="D35" i="66"/>
  <c r="D84" i="66" s="1"/>
  <c r="D104" i="21"/>
  <c r="D87" i="21"/>
  <c r="D71" i="21"/>
  <c r="D55" i="21"/>
  <c r="D38" i="21"/>
  <c r="D22" i="21"/>
  <c r="D6" i="21"/>
  <c r="D107" i="21"/>
  <c r="D92" i="21"/>
  <c r="D76" i="21"/>
  <c r="D60" i="21"/>
  <c r="D44" i="21"/>
  <c r="D28" i="21"/>
  <c r="D12" i="21"/>
  <c r="D114" i="21"/>
  <c r="D98" i="21"/>
  <c r="D81" i="21"/>
  <c r="D65" i="21"/>
  <c r="D49" i="21"/>
  <c r="D33" i="21"/>
  <c r="D17" i="21"/>
  <c r="D117" i="21"/>
  <c r="D102" i="21"/>
  <c r="D86" i="21"/>
  <c r="D70" i="21"/>
  <c r="D54" i="21"/>
  <c r="D39" i="21"/>
  <c r="D23" i="21"/>
  <c r="D7" i="21"/>
  <c r="D112" i="21"/>
  <c r="D95" i="21"/>
  <c r="D79" i="21"/>
  <c r="D63" i="21"/>
  <c r="D47" i="21"/>
  <c r="D31" i="21"/>
  <c r="D15" i="21"/>
  <c r="D115" i="21"/>
  <c r="D100" i="21"/>
  <c r="D84" i="21"/>
  <c r="D68" i="21"/>
  <c r="D52" i="21"/>
  <c r="D37" i="21"/>
  <c r="D21" i="21"/>
  <c r="D5" i="21"/>
  <c r="D105" i="21"/>
  <c r="D89" i="21"/>
  <c r="D73" i="21"/>
  <c r="D57" i="21"/>
  <c r="D40" i="21"/>
  <c r="D24" i="21"/>
  <c r="D8" i="21"/>
  <c r="D109" i="21"/>
  <c r="D93" i="21"/>
  <c r="D78" i="21"/>
  <c r="D62" i="21"/>
  <c r="D46" i="21"/>
  <c r="D30" i="21"/>
  <c r="D14" i="21"/>
  <c r="D116" i="21"/>
  <c r="D108" i="21"/>
  <c r="D99" i="21"/>
  <c r="D91" i="21"/>
  <c r="D83" i="21"/>
  <c r="D75" i="21"/>
  <c r="D67" i="21"/>
  <c r="D59" i="21"/>
  <c r="D51" i="21"/>
  <c r="D42" i="21"/>
  <c r="D35" i="21"/>
  <c r="D26" i="21"/>
  <c r="D19" i="21"/>
  <c r="D11" i="21"/>
  <c r="D2" i="21"/>
  <c r="D111" i="21"/>
  <c r="D103" i="21"/>
  <c r="D96" i="21"/>
  <c r="D88" i="21"/>
  <c r="D80" i="21"/>
  <c r="D72" i="21"/>
  <c r="D64" i="21"/>
  <c r="D56" i="21"/>
  <c r="D48" i="21"/>
  <c r="D41" i="21"/>
  <c r="D32" i="21"/>
  <c r="D25" i="21"/>
  <c r="D16" i="21"/>
  <c r="D9" i="21"/>
  <c r="D118" i="21"/>
  <c r="D110" i="21"/>
  <c r="D101" i="21"/>
  <c r="D94" i="21"/>
  <c r="D85" i="21"/>
  <c r="D77" i="21"/>
  <c r="D69" i="21"/>
  <c r="D61" i="21"/>
  <c r="D53" i="21"/>
  <c r="D45" i="21"/>
  <c r="D36" i="21"/>
  <c r="D29" i="21"/>
  <c r="D20" i="21"/>
  <c r="D13" i="21"/>
  <c r="D3" i="21"/>
  <c r="V3" i="21" s="1"/>
  <c r="U6" i="86" s="1"/>
  <c r="D113" i="21"/>
  <c r="D106" i="21"/>
  <c r="D97" i="21"/>
  <c r="D90" i="21"/>
  <c r="D82" i="21"/>
  <c r="D74" i="21"/>
  <c r="D66" i="21"/>
  <c r="D58" i="21"/>
  <c r="D50" i="21"/>
  <c r="D43" i="21"/>
  <c r="D34" i="21"/>
  <c r="D27" i="21"/>
  <c r="D18" i="21"/>
  <c r="D10" i="21"/>
  <c r="C149" i="68"/>
  <c r="B46" i="21"/>
  <c r="B96" i="21"/>
  <c r="B71" i="66"/>
  <c r="B74" i="66" s="1"/>
  <c r="B115" i="21"/>
  <c r="B102" i="21"/>
  <c r="B73" i="21"/>
  <c r="V73" i="21" s="1"/>
  <c r="U76" i="86" s="1"/>
  <c r="AG76" i="86" s="1"/>
  <c r="B109" i="21"/>
  <c r="V109" i="21" s="1"/>
  <c r="U112" i="86" s="1"/>
  <c r="AG112" i="86" s="1"/>
  <c r="B98" i="21"/>
  <c r="B104" i="21"/>
  <c r="B81" i="21"/>
  <c r="B94" i="21"/>
  <c r="B100" i="21"/>
  <c r="B9" i="21"/>
  <c r="B42" i="21"/>
  <c r="B60" i="21"/>
  <c r="B111" i="21"/>
  <c r="B38" i="21"/>
  <c r="B44" i="21"/>
  <c r="B55" i="21"/>
  <c r="V55" i="21" s="1"/>
  <c r="U58" i="86" s="1"/>
  <c r="AG58" i="86" s="1"/>
  <c r="B113" i="21"/>
  <c r="B40" i="21"/>
  <c r="B51" i="21"/>
  <c r="V51" i="21" s="1"/>
  <c r="U54" i="86" s="1"/>
  <c r="AG54" i="86" s="1"/>
  <c r="B97" i="21"/>
  <c r="B4" i="21"/>
  <c r="V4" i="21" s="1"/>
  <c r="U7" i="86" s="1"/>
  <c r="B47" i="21"/>
  <c r="B106" i="21"/>
  <c r="B62" i="21"/>
  <c r="B6" i="21"/>
  <c r="B108" i="21"/>
  <c r="B64" i="21"/>
  <c r="B8" i="21"/>
  <c r="B61" i="21"/>
  <c r="B75" i="21"/>
  <c r="B101" i="21"/>
  <c r="B78" i="21"/>
  <c r="B34" i="21"/>
  <c r="V34" i="21" s="1"/>
  <c r="U37" i="86" s="1"/>
  <c r="AG37" i="86" s="1"/>
  <c r="B53" i="21"/>
  <c r="B92" i="21"/>
  <c r="B36" i="21"/>
  <c r="B117" i="21"/>
  <c r="B107" i="21"/>
  <c r="B43" i="21"/>
  <c r="B85" i="21"/>
  <c r="V85" i="21" s="1"/>
  <c r="U88" i="86" s="1"/>
  <c r="AG88" i="86" s="1"/>
  <c r="B74" i="21"/>
  <c r="B30" i="21"/>
  <c r="B49" i="21"/>
  <c r="V49" i="21" s="1"/>
  <c r="U52" i="86" s="1"/>
  <c r="AG52" i="86" s="1"/>
  <c r="B76" i="21"/>
  <c r="B32" i="21"/>
  <c r="B105" i="21"/>
  <c r="B87" i="21"/>
  <c r="B23" i="21"/>
  <c r="V23" i="21" s="1"/>
  <c r="U26" i="86" s="1"/>
  <c r="B57" i="21"/>
  <c r="B70" i="21"/>
  <c r="B14" i="21"/>
  <c r="B37" i="21"/>
  <c r="B72" i="21"/>
  <c r="B28" i="21"/>
  <c r="B93" i="21"/>
  <c r="B83" i="21"/>
  <c r="B19" i="21"/>
  <c r="B110" i="21"/>
  <c r="B66" i="21"/>
  <c r="B10" i="21"/>
  <c r="V10" i="21" s="1"/>
  <c r="U13" i="86" s="1"/>
  <c r="B21" i="21"/>
  <c r="B68" i="21"/>
  <c r="B12" i="21"/>
  <c r="B77" i="21"/>
  <c r="B79" i="21"/>
  <c r="B15" i="21"/>
  <c r="B114" i="21"/>
  <c r="V114" i="21" s="1"/>
  <c r="U117" i="86" s="1"/>
  <c r="AG117" i="86" s="1"/>
  <c r="B82" i="21"/>
  <c r="B50" i="21"/>
  <c r="B18" i="21"/>
  <c r="B89" i="21"/>
  <c r="B116" i="21"/>
  <c r="B80" i="21"/>
  <c r="B48" i="21"/>
  <c r="V48" i="21" s="1"/>
  <c r="U51" i="86" s="1"/>
  <c r="AG51" i="86" s="1"/>
  <c r="B16" i="21"/>
  <c r="B2" i="21"/>
  <c r="B25" i="21"/>
  <c r="V25" i="21" s="1"/>
  <c r="U28" i="86" s="1"/>
  <c r="B91" i="21"/>
  <c r="V91" i="21" s="1"/>
  <c r="U94" i="86" s="1"/>
  <c r="AG94" i="86" s="1"/>
  <c r="B59" i="21"/>
  <c r="B27" i="21"/>
  <c r="B11" i="21"/>
  <c r="B103" i="21"/>
  <c r="B71" i="21"/>
  <c r="V71" i="21" s="1"/>
  <c r="U74" i="86" s="1"/>
  <c r="AG74" i="86" s="1"/>
  <c r="B39" i="21"/>
  <c r="B7" i="21"/>
  <c r="V7" i="21" s="1"/>
  <c r="U10" i="86" s="1"/>
  <c r="B41" i="21"/>
  <c r="B90" i="21"/>
  <c r="B58" i="21"/>
  <c r="B26" i="21"/>
  <c r="B65" i="21"/>
  <c r="V65" i="21" s="1"/>
  <c r="U68" i="86" s="1"/>
  <c r="AG68" i="86" s="1"/>
  <c r="B17" i="21"/>
  <c r="B88" i="21"/>
  <c r="B56" i="21"/>
  <c r="V56" i="21" s="1"/>
  <c r="U59" i="86" s="1"/>
  <c r="AG59" i="86" s="1"/>
  <c r="B24" i="21"/>
  <c r="V24" i="21" s="1"/>
  <c r="U27" i="86" s="1"/>
  <c r="B69" i="21"/>
  <c r="B45" i="21"/>
  <c r="B99" i="21"/>
  <c r="V99" i="21" s="1"/>
  <c r="U102" i="86" s="1"/>
  <c r="AG102" i="86" s="1"/>
  <c r="B67" i="21"/>
  <c r="B35" i="21"/>
  <c r="B118" i="21"/>
  <c r="B86" i="21"/>
  <c r="B54" i="21"/>
  <c r="B22" i="21"/>
  <c r="B5" i="21"/>
  <c r="B13" i="21"/>
  <c r="V13" i="21" s="1"/>
  <c r="U16" i="86" s="1"/>
  <c r="B84" i="21"/>
  <c r="B52" i="21"/>
  <c r="B20" i="21"/>
  <c r="B33" i="21"/>
  <c r="B29" i="21"/>
  <c r="B95" i="21"/>
  <c r="B63" i="21"/>
  <c r="B31" i="21"/>
  <c r="B112" i="21"/>
  <c r="P150" i="61"/>
  <c r="J154" i="61" s="1"/>
  <c r="Y123" i="86"/>
  <c r="AZ5" i="86"/>
  <c r="AZ6" i="86" s="1"/>
  <c r="AZ7" i="86" s="1"/>
  <c r="AZ8" i="86" s="1"/>
  <c r="AZ9" i="86" s="1"/>
  <c r="AZ10" i="86" s="1"/>
  <c r="AZ11" i="86" s="1"/>
  <c r="AZ12" i="86" s="1"/>
  <c r="AZ13" i="86" s="1"/>
  <c r="AZ14" i="86" s="1"/>
  <c r="AZ15" i="86" s="1"/>
  <c r="AZ16" i="86" s="1"/>
  <c r="AZ17" i="86" s="1"/>
  <c r="AZ18" i="86" s="1"/>
  <c r="AZ19" i="86" s="1"/>
  <c r="AZ20" i="86" s="1"/>
  <c r="AZ21" i="86" s="1"/>
  <c r="AZ22" i="86" s="1"/>
  <c r="AZ23" i="86" s="1"/>
  <c r="AZ24" i="86" s="1"/>
  <c r="AZ25" i="86" s="1"/>
  <c r="AZ26" i="86" s="1"/>
  <c r="AZ27" i="86" s="1"/>
  <c r="AZ28" i="86" s="1"/>
  <c r="AZ29" i="86" s="1"/>
  <c r="AZ30" i="86" s="1"/>
  <c r="AZ31" i="86" s="1"/>
  <c r="AZ32" i="86" s="1"/>
  <c r="AZ33" i="86" s="1"/>
  <c r="AZ34" i="86" s="1"/>
  <c r="AZ35" i="86" s="1"/>
  <c r="AZ36" i="86" s="1"/>
  <c r="AZ37" i="86" s="1"/>
  <c r="AZ38" i="86" s="1"/>
  <c r="AZ39" i="86" s="1"/>
  <c r="AZ40" i="86" s="1"/>
  <c r="AZ41" i="86" s="1"/>
  <c r="AZ42" i="86" s="1"/>
  <c r="AZ43" i="86" s="1"/>
  <c r="AZ44" i="86" s="1"/>
  <c r="AZ45" i="86" s="1"/>
  <c r="AZ46" i="86" s="1"/>
  <c r="AZ47" i="86" s="1"/>
  <c r="AZ48" i="86" s="1"/>
  <c r="AZ49" i="86" s="1"/>
  <c r="AZ50" i="86" s="1"/>
  <c r="AZ51" i="86" s="1"/>
  <c r="AZ52" i="86" s="1"/>
  <c r="AZ53" i="86" s="1"/>
  <c r="AZ54" i="86" s="1"/>
  <c r="AZ55" i="86" s="1"/>
  <c r="AZ56" i="86" s="1"/>
  <c r="AZ57" i="86" s="1"/>
  <c r="AZ58" i="86" s="1"/>
  <c r="AZ59" i="86" s="1"/>
  <c r="AZ60" i="86" s="1"/>
  <c r="AZ61" i="86" s="1"/>
  <c r="AZ62" i="86" s="1"/>
  <c r="AZ63" i="86" s="1"/>
  <c r="AZ64" i="86" s="1"/>
  <c r="AZ65" i="86" s="1"/>
  <c r="AZ66" i="86" s="1"/>
  <c r="AZ67" i="86" s="1"/>
  <c r="AZ68" i="86" s="1"/>
  <c r="AZ69" i="86" s="1"/>
  <c r="AZ70" i="86" s="1"/>
  <c r="AZ71" i="86" s="1"/>
  <c r="AZ72" i="86" s="1"/>
  <c r="AZ73" i="86" s="1"/>
  <c r="AZ74" i="86" s="1"/>
  <c r="AZ75" i="86" s="1"/>
  <c r="AZ76" i="86" s="1"/>
  <c r="AZ77" i="86" s="1"/>
  <c r="AZ78" i="86" s="1"/>
  <c r="AZ79" i="86" s="1"/>
  <c r="AZ80" i="86" s="1"/>
  <c r="AZ81" i="86" s="1"/>
  <c r="AZ82" i="86" s="1"/>
  <c r="AZ83" i="86" s="1"/>
  <c r="AZ84" i="86" s="1"/>
  <c r="AZ85" i="86" s="1"/>
  <c r="AZ86" i="86" s="1"/>
  <c r="AZ87" i="86" s="1"/>
  <c r="AZ88" i="86" s="1"/>
  <c r="AZ89" i="86" s="1"/>
  <c r="AZ90" i="86" s="1"/>
  <c r="AZ91" i="86" s="1"/>
  <c r="AZ92" i="86" s="1"/>
  <c r="AZ93" i="86" s="1"/>
  <c r="AZ94" i="86" s="1"/>
  <c r="AZ95" i="86" s="1"/>
  <c r="AZ96" i="86" s="1"/>
  <c r="AZ97" i="86" s="1"/>
  <c r="AZ98" i="86" s="1"/>
  <c r="AZ99" i="86" s="1"/>
  <c r="AZ100" i="86" s="1"/>
  <c r="AZ101" i="86" s="1"/>
  <c r="AZ102" i="86" s="1"/>
  <c r="AZ103" i="86" s="1"/>
  <c r="AZ104" i="86" s="1"/>
  <c r="AZ105" i="86" s="1"/>
  <c r="AZ106" i="86" s="1"/>
  <c r="AZ107" i="86" s="1"/>
  <c r="AZ108" i="86" s="1"/>
  <c r="AZ109" i="86" s="1"/>
  <c r="AZ110" i="86" s="1"/>
  <c r="AZ111" i="86" s="1"/>
  <c r="AZ112" i="86" s="1"/>
  <c r="AZ113" i="86" s="1"/>
  <c r="AZ114" i="86" s="1"/>
  <c r="AZ115" i="86" s="1"/>
  <c r="AZ116" i="86" s="1"/>
  <c r="AZ117" i="86" s="1"/>
  <c r="AZ118" i="86" s="1"/>
  <c r="AZ119" i="86" s="1"/>
  <c r="AZ120" i="86" s="1"/>
  <c r="AZ121" i="86" s="1"/>
  <c r="AY5" i="86"/>
  <c r="AY6" i="86" s="1"/>
  <c r="AY7" i="86" s="1"/>
  <c r="AY8" i="86" s="1"/>
  <c r="AY9" i="86" s="1"/>
  <c r="AY10" i="86" s="1"/>
  <c r="AY11" i="86" s="1"/>
  <c r="AY12" i="86" s="1"/>
  <c r="AY13" i="86" s="1"/>
  <c r="AY14" i="86" s="1"/>
  <c r="AY15" i="86" s="1"/>
  <c r="AY16" i="86" s="1"/>
  <c r="AY17" i="86" s="1"/>
  <c r="AY18" i="86" s="1"/>
  <c r="AY19" i="86" s="1"/>
  <c r="AY20" i="86" s="1"/>
  <c r="AY21" i="86" s="1"/>
  <c r="AY22" i="86" s="1"/>
  <c r="AY23" i="86" s="1"/>
  <c r="AY24" i="86" s="1"/>
  <c r="AY25" i="86" s="1"/>
  <c r="AY26" i="86" s="1"/>
  <c r="AY27" i="86" s="1"/>
  <c r="AY28" i="86" s="1"/>
  <c r="AY29" i="86" s="1"/>
  <c r="AY30" i="86" s="1"/>
  <c r="AY31" i="86" s="1"/>
  <c r="AY32" i="86" s="1"/>
  <c r="AY33" i="86" s="1"/>
  <c r="AY34" i="86" s="1"/>
  <c r="AY35" i="86" s="1"/>
  <c r="AY36" i="86" s="1"/>
  <c r="AY37" i="86" s="1"/>
  <c r="AY38" i="86" s="1"/>
  <c r="AY39" i="86" s="1"/>
  <c r="AY40" i="86" s="1"/>
  <c r="AY41" i="86" s="1"/>
  <c r="AY42" i="86" s="1"/>
  <c r="AY43" i="86" s="1"/>
  <c r="AY44" i="86" s="1"/>
  <c r="AY45" i="86" s="1"/>
  <c r="AY46" i="86" s="1"/>
  <c r="AY47" i="86" s="1"/>
  <c r="AY48" i="86" s="1"/>
  <c r="AY49" i="86" s="1"/>
  <c r="AY50" i="86" s="1"/>
  <c r="AY51" i="86" s="1"/>
  <c r="AY52" i="86" s="1"/>
  <c r="AY53" i="86" s="1"/>
  <c r="AY54" i="86" s="1"/>
  <c r="AY55" i="86" s="1"/>
  <c r="AY56" i="86" s="1"/>
  <c r="AY57" i="86" s="1"/>
  <c r="AY58" i="86" s="1"/>
  <c r="AY59" i="86" s="1"/>
  <c r="AY60" i="86" s="1"/>
  <c r="AY61" i="86" s="1"/>
  <c r="AY62" i="86" s="1"/>
  <c r="AY63" i="86" s="1"/>
  <c r="AY64" i="86" s="1"/>
  <c r="AY65" i="86" s="1"/>
  <c r="AY66" i="86" s="1"/>
  <c r="AY67" i="86" s="1"/>
  <c r="AY68" i="86" s="1"/>
  <c r="AY69" i="86" s="1"/>
  <c r="AY70" i="86" s="1"/>
  <c r="AY71" i="86" s="1"/>
  <c r="AY72" i="86" s="1"/>
  <c r="AY73" i="86" s="1"/>
  <c r="AY74" i="86" s="1"/>
  <c r="AY75" i="86" s="1"/>
  <c r="AY76" i="86" s="1"/>
  <c r="AY77" i="86" s="1"/>
  <c r="AY78" i="86" s="1"/>
  <c r="AY79" i="86" s="1"/>
  <c r="AY80" i="86" s="1"/>
  <c r="AY81" i="86" s="1"/>
  <c r="AY82" i="86" s="1"/>
  <c r="AY83" i="86" s="1"/>
  <c r="AY84" i="86" s="1"/>
  <c r="AY85" i="86" s="1"/>
  <c r="AY86" i="86" s="1"/>
  <c r="AY87" i="86" s="1"/>
  <c r="AY88" i="86" s="1"/>
  <c r="AY89" i="86" s="1"/>
  <c r="AY90" i="86" s="1"/>
  <c r="AY91" i="86" s="1"/>
  <c r="AY92" i="86" s="1"/>
  <c r="AY93" i="86" s="1"/>
  <c r="AY94" i="86" s="1"/>
  <c r="AY95" i="86" s="1"/>
  <c r="AY96" i="86" s="1"/>
  <c r="AY97" i="86" s="1"/>
  <c r="AY98" i="86" s="1"/>
  <c r="AY99" i="86" s="1"/>
  <c r="AY100" i="86" s="1"/>
  <c r="AY101" i="86" s="1"/>
  <c r="AY102" i="86" s="1"/>
  <c r="AY103" i="86" s="1"/>
  <c r="AY104" i="86" s="1"/>
  <c r="AY105" i="86" s="1"/>
  <c r="AY106" i="86" s="1"/>
  <c r="AY107" i="86" s="1"/>
  <c r="AY108" i="86" s="1"/>
  <c r="AY109" i="86" s="1"/>
  <c r="AY110" i="86" s="1"/>
  <c r="AY111" i="86" s="1"/>
  <c r="AY112" i="86" s="1"/>
  <c r="AY113" i="86" s="1"/>
  <c r="AY114" i="86" s="1"/>
  <c r="AY115" i="86" s="1"/>
  <c r="AY116" i="86" s="1"/>
  <c r="AY117" i="86" s="1"/>
  <c r="AY118" i="86" s="1"/>
  <c r="AY119" i="86" s="1"/>
  <c r="AY120" i="86" s="1"/>
  <c r="AY121" i="86" s="1"/>
  <c r="X123" i="86"/>
  <c r="E29" i="23"/>
  <c r="F29" i="23" s="1"/>
  <c r="C90" i="62"/>
  <c r="F90" i="62"/>
  <c r="E73" i="62"/>
  <c r="H27" i="29"/>
  <c r="AB25" i="86" s="1"/>
  <c r="F73" i="62"/>
  <c r="AC5" i="86"/>
  <c r="AX5" i="86" s="1"/>
  <c r="AX6" i="86" s="1"/>
  <c r="AX7" i="86" s="1"/>
  <c r="AX8" i="86" s="1"/>
  <c r="AX9" i="86" s="1"/>
  <c r="AX10" i="86" s="1"/>
  <c r="AX11" i="86" s="1"/>
  <c r="AX12" i="86" s="1"/>
  <c r="AX13" i="86" s="1"/>
  <c r="AX14" i="86" s="1"/>
  <c r="AX15" i="86" s="1"/>
  <c r="AX16" i="86" s="1"/>
  <c r="AX17" i="86" s="1"/>
  <c r="AX18" i="86" s="1"/>
  <c r="AX19" i="86" s="1"/>
  <c r="AX20" i="86" s="1"/>
  <c r="AX21" i="86" s="1"/>
  <c r="AX22" i="86" s="1"/>
  <c r="AX23" i="86" s="1"/>
  <c r="AX24" i="86" s="1"/>
  <c r="AX25" i="86" s="1"/>
  <c r="AX26" i="86" s="1"/>
  <c r="AX27" i="86" s="1"/>
  <c r="AX28" i="86" s="1"/>
  <c r="AX29" i="86" s="1"/>
  <c r="AX30" i="86" s="1"/>
  <c r="AX31" i="86" s="1"/>
  <c r="AX32" i="86" s="1"/>
  <c r="AX33" i="86" s="1"/>
  <c r="AX34" i="86" s="1"/>
  <c r="AX35" i="86" s="1"/>
  <c r="AX36" i="86" s="1"/>
  <c r="AX37" i="86" s="1"/>
  <c r="AX38" i="86" s="1"/>
  <c r="AX39" i="86" s="1"/>
  <c r="AX40" i="86" s="1"/>
  <c r="AX41" i="86" s="1"/>
  <c r="AX42" i="86" s="1"/>
  <c r="AX43" i="86" s="1"/>
  <c r="AX44" i="86" s="1"/>
  <c r="AX45" i="86" s="1"/>
  <c r="AX46" i="86" s="1"/>
  <c r="AX47" i="86" s="1"/>
  <c r="AX48" i="86" s="1"/>
  <c r="AX49" i="86" s="1"/>
  <c r="AX50" i="86" s="1"/>
  <c r="AX51" i="86" s="1"/>
  <c r="AX52" i="86" s="1"/>
  <c r="AX53" i="86" s="1"/>
  <c r="AX54" i="86" s="1"/>
  <c r="AX55" i="86" s="1"/>
  <c r="AX56" i="86" s="1"/>
  <c r="AX57" i="86" s="1"/>
  <c r="AX58" i="86" s="1"/>
  <c r="AX59" i="86" s="1"/>
  <c r="AX60" i="86" s="1"/>
  <c r="AX61" i="86" s="1"/>
  <c r="AX62" i="86" s="1"/>
  <c r="AX63" i="86" s="1"/>
  <c r="AX64" i="86" s="1"/>
  <c r="AX65" i="86" s="1"/>
  <c r="AX66" i="86" s="1"/>
  <c r="AX67" i="86" s="1"/>
  <c r="AX68" i="86" s="1"/>
  <c r="AX69" i="86" s="1"/>
  <c r="AX70" i="86" s="1"/>
  <c r="AX71" i="86" s="1"/>
  <c r="AX72" i="86" s="1"/>
  <c r="AX73" i="86" s="1"/>
  <c r="AX74" i="86" s="1"/>
  <c r="AX75" i="86" s="1"/>
  <c r="AX76" i="86" s="1"/>
  <c r="AX77" i="86" s="1"/>
  <c r="AX78" i="86" s="1"/>
  <c r="AX79" i="86" s="1"/>
  <c r="AX80" i="86" s="1"/>
  <c r="AX81" i="86" s="1"/>
  <c r="AX82" i="86" s="1"/>
  <c r="AX83" i="86" s="1"/>
  <c r="AX84" i="86" s="1"/>
  <c r="AX85" i="86" s="1"/>
  <c r="AX86" i="86" s="1"/>
  <c r="AX87" i="86" s="1"/>
  <c r="AX88" i="86" s="1"/>
  <c r="AX89" i="86" s="1"/>
  <c r="AX90" i="86" s="1"/>
  <c r="AX91" i="86" s="1"/>
  <c r="AX92" i="86" s="1"/>
  <c r="AX93" i="86" s="1"/>
  <c r="AX94" i="86" s="1"/>
  <c r="AX95" i="86" s="1"/>
  <c r="AX96" i="86" s="1"/>
  <c r="AX97" i="86" s="1"/>
  <c r="AX98" i="86" s="1"/>
  <c r="AX99" i="86" s="1"/>
  <c r="AX100" i="86" s="1"/>
  <c r="AX101" i="86" s="1"/>
  <c r="AX102" i="86" s="1"/>
  <c r="AX103" i="86" s="1"/>
  <c r="AX104" i="86" s="1"/>
  <c r="AX105" i="86" s="1"/>
  <c r="AX106" i="86" s="1"/>
  <c r="AX107" i="86" s="1"/>
  <c r="AX108" i="86" s="1"/>
  <c r="AX109" i="86" s="1"/>
  <c r="AX110" i="86" s="1"/>
  <c r="AX111" i="86" s="1"/>
  <c r="AX112" i="86" s="1"/>
  <c r="AX113" i="86" s="1"/>
  <c r="AX114" i="86" s="1"/>
  <c r="AX115" i="86" s="1"/>
  <c r="AX116" i="86" s="1"/>
  <c r="AX117" i="86" s="1"/>
  <c r="AX118" i="86" s="1"/>
  <c r="AX119" i="86" s="1"/>
  <c r="AX120" i="86" s="1"/>
  <c r="AX121" i="86" s="1"/>
  <c r="E149" i="68"/>
  <c r="D149" i="68"/>
  <c r="H23" i="29"/>
  <c r="AB21" i="86" s="1"/>
  <c r="H22" i="29"/>
  <c r="AB20" i="86" s="1"/>
  <c r="D154" i="61"/>
  <c r="D156" i="61" s="1"/>
  <c r="F155" i="61"/>
  <c r="F156" i="61" s="1"/>
  <c r="E155" i="61"/>
  <c r="E156" i="61" s="1"/>
  <c r="D32" i="23"/>
  <c r="F149" i="68"/>
  <c r="AW6" i="86"/>
  <c r="AW7" i="86" s="1"/>
  <c r="AW8" i="86" s="1"/>
  <c r="AW9" i="86" s="1"/>
  <c r="AW10" i="86" s="1"/>
  <c r="AW11" i="86" s="1"/>
  <c r="AW12" i="86" s="1"/>
  <c r="AW13" i="86" s="1"/>
  <c r="AW14" i="86" s="1"/>
  <c r="AW15" i="86" s="1"/>
  <c r="AW16" i="86" s="1"/>
  <c r="AW17" i="86" s="1"/>
  <c r="AW18" i="86" s="1"/>
  <c r="AW19" i="86" s="1"/>
  <c r="AW20" i="86" s="1"/>
  <c r="AW21" i="86" s="1"/>
  <c r="AW22" i="86" s="1"/>
  <c r="AW23" i="86" s="1"/>
  <c r="AW24" i="86" s="1"/>
  <c r="AW25" i="86" s="1"/>
  <c r="AW26" i="86" s="1"/>
  <c r="AW27" i="86" s="1"/>
  <c r="AW28" i="86" s="1"/>
  <c r="AW29" i="86" s="1"/>
  <c r="AW30" i="86" s="1"/>
  <c r="AW31" i="86" s="1"/>
  <c r="AW32" i="86" s="1"/>
  <c r="AW33" i="86" s="1"/>
  <c r="AW34" i="86" s="1"/>
  <c r="AW35" i="86" s="1"/>
  <c r="AW36" i="86" s="1"/>
  <c r="AW37" i="86" s="1"/>
  <c r="AW38" i="86" s="1"/>
  <c r="AW39" i="86" s="1"/>
  <c r="AW40" i="86" s="1"/>
  <c r="AW41" i="86" s="1"/>
  <c r="AW42" i="86" s="1"/>
  <c r="AW43" i="86" s="1"/>
  <c r="AW44" i="86" s="1"/>
  <c r="AW45" i="86" s="1"/>
  <c r="AW46" i="86" s="1"/>
  <c r="AW47" i="86" s="1"/>
  <c r="AW48" i="86" s="1"/>
  <c r="AW49" i="86" s="1"/>
  <c r="AW50" i="86" s="1"/>
  <c r="AW51" i="86" s="1"/>
  <c r="AW52" i="86" s="1"/>
  <c r="AW53" i="86" s="1"/>
  <c r="AW54" i="86" s="1"/>
  <c r="AW55" i="86" s="1"/>
  <c r="AW56" i="86" s="1"/>
  <c r="AW57" i="86" s="1"/>
  <c r="AW58" i="86" s="1"/>
  <c r="AW59" i="86" s="1"/>
  <c r="AW60" i="86" s="1"/>
  <c r="AW61" i="86" s="1"/>
  <c r="AW62" i="86" s="1"/>
  <c r="AW63" i="86" s="1"/>
  <c r="AW64" i="86" s="1"/>
  <c r="AW65" i="86" s="1"/>
  <c r="AW66" i="86" s="1"/>
  <c r="AW67" i="86" s="1"/>
  <c r="AW68" i="86" s="1"/>
  <c r="AW69" i="86" s="1"/>
  <c r="AW70" i="86" s="1"/>
  <c r="AW71" i="86" s="1"/>
  <c r="AW72" i="86" s="1"/>
  <c r="AW73" i="86" s="1"/>
  <c r="AW74" i="86" s="1"/>
  <c r="AW75" i="86" s="1"/>
  <c r="AW76" i="86" s="1"/>
  <c r="AW77" i="86" s="1"/>
  <c r="AW78" i="86" s="1"/>
  <c r="AW79" i="86" s="1"/>
  <c r="AW80" i="86" s="1"/>
  <c r="AW81" i="86" s="1"/>
  <c r="AW82" i="86" s="1"/>
  <c r="AW83" i="86" s="1"/>
  <c r="AW84" i="86" s="1"/>
  <c r="AW85" i="86" s="1"/>
  <c r="AW86" i="86" s="1"/>
  <c r="AW87" i="86" s="1"/>
  <c r="AW88" i="86" s="1"/>
  <c r="AW89" i="86" s="1"/>
  <c r="AW90" i="86" s="1"/>
  <c r="AW91" i="86" s="1"/>
  <c r="AW92" i="86" s="1"/>
  <c r="AW93" i="86" s="1"/>
  <c r="AW94" i="86" s="1"/>
  <c r="AW95" i="86" s="1"/>
  <c r="AW96" i="86" s="1"/>
  <c r="AW97" i="86" s="1"/>
  <c r="AW98" i="86" s="1"/>
  <c r="AW99" i="86" s="1"/>
  <c r="AW100" i="86" s="1"/>
  <c r="AW101" i="86" s="1"/>
  <c r="AW102" i="86" s="1"/>
  <c r="AW103" i="86" s="1"/>
  <c r="AW104" i="86" s="1"/>
  <c r="AW105" i="86" s="1"/>
  <c r="AW106" i="86" s="1"/>
  <c r="AW107" i="86" s="1"/>
  <c r="AW108" i="86" s="1"/>
  <c r="AW109" i="86" s="1"/>
  <c r="AW110" i="86" s="1"/>
  <c r="AW111" i="86" s="1"/>
  <c r="AW112" i="86" s="1"/>
  <c r="AW113" i="86" s="1"/>
  <c r="AW114" i="86" s="1"/>
  <c r="AW115" i="86" s="1"/>
  <c r="AW116" i="86" s="1"/>
  <c r="AW117" i="86" s="1"/>
  <c r="AW118" i="86" s="1"/>
  <c r="AW119" i="86" s="1"/>
  <c r="AW120" i="86" s="1"/>
  <c r="AW121" i="86" s="1"/>
  <c r="H15" i="29"/>
  <c r="AB13" i="86" s="1"/>
  <c r="H33" i="29"/>
  <c r="AB31" i="86" s="1"/>
  <c r="H7" i="29"/>
  <c r="AB5" i="86" s="1"/>
  <c r="AO5" i="86" s="1"/>
  <c r="H18" i="29"/>
  <c r="AB16" i="86" s="1"/>
  <c r="AA123" i="86"/>
  <c r="H123" i="86"/>
  <c r="E123" i="86"/>
  <c r="H12" i="29"/>
  <c r="AB10" i="86" s="1"/>
  <c r="H13" i="29"/>
  <c r="AB11" i="86" s="1"/>
  <c r="H20" i="29"/>
  <c r="AB18" i="86" s="1"/>
  <c r="E32" i="23"/>
  <c r="H21" i="29"/>
  <c r="AB19" i="86" s="1"/>
  <c r="H11" i="29"/>
  <c r="AB9" i="86" s="1"/>
  <c r="H30" i="29"/>
  <c r="AB28" i="86" s="1"/>
  <c r="H16" i="29"/>
  <c r="AB14" i="86" s="1"/>
  <c r="H10" i="29"/>
  <c r="AB8" i="86" s="1"/>
  <c r="H29" i="29"/>
  <c r="AB27" i="86" s="1"/>
  <c r="H28" i="29"/>
  <c r="AB26" i="86" s="1"/>
  <c r="H14" i="29"/>
  <c r="AB12" i="86" s="1"/>
  <c r="H19" i="29"/>
  <c r="AB17" i="86" s="1"/>
  <c r="C126" i="29"/>
  <c r="H24" i="29"/>
  <c r="AB22" i="86" s="1"/>
  <c r="H8" i="29"/>
  <c r="AB6" i="86" s="1"/>
  <c r="B126" i="29"/>
  <c r="H32" i="29"/>
  <c r="AB30" i="86" s="1"/>
  <c r="H26" i="29"/>
  <c r="AB24" i="86" s="1"/>
  <c r="H17" i="29"/>
  <c r="AB15" i="86" s="1"/>
  <c r="H35" i="29"/>
  <c r="AB33" i="86" s="1"/>
  <c r="H34" i="29"/>
  <c r="AB32" i="86" s="1"/>
  <c r="H31" i="29"/>
  <c r="AB29" i="86" s="1"/>
  <c r="H9" i="29"/>
  <c r="AB7" i="86" s="1"/>
  <c r="H25" i="29"/>
  <c r="AB23" i="86" s="1"/>
  <c r="C143" i="6"/>
  <c r="C117" i="62" s="1"/>
  <c r="B143" i="6"/>
  <c r="B117" i="62" s="1"/>
  <c r="M31" i="23"/>
  <c r="H56" i="77"/>
  <c r="V23" i="86" s="1"/>
  <c r="H45" i="77"/>
  <c r="V12" i="86" s="1"/>
  <c r="H87" i="77"/>
  <c r="V54" i="86" s="1"/>
  <c r="H50" i="77"/>
  <c r="V17" i="86" s="1"/>
  <c r="H90" i="77"/>
  <c r="V57" i="86" s="1"/>
  <c r="H113" i="77"/>
  <c r="V80" i="86" s="1"/>
  <c r="H115" i="77"/>
  <c r="V82" i="86" s="1"/>
  <c r="H68" i="77"/>
  <c r="V35" i="86" s="1"/>
  <c r="H49" i="77"/>
  <c r="V16" i="86" s="1"/>
  <c r="H76" i="77"/>
  <c r="V43" i="86" s="1"/>
  <c r="H75" i="77"/>
  <c r="V42" i="86" s="1"/>
  <c r="H52" i="77"/>
  <c r="V19" i="86" s="1"/>
  <c r="H116" i="77"/>
  <c r="V83" i="86" s="1"/>
  <c r="H120" i="77"/>
  <c r="V87" i="86" s="1"/>
  <c r="H71" i="77"/>
  <c r="V38" i="86" s="1"/>
  <c r="H42" i="77"/>
  <c r="V9" i="86" s="1"/>
  <c r="H74" i="77"/>
  <c r="V41" i="86" s="1"/>
  <c r="H51" i="77"/>
  <c r="V18" i="86" s="1"/>
  <c r="H125" i="77"/>
  <c r="V92" i="86" s="1"/>
  <c r="H61" i="77"/>
  <c r="V28" i="86" s="1"/>
  <c r="H54" i="77"/>
  <c r="V21" i="86" s="1"/>
  <c r="H78" i="77"/>
  <c r="V45" i="86" s="1"/>
  <c r="H47" i="77"/>
  <c r="V14" i="86" s="1"/>
  <c r="H79" i="77"/>
  <c r="V46" i="86" s="1"/>
  <c r="H72" i="77"/>
  <c r="V39" i="86" s="1"/>
  <c r="H80" i="77"/>
  <c r="V47" i="86" s="1"/>
  <c r="H65" i="77"/>
  <c r="V32" i="86" s="1"/>
  <c r="H126" i="77"/>
  <c r="V93" i="86" s="1"/>
  <c r="H48" i="77"/>
  <c r="V15" i="86" s="1"/>
  <c r="H122" i="77"/>
  <c r="V89" i="86" s="1"/>
  <c r="H41" i="77"/>
  <c r="V8" i="86" s="1"/>
  <c r="H89" i="77"/>
  <c r="V56" i="86" s="1"/>
  <c r="H66" i="77"/>
  <c r="V33" i="86" s="1"/>
  <c r="H67" i="77"/>
  <c r="V34" i="86" s="1"/>
  <c r="H44" i="77"/>
  <c r="V11" i="86" s="1"/>
  <c r="H77" i="77"/>
  <c r="V44" i="86" s="1"/>
  <c r="H127" i="77"/>
  <c r="V94" i="86" s="1"/>
  <c r="H46" i="77"/>
  <c r="V13" i="86" s="1"/>
  <c r="H70" i="77"/>
  <c r="V37" i="86" s="1"/>
  <c r="H86" i="77"/>
  <c r="V53" i="86" s="1"/>
  <c r="H63" i="77"/>
  <c r="V30" i="86" s="1"/>
  <c r="H121" i="77"/>
  <c r="V88" i="86" s="1"/>
  <c r="H96" i="77"/>
  <c r="V63" i="86" s="1"/>
  <c r="H124" i="77"/>
  <c r="V91" i="86" s="1"/>
  <c r="H43" i="77"/>
  <c r="V10" i="86" s="1"/>
  <c r="H118" i="77"/>
  <c r="V85" i="86" s="1"/>
  <c r="H53" i="77"/>
  <c r="V20" i="86" s="1"/>
  <c r="H39" i="77"/>
  <c r="V6" i="86" s="1"/>
  <c r="H64" i="77"/>
  <c r="V31" i="86" s="1"/>
  <c r="H57" i="77"/>
  <c r="V24" i="86" s="1"/>
  <c r="H58" i="77"/>
  <c r="V25" i="86" s="1"/>
  <c r="H60" i="77"/>
  <c r="V27" i="86" s="1"/>
  <c r="H117" i="77"/>
  <c r="V84" i="86" s="1"/>
  <c r="H38" i="77"/>
  <c r="V5" i="86" s="1"/>
  <c r="H40" i="77"/>
  <c r="V7" i="86" s="1"/>
  <c r="H123" i="77"/>
  <c r="V90" i="86" s="1"/>
  <c r="H114" i="77"/>
  <c r="V81" i="86" s="1"/>
  <c r="H59" i="77"/>
  <c r="V26" i="86" s="1"/>
  <c r="H100" i="77"/>
  <c r="V67" i="86" s="1"/>
  <c r="H69" i="77"/>
  <c r="V36" i="86" s="1"/>
  <c r="H119" i="77"/>
  <c r="V86" i="86" s="1"/>
  <c r="H62" i="77"/>
  <c r="V29" i="86" s="1"/>
  <c r="H128" i="77"/>
  <c r="V95" i="86" s="1"/>
  <c r="H55" i="77"/>
  <c r="V22" i="86" s="1"/>
  <c r="H88" i="77"/>
  <c r="V55" i="86" s="1"/>
  <c r="H73" i="77"/>
  <c r="V40" i="86" s="1"/>
  <c r="B161" i="77"/>
  <c r="B149" i="68"/>
  <c r="I122" i="34"/>
  <c r="B121" i="62"/>
  <c r="B122" i="62"/>
  <c r="C111" i="62"/>
  <c r="AE111" i="86"/>
  <c r="AE103" i="86"/>
  <c r="AE101" i="86"/>
  <c r="AE99" i="86"/>
  <c r="AE109" i="86"/>
  <c r="AE115" i="86"/>
  <c r="B159" i="61"/>
  <c r="B155" i="61"/>
  <c r="B154" i="61"/>
  <c r="D25" i="23" s="1"/>
  <c r="G77" i="83"/>
  <c r="P27" i="83"/>
  <c r="G67" i="83"/>
  <c r="A11" i="69"/>
  <c r="A12" i="69" s="1"/>
  <c r="A13" i="69" s="1"/>
  <c r="A14" i="69" s="1"/>
  <c r="A15" i="69" s="1"/>
  <c r="A17" i="69" s="1"/>
  <c r="X60" i="69"/>
  <c r="Y59" i="69" s="1"/>
  <c r="P120" i="70"/>
  <c r="Q119" i="70" s="1"/>
  <c r="A14" i="70"/>
  <c r="A16" i="70" s="1"/>
  <c r="A36" i="72"/>
  <c r="K44" i="72" s="1"/>
  <c r="K43" i="72"/>
  <c r="L42" i="72" s="1"/>
  <c r="V16" i="69"/>
  <c r="U16" i="69"/>
  <c r="I26" i="23"/>
  <c r="C156" i="61"/>
  <c r="U37" i="69"/>
  <c r="V37" i="69"/>
  <c r="U42" i="69"/>
  <c r="V42" i="69"/>
  <c r="E28" i="23"/>
  <c r="B158" i="68"/>
  <c r="A16" i="71"/>
  <c r="W34" i="71"/>
  <c r="X33" i="71" s="1"/>
  <c r="B128" i="27"/>
  <c r="V9" i="69"/>
  <c r="V46" i="69"/>
  <c r="U34" i="69"/>
  <c r="A10" i="74"/>
  <c r="A11" i="74" s="1"/>
  <c r="A13" i="74" s="1"/>
  <c r="H22" i="74"/>
  <c r="I21" i="74" s="1"/>
  <c r="M24" i="72"/>
  <c r="G90" i="83"/>
  <c r="C73" i="66"/>
  <c r="C75" i="66" s="1"/>
  <c r="G86" i="83"/>
  <c r="G63" i="83"/>
  <c r="B157" i="68"/>
  <c r="G51" i="83"/>
  <c r="G88" i="83"/>
  <c r="G42" i="83"/>
  <c r="G55" i="83"/>
  <c r="G36" i="83"/>
  <c r="B157" i="77"/>
  <c r="O128" i="27"/>
  <c r="J128" i="27"/>
  <c r="G137" i="6"/>
  <c r="G85" i="66" s="1"/>
  <c r="F133" i="21"/>
  <c r="F134" i="21" s="1"/>
  <c r="F135" i="21" s="1"/>
  <c r="F136" i="21" s="1"/>
  <c r="F137" i="21" s="1"/>
  <c r="F138" i="21" s="1"/>
  <c r="F139" i="21" s="1"/>
  <c r="F140" i="21" s="1"/>
  <c r="F141" i="21" s="1"/>
  <c r="F142" i="21" s="1"/>
  <c r="F143" i="21" s="1"/>
  <c r="F144" i="21" s="1"/>
  <c r="F145" i="21" s="1"/>
  <c r="F146" i="21" s="1"/>
  <c r="F147" i="21" s="1"/>
  <c r="F148" i="21" s="1"/>
  <c r="F149" i="21" s="1"/>
  <c r="F150" i="21" s="1"/>
  <c r="F151" i="21" s="1"/>
  <c r="F152" i="21" s="1"/>
  <c r="F153" i="21" s="1"/>
  <c r="F154" i="21" s="1"/>
  <c r="F155" i="21" s="1"/>
  <c r="F156" i="21" s="1"/>
  <c r="F157" i="21" s="1"/>
  <c r="F158" i="21" s="1"/>
  <c r="F159" i="21" s="1"/>
  <c r="F160" i="21" s="1"/>
  <c r="F161" i="21" s="1"/>
  <c r="F162" i="21" s="1"/>
  <c r="F163" i="21" s="1"/>
  <c r="F164" i="21" s="1"/>
  <c r="F165" i="21" s="1"/>
  <c r="F166" i="21" s="1"/>
  <c r="F167" i="21" s="1"/>
  <c r="F168" i="21" s="1"/>
  <c r="F169" i="21" s="1"/>
  <c r="F170" i="21" s="1"/>
  <c r="F171" i="21" s="1"/>
  <c r="F172" i="21" s="1"/>
  <c r="F173" i="21" s="1"/>
  <c r="F174" i="21" s="1"/>
  <c r="F175" i="21" s="1"/>
  <c r="F176" i="21" s="1"/>
  <c r="F177" i="21" s="1"/>
  <c r="F178" i="21" s="1"/>
  <c r="F179" i="21" s="1"/>
  <c r="F180" i="21" s="1"/>
  <c r="F181" i="21" s="1"/>
  <c r="F182" i="21" s="1"/>
  <c r="F183" i="21" s="1"/>
  <c r="F184" i="21" s="1"/>
  <c r="F185" i="21" s="1"/>
  <c r="F186" i="21" s="1"/>
  <c r="F187" i="21" s="1"/>
  <c r="F188" i="21" s="1"/>
  <c r="F189" i="21" s="1"/>
  <c r="F190" i="21" s="1"/>
  <c r="F191" i="21" s="1"/>
  <c r="F192" i="21" s="1"/>
  <c r="F193" i="21" s="1"/>
  <c r="F194" i="21" s="1"/>
  <c r="F195" i="21" s="1"/>
  <c r="F196" i="21" s="1"/>
  <c r="F197" i="21" s="1"/>
  <c r="F198" i="21" s="1"/>
  <c r="F199" i="21" s="1"/>
  <c r="F200" i="21" s="1"/>
  <c r="F201" i="21" s="1"/>
  <c r="F202" i="21" s="1"/>
  <c r="F203" i="21" s="1"/>
  <c r="F204" i="21" s="1"/>
  <c r="F205" i="21" s="1"/>
  <c r="F206" i="21" s="1"/>
  <c r="F207" i="21" s="1"/>
  <c r="F208" i="21" s="1"/>
  <c r="F209" i="21" s="1"/>
  <c r="F210" i="21" s="1"/>
  <c r="F211" i="21" s="1"/>
  <c r="F212" i="21" s="1"/>
  <c r="F213" i="21" s="1"/>
  <c r="F214" i="21" s="1"/>
  <c r="F215" i="21" s="1"/>
  <c r="F216" i="21" s="1"/>
  <c r="F217" i="21" s="1"/>
  <c r="F218" i="21" s="1"/>
  <c r="F219" i="21" s="1"/>
  <c r="F220" i="21" s="1"/>
  <c r="F221" i="21" s="1"/>
  <c r="F222" i="21" s="1"/>
  <c r="F223" i="21" s="1"/>
  <c r="F224" i="21" s="1"/>
  <c r="F225" i="21" s="1"/>
  <c r="F226" i="21" s="1"/>
  <c r="F227" i="21" s="1"/>
  <c r="F228" i="21" s="1"/>
  <c r="F229" i="21" s="1"/>
  <c r="F230" i="21" s="1"/>
  <c r="F231" i="21" s="1"/>
  <c r="F232" i="21" s="1"/>
  <c r="F233" i="21" s="1"/>
  <c r="F234" i="21" s="1"/>
  <c r="F235" i="21" s="1"/>
  <c r="F236" i="21" s="1"/>
  <c r="F237" i="21" s="1"/>
  <c r="F238" i="21" s="1"/>
  <c r="F239" i="21" s="1"/>
  <c r="F240" i="21" s="1"/>
  <c r="F241" i="21" s="1"/>
  <c r="F242" i="21" s="1"/>
  <c r="F243" i="21" s="1"/>
  <c r="F244" i="21" s="1"/>
  <c r="F245" i="21" s="1"/>
  <c r="F246" i="21" s="1"/>
  <c r="F247" i="21" s="1"/>
  <c r="F248" i="21" s="1"/>
  <c r="F249" i="21" s="1"/>
  <c r="F121" i="21"/>
  <c r="C121" i="21"/>
  <c r="G121" i="21"/>
  <c r="I31" i="23"/>
  <c r="E128" i="27"/>
  <c r="D160" i="77"/>
  <c r="D161" i="77" s="1"/>
  <c r="D162" i="77" s="1"/>
  <c r="D163" i="77" s="1"/>
  <c r="D164" i="77" s="1"/>
  <c r="D165" i="77" s="1"/>
  <c r="D166" i="77" s="1"/>
  <c r="D167" i="77" s="1"/>
  <c r="D168" i="77" s="1"/>
  <c r="D169" i="77" s="1"/>
  <c r="D170" i="77" s="1"/>
  <c r="D171" i="77" s="1"/>
  <c r="D172" i="77" s="1"/>
  <c r="D173" i="77" s="1"/>
  <c r="D174" i="77" s="1"/>
  <c r="D175" i="77" s="1"/>
  <c r="D176" i="77" s="1"/>
  <c r="D177" i="77" s="1"/>
  <c r="D178" i="77" s="1"/>
  <c r="D179" i="77" s="1"/>
  <c r="D180" i="77" s="1"/>
  <c r="D181" i="77" s="1"/>
  <c r="D182" i="77" s="1"/>
  <c r="D183" i="77" s="1"/>
  <c r="D184" i="77" s="1"/>
  <c r="D185" i="77" s="1"/>
  <c r="D186" i="77" s="1"/>
  <c r="D187" i="77" s="1"/>
  <c r="D188" i="77" s="1"/>
  <c r="D189" i="77" s="1"/>
  <c r="D190" i="77" s="1"/>
  <c r="D191" i="77" s="1"/>
  <c r="D192" i="77" s="1"/>
  <c r="D193" i="77" s="1"/>
  <c r="D194" i="77" s="1"/>
  <c r="D195" i="77" s="1"/>
  <c r="D196" i="77" s="1"/>
  <c r="D197" i="77" s="1"/>
  <c r="D198" i="77" s="1"/>
  <c r="D199" i="77" s="1"/>
  <c r="D200" i="77" s="1"/>
  <c r="D201" i="77" s="1"/>
  <c r="D202" i="77" s="1"/>
  <c r="G58" i="83"/>
  <c r="N121" i="83"/>
  <c r="B121" i="83"/>
  <c r="B51" i="81" s="1"/>
  <c r="K121" i="83"/>
  <c r="O121" i="83"/>
  <c r="M121" i="83"/>
  <c r="G11" i="83"/>
  <c r="F121" i="83"/>
  <c r="F51" i="81" s="1"/>
  <c r="E121" i="83"/>
  <c r="E51" i="81" s="1"/>
  <c r="L121" i="83"/>
  <c r="F161" i="77"/>
  <c r="F162" i="77" s="1"/>
  <c r="F163" i="77" s="1"/>
  <c r="F164" i="77" s="1"/>
  <c r="F165" i="77" s="1"/>
  <c r="F166" i="77" s="1"/>
  <c r="F167" i="77" s="1"/>
  <c r="F168" i="77" s="1"/>
  <c r="F169" i="77" s="1"/>
  <c r="F170" i="77" s="1"/>
  <c r="F171" i="77" s="1"/>
  <c r="F172" i="77" s="1"/>
  <c r="F173" i="77" s="1"/>
  <c r="F174" i="77" s="1"/>
  <c r="F175" i="77" s="1"/>
  <c r="F176" i="77" s="1"/>
  <c r="F177" i="77" s="1"/>
  <c r="F178" i="77" s="1"/>
  <c r="F179" i="77" s="1"/>
  <c r="F180" i="77" s="1"/>
  <c r="F181" i="77" s="1"/>
  <c r="F182" i="77" s="1"/>
  <c r="F183" i="77" s="1"/>
  <c r="F184" i="77" s="1"/>
  <c r="F185" i="77" s="1"/>
  <c r="F186" i="77" s="1"/>
  <c r="F187" i="77" s="1"/>
  <c r="F188" i="77" s="1"/>
  <c r="F189" i="77" s="1"/>
  <c r="F190" i="77" s="1"/>
  <c r="F191" i="77" s="1"/>
  <c r="F192" i="77" s="1"/>
  <c r="F193" i="77" s="1"/>
  <c r="F194" i="77" s="1"/>
  <c r="F195" i="77" s="1"/>
  <c r="F196" i="77" s="1"/>
  <c r="F197" i="77" s="1"/>
  <c r="F198" i="77" s="1"/>
  <c r="F199" i="77" s="1"/>
  <c r="F200" i="77" s="1"/>
  <c r="F201" i="77" s="1"/>
  <c r="F202" i="77" s="1"/>
  <c r="C160" i="77"/>
  <c r="C161" i="77" s="1"/>
  <c r="C162" i="77" s="1"/>
  <c r="C163" i="77" s="1"/>
  <c r="C164" i="77" s="1"/>
  <c r="C165" i="77" s="1"/>
  <c r="C166" i="77" s="1"/>
  <c r="C167" i="77" s="1"/>
  <c r="C168" i="77" s="1"/>
  <c r="C169" i="77" s="1"/>
  <c r="C170" i="77" s="1"/>
  <c r="C171" i="77" s="1"/>
  <c r="C172" i="77" s="1"/>
  <c r="C173" i="77" s="1"/>
  <c r="C174" i="77" s="1"/>
  <c r="C175" i="77" s="1"/>
  <c r="C176" i="77" s="1"/>
  <c r="C177" i="77" s="1"/>
  <c r="C178" i="77" s="1"/>
  <c r="C179" i="77" s="1"/>
  <c r="C180" i="77" s="1"/>
  <c r="C181" i="77" s="1"/>
  <c r="C182" i="77" s="1"/>
  <c r="C183" i="77" s="1"/>
  <c r="C184" i="77" s="1"/>
  <c r="C185" i="77" s="1"/>
  <c r="C186" i="77" s="1"/>
  <c r="C187" i="77" s="1"/>
  <c r="C188" i="77" s="1"/>
  <c r="C189" i="77" s="1"/>
  <c r="C190" i="77" s="1"/>
  <c r="C191" i="77" s="1"/>
  <c r="C192" i="77" s="1"/>
  <c r="C193" i="77" s="1"/>
  <c r="C194" i="77" s="1"/>
  <c r="C195" i="77" s="1"/>
  <c r="C196" i="77" s="1"/>
  <c r="C197" i="77" s="1"/>
  <c r="C198" i="77" s="1"/>
  <c r="C199" i="77" s="1"/>
  <c r="C200" i="77" s="1"/>
  <c r="C201" i="77" s="1"/>
  <c r="C202" i="77" s="1"/>
  <c r="G20" i="83"/>
  <c r="G3" i="83"/>
  <c r="G93" i="83"/>
  <c r="G83" i="83"/>
  <c r="D121" i="83"/>
  <c r="D51" i="81" s="1"/>
  <c r="C121" i="83"/>
  <c r="C51" i="81" s="1"/>
  <c r="G85" i="83"/>
  <c r="G61" i="83"/>
  <c r="G27" i="83"/>
  <c r="P57" i="83"/>
  <c r="P82" i="83"/>
  <c r="G44" i="83"/>
  <c r="P24" i="83"/>
  <c r="G87" i="83"/>
  <c r="P50" i="83"/>
  <c r="P66" i="83"/>
  <c r="G25" i="83"/>
  <c r="G78" i="83"/>
  <c r="G10" i="83"/>
  <c r="P26" i="83"/>
  <c r="P68" i="83"/>
  <c r="P79" i="83"/>
  <c r="G41" i="83"/>
  <c r="G12" i="83"/>
  <c r="G28" i="83"/>
  <c r="P32" i="83"/>
  <c r="G60" i="83"/>
  <c r="P37" i="83"/>
  <c r="P45" i="83"/>
  <c r="P91" i="83"/>
  <c r="G31" i="83"/>
  <c r="G53" i="83"/>
  <c r="P25" i="83"/>
  <c r="G79" i="83"/>
  <c r="P69" i="83"/>
  <c r="G47" i="83"/>
  <c r="G40" i="83"/>
  <c r="G48" i="83"/>
  <c r="G19" i="83"/>
  <c r="P53" i="83"/>
  <c r="P41" i="83"/>
  <c r="G66" i="83"/>
  <c r="G82" i="83"/>
  <c r="P56" i="83"/>
  <c r="P64" i="83"/>
  <c r="P80" i="83"/>
  <c r="P35" i="83"/>
  <c r="P22" i="83"/>
  <c r="G69" i="83"/>
  <c r="G71" i="83"/>
  <c r="P40" i="83"/>
  <c r="P48" i="83"/>
  <c r="G45" i="83"/>
  <c r="P81" i="83"/>
  <c r="P85" i="83"/>
  <c r="G22" i="83"/>
  <c r="P30" i="83"/>
  <c r="G50" i="83"/>
  <c r="E160" i="77"/>
  <c r="E161" i="77" s="1"/>
  <c r="E162" i="77" s="1"/>
  <c r="E163" i="77" s="1"/>
  <c r="E164" i="77" s="1"/>
  <c r="E165" i="77" s="1"/>
  <c r="E166" i="77" s="1"/>
  <c r="E167" i="77" s="1"/>
  <c r="E168" i="77" s="1"/>
  <c r="E169" i="77" s="1"/>
  <c r="E170" i="77" s="1"/>
  <c r="E171" i="77" s="1"/>
  <c r="E172" i="77" s="1"/>
  <c r="E173" i="77" s="1"/>
  <c r="E174" i="77" s="1"/>
  <c r="E175" i="77" s="1"/>
  <c r="E176" i="77" s="1"/>
  <c r="E177" i="77" s="1"/>
  <c r="E178" i="77" s="1"/>
  <c r="E179" i="77" s="1"/>
  <c r="E180" i="77" s="1"/>
  <c r="E181" i="77" s="1"/>
  <c r="E182" i="77" s="1"/>
  <c r="E183" i="77" s="1"/>
  <c r="E184" i="77" s="1"/>
  <c r="E185" i="77" s="1"/>
  <c r="E186" i="77" s="1"/>
  <c r="E187" i="77" s="1"/>
  <c r="E188" i="77" s="1"/>
  <c r="E189" i="77" s="1"/>
  <c r="E190" i="77" s="1"/>
  <c r="E191" i="77" s="1"/>
  <c r="E192" i="77" s="1"/>
  <c r="E193" i="77" s="1"/>
  <c r="E194" i="77" s="1"/>
  <c r="E195" i="77" s="1"/>
  <c r="E196" i="77" s="1"/>
  <c r="E197" i="77" s="1"/>
  <c r="E198" i="77" s="1"/>
  <c r="E199" i="77" s="1"/>
  <c r="E200" i="77" s="1"/>
  <c r="E201" i="77" s="1"/>
  <c r="E202" i="77" s="1"/>
  <c r="P74" i="83"/>
  <c r="G64" i="83"/>
  <c r="P34" i="83"/>
  <c r="P21" i="83"/>
  <c r="G29" i="83"/>
  <c r="G35" i="83"/>
  <c r="P46" i="83"/>
  <c r="P10" i="83"/>
  <c r="G75" i="83"/>
  <c r="P12" i="83"/>
  <c r="G54" i="83"/>
  <c r="G73" i="83"/>
  <c r="P49" i="83"/>
  <c r="G56" i="83"/>
  <c r="P31" i="83"/>
  <c r="G5" i="83"/>
  <c r="P29" i="83"/>
  <c r="G81" i="83"/>
  <c r="G43" i="83"/>
  <c r="P88" i="83"/>
  <c r="G38" i="83"/>
  <c r="P76" i="83"/>
  <c r="P58" i="83"/>
  <c r="P59" i="83"/>
  <c r="G39" i="83"/>
  <c r="P17" i="83"/>
  <c r="G59" i="83"/>
  <c r="P87" i="83"/>
  <c r="P52" i="83"/>
  <c r="P44" i="83"/>
  <c r="P23" i="83"/>
  <c r="P72" i="83"/>
  <c r="P90" i="83"/>
  <c r="G6" i="83"/>
  <c r="G14" i="83"/>
  <c r="G92" i="83"/>
  <c r="P18" i="83"/>
  <c r="P78" i="83"/>
  <c r="G57" i="83"/>
  <c r="P28" i="83"/>
  <c r="G49" i="83"/>
  <c r="P38" i="83"/>
  <c r="G7" i="83"/>
  <c r="G46" i="83"/>
  <c r="G70" i="83"/>
  <c r="P77" i="83"/>
  <c r="P9" i="83"/>
  <c r="P71" i="83"/>
  <c r="P61" i="83"/>
  <c r="P75" i="83"/>
  <c r="G52" i="83"/>
  <c r="G84" i="83"/>
  <c r="P92" i="83"/>
  <c r="G74" i="83"/>
  <c r="P36" i="83"/>
  <c r="P7" i="83"/>
  <c r="P15" i="83"/>
  <c r="P83" i="83"/>
  <c r="P5" i="83"/>
  <c r="G13" i="83"/>
  <c r="P33" i="83"/>
  <c r="P8" i="83"/>
  <c r="P51" i="83"/>
  <c r="G80" i="83"/>
  <c r="P43" i="83"/>
  <c r="G33" i="83"/>
  <c r="G76" i="83"/>
  <c r="G72" i="83"/>
  <c r="G62" i="83"/>
  <c r="P11" i="83"/>
  <c r="G4" i="83"/>
  <c r="G65" i="83"/>
  <c r="G9" i="83"/>
  <c r="P16" i="83"/>
  <c r="P39" i="83"/>
  <c r="G26" i="83"/>
  <c r="P70" i="83"/>
  <c r="P60" i="83"/>
  <c r="P3" i="83"/>
  <c r="P4" i="83"/>
  <c r="P20" i="83"/>
  <c r="G37" i="83"/>
  <c r="P89" i="83"/>
  <c r="P54" i="83"/>
  <c r="P62" i="83"/>
  <c r="P55" i="83"/>
  <c r="G68" i="83"/>
  <c r="G23" i="83"/>
  <c r="G17" i="83"/>
  <c r="P47" i="83"/>
  <c r="P84" i="83"/>
  <c r="G15" i="83"/>
  <c r="P42" i="83"/>
  <c r="P67" i="83"/>
  <c r="P93" i="83"/>
  <c r="P86" i="83"/>
  <c r="G18" i="83"/>
  <c r="P19" i="83"/>
  <c r="P65" i="83"/>
  <c r="G8" i="83"/>
  <c r="G16" i="83"/>
  <c r="G24" i="83"/>
  <c r="G32" i="83"/>
  <c r="G91" i="83"/>
  <c r="G89" i="83"/>
  <c r="G34" i="83"/>
  <c r="P13" i="83"/>
  <c r="G21" i="83"/>
  <c r="P73" i="83"/>
  <c r="P63" i="83"/>
  <c r="P6" i="83"/>
  <c r="P14" i="83"/>
  <c r="G30" i="83"/>
  <c r="B90" i="62"/>
  <c r="D28" i="23"/>
  <c r="C73" i="62"/>
  <c r="E27" i="23"/>
  <c r="D27" i="23"/>
  <c r="B80" i="62" s="1"/>
  <c r="B73" i="62"/>
  <c r="S71" i="66"/>
  <c r="S74" i="66" s="1"/>
  <c r="C140" i="6"/>
  <c r="C86" i="66" s="1"/>
  <c r="J71" i="66"/>
  <c r="P71" i="66"/>
  <c r="C137" i="6"/>
  <c r="C85" i="66" s="1"/>
  <c r="N71" i="66"/>
  <c r="R133" i="21"/>
  <c r="R134" i="21" s="1"/>
  <c r="H31" i="73"/>
  <c r="L71" i="66"/>
  <c r="H25" i="73"/>
  <c r="F74" i="66"/>
  <c r="F75" i="66" s="1"/>
  <c r="F140" i="6"/>
  <c r="F86" i="66" s="1"/>
  <c r="K71" i="66"/>
  <c r="O71" i="66"/>
  <c r="Q133" i="21"/>
  <c r="M133" i="21"/>
  <c r="F26" i="73"/>
  <c r="F33" i="73"/>
  <c r="F137" i="6"/>
  <c r="F85" i="66" s="1"/>
  <c r="K133" i="21"/>
  <c r="K134" i="21" s="1"/>
  <c r="M71" i="66"/>
  <c r="Q71" i="66"/>
  <c r="R71" i="66"/>
  <c r="I30" i="23"/>
  <c r="M30" i="23"/>
  <c r="I35" i="66"/>
  <c r="I84" i="66" s="1"/>
  <c r="I25" i="73"/>
  <c r="I32" i="73"/>
  <c r="I73" i="66"/>
  <c r="I137" i="6"/>
  <c r="I85" i="66" s="1"/>
  <c r="I74" i="66"/>
  <c r="I140" i="6"/>
  <c r="I86" i="66" s="1"/>
  <c r="H71" i="66"/>
  <c r="G140" i="6"/>
  <c r="G86" i="66" s="1"/>
  <c r="G73" i="66"/>
  <c r="G75" i="66" s="1"/>
  <c r="G133" i="21"/>
  <c r="G134" i="21" s="1"/>
  <c r="G135" i="21" s="1"/>
  <c r="G136" i="21" s="1"/>
  <c r="G137" i="21" s="1"/>
  <c r="G138" i="21" s="1"/>
  <c r="G139" i="21" s="1"/>
  <c r="G140" i="21" s="1"/>
  <c r="G141" i="21" s="1"/>
  <c r="G142" i="21" s="1"/>
  <c r="G143" i="21" s="1"/>
  <c r="G144" i="21" s="1"/>
  <c r="G145" i="21" s="1"/>
  <c r="G146" i="21" s="1"/>
  <c r="G147" i="21" s="1"/>
  <c r="G148" i="21" s="1"/>
  <c r="G149" i="21" s="1"/>
  <c r="G150" i="21" s="1"/>
  <c r="G151" i="21" s="1"/>
  <c r="G152" i="21" s="1"/>
  <c r="G153" i="21" s="1"/>
  <c r="G154" i="21" s="1"/>
  <c r="G155" i="21" s="1"/>
  <c r="G156" i="21" s="1"/>
  <c r="G157" i="21" s="1"/>
  <c r="G158" i="21" s="1"/>
  <c r="G159" i="21" s="1"/>
  <c r="G160" i="21" s="1"/>
  <c r="G161" i="21" s="1"/>
  <c r="G162" i="21" s="1"/>
  <c r="G163" i="21" s="1"/>
  <c r="G164" i="21" s="1"/>
  <c r="G165" i="21" s="1"/>
  <c r="G166" i="21" s="1"/>
  <c r="G167" i="21" s="1"/>
  <c r="G168" i="21" s="1"/>
  <c r="G169" i="21" s="1"/>
  <c r="G170" i="21" s="1"/>
  <c r="G171" i="21" s="1"/>
  <c r="G172" i="21" s="1"/>
  <c r="G173" i="21" s="1"/>
  <c r="G174" i="21" s="1"/>
  <c r="G175" i="21" s="1"/>
  <c r="G176" i="21" s="1"/>
  <c r="G177" i="21" s="1"/>
  <c r="G178" i="21" s="1"/>
  <c r="G179" i="21" s="1"/>
  <c r="G180" i="21" s="1"/>
  <c r="G181" i="21" s="1"/>
  <c r="G182" i="21" s="1"/>
  <c r="G183" i="21" s="1"/>
  <c r="G184" i="21" s="1"/>
  <c r="G185" i="21" s="1"/>
  <c r="G186" i="21" s="1"/>
  <c r="G187" i="21" s="1"/>
  <c r="G188" i="21" s="1"/>
  <c r="G189" i="21" s="1"/>
  <c r="G190" i="21" s="1"/>
  <c r="G191" i="21" s="1"/>
  <c r="G192" i="21" s="1"/>
  <c r="G193" i="21" s="1"/>
  <c r="G194" i="21" s="1"/>
  <c r="G195" i="21" s="1"/>
  <c r="G196" i="21" s="1"/>
  <c r="G197" i="21" s="1"/>
  <c r="G198" i="21" s="1"/>
  <c r="G199" i="21" s="1"/>
  <c r="G200" i="21" s="1"/>
  <c r="G201" i="21" s="1"/>
  <c r="G202" i="21" s="1"/>
  <c r="G203" i="21" s="1"/>
  <c r="G204" i="21" s="1"/>
  <c r="G205" i="21" s="1"/>
  <c r="G206" i="21" s="1"/>
  <c r="G207" i="21" s="1"/>
  <c r="G208" i="21" s="1"/>
  <c r="G209" i="21" s="1"/>
  <c r="G210" i="21" s="1"/>
  <c r="G211" i="21" s="1"/>
  <c r="G212" i="21" s="1"/>
  <c r="G213" i="21" s="1"/>
  <c r="G214" i="21" s="1"/>
  <c r="G215" i="21" s="1"/>
  <c r="G216" i="21" s="1"/>
  <c r="G217" i="21" s="1"/>
  <c r="G218" i="21" s="1"/>
  <c r="G219" i="21" s="1"/>
  <c r="G220" i="21" s="1"/>
  <c r="G221" i="21" s="1"/>
  <c r="G222" i="21" s="1"/>
  <c r="G223" i="21" s="1"/>
  <c r="G224" i="21" s="1"/>
  <c r="G225" i="21" s="1"/>
  <c r="G226" i="21" s="1"/>
  <c r="G227" i="21" s="1"/>
  <c r="G228" i="21" s="1"/>
  <c r="G229" i="21" s="1"/>
  <c r="G230" i="21" s="1"/>
  <c r="G231" i="21" s="1"/>
  <c r="G232" i="21" s="1"/>
  <c r="G233" i="21" s="1"/>
  <c r="G234" i="21" s="1"/>
  <c r="G235" i="21" s="1"/>
  <c r="G236" i="21" s="1"/>
  <c r="G237" i="21" s="1"/>
  <c r="G238" i="21" s="1"/>
  <c r="G239" i="21" s="1"/>
  <c r="G240" i="21" s="1"/>
  <c r="G241" i="21" s="1"/>
  <c r="G242" i="21" s="1"/>
  <c r="G243" i="21" s="1"/>
  <c r="G244" i="21" s="1"/>
  <c r="G245" i="21" s="1"/>
  <c r="G246" i="21" s="1"/>
  <c r="G247" i="21" s="1"/>
  <c r="G248" i="21" s="1"/>
  <c r="G249" i="21" s="1"/>
  <c r="E137" i="6"/>
  <c r="E85" i="66" s="1"/>
  <c r="E133" i="21"/>
  <c r="D71" i="66"/>
  <c r="C133" i="2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168" i="21" s="1"/>
  <c r="C169" i="21" s="1"/>
  <c r="C170" i="21" s="1"/>
  <c r="C171" i="21" s="1"/>
  <c r="C172" i="21" s="1"/>
  <c r="C173" i="21" s="1"/>
  <c r="C174" i="21" s="1"/>
  <c r="C175" i="21" s="1"/>
  <c r="C176" i="21" s="1"/>
  <c r="C177" i="21" s="1"/>
  <c r="C178" i="21" s="1"/>
  <c r="C179" i="21" s="1"/>
  <c r="C180" i="21" s="1"/>
  <c r="C181" i="21" s="1"/>
  <c r="C182" i="21" s="1"/>
  <c r="C183" i="21" s="1"/>
  <c r="C184" i="21" s="1"/>
  <c r="C185" i="21" s="1"/>
  <c r="C186" i="21" s="1"/>
  <c r="C187" i="21" s="1"/>
  <c r="C188" i="21" s="1"/>
  <c r="C189" i="21" s="1"/>
  <c r="C190" i="21" s="1"/>
  <c r="C191" i="21" s="1"/>
  <c r="C192" i="21" s="1"/>
  <c r="C193" i="21" s="1"/>
  <c r="C194" i="21" s="1"/>
  <c r="C195" i="21" s="1"/>
  <c r="C196" i="21" s="1"/>
  <c r="C197" i="21" s="1"/>
  <c r="C198" i="21" s="1"/>
  <c r="C199" i="21" s="1"/>
  <c r="C200" i="21" s="1"/>
  <c r="C201" i="21" s="1"/>
  <c r="C202" i="21" s="1"/>
  <c r="C203" i="21" s="1"/>
  <c r="C204" i="21" s="1"/>
  <c r="C205" i="21" s="1"/>
  <c r="C206" i="21" s="1"/>
  <c r="C207" i="21" s="1"/>
  <c r="C208" i="21" s="1"/>
  <c r="C209" i="21" s="1"/>
  <c r="C210" i="21" s="1"/>
  <c r="C211" i="21" s="1"/>
  <c r="C212" i="21" s="1"/>
  <c r="C213" i="21" s="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C238" i="21" s="1"/>
  <c r="C239" i="21" s="1"/>
  <c r="C240" i="21" s="1"/>
  <c r="C241" i="21" s="1"/>
  <c r="C242" i="21" s="1"/>
  <c r="C243" i="21" s="1"/>
  <c r="C244" i="21" s="1"/>
  <c r="C245" i="21" s="1"/>
  <c r="C246" i="21" s="1"/>
  <c r="C247" i="21" s="1"/>
  <c r="C248" i="21" s="1"/>
  <c r="C249" i="21" s="1"/>
  <c r="B26" i="73"/>
  <c r="V52" i="21" l="1"/>
  <c r="U55" i="86" s="1"/>
  <c r="AG55" i="86" s="1"/>
  <c r="V35" i="21"/>
  <c r="U38" i="86" s="1"/>
  <c r="AG38" i="86" s="1"/>
  <c r="V17" i="21"/>
  <c r="U20" i="86" s="1"/>
  <c r="AG20" i="86" s="1"/>
  <c r="V93" i="21"/>
  <c r="U96" i="86" s="1"/>
  <c r="AG96" i="86" s="1"/>
  <c r="V92" i="21"/>
  <c r="U95" i="86" s="1"/>
  <c r="AG95" i="86" s="1"/>
  <c r="V81" i="21"/>
  <c r="U84" i="86" s="1"/>
  <c r="AG84" i="86" s="1"/>
  <c r="E203" i="77"/>
  <c r="E204" i="77" s="1"/>
  <c r="E205" i="77" s="1"/>
  <c r="E206" i="77" s="1"/>
  <c r="E207" i="77" s="1"/>
  <c r="E208" i="77" s="1"/>
  <c r="E209" i="77" s="1"/>
  <c r="E210" i="77" s="1"/>
  <c r="E211" i="77" s="1"/>
  <c r="E212" i="77" s="1"/>
  <c r="E213" i="77" s="1"/>
  <c r="E214" i="77" s="1"/>
  <c r="E215" i="77" s="1"/>
  <c r="E216" i="77" s="1"/>
  <c r="E217" i="77" s="1"/>
  <c r="E218" i="77" s="1"/>
  <c r="E219" i="77" s="1"/>
  <c r="E220" i="77" s="1"/>
  <c r="E221" i="77" s="1"/>
  <c r="E222" i="77" s="1"/>
  <c r="E223" i="77" s="1"/>
  <c r="E224" i="77" s="1"/>
  <c r="E225" i="77" s="1"/>
  <c r="E226" i="77" s="1"/>
  <c r="E227" i="77" s="1"/>
  <c r="E228" i="77" s="1"/>
  <c r="E229" i="77" s="1"/>
  <c r="E230" i="77" s="1"/>
  <c r="E231" i="77" s="1"/>
  <c r="E232" i="77" s="1"/>
  <c r="E233" i="77" s="1"/>
  <c r="E234" i="77" s="1"/>
  <c r="E235" i="77" s="1"/>
  <c r="E236" i="77" s="1"/>
  <c r="E237" i="77" s="1"/>
  <c r="E238" i="77" s="1"/>
  <c r="E239" i="77" s="1"/>
  <c r="E240" i="77" s="1"/>
  <c r="E241" i="77" s="1"/>
  <c r="E242" i="77" s="1"/>
  <c r="E243" i="77" s="1"/>
  <c r="E244" i="77" s="1"/>
  <c r="E245" i="77" s="1"/>
  <c r="E246" i="77" s="1"/>
  <c r="E247" i="77" s="1"/>
  <c r="E248" i="77" s="1"/>
  <c r="E249" i="77" s="1"/>
  <c r="E250" i="77" s="1"/>
  <c r="E251" i="77" s="1"/>
  <c r="E252" i="77" s="1"/>
  <c r="E253" i="77" s="1"/>
  <c r="E254" i="77" s="1"/>
  <c r="E255" i="77" s="1"/>
  <c r="E256" i="77" s="1"/>
  <c r="E257" i="77" s="1"/>
  <c r="E258" i="77" s="1"/>
  <c r="E259" i="77" s="1"/>
  <c r="E260" i="77" s="1"/>
  <c r="E261" i="77" s="1"/>
  <c r="E262" i="77" s="1"/>
  <c r="E263" i="77" s="1"/>
  <c r="E264" i="77" s="1"/>
  <c r="E265" i="77" s="1"/>
  <c r="E266" i="77" s="1"/>
  <c r="E267" i="77" s="1"/>
  <c r="E268" i="77" s="1"/>
  <c r="E269" i="77" s="1"/>
  <c r="E270" i="77" s="1"/>
  <c r="E271" i="77" s="1"/>
  <c r="E272" i="77" s="1"/>
  <c r="E273" i="77" s="1"/>
  <c r="E274" i="77" s="1"/>
  <c r="E275" i="77" s="1"/>
  <c r="E276" i="77" s="1"/>
  <c r="E25" i="23"/>
  <c r="V115" i="21"/>
  <c r="U118" i="86" s="1"/>
  <c r="AG118" i="86" s="1"/>
  <c r="V57" i="21"/>
  <c r="U60" i="86" s="1"/>
  <c r="AG60" i="86" s="1"/>
  <c r="V79" i="21"/>
  <c r="U82" i="86" s="1"/>
  <c r="AG82" i="86" s="1"/>
  <c r="V98" i="21"/>
  <c r="U101" i="86" s="1"/>
  <c r="AG101" i="86" s="1"/>
  <c r="V66" i="21"/>
  <c r="U69" i="86" s="1"/>
  <c r="AG69" i="86" s="1"/>
  <c r="V67" i="21"/>
  <c r="U70" i="86" s="1"/>
  <c r="AG70" i="86" s="1"/>
  <c r="V110" i="21"/>
  <c r="U113" i="86" s="1"/>
  <c r="AG113" i="86" s="1"/>
  <c r="V28" i="21"/>
  <c r="U31" i="86" s="1"/>
  <c r="AG31" i="86" s="1"/>
  <c r="V70" i="21"/>
  <c r="U73" i="86" s="1"/>
  <c r="AG73" i="86" s="1"/>
  <c r="V105" i="21"/>
  <c r="U108" i="86" s="1"/>
  <c r="AG108" i="86" s="1"/>
  <c r="V30" i="21"/>
  <c r="U33" i="86" s="1"/>
  <c r="AG33" i="86" s="1"/>
  <c r="V40" i="21"/>
  <c r="U43" i="86" s="1"/>
  <c r="AG43" i="86" s="1"/>
  <c r="V38" i="21"/>
  <c r="U41" i="86" s="1"/>
  <c r="AG41" i="86" s="1"/>
  <c r="V104" i="21"/>
  <c r="U107" i="86" s="1"/>
  <c r="AG107" i="86" s="1"/>
  <c r="V63" i="21"/>
  <c r="U66" i="86" s="1"/>
  <c r="AG66" i="86" s="1"/>
  <c r="V45" i="21"/>
  <c r="U48" i="86" s="1"/>
  <c r="AG48" i="86" s="1"/>
  <c r="V88" i="21"/>
  <c r="U91" i="86" s="1"/>
  <c r="AG91" i="86" s="1"/>
  <c r="V2" i="21"/>
  <c r="U5" i="86" s="1"/>
  <c r="AG5" i="86" s="1"/>
  <c r="AS5" i="86" s="1"/>
  <c r="V77" i="21"/>
  <c r="U80" i="86" s="1"/>
  <c r="AG80" i="86" s="1"/>
  <c r="V97" i="21"/>
  <c r="U100" i="86" s="1"/>
  <c r="AG100" i="86" s="1"/>
  <c r="V113" i="21"/>
  <c r="U116" i="86" s="1"/>
  <c r="AG116" i="86" s="1"/>
  <c r="V19" i="21"/>
  <c r="U22" i="86" s="1"/>
  <c r="AG22" i="86" s="1"/>
  <c r="V83" i="21"/>
  <c r="U86" i="86" s="1"/>
  <c r="AG86" i="86" s="1"/>
  <c r="V6" i="21"/>
  <c r="U9" i="86" s="1"/>
  <c r="AG9" i="86" s="1"/>
  <c r="V29" i="21"/>
  <c r="U32" i="86" s="1"/>
  <c r="AG32" i="86" s="1"/>
  <c r="V84" i="21"/>
  <c r="U87" i="86" s="1"/>
  <c r="AG87" i="86" s="1"/>
  <c r="V68" i="21"/>
  <c r="U71" i="86" s="1"/>
  <c r="AG71" i="86" s="1"/>
  <c r="V107" i="21"/>
  <c r="U110" i="86" s="1"/>
  <c r="AG110" i="86" s="1"/>
  <c r="V53" i="21"/>
  <c r="U56" i="86" s="1"/>
  <c r="AG56" i="86" s="1"/>
  <c r="V75" i="21"/>
  <c r="U78" i="86" s="1"/>
  <c r="AG78" i="86" s="1"/>
  <c r="F111" i="86"/>
  <c r="I111" i="86" s="1"/>
  <c r="L111" i="86" s="1"/>
  <c r="V46" i="21"/>
  <c r="U49" i="86" s="1"/>
  <c r="AG49" i="86" s="1"/>
  <c r="V33" i="21"/>
  <c r="U36" i="86" s="1"/>
  <c r="AG36" i="86" s="1"/>
  <c r="V86" i="21"/>
  <c r="U89" i="86" s="1"/>
  <c r="AG89" i="86" s="1"/>
  <c r="V41" i="21"/>
  <c r="U44" i="86" s="1"/>
  <c r="AG44" i="86" s="1"/>
  <c r="V103" i="21"/>
  <c r="U106" i="86" s="1"/>
  <c r="AG106" i="86" s="1"/>
  <c r="V18" i="21"/>
  <c r="U21" i="86" s="1"/>
  <c r="AG21" i="86" s="1"/>
  <c r="V95" i="21"/>
  <c r="U98" i="86" s="1"/>
  <c r="AG98" i="86" s="1"/>
  <c r="V22" i="21"/>
  <c r="U25" i="86" s="1"/>
  <c r="AG25" i="86" s="1"/>
  <c r="V58" i="21"/>
  <c r="U61" i="86" s="1"/>
  <c r="AG61" i="86" s="1"/>
  <c r="V39" i="21"/>
  <c r="U42" i="86" s="1"/>
  <c r="AG42" i="86" s="1"/>
  <c r="V27" i="21"/>
  <c r="U30" i="86" s="1"/>
  <c r="AG30" i="86" s="1"/>
  <c r="V116" i="21"/>
  <c r="U119" i="86" s="1"/>
  <c r="AG119" i="86" s="1"/>
  <c r="V82" i="21"/>
  <c r="U85" i="86" s="1"/>
  <c r="AG85" i="86" s="1"/>
  <c r="V37" i="21"/>
  <c r="U40" i="86" s="1"/>
  <c r="AG40" i="86" s="1"/>
  <c r="V76" i="21"/>
  <c r="U79" i="86" s="1"/>
  <c r="AG79" i="86" s="1"/>
  <c r="V36" i="21"/>
  <c r="U39" i="86" s="1"/>
  <c r="AG39" i="86" s="1"/>
  <c r="V78" i="21"/>
  <c r="U81" i="86" s="1"/>
  <c r="AG81" i="86" s="1"/>
  <c r="V8" i="21"/>
  <c r="U11" i="86" s="1"/>
  <c r="AG11" i="86" s="1"/>
  <c r="V62" i="21"/>
  <c r="U65" i="86" s="1"/>
  <c r="AG65" i="86" s="1"/>
  <c r="V60" i="21"/>
  <c r="U63" i="86" s="1"/>
  <c r="AG63" i="86" s="1"/>
  <c r="V94" i="21"/>
  <c r="U97" i="86" s="1"/>
  <c r="AG97" i="86" s="1"/>
  <c r="V31" i="21"/>
  <c r="U34" i="86" s="1"/>
  <c r="AG34" i="86" s="1"/>
  <c r="V9" i="21"/>
  <c r="U12" i="86" s="1"/>
  <c r="AG12" i="86" s="1"/>
  <c r="V102" i="21"/>
  <c r="U105" i="86" s="1"/>
  <c r="AG105" i="86" s="1"/>
  <c r="V50" i="21"/>
  <c r="U53" i="86" s="1"/>
  <c r="AG53" i="86" s="1"/>
  <c r="V21" i="21"/>
  <c r="U24" i="86" s="1"/>
  <c r="AG24" i="86" s="1"/>
  <c r="V72" i="21"/>
  <c r="U75" i="86" s="1"/>
  <c r="AG75" i="86" s="1"/>
  <c r="V61" i="21"/>
  <c r="U64" i="86" s="1"/>
  <c r="AG64" i="86" s="1"/>
  <c r="F106" i="86"/>
  <c r="I106" i="86" s="1"/>
  <c r="N106" i="86" s="1"/>
  <c r="F113" i="86"/>
  <c r="I113" i="86" s="1"/>
  <c r="N113" i="86" s="1"/>
  <c r="V108" i="21"/>
  <c r="U111" i="86" s="1"/>
  <c r="AG111" i="86" s="1"/>
  <c r="V15" i="21"/>
  <c r="U18" i="86" s="1"/>
  <c r="AG18" i="86" s="1"/>
  <c r="V101" i="21"/>
  <c r="U104" i="86" s="1"/>
  <c r="AG104" i="86" s="1"/>
  <c r="V100" i="21"/>
  <c r="U103" i="86" s="1"/>
  <c r="AG103" i="86" s="1"/>
  <c r="V47" i="21"/>
  <c r="U50" i="86" s="1"/>
  <c r="AG50" i="86" s="1"/>
  <c r="F103" i="86"/>
  <c r="I103" i="86" s="1"/>
  <c r="L103" i="86" s="1"/>
  <c r="V112" i="21"/>
  <c r="U115" i="86" s="1"/>
  <c r="AG115" i="86" s="1"/>
  <c r="V54" i="21"/>
  <c r="U57" i="86" s="1"/>
  <c r="AG57" i="86" s="1"/>
  <c r="V89" i="21"/>
  <c r="U92" i="86" s="1"/>
  <c r="AG92" i="86" s="1"/>
  <c r="V12" i="21"/>
  <c r="U15" i="86" s="1"/>
  <c r="AG15" i="86" s="1"/>
  <c r="V14" i="21"/>
  <c r="U17" i="86" s="1"/>
  <c r="AG17" i="86" s="1"/>
  <c r="V87" i="21"/>
  <c r="U90" i="86" s="1"/>
  <c r="AG90" i="86" s="1"/>
  <c r="V44" i="21"/>
  <c r="U47" i="86" s="1"/>
  <c r="AG47" i="86" s="1"/>
  <c r="V5" i="21"/>
  <c r="U8" i="86" s="1"/>
  <c r="AG8" i="86" s="1"/>
  <c r="V117" i="21"/>
  <c r="U120" i="86" s="1"/>
  <c r="AG120" i="86" s="1"/>
  <c r="F107" i="86"/>
  <c r="I107" i="86" s="1"/>
  <c r="L107" i="86" s="1"/>
  <c r="B73" i="66"/>
  <c r="B75" i="66" s="1"/>
  <c r="V20" i="21"/>
  <c r="U23" i="86" s="1"/>
  <c r="AG23" i="86" s="1"/>
  <c r="V118" i="21"/>
  <c r="U121" i="86" s="1"/>
  <c r="AG121" i="86" s="1"/>
  <c r="V26" i="21"/>
  <c r="U29" i="86" s="1"/>
  <c r="AG29" i="86" s="1"/>
  <c r="V11" i="21"/>
  <c r="U14" i="86" s="1"/>
  <c r="AG14" i="86" s="1"/>
  <c r="V80" i="21"/>
  <c r="U83" i="86" s="1"/>
  <c r="AG83" i="86" s="1"/>
  <c r="V32" i="21"/>
  <c r="U35" i="86" s="1"/>
  <c r="AG35" i="86" s="1"/>
  <c r="V74" i="21"/>
  <c r="U77" i="86" s="1"/>
  <c r="AG77" i="86" s="1"/>
  <c r="V111" i="21"/>
  <c r="U114" i="86" s="1"/>
  <c r="V69" i="21"/>
  <c r="U72" i="86" s="1"/>
  <c r="AG72" i="86" s="1"/>
  <c r="V90" i="21"/>
  <c r="U93" i="86" s="1"/>
  <c r="AG93" i="86" s="1"/>
  <c r="V59" i="21"/>
  <c r="U62" i="86" s="1"/>
  <c r="AG62" i="86" s="1"/>
  <c r="V16" i="21"/>
  <c r="U19" i="86" s="1"/>
  <c r="AG19" i="86" s="1"/>
  <c r="V43" i="21"/>
  <c r="U46" i="86" s="1"/>
  <c r="AG46" i="86" s="1"/>
  <c r="V64" i="21"/>
  <c r="U67" i="86" s="1"/>
  <c r="AG67" i="86" s="1"/>
  <c r="V106" i="21"/>
  <c r="U109" i="86" s="1"/>
  <c r="AG109" i="86" s="1"/>
  <c r="V42" i="21"/>
  <c r="U45" i="86" s="1"/>
  <c r="AG45" i="86" s="1"/>
  <c r="V96" i="21"/>
  <c r="U99" i="86" s="1"/>
  <c r="AG99" i="86" s="1"/>
  <c r="B137" i="6"/>
  <c r="B85" i="66" s="1"/>
  <c r="B140" i="6"/>
  <c r="B86" i="66" s="1"/>
  <c r="F157" i="77"/>
  <c r="F203" i="77"/>
  <c r="F204" i="77" s="1"/>
  <c r="F205" i="77" s="1"/>
  <c r="F206" i="77" s="1"/>
  <c r="F207" i="77" s="1"/>
  <c r="F208" i="77" s="1"/>
  <c r="F209" i="77" s="1"/>
  <c r="F210" i="77" s="1"/>
  <c r="F211" i="77" s="1"/>
  <c r="F212" i="77" s="1"/>
  <c r="F213" i="77" s="1"/>
  <c r="F214" i="77" s="1"/>
  <c r="F215" i="77" s="1"/>
  <c r="F216" i="77" s="1"/>
  <c r="F217" i="77" s="1"/>
  <c r="F218" i="77" s="1"/>
  <c r="F219" i="77" s="1"/>
  <c r="F220" i="77" s="1"/>
  <c r="F221" i="77" s="1"/>
  <c r="F222" i="77" s="1"/>
  <c r="F223" i="77" s="1"/>
  <c r="F224" i="77" s="1"/>
  <c r="F225" i="77" s="1"/>
  <c r="F226" i="77" s="1"/>
  <c r="F227" i="77" s="1"/>
  <c r="F228" i="77" s="1"/>
  <c r="F229" i="77" s="1"/>
  <c r="F230" i="77" s="1"/>
  <c r="F231" i="77" s="1"/>
  <c r="F232" i="77" s="1"/>
  <c r="F233" i="77" s="1"/>
  <c r="F234" i="77" s="1"/>
  <c r="F235" i="77" s="1"/>
  <c r="F236" i="77" s="1"/>
  <c r="F237" i="77" s="1"/>
  <c r="F238" i="77" s="1"/>
  <c r="F239" i="77" s="1"/>
  <c r="F240" i="77" s="1"/>
  <c r="F241" i="77" s="1"/>
  <c r="F242" i="77" s="1"/>
  <c r="F243" i="77" s="1"/>
  <c r="F244" i="77" s="1"/>
  <c r="F245" i="77" s="1"/>
  <c r="F246" i="77" s="1"/>
  <c r="F247" i="77" s="1"/>
  <c r="F248" i="77" s="1"/>
  <c r="F249" i="77" s="1"/>
  <c r="F250" i="77" s="1"/>
  <c r="F251" i="77" s="1"/>
  <c r="F252" i="77" s="1"/>
  <c r="F253" i="77" s="1"/>
  <c r="F254" i="77" s="1"/>
  <c r="F255" i="77" s="1"/>
  <c r="F256" i="77" s="1"/>
  <c r="F257" i="77" s="1"/>
  <c r="F258" i="77" s="1"/>
  <c r="F259" i="77" s="1"/>
  <c r="F260" i="77" s="1"/>
  <c r="F261" i="77" s="1"/>
  <c r="F262" i="77" s="1"/>
  <c r="F263" i="77" s="1"/>
  <c r="F264" i="77" s="1"/>
  <c r="F265" i="77" s="1"/>
  <c r="F266" i="77" s="1"/>
  <c r="F267" i="77" s="1"/>
  <c r="F268" i="77" s="1"/>
  <c r="F269" i="77" s="1"/>
  <c r="F270" i="77" s="1"/>
  <c r="F271" i="77" s="1"/>
  <c r="F272" i="77" s="1"/>
  <c r="F273" i="77" s="1"/>
  <c r="F274" i="77" s="1"/>
  <c r="F275" i="77" s="1"/>
  <c r="F276" i="77" s="1"/>
  <c r="F114" i="86"/>
  <c r="I114" i="86" s="1"/>
  <c r="N114" i="86" s="1"/>
  <c r="F98" i="86"/>
  <c r="I98" i="86" s="1"/>
  <c r="N98" i="86" s="1"/>
  <c r="F119" i="86"/>
  <c r="I119" i="86" s="1"/>
  <c r="L119" i="86" s="1"/>
  <c r="AG13" i="86"/>
  <c r="AG28" i="86"/>
  <c r="AG27" i="86"/>
  <c r="AG26" i="86"/>
  <c r="AG16" i="86"/>
  <c r="AG6" i="86"/>
  <c r="AG10" i="86"/>
  <c r="AG7" i="86"/>
  <c r="T102" i="86"/>
  <c r="T112" i="86"/>
  <c r="T117" i="86"/>
  <c r="E157" i="77"/>
  <c r="F102" i="86"/>
  <c r="I102" i="86" s="1"/>
  <c r="J152" i="61"/>
  <c r="I33" i="23" s="1"/>
  <c r="F110" i="86"/>
  <c r="I110" i="86" s="1"/>
  <c r="F121" i="86"/>
  <c r="I121" i="86" s="1"/>
  <c r="F117" i="86"/>
  <c r="I117" i="86" s="1"/>
  <c r="L117" i="86" s="1"/>
  <c r="F116" i="86"/>
  <c r="I116" i="86" s="1"/>
  <c r="L116" i="86" s="1"/>
  <c r="F120" i="86"/>
  <c r="I120" i="86" s="1"/>
  <c r="F115" i="86"/>
  <c r="I115" i="86" s="1"/>
  <c r="F104" i="86"/>
  <c r="I104" i="86" s="1"/>
  <c r="F99" i="86"/>
  <c r="I99" i="86" s="1"/>
  <c r="L99" i="86" s="1"/>
  <c r="B133" i="21"/>
  <c r="B134" i="21" s="1"/>
  <c r="F96" i="86"/>
  <c r="I96" i="86" s="1"/>
  <c r="F97" i="86"/>
  <c r="I97" i="86" s="1"/>
  <c r="F5" i="86"/>
  <c r="I5" i="86" s="1"/>
  <c r="F109" i="86"/>
  <c r="I109" i="86" s="1"/>
  <c r="N109" i="86" s="1"/>
  <c r="F108" i="86"/>
  <c r="I108" i="86" s="1"/>
  <c r="F112" i="86"/>
  <c r="I112" i="86" s="1"/>
  <c r="F105" i="86"/>
  <c r="I105" i="86" s="1"/>
  <c r="F118" i="86"/>
  <c r="I118" i="86" s="1"/>
  <c r="F100" i="86"/>
  <c r="I100" i="86" s="1"/>
  <c r="B121" i="21"/>
  <c r="AC123" i="86"/>
  <c r="D203" i="77"/>
  <c r="H81" i="77"/>
  <c r="V48" i="86" s="1"/>
  <c r="H83" i="77"/>
  <c r="V50" i="86" s="1"/>
  <c r="D157" i="77"/>
  <c r="C157" i="77"/>
  <c r="C203" i="77"/>
  <c r="C204" i="77" s="1"/>
  <c r="C205" i="77" s="1"/>
  <c r="C206" i="77" s="1"/>
  <c r="C207" i="77" s="1"/>
  <c r="C208" i="77" s="1"/>
  <c r="C209" i="77" s="1"/>
  <c r="C210" i="77" s="1"/>
  <c r="C211" i="77" s="1"/>
  <c r="C212" i="77" s="1"/>
  <c r="C213" i="77" s="1"/>
  <c r="C214" i="77" s="1"/>
  <c r="C215" i="77" s="1"/>
  <c r="C216" i="77" s="1"/>
  <c r="C217" i="77" s="1"/>
  <c r="C218" i="77" s="1"/>
  <c r="C219" i="77" s="1"/>
  <c r="C220" i="77" s="1"/>
  <c r="C221" i="77" s="1"/>
  <c r="C222" i="77" s="1"/>
  <c r="C223" i="77" s="1"/>
  <c r="C224" i="77" s="1"/>
  <c r="C225" i="77" s="1"/>
  <c r="C226" i="77" s="1"/>
  <c r="C227" i="77" s="1"/>
  <c r="C228" i="77" s="1"/>
  <c r="C229" i="77" s="1"/>
  <c r="C230" i="77" s="1"/>
  <c r="C231" i="77" s="1"/>
  <c r="C232" i="77" s="1"/>
  <c r="C233" i="77" s="1"/>
  <c r="C234" i="77" s="1"/>
  <c r="C235" i="77" s="1"/>
  <c r="C236" i="77" s="1"/>
  <c r="C237" i="77" s="1"/>
  <c r="C238" i="77" s="1"/>
  <c r="C239" i="77" s="1"/>
  <c r="C240" i="77" s="1"/>
  <c r="C241" i="77" s="1"/>
  <c r="C242" i="77" s="1"/>
  <c r="C243" i="77" s="1"/>
  <c r="C244" i="77" s="1"/>
  <c r="C245" i="77" s="1"/>
  <c r="C246" i="77" s="1"/>
  <c r="C247" i="77" s="1"/>
  <c r="C248" i="77" s="1"/>
  <c r="C249" i="77" s="1"/>
  <c r="C250" i="77" s="1"/>
  <c r="C251" i="77" s="1"/>
  <c r="C252" i="77" s="1"/>
  <c r="C253" i="77" s="1"/>
  <c r="C254" i="77" s="1"/>
  <c r="C255" i="77" s="1"/>
  <c r="C256" i="77" s="1"/>
  <c r="C257" i="77" s="1"/>
  <c r="C258" i="77" s="1"/>
  <c r="C259" i="77" s="1"/>
  <c r="C260" i="77" s="1"/>
  <c r="C261" i="77" s="1"/>
  <c r="C262" i="77" s="1"/>
  <c r="C263" i="77" s="1"/>
  <c r="C264" i="77" s="1"/>
  <c r="C265" i="77" s="1"/>
  <c r="C266" i="77" s="1"/>
  <c r="C267" i="77" s="1"/>
  <c r="C268" i="77" s="1"/>
  <c r="C269" i="77" s="1"/>
  <c r="C270" i="77" s="1"/>
  <c r="C271" i="77" s="1"/>
  <c r="C272" i="77" s="1"/>
  <c r="C273" i="77" s="1"/>
  <c r="C274" i="77" s="1"/>
  <c r="C275" i="77" s="1"/>
  <c r="C276" i="77" s="1"/>
  <c r="H82" i="77"/>
  <c r="V49" i="86" s="1"/>
  <c r="H85" i="77"/>
  <c r="V52" i="86" s="1"/>
  <c r="D204" i="77"/>
  <c r="D205" i="77" s="1"/>
  <c r="D206" i="77" s="1"/>
  <c r="D207" i="77" s="1"/>
  <c r="D208" i="77" s="1"/>
  <c r="D209" i="77" s="1"/>
  <c r="D210" i="77" s="1"/>
  <c r="D211" i="77" s="1"/>
  <c r="D212" i="77" s="1"/>
  <c r="D213" i="77" s="1"/>
  <c r="D214" i="77" s="1"/>
  <c r="D215" i="77" s="1"/>
  <c r="D216" i="77" s="1"/>
  <c r="D217" i="77" s="1"/>
  <c r="D218" i="77" s="1"/>
  <c r="D219" i="77" s="1"/>
  <c r="D220" i="77" s="1"/>
  <c r="D221" i="77" s="1"/>
  <c r="D222" i="77" s="1"/>
  <c r="D223" i="77" s="1"/>
  <c r="D224" i="77" s="1"/>
  <c r="D225" i="77" s="1"/>
  <c r="D226" i="77" s="1"/>
  <c r="D227" i="77" s="1"/>
  <c r="D228" i="77" s="1"/>
  <c r="D229" i="77" s="1"/>
  <c r="D230" i="77" s="1"/>
  <c r="D231" i="77" s="1"/>
  <c r="D232" i="77" s="1"/>
  <c r="D233" i="77" s="1"/>
  <c r="D234" i="77" s="1"/>
  <c r="D235" i="77" s="1"/>
  <c r="D236" i="77" s="1"/>
  <c r="D237" i="77" s="1"/>
  <c r="D238" i="77" s="1"/>
  <c r="D239" i="77" s="1"/>
  <c r="D240" i="77" s="1"/>
  <c r="D241" i="77" s="1"/>
  <c r="D242" i="77" s="1"/>
  <c r="D243" i="77" s="1"/>
  <c r="D244" i="77" s="1"/>
  <c r="D245" i="77" s="1"/>
  <c r="D246" i="77" s="1"/>
  <c r="D247" i="77" s="1"/>
  <c r="D248" i="77" s="1"/>
  <c r="D249" i="77" s="1"/>
  <c r="D250" i="77" s="1"/>
  <c r="D251" i="77" s="1"/>
  <c r="D252" i="77" s="1"/>
  <c r="D253" i="77" s="1"/>
  <c r="D254" i="77" s="1"/>
  <c r="D255" i="77" s="1"/>
  <c r="D256" i="77" s="1"/>
  <c r="D257" i="77" s="1"/>
  <c r="D258" i="77" s="1"/>
  <c r="D259" i="77" s="1"/>
  <c r="D260" i="77" s="1"/>
  <c r="D261" i="77" s="1"/>
  <c r="D262" i="77" s="1"/>
  <c r="D263" i="77" s="1"/>
  <c r="D264" i="77" s="1"/>
  <c r="D265" i="77" s="1"/>
  <c r="D266" i="77" s="1"/>
  <c r="D267" i="77" s="1"/>
  <c r="D268" i="77" s="1"/>
  <c r="D269" i="77" s="1"/>
  <c r="D270" i="77" s="1"/>
  <c r="D271" i="77" s="1"/>
  <c r="D272" i="77" s="1"/>
  <c r="D273" i="77" s="1"/>
  <c r="D274" i="77" s="1"/>
  <c r="D275" i="77" s="1"/>
  <c r="D276" i="77" s="1"/>
  <c r="H84" i="77"/>
  <c r="V51" i="86" s="1"/>
  <c r="F32" i="23"/>
  <c r="G25" i="23"/>
  <c r="H126" i="29"/>
  <c r="AB123" i="86"/>
  <c r="Z123" i="86"/>
  <c r="AU5" i="86"/>
  <c r="AU6" i="86" s="1"/>
  <c r="AU7" i="86" s="1"/>
  <c r="AU8" i="86" s="1"/>
  <c r="AU9" i="86" s="1"/>
  <c r="AU10" i="86" s="1"/>
  <c r="AU11" i="86" s="1"/>
  <c r="AU12" i="86" s="1"/>
  <c r="AU13" i="86" s="1"/>
  <c r="AU14" i="86" s="1"/>
  <c r="AU15" i="86" s="1"/>
  <c r="AU16" i="86" s="1"/>
  <c r="AU17" i="86" s="1"/>
  <c r="AU18" i="86" s="1"/>
  <c r="AU19" i="86" s="1"/>
  <c r="AU20" i="86" s="1"/>
  <c r="AU21" i="86" s="1"/>
  <c r="AU22" i="86" s="1"/>
  <c r="AU23" i="86" s="1"/>
  <c r="AU24" i="86" s="1"/>
  <c r="AU25" i="86" s="1"/>
  <c r="AU26" i="86" s="1"/>
  <c r="AU27" i="86" s="1"/>
  <c r="AU28" i="86" s="1"/>
  <c r="AU29" i="86" s="1"/>
  <c r="AU30" i="86" s="1"/>
  <c r="AU31" i="86" s="1"/>
  <c r="AU32" i="86" s="1"/>
  <c r="AU33" i="86" s="1"/>
  <c r="AU34" i="86" s="1"/>
  <c r="AU35" i="86" s="1"/>
  <c r="AU36" i="86" s="1"/>
  <c r="AU37" i="86" s="1"/>
  <c r="AU38" i="86" s="1"/>
  <c r="AU39" i="86" s="1"/>
  <c r="AU40" i="86" s="1"/>
  <c r="AU41" i="86" s="1"/>
  <c r="AU42" i="86" s="1"/>
  <c r="AU43" i="86" s="1"/>
  <c r="AU44" i="86" s="1"/>
  <c r="AU45" i="86" s="1"/>
  <c r="AU46" i="86" s="1"/>
  <c r="AU47" i="86" s="1"/>
  <c r="AO6" i="86"/>
  <c r="AO7" i="86" s="1"/>
  <c r="AO8" i="86" s="1"/>
  <c r="AO9" i="86" s="1"/>
  <c r="AO10" i="86" s="1"/>
  <c r="AO11" i="86" s="1"/>
  <c r="AO12" i="86" s="1"/>
  <c r="AO13" i="86" s="1"/>
  <c r="AO14" i="86" s="1"/>
  <c r="AO15" i="86" s="1"/>
  <c r="AO16" i="86" s="1"/>
  <c r="AO17" i="86" s="1"/>
  <c r="AO18" i="86" s="1"/>
  <c r="AO19" i="86" s="1"/>
  <c r="AO20" i="86" s="1"/>
  <c r="AO21" i="86" s="1"/>
  <c r="AO22" i="86" s="1"/>
  <c r="AO23" i="86" s="1"/>
  <c r="AO24" i="86" s="1"/>
  <c r="AO25" i="86" s="1"/>
  <c r="AO26" i="86" s="1"/>
  <c r="AO27" i="86" s="1"/>
  <c r="AO28" i="86" s="1"/>
  <c r="AO29" i="86" s="1"/>
  <c r="AO30" i="86" s="1"/>
  <c r="AO31" i="86" s="1"/>
  <c r="AO32" i="86" s="1"/>
  <c r="AO33" i="86" s="1"/>
  <c r="AO34" i="86" s="1"/>
  <c r="AO35" i="86" s="1"/>
  <c r="AO36" i="86" s="1"/>
  <c r="AO37" i="86" s="1"/>
  <c r="AO38" i="86" s="1"/>
  <c r="AO39" i="86" s="1"/>
  <c r="AO40" i="86" s="1"/>
  <c r="AO41" i="86" s="1"/>
  <c r="AO42" i="86" s="1"/>
  <c r="AO43" i="86" s="1"/>
  <c r="AO44" i="86" s="1"/>
  <c r="AO45" i="86" s="1"/>
  <c r="AO46" i="86" s="1"/>
  <c r="AO47" i="86" s="1"/>
  <c r="AO48" i="86" s="1"/>
  <c r="AO49" i="86" s="1"/>
  <c r="AO50" i="86" s="1"/>
  <c r="AO51" i="86" s="1"/>
  <c r="AO52" i="86" s="1"/>
  <c r="AO53" i="86" s="1"/>
  <c r="AO54" i="86" s="1"/>
  <c r="AO55" i="86" s="1"/>
  <c r="AO56" i="86" s="1"/>
  <c r="AO57" i="86" s="1"/>
  <c r="AO58" i="86" s="1"/>
  <c r="AO59" i="86" s="1"/>
  <c r="AO60" i="86" s="1"/>
  <c r="AO61" i="86" s="1"/>
  <c r="AO62" i="86" s="1"/>
  <c r="AO63" i="86" s="1"/>
  <c r="AO64" i="86" s="1"/>
  <c r="AO65" i="86" s="1"/>
  <c r="AO66" i="86" s="1"/>
  <c r="AO67" i="86" s="1"/>
  <c r="AO68" i="86" s="1"/>
  <c r="AO69" i="86" s="1"/>
  <c r="AO70" i="86" s="1"/>
  <c r="AO71" i="86" s="1"/>
  <c r="AO72" i="86" s="1"/>
  <c r="AO73" i="86" s="1"/>
  <c r="AO74" i="86" s="1"/>
  <c r="AO75" i="86" s="1"/>
  <c r="AO76" i="86" s="1"/>
  <c r="AO77" i="86" s="1"/>
  <c r="AO78" i="86" s="1"/>
  <c r="AO79" i="86" s="1"/>
  <c r="AO80" i="86" s="1"/>
  <c r="AO81" i="86" s="1"/>
  <c r="AO82" i="86" s="1"/>
  <c r="AO83" i="86" s="1"/>
  <c r="AO84" i="86" s="1"/>
  <c r="AO85" i="86" s="1"/>
  <c r="AO86" i="86" s="1"/>
  <c r="AO87" i="86" s="1"/>
  <c r="AO88" i="86" s="1"/>
  <c r="AO89" i="86" s="1"/>
  <c r="AO90" i="86" s="1"/>
  <c r="AO91" i="86" s="1"/>
  <c r="AO92" i="86" s="1"/>
  <c r="AO93" i="86" s="1"/>
  <c r="AO94" i="86" s="1"/>
  <c r="AO95" i="86" s="1"/>
  <c r="AO96" i="86" s="1"/>
  <c r="AO97" i="86" s="1"/>
  <c r="AO98" i="86" s="1"/>
  <c r="AO99" i="86" s="1"/>
  <c r="AO100" i="86" s="1"/>
  <c r="AO101" i="86" s="1"/>
  <c r="AO102" i="86" s="1"/>
  <c r="AO103" i="86" s="1"/>
  <c r="AO104" i="86" s="1"/>
  <c r="AO105" i="86" s="1"/>
  <c r="AO106" i="86" s="1"/>
  <c r="AO107" i="86" s="1"/>
  <c r="AO108" i="86" s="1"/>
  <c r="AO109" i="86" s="1"/>
  <c r="AO110" i="86" s="1"/>
  <c r="AO111" i="86" s="1"/>
  <c r="AO112" i="86" s="1"/>
  <c r="AO113" i="86" s="1"/>
  <c r="AO114" i="86" s="1"/>
  <c r="AO115" i="86" s="1"/>
  <c r="AO116" i="86" s="1"/>
  <c r="AO117" i="86" s="1"/>
  <c r="AO118" i="86" s="1"/>
  <c r="AO119" i="86" s="1"/>
  <c r="AO120" i="86" s="1"/>
  <c r="AO121" i="86" s="1"/>
  <c r="AE123" i="86"/>
  <c r="G29" i="23"/>
  <c r="I29" i="23" s="1"/>
  <c r="W84" i="86"/>
  <c r="F84" i="86"/>
  <c r="I84" i="86" s="1"/>
  <c r="W62" i="86"/>
  <c r="F62" i="86"/>
  <c r="I62" i="86" s="1"/>
  <c r="W12" i="86"/>
  <c r="F12" i="86"/>
  <c r="I12" i="86" s="1"/>
  <c r="W85" i="86"/>
  <c r="F85" i="86"/>
  <c r="I85" i="86" s="1"/>
  <c r="W60" i="86"/>
  <c r="F60" i="86"/>
  <c r="I60" i="86" s="1"/>
  <c r="W44" i="86"/>
  <c r="F44" i="86"/>
  <c r="I44" i="86" s="1"/>
  <c r="W76" i="86"/>
  <c r="F76" i="86"/>
  <c r="I76" i="86" s="1"/>
  <c r="W27" i="86"/>
  <c r="F27" i="86"/>
  <c r="I27" i="86" s="1"/>
  <c r="W93" i="86"/>
  <c r="F93" i="86"/>
  <c r="I93" i="86" s="1"/>
  <c r="W25" i="86"/>
  <c r="F25" i="86"/>
  <c r="I25" i="86" s="1"/>
  <c r="W67" i="86"/>
  <c r="F67" i="86"/>
  <c r="I67" i="86" s="1"/>
  <c r="W82" i="86"/>
  <c r="F82" i="86"/>
  <c r="I82" i="86" s="1"/>
  <c r="W7" i="86"/>
  <c r="F7" i="86"/>
  <c r="I7" i="86" s="1"/>
  <c r="W34" i="86"/>
  <c r="F34" i="86"/>
  <c r="I34" i="86" s="1"/>
  <c r="W70" i="86"/>
  <c r="F70" i="86"/>
  <c r="I70" i="86" s="1"/>
  <c r="F6" i="86"/>
  <c r="I6" i="86" s="1"/>
  <c r="F59" i="86"/>
  <c r="I59" i="86" s="1"/>
  <c r="W52" i="86"/>
  <c r="F52" i="86"/>
  <c r="I52" i="86" s="1"/>
  <c r="W73" i="86"/>
  <c r="F73" i="86"/>
  <c r="I73" i="86" s="1"/>
  <c r="W68" i="86"/>
  <c r="F68" i="86"/>
  <c r="I68" i="86" s="1"/>
  <c r="W81" i="86"/>
  <c r="F81" i="86"/>
  <c r="I81" i="86" s="1"/>
  <c r="W80" i="86"/>
  <c r="F80" i="86"/>
  <c r="I80" i="86" s="1"/>
  <c r="W95" i="86"/>
  <c r="F95" i="86"/>
  <c r="I95" i="86" s="1"/>
  <c r="W79" i="86"/>
  <c r="F79" i="86"/>
  <c r="I79" i="86" s="1"/>
  <c r="W92" i="86"/>
  <c r="F92" i="86"/>
  <c r="I92" i="86" s="1"/>
  <c r="W29" i="86"/>
  <c r="F29" i="86"/>
  <c r="I29" i="86" s="1"/>
  <c r="W18" i="86"/>
  <c r="F18" i="86"/>
  <c r="I18" i="86" s="1"/>
  <c r="W64" i="86"/>
  <c r="F64" i="86"/>
  <c r="I64" i="86" s="1"/>
  <c r="W72" i="86"/>
  <c r="F72" i="86"/>
  <c r="I72" i="86" s="1"/>
  <c r="W40" i="86"/>
  <c r="F40" i="86"/>
  <c r="I40" i="86" s="1"/>
  <c r="W31" i="86"/>
  <c r="F31" i="86"/>
  <c r="I31" i="86" s="1"/>
  <c r="W55" i="86"/>
  <c r="F55" i="86"/>
  <c r="I55" i="86" s="1"/>
  <c r="W14" i="86"/>
  <c r="F14" i="86"/>
  <c r="I14" i="86" s="1"/>
  <c r="W63" i="86"/>
  <c r="F63" i="86"/>
  <c r="I63" i="86" s="1"/>
  <c r="W22" i="86"/>
  <c r="F22" i="86"/>
  <c r="I22" i="86" s="1"/>
  <c r="W58" i="86"/>
  <c r="F58" i="86"/>
  <c r="I58" i="86" s="1"/>
  <c r="W13" i="86"/>
  <c r="F13" i="86"/>
  <c r="I13" i="86" s="1"/>
  <c r="W23" i="86"/>
  <c r="F23" i="86"/>
  <c r="I23" i="86" s="1"/>
  <c r="W10" i="86"/>
  <c r="F10" i="86"/>
  <c r="I10" i="86" s="1"/>
  <c r="W17" i="86"/>
  <c r="F17" i="86"/>
  <c r="I17" i="86" s="1"/>
  <c r="W28" i="86"/>
  <c r="F28" i="86"/>
  <c r="I28" i="86" s="1"/>
  <c r="W74" i="86"/>
  <c r="F74" i="86"/>
  <c r="I74" i="86" s="1"/>
  <c r="W15" i="86"/>
  <c r="F15" i="86"/>
  <c r="I15" i="86" s="1"/>
  <c r="W86" i="86"/>
  <c r="F86" i="86"/>
  <c r="I86" i="86" s="1"/>
  <c r="W48" i="86"/>
  <c r="F48" i="86"/>
  <c r="I48" i="86" s="1"/>
  <c r="W94" i="86"/>
  <c r="F94" i="86"/>
  <c r="I94" i="86" s="1"/>
  <c r="W75" i="86"/>
  <c r="F75" i="86"/>
  <c r="I75" i="86" s="1"/>
  <c r="W21" i="86"/>
  <c r="F21" i="86"/>
  <c r="I21" i="86" s="1"/>
  <c r="W33" i="86"/>
  <c r="F33" i="86"/>
  <c r="I33" i="86" s="1"/>
  <c r="W43" i="86"/>
  <c r="F43" i="86"/>
  <c r="I43" i="86" s="1"/>
  <c r="W90" i="86"/>
  <c r="F90" i="86"/>
  <c r="I90" i="86" s="1"/>
  <c r="W69" i="86"/>
  <c r="F69" i="86"/>
  <c r="I69" i="86" s="1"/>
  <c r="W38" i="86"/>
  <c r="F38" i="86"/>
  <c r="I38" i="86" s="1"/>
  <c r="W53" i="86"/>
  <c r="F53" i="86"/>
  <c r="I53" i="86" s="1"/>
  <c r="W65" i="86"/>
  <c r="F65" i="86"/>
  <c r="I65" i="86" s="1"/>
  <c r="W26" i="86"/>
  <c r="F26" i="86"/>
  <c r="I26" i="86" s="1"/>
  <c r="W37" i="86"/>
  <c r="F37" i="86"/>
  <c r="I37" i="86" s="1"/>
  <c r="W71" i="86"/>
  <c r="F71" i="86"/>
  <c r="I71" i="86" s="1"/>
  <c r="W30" i="86"/>
  <c r="F30" i="86"/>
  <c r="I30" i="86" s="1"/>
  <c r="W5" i="86"/>
  <c r="W78" i="86"/>
  <c r="F78" i="86"/>
  <c r="I78" i="86" s="1"/>
  <c r="F54" i="86"/>
  <c r="I54" i="86" s="1"/>
  <c r="W9" i="86"/>
  <c r="F9" i="86"/>
  <c r="I9" i="86" s="1"/>
  <c r="W16" i="86"/>
  <c r="F16" i="86"/>
  <c r="I16" i="86" s="1"/>
  <c r="W61" i="86"/>
  <c r="F61" i="86"/>
  <c r="I61" i="86" s="1"/>
  <c r="W45" i="86"/>
  <c r="F45" i="86"/>
  <c r="I45" i="86" s="1"/>
  <c r="W56" i="86"/>
  <c r="F56" i="86"/>
  <c r="I56" i="86" s="1"/>
  <c r="W50" i="86"/>
  <c r="F50" i="86"/>
  <c r="I50" i="86" s="1"/>
  <c r="W89" i="86"/>
  <c r="F89" i="86"/>
  <c r="I89" i="86" s="1"/>
  <c r="W87" i="86"/>
  <c r="F87" i="86"/>
  <c r="I87" i="86" s="1"/>
  <c r="W36" i="86"/>
  <c r="F36" i="86"/>
  <c r="I36" i="86" s="1"/>
  <c r="W39" i="86"/>
  <c r="F39" i="86"/>
  <c r="I39" i="86" s="1"/>
  <c r="W35" i="86"/>
  <c r="F35" i="86"/>
  <c r="I35" i="86" s="1"/>
  <c r="W8" i="86"/>
  <c r="F8" i="86"/>
  <c r="I8" i="86" s="1"/>
  <c r="W83" i="86"/>
  <c r="F83" i="86"/>
  <c r="I83" i="86" s="1"/>
  <c r="W66" i="86"/>
  <c r="F66" i="86"/>
  <c r="I66" i="86" s="1"/>
  <c r="W47" i="86"/>
  <c r="F47" i="86"/>
  <c r="I47" i="86" s="1"/>
  <c r="W42" i="86"/>
  <c r="F42" i="86"/>
  <c r="I42" i="86" s="1"/>
  <c r="W32" i="86"/>
  <c r="F32" i="86"/>
  <c r="I32" i="86" s="1"/>
  <c r="W91" i="86"/>
  <c r="F91" i="86"/>
  <c r="I91" i="86" s="1"/>
  <c r="W20" i="86"/>
  <c r="F20" i="86"/>
  <c r="I20" i="86" s="1"/>
  <c r="W19" i="86"/>
  <c r="F19" i="86"/>
  <c r="I19" i="86" s="1"/>
  <c r="W11" i="86"/>
  <c r="F11" i="86"/>
  <c r="I11" i="86" s="1"/>
  <c r="W51" i="86"/>
  <c r="F51" i="86"/>
  <c r="I51" i="86" s="1"/>
  <c r="W41" i="86"/>
  <c r="F41" i="86"/>
  <c r="I41" i="86" s="1"/>
  <c r="W77" i="86"/>
  <c r="F77" i="86"/>
  <c r="I77" i="86" s="1"/>
  <c r="W49" i="86"/>
  <c r="F49" i="86"/>
  <c r="I49" i="86" s="1"/>
  <c r="W46" i="86"/>
  <c r="F46" i="86"/>
  <c r="I46" i="86" s="1"/>
  <c r="W57" i="86"/>
  <c r="F57" i="86"/>
  <c r="I57" i="86" s="1"/>
  <c r="W88" i="86"/>
  <c r="F88" i="86"/>
  <c r="I88" i="86" s="1"/>
  <c r="W24" i="86"/>
  <c r="AV24" i="86" s="1"/>
  <c r="F24" i="86"/>
  <c r="I24" i="86" s="1"/>
  <c r="H160" i="77"/>
  <c r="B162" i="77"/>
  <c r="H161" i="77"/>
  <c r="B156" i="61"/>
  <c r="G32" i="23"/>
  <c r="M32" i="23" s="1"/>
  <c r="W6" i="86"/>
  <c r="W59" i="86"/>
  <c r="W54" i="86"/>
  <c r="H23" i="74"/>
  <c r="I22" i="74" s="1"/>
  <c r="A14" i="74"/>
  <c r="A16" i="74" s="1"/>
  <c r="H24" i="74" s="1"/>
  <c r="I23" i="74" s="1"/>
  <c r="L43" i="72"/>
  <c r="M121" i="21"/>
  <c r="P121" i="70"/>
  <c r="Q120" i="70" s="1"/>
  <c r="A17" i="70"/>
  <c r="A18" i="70" s="1"/>
  <c r="A20" i="70" s="1"/>
  <c r="Q121" i="21"/>
  <c r="A18" i="69"/>
  <c r="X61" i="69"/>
  <c r="Y60" i="69" s="1"/>
  <c r="P133" i="21"/>
  <c r="P134" i="21" s="1"/>
  <c r="P135" i="21" s="1"/>
  <c r="P136" i="21" s="1"/>
  <c r="P137" i="21" s="1"/>
  <c r="P138" i="21" s="1"/>
  <c r="P139" i="21" s="1"/>
  <c r="P140" i="21" s="1"/>
  <c r="P141" i="21" s="1"/>
  <c r="P142" i="21" s="1"/>
  <c r="P143" i="21" s="1"/>
  <c r="P144" i="21" s="1"/>
  <c r="P145" i="21" s="1"/>
  <c r="P146" i="21" s="1"/>
  <c r="P147" i="21" s="1"/>
  <c r="P148" i="21" s="1"/>
  <c r="P149" i="21" s="1"/>
  <c r="P150" i="21" s="1"/>
  <c r="P151" i="21" s="1"/>
  <c r="P152" i="21" s="1"/>
  <c r="P153" i="21" s="1"/>
  <c r="P154" i="21" s="1"/>
  <c r="P155" i="21" s="1"/>
  <c r="P156" i="21" s="1"/>
  <c r="P157" i="21" s="1"/>
  <c r="P158" i="21" s="1"/>
  <c r="P159" i="21" s="1"/>
  <c r="P160" i="21" s="1"/>
  <c r="P161" i="21" s="1"/>
  <c r="P162" i="21" s="1"/>
  <c r="P163" i="21" s="1"/>
  <c r="P164" i="21" s="1"/>
  <c r="P165" i="21" s="1"/>
  <c r="P166" i="21" s="1"/>
  <c r="P167" i="21" s="1"/>
  <c r="P168" i="21" s="1"/>
  <c r="P169" i="21" s="1"/>
  <c r="P170" i="21" s="1"/>
  <c r="P171" i="21" s="1"/>
  <c r="P172" i="21" s="1"/>
  <c r="P173" i="21" s="1"/>
  <c r="P174" i="21" s="1"/>
  <c r="P175" i="21" s="1"/>
  <c r="P176" i="21" s="1"/>
  <c r="P177" i="21" s="1"/>
  <c r="P178" i="21" s="1"/>
  <c r="P179" i="21" s="1"/>
  <c r="P180" i="21" s="1"/>
  <c r="P181" i="21" s="1"/>
  <c r="P182" i="21" s="1"/>
  <c r="P183" i="21" s="1"/>
  <c r="P184" i="21" s="1"/>
  <c r="P185" i="21" s="1"/>
  <c r="P186" i="21" s="1"/>
  <c r="P187" i="21" s="1"/>
  <c r="P188" i="21" s="1"/>
  <c r="P189" i="21" s="1"/>
  <c r="P190" i="21" s="1"/>
  <c r="P191" i="21" s="1"/>
  <c r="P192" i="21" s="1"/>
  <c r="P193" i="21" s="1"/>
  <c r="P194" i="21" s="1"/>
  <c r="P195" i="21" s="1"/>
  <c r="P196" i="21" s="1"/>
  <c r="P197" i="21" s="1"/>
  <c r="P198" i="21" s="1"/>
  <c r="P199" i="21" s="1"/>
  <c r="P200" i="21" s="1"/>
  <c r="P201" i="21" s="1"/>
  <c r="P202" i="21" s="1"/>
  <c r="P203" i="21" s="1"/>
  <c r="P204" i="21" s="1"/>
  <c r="P205" i="21" s="1"/>
  <c r="P206" i="21" s="1"/>
  <c r="P207" i="21" s="1"/>
  <c r="P208" i="21" s="1"/>
  <c r="P209" i="21" s="1"/>
  <c r="P210" i="21" s="1"/>
  <c r="P211" i="21" s="1"/>
  <c r="P212" i="21" s="1"/>
  <c r="P213" i="21" s="1"/>
  <c r="P214" i="21" s="1"/>
  <c r="P215" i="21" s="1"/>
  <c r="P216" i="21" s="1"/>
  <c r="P217" i="21" s="1"/>
  <c r="P218" i="21" s="1"/>
  <c r="P219" i="21" s="1"/>
  <c r="P220" i="21" s="1"/>
  <c r="P221" i="21" s="1"/>
  <c r="P222" i="21" s="1"/>
  <c r="P223" i="21" s="1"/>
  <c r="P224" i="21" s="1"/>
  <c r="P225" i="21" s="1"/>
  <c r="P226" i="21" s="1"/>
  <c r="P227" i="21" s="1"/>
  <c r="P228" i="21" s="1"/>
  <c r="P229" i="21" s="1"/>
  <c r="P230" i="21" s="1"/>
  <c r="P231" i="21" s="1"/>
  <c r="P232" i="21" s="1"/>
  <c r="P233" i="21" s="1"/>
  <c r="P234" i="21" s="1"/>
  <c r="P235" i="21" s="1"/>
  <c r="P236" i="21" s="1"/>
  <c r="P237" i="21" s="1"/>
  <c r="P238" i="21" s="1"/>
  <c r="P239" i="21" s="1"/>
  <c r="P240" i="21" s="1"/>
  <c r="P241" i="21" s="1"/>
  <c r="P242" i="21" s="1"/>
  <c r="P243" i="21" s="1"/>
  <c r="P244" i="21" s="1"/>
  <c r="P245" i="21" s="1"/>
  <c r="P246" i="21" s="1"/>
  <c r="P247" i="21" s="1"/>
  <c r="P248" i="21" s="1"/>
  <c r="P249" i="21" s="1"/>
  <c r="P121" i="21"/>
  <c r="L133" i="21"/>
  <c r="L134" i="21" s="1"/>
  <c r="L135" i="21" s="1"/>
  <c r="L136" i="21" s="1"/>
  <c r="L137" i="21" s="1"/>
  <c r="L138" i="21" s="1"/>
  <c r="L139" i="21" s="1"/>
  <c r="L140" i="21" s="1"/>
  <c r="L141" i="21" s="1"/>
  <c r="L142" i="21" s="1"/>
  <c r="L143" i="21" s="1"/>
  <c r="L144" i="21" s="1"/>
  <c r="L145" i="21" s="1"/>
  <c r="L146" i="21" s="1"/>
  <c r="L147" i="21" s="1"/>
  <c r="L148" i="21" s="1"/>
  <c r="L149" i="21" s="1"/>
  <c r="L150" i="21" s="1"/>
  <c r="L151" i="21" s="1"/>
  <c r="L152" i="21" s="1"/>
  <c r="L153" i="21" s="1"/>
  <c r="L154" i="21" s="1"/>
  <c r="L155" i="21" s="1"/>
  <c r="L156" i="21" s="1"/>
  <c r="L157" i="21" s="1"/>
  <c r="L158" i="21" s="1"/>
  <c r="L159" i="21" s="1"/>
  <c r="L160" i="21" s="1"/>
  <c r="L161" i="21" s="1"/>
  <c r="L162" i="21" s="1"/>
  <c r="L163" i="21" s="1"/>
  <c r="L164" i="21" s="1"/>
  <c r="L165" i="21" s="1"/>
  <c r="L166" i="21" s="1"/>
  <c r="L167" i="21" s="1"/>
  <c r="L168" i="21" s="1"/>
  <c r="L169" i="21" s="1"/>
  <c r="L170" i="21" s="1"/>
  <c r="L171" i="21" s="1"/>
  <c r="L172" i="21" s="1"/>
  <c r="L173" i="21" s="1"/>
  <c r="L174" i="21" s="1"/>
  <c r="L175" i="21" s="1"/>
  <c r="L176" i="21" s="1"/>
  <c r="L177" i="21" s="1"/>
  <c r="L178" i="21" s="1"/>
  <c r="L179" i="21" s="1"/>
  <c r="L180" i="21" s="1"/>
  <c r="L181" i="21" s="1"/>
  <c r="L182" i="21" s="1"/>
  <c r="L183" i="21" s="1"/>
  <c r="L184" i="21" s="1"/>
  <c r="L185" i="21" s="1"/>
  <c r="L186" i="21" s="1"/>
  <c r="L187" i="21" s="1"/>
  <c r="L188" i="21" s="1"/>
  <c r="L189" i="21" s="1"/>
  <c r="L190" i="21" s="1"/>
  <c r="L191" i="21" s="1"/>
  <c r="L192" i="21" s="1"/>
  <c r="L193" i="21" s="1"/>
  <c r="L194" i="21" s="1"/>
  <c r="L195" i="21" s="1"/>
  <c r="L196" i="21" s="1"/>
  <c r="L197" i="21" s="1"/>
  <c r="L198" i="21" s="1"/>
  <c r="L199" i="21" s="1"/>
  <c r="L200" i="21" s="1"/>
  <c r="L201" i="21" s="1"/>
  <c r="L202" i="21" s="1"/>
  <c r="L203" i="21" s="1"/>
  <c r="L204" i="21" s="1"/>
  <c r="L205" i="21" s="1"/>
  <c r="L206" i="21" s="1"/>
  <c r="L207" i="21" s="1"/>
  <c r="L208" i="21" s="1"/>
  <c r="L209" i="21" s="1"/>
  <c r="L210" i="21" s="1"/>
  <c r="L211" i="21" s="1"/>
  <c r="L212" i="21" s="1"/>
  <c r="L213" i="21" s="1"/>
  <c r="L214" i="21" s="1"/>
  <c r="L215" i="21" s="1"/>
  <c r="L216" i="21" s="1"/>
  <c r="L217" i="21" s="1"/>
  <c r="L218" i="21" s="1"/>
  <c r="L219" i="21" s="1"/>
  <c r="L220" i="21" s="1"/>
  <c r="L221" i="21" s="1"/>
  <c r="L222" i="21" s="1"/>
  <c r="L223" i="21" s="1"/>
  <c r="L224" i="21" s="1"/>
  <c r="L225" i="21" s="1"/>
  <c r="L226" i="21" s="1"/>
  <c r="L227" i="21" s="1"/>
  <c r="L228" i="21" s="1"/>
  <c r="L229" i="21" s="1"/>
  <c r="L230" i="21" s="1"/>
  <c r="L231" i="21" s="1"/>
  <c r="L232" i="21" s="1"/>
  <c r="L233" i="21" s="1"/>
  <c r="L234" i="21" s="1"/>
  <c r="L235" i="21" s="1"/>
  <c r="L236" i="21" s="1"/>
  <c r="L237" i="21" s="1"/>
  <c r="L238" i="21" s="1"/>
  <c r="L239" i="21" s="1"/>
  <c r="L240" i="21" s="1"/>
  <c r="L241" i="21" s="1"/>
  <c r="L242" i="21" s="1"/>
  <c r="L243" i="21" s="1"/>
  <c r="L244" i="21" s="1"/>
  <c r="L245" i="21" s="1"/>
  <c r="L246" i="21" s="1"/>
  <c r="L247" i="21" s="1"/>
  <c r="L248" i="21" s="1"/>
  <c r="L249" i="21" s="1"/>
  <c r="L121" i="21"/>
  <c r="S133" i="21"/>
  <c r="S134" i="21" s="1"/>
  <c r="S135" i="21" s="1"/>
  <c r="S136" i="21" s="1"/>
  <c r="S137" i="21" s="1"/>
  <c r="S138" i="21" s="1"/>
  <c r="S139" i="21" s="1"/>
  <c r="S140" i="21" s="1"/>
  <c r="S141" i="21" s="1"/>
  <c r="S142" i="21" s="1"/>
  <c r="S143" i="21" s="1"/>
  <c r="S144" i="21" s="1"/>
  <c r="S145" i="21" s="1"/>
  <c r="S146" i="21" s="1"/>
  <c r="S147" i="21" s="1"/>
  <c r="S148" i="21" s="1"/>
  <c r="S149" i="21" s="1"/>
  <c r="S150" i="21" s="1"/>
  <c r="S151" i="21" s="1"/>
  <c r="S152" i="21" s="1"/>
  <c r="S153" i="21" s="1"/>
  <c r="S154" i="21" s="1"/>
  <c r="S155" i="21" s="1"/>
  <c r="S156" i="21" s="1"/>
  <c r="S157" i="21" s="1"/>
  <c r="S158" i="21" s="1"/>
  <c r="S159" i="21" s="1"/>
  <c r="S160" i="21" s="1"/>
  <c r="S161" i="21" s="1"/>
  <c r="S162" i="21" s="1"/>
  <c r="S163" i="21" s="1"/>
  <c r="S164" i="21" s="1"/>
  <c r="S165" i="21" s="1"/>
  <c r="S166" i="21" s="1"/>
  <c r="S167" i="21" s="1"/>
  <c r="S168" i="21" s="1"/>
  <c r="S169" i="21" s="1"/>
  <c r="S170" i="21" s="1"/>
  <c r="S171" i="21" s="1"/>
  <c r="S172" i="21" s="1"/>
  <c r="S173" i="21" s="1"/>
  <c r="S174" i="21" s="1"/>
  <c r="S175" i="21" s="1"/>
  <c r="S176" i="21" s="1"/>
  <c r="S177" i="21" s="1"/>
  <c r="S178" i="21" s="1"/>
  <c r="S179" i="21" s="1"/>
  <c r="S180" i="21" s="1"/>
  <c r="S181" i="21" s="1"/>
  <c r="S182" i="21" s="1"/>
  <c r="S183" i="21" s="1"/>
  <c r="S184" i="21" s="1"/>
  <c r="S185" i="21" s="1"/>
  <c r="S186" i="21" s="1"/>
  <c r="S187" i="21" s="1"/>
  <c r="S188" i="21" s="1"/>
  <c r="S189" i="21" s="1"/>
  <c r="S190" i="21" s="1"/>
  <c r="S191" i="21" s="1"/>
  <c r="S192" i="21" s="1"/>
  <c r="S193" i="21" s="1"/>
  <c r="S194" i="21" s="1"/>
  <c r="S195" i="21" s="1"/>
  <c r="S196" i="21" s="1"/>
  <c r="S197" i="21" s="1"/>
  <c r="S198" i="21" s="1"/>
  <c r="S199" i="21" s="1"/>
  <c r="S200" i="21" s="1"/>
  <c r="S201" i="21" s="1"/>
  <c r="S202" i="21" s="1"/>
  <c r="S203" i="21" s="1"/>
  <c r="S204" i="21" s="1"/>
  <c r="S205" i="21" s="1"/>
  <c r="S206" i="21" s="1"/>
  <c r="S207" i="21" s="1"/>
  <c r="S208" i="21" s="1"/>
  <c r="S209" i="21" s="1"/>
  <c r="S210" i="21" s="1"/>
  <c r="S211" i="21" s="1"/>
  <c r="S212" i="21" s="1"/>
  <c r="S213" i="21" s="1"/>
  <c r="S214" i="21" s="1"/>
  <c r="S215" i="21" s="1"/>
  <c r="S216" i="21" s="1"/>
  <c r="S217" i="21" s="1"/>
  <c r="S218" i="21" s="1"/>
  <c r="S219" i="21" s="1"/>
  <c r="S220" i="21" s="1"/>
  <c r="S221" i="21" s="1"/>
  <c r="S222" i="21" s="1"/>
  <c r="S223" i="21" s="1"/>
  <c r="S224" i="21" s="1"/>
  <c r="S225" i="21" s="1"/>
  <c r="S226" i="21" s="1"/>
  <c r="S227" i="21" s="1"/>
  <c r="S228" i="21" s="1"/>
  <c r="S229" i="21" s="1"/>
  <c r="S230" i="21" s="1"/>
  <c r="S231" i="21" s="1"/>
  <c r="S232" i="21" s="1"/>
  <c r="S233" i="21" s="1"/>
  <c r="S234" i="21" s="1"/>
  <c r="S235" i="21" s="1"/>
  <c r="S236" i="21" s="1"/>
  <c r="S237" i="21" s="1"/>
  <c r="S238" i="21" s="1"/>
  <c r="S239" i="21" s="1"/>
  <c r="S240" i="21" s="1"/>
  <c r="S241" i="21" s="1"/>
  <c r="S242" i="21" s="1"/>
  <c r="S243" i="21" s="1"/>
  <c r="S244" i="21" s="1"/>
  <c r="S245" i="21" s="1"/>
  <c r="S246" i="21" s="1"/>
  <c r="S247" i="21" s="1"/>
  <c r="S248" i="21" s="1"/>
  <c r="S249" i="21" s="1"/>
  <c r="S121" i="21"/>
  <c r="J121" i="21"/>
  <c r="N133" i="21"/>
  <c r="N134" i="21" s="1"/>
  <c r="N135" i="21" s="1"/>
  <c r="N136" i="21" s="1"/>
  <c r="N137" i="21" s="1"/>
  <c r="N138" i="21" s="1"/>
  <c r="N139" i="21" s="1"/>
  <c r="N140" i="21" s="1"/>
  <c r="N141" i="21" s="1"/>
  <c r="N142" i="21" s="1"/>
  <c r="N143" i="21" s="1"/>
  <c r="N144" i="21" s="1"/>
  <c r="N145" i="21" s="1"/>
  <c r="N146" i="21" s="1"/>
  <c r="N147" i="21" s="1"/>
  <c r="N148" i="21" s="1"/>
  <c r="N149" i="21" s="1"/>
  <c r="N150" i="21" s="1"/>
  <c r="N151" i="21" s="1"/>
  <c r="N152" i="21" s="1"/>
  <c r="N153" i="21" s="1"/>
  <c r="N154" i="21" s="1"/>
  <c r="N155" i="21" s="1"/>
  <c r="N156" i="21" s="1"/>
  <c r="N157" i="21" s="1"/>
  <c r="N158" i="21" s="1"/>
  <c r="N159" i="21" s="1"/>
  <c r="N160" i="21" s="1"/>
  <c r="N161" i="21" s="1"/>
  <c r="N162" i="21" s="1"/>
  <c r="N163" i="21" s="1"/>
  <c r="N164" i="21" s="1"/>
  <c r="N165" i="21" s="1"/>
  <c r="N166" i="21" s="1"/>
  <c r="N167" i="21" s="1"/>
  <c r="N168" i="21" s="1"/>
  <c r="N169" i="21" s="1"/>
  <c r="N170" i="21" s="1"/>
  <c r="N171" i="21" s="1"/>
  <c r="N172" i="21" s="1"/>
  <c r="N173" i="21" s="1"/>
  <c r="N174" i="21" s="1"/>
  <c r="N175" i="21" s="1"/>
  <c r="N176" i="21" s="1"/>
  <c r="N177" i="21" s="1"/>
  <c r="N178" i="21" s="1"/>
  <c r="N179" i="21" s="1"/>
  <c r="N180" i="21" s="1"/>
  <c r="N181" i="21" s="1"/>
  <c r="N182" i="21" s="1"/>
  <c r="N183" i="21" s="1"/>
  <c r="N184" i="21" s="1"/>
  <c r="N185" i="21" s="1"/>
  <c r="N186" i="21" s="1"/>
  <c r="N187" i="21" s="1"/>
  <c r="N188" i="21" s="1"/>
  <c r="N189" i="21" s="1"/>
  <c r="N190" i="21" s="1"/>
  <c r="N191" i="21" s="1"/>
  <c r="N192" i="21" s="1"/>
  <c r="N193" i="21" s="1"/>
  <c r="N194" i="21" s="1"/>
  <c r="N195" i="21" s="1"/>
  <c r="N196" i="21" s="1"/>
  <c r="N197" i="21" s="1"/>
  <c r="N198" i="21" s="1"/>
  <c r="N199" i="21" s="1"/>
  <c r="N200" i="21" s="1"/>
  <c r="N201" i="21" s="1"/>
  <c r="N202" i="21" s="1"/>
  <c r="N203" i="21" s="1"/>
  <c r="N204" i="21" s="1"/>
  <c r="N205" i="21" s="1"/>
  <c r="N206" i="21" s="1"/>
  <c r="N207" i="21" s="1"/>
  <c r="N208" i="21" s="1"/>
  <c r="N209" i="21" s="1"/>
  <c r="N210" i="21" s="1"/>
  <c r="N211" i="21" s="1"/>
  <c r="N212" i="21" s="1"/>
  <c r="N213" i="21" s="1"/>
  <c r="N214" i="21" s="1"/>
  <c r="N215" i="21" s="1"/>
  <c r="N216" i="21" s="1"/>
  <c r="N217" i="21" s="1"/>
  <c r="N218" i="21" s="1"/>
  <c r="N219" i="21" s="1"/>
  <c r="N220" i="21" s="1"/>
  <c r="N221" i="21" s="1"/>
  <c r="N222" i="21" s="1"/>
  <c r="N223" i="21" s="1"/>
  <c r="N224" i="21" s="1"/>
  <c r="N225" i="21" s="1"/>
  <c r="N226" i="21" s="1"/>
  <c r="N227" i="21" s="1"/>
  <c r="N228" i="21" s="1"/>
  <c r="N229" i="21" s="1"/>
  <c r="N230" i="21" s="1"/>
  <c r="N231" i="21" s="1"/>
  <c r="N232" i="21" s="1"/>
  <c r="N233" i="21" s="1"/>
  <c r="N234" i="21" s="1"/>
  <c r="N235" i="21" s="1"/>
  <c r="N236" i="21" s="1"/>
  <c r="N237" i="21" s="1"/>
  <c r="N238" i="21" s="1"/>
  <c r="N239" i="21" s="1"/>
  <c r="N240" i="21" s="1"/>
  <c r="N241" i="21" s="1"/>
  <c r="N242" i="21" s="1"/>
  <c r="N243" i="21" s="1"/>
  <c r="N244" i="21" s="1"/>
  <c r="N245" i="21" s="1"/>
  <c r="N246" i="21" s="1"/>
  <c r="N247" i="21" s="1"/>
  <c r="N248" i="21" s="1"/>
  <c r="N249" i="21" s="1"/>
  <c r="N121" i="21"/>
  <c r="O121" i="21"/>
  <c r="R121" i="21"/>
  <c r="O133" i="2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K121" i="21"/>
  <c r="I133" i="21"/>
  <c r="I134" i="21" s="1"/>
  <c r="I135" i="21" s="1"/>
  <c r="I136" i="21" s="1"/>
  <c r="I137" i="21" s="1"/>
  <c r="I138" i="21" s="1"/>
  <c r="I139" i="21" s="1"/>
  <c r="I140" i="21" s="1"/>
  <c r="I141" i="21" s="1"/>
  <c r="I142" i="21" s="1"/>
  <c r="I143" i="21" s="1"/>
  <c r="I144" i="21" s="1"/>
  <c r="I145" i="21" s="1"/>
  <c r="I146" i="21" s="1"/>
  <c r="I147" i="21" s="1"/>
  <c r="I148" i="21" s="1"/>
  <c r="I149" i="21" s="1"/>
  <c r="I150" i="21" s="1"/>
  <c r="I151" i="21" s="1"/>
  <c r="I152" i="21" s="1"/>
  <c r="I153" i="21" s="1"/>
  <c r="I154" i="21" s="1"/>
  <c r="I155" i="21" s="1"/>
  <c r="I156" i="21" s="1"/>
  <c r="I157" i="21" s="1"/>
  <c r="I158" i="21" s="1"/>
  <c r="I159" i="21" s="1"/>
  <c r="I160" i="21" s="1"/>
  <c r="I161" i="21" s="1"/>
  <c r="I162" i="21" s="1"/>
  <c r="I163" i="21" s="1"/>
  <c r="I164" i="21" s="1"/>
  <c r="I165" i="21" s="1"/>
  <c r="I166" i="21" s="1"/>
  <c r="I167" i="21" s="1"/>
  <c r="I168" i="21" s="1"/>
  <c r="I169" i="21" s="1"/>
  <c r="I170" i="21" s="1"/>
  <c r="I171" i="21" s="1"/>
  <c r="I172" i="21" s="1"/>
  <c r="I173" i="21" s="1"/>
  <c r="I174" i="21" s="1"/>
  <c r="I175" i="21" s="1"/>
  <c r="I176" i="21" s="1"/>
  <c r="I177" i="21" s="1"/>
  <c r="I178" i="21" s="1"/>
  <c r="I179" i="21" s="1"/>
  <c r="I180" i="21" s="1"/>
  <c r="I181" i="21" s="1"/>
  <c r="I182" i="21" s="1"/>
  <c r="I183" i="21" s="1"/>
  <c r="I184" i="21" s="1"/>
  <c r="I185" i="21" s="1"/>
  <c r="I186" i="21" s="1"/>
  <c r="I187" i="21" s="1"/>
  <c r="I188" i="21" s="1"/>
  <c r="I189" i="21" s="1"/>
  <c r="I190" i="21" s="1"/>
  <c r="I191" i="21" s="1"/>
  <c r="I192" i="21" s="1"/>
  <c r="I193" i="21" s="1"/>
  <c r="I194" i="21" s="1"/>
  <c r="I195" i="21" s="1"/>
  <c r="I196" i="21" s="1"/>
  <c r="I197" i="21" s="1"/>
  <c r="I198" i="21" s="1"/>
  <c r="I199" i="21" s="1"/>
  <c r="I200" i="21" s="1"/>
  <c r="I201" i="21" s="1"/>
  <c r="I202" i="21" s="1"/>
  <c r="I203" i="21" s="1"/>
  <c r="I204" i="21" s="1"/>
  <c r="I205" i="21" s="1"/>
  <c r="I206" i="21" s="1"/>
  <c r="I207" i="21" s="1"/>
  <c r="I208" i="21" s="1"/>
  <c r="I209" i="21" s="1"/>
  <c r="I210" i="21" s="1"/>
  <c r="I211" i="21" s="1"/>
  <c r="I212" i="21" s="1"/>
  <c r="I213" i="21" s="1"/>
  <c r="I214" i="21" s="1"/>
  <c r="I215" i="21" s="1"/>
  <c r="I216" i="21" s="1"/>
  <c r="I217" i="21" s="1"/>
  <c r="I218" i="21" s="1"/>
  <c r="I219" i="21" s="1"/>
  <c r="I220" i="21" s="1"/>
  <c r="I221" i="21" s="1"/>
  <c r="I222" i="21" s="1"/>
  <c r="I223" i="21" s="1"/>
  <c r="I224" i="21" s="1"/>
  <c r="I225" i="21" s="1"/>
  <c r="I226" i="21" s="1"/>
  <c r="I227" i="21" s="1"/>
  <c r="I228" i="21" s="1"/>
  <c r="I229" i="21" s="1"/>
  <c r="I230" i="21" s="1"/>
  <c r="I231" i="21" s="1"/>
  <c r="I232" i="21" s="1"/>
  <c r="I233" i="21" s="1"/>
  <c r="I234" i="21" s="1"/>
  <c r="I235" i="21" s="1"/>
  <c r="I236" i="21" s="1"/>
  <c r="I237" i="21" s="1"/>
  <c r="I238" i="21" s="1"/>
  <c r="I239" i="21" s="1"/>
  <c r="I240" i="21" s="1"/>
  <c r="I241" i="21" s="1"/>
  <c r="I242" i="21" s="1"/>
  <c r="I243" i="21" s="1"/>
  <c r="I244" i="21" s="1"/>
  <c r="I245" i="21" s="1"/>
  <c r="I246" i="21" s="1"/>
  <c r="I247" i="21" s="1"/>
  <c r="I248" i="21" s="1"/>
  <c r="I249" i="21" s="1"/>
  <c r="I121" i="21"/>
  <c r="E121" i="21"/>
  <c r="D133" i="21"/>
  <c r="D134" i="21" s="1"/>
  <c r="D135" i="21" s="1"/>
  <c r="D136" i="21" s="1"/>
  <c r="D137" i="21" s="1"/>
  <c r="D138" i="21" s="1"/>
  <c r="D139" i="21" s="1"/>
  <c r="D140" i="21" s="1"/>
  <c r="D141" i="21" s="1"/>
  <c r="D142" i="21" s="1"/>
  <c r="D143" i="21" s="1"/>
  <c r="D144" i="21" s="1"/>
  <c r="D145" i="21" s="1"/>
  <c r="D146" i="21" s="1"/>
  <c r="D147" i="21" s="1"/>
  <c r="D148" i="21" s="1"/>
  <c r="D149" i="21" s="1"/>
  <c r="D150" i="21" s="1"/>
  <c r="D151" i="21" s="1"/>
  <c r="D152" i="21" s="1"/>
  <c r="D153" i="21" s="1"/>
  <c r="D154" i="21" s="1"/>
  <c r="D155" i="21" s="1"/>
  <c r="D156" i="21" s="1"/>
  <c r="D157" i="21" s="1"/>
  <c r="D158" i="21" s="1"/>
  <c r="D159" i="21" s="1"/>
  <c r="D160" i="21" s="1"/>
  <c r="D161" i="21" s="1"/>
  <c r="D162" i="21" s="1"/>
  <c r="D163" i="21" s="1"/>
  <c r="D164" i="21" s="1"/>
  <c r="D165" i="21" s="1"/>
  <c r="D166" i="21" s="1"/>
  <c r="D167" i="21" s="1"/>
  <c r="D168" i="21" s="1"/>
  <c r="D169" i="21" s="1"/>
  <c r="D170" i="21" s="1"/>
  <c r="D171" i="21" s="1"/>
  <c r="D172" i="21" s="1"/>
  <c r="D173" i="21" s="1"/>
  <c r="D174" i="21" s="1"/>
  <c r="D175" i="21" s="1"/>
  <c r="D176" i="21" s="1"/>
  <c r="D177" i="21" s="1"/>
  <c r="D178" i="21" s="1"/>
  <c r="D179" i="21" s="1"/>
  <c r="D180" i="21" s="1"/>
  <c r="D181" i="21" s="1"/>
  <c r="D182" i="21" s="1"/>
  <c r="D183" i="21" s="1"/>
  <c r="D184" i="21" s="1"/>
  <c r="D185" i="21" s="1"/>
  <c r="D186" i="21" s="1"/>
  <c r="D187" i="21" s="1"/>
  <c r="D188" i="21" s="1"/>
  <c r="D189" i="21" s="1"/>
  <c r="D190" i="21" s="1"/>
  <c r="D191" i="21" s="1"/>
  <c r="D192" i="21" s="1"/>
  <c r="D193" i="21" s="1"/>
  <c r="D194" i="21" s="1"/>
  <c r="D195" i="21" s="1"/>
  <c r="D196" i="21" s="1"/>
  <c r="D197" i="21" s="1"/>
  <c r="D198" i="21" s="1"/>
  <c r="D199" i="21" s="1"/>
  <c r="D200" i="21" s="1"/>
  <c r="D201" i="21" s="1"/>
  <c r="D202" i="21" s="1"/>
  <c r="D203" i="21" s="1"/>
  <c r="D204" i="21" s="1"/>
  <c r="D205" i="21" s="1"/>
  <c r="D206" i="21" s="1"/>
  <c r="D207" i="21" s="1"/>
  <c r="D208" i="21" s="1"/>
  <c r="D209" i="21" s="1"/>
  <c r="D210" i="21" s="1"/>
  <c r="D211" i="21" s="1"/>
  <c r="D212" i="21" s="1"/>
  <c r="D213" i="21" s="1"/>
  <c r="D214" i="21" s="1"/>
  <c r="D215" i="21" s="1"/>
  <c r="D216" i="21" s="1"/>
  <c r="D217" i="21" s="1"/>
  <c r="D218" i="21" s="1"/>
  <c r="D219" i="21" s="1"/>
  <c r="D220" i="21" s="1"/>
  <c r="D221" i="21" s="1"/>
  <c r="D222" i="21" s="1"/>
  <c r="D223" i="21" s="1"/>
  <c r="D224" i="21" s="1"/>
  <c r="D225" i="21" s="1"/>
  <c r="D226" i="21" s="1"/>
  <c r="D227" i="21" s="1"/>
  <c r="D228" i="21" s="1"/>
  <c r="D229" i="21" s="1"/>
  <c r="D230" i="21" s="1"/>
  <c r="D231" i="21" s="1"/>
  <c r="D232" i="21" s="1"/>
  <c r="D233" i="21" s="1"/>
  <c r="D234" i="21" s="1"/>
  <c r="D235" i="21" s="1"/>
  <c r="D236" i="21" s="1"/>
  <c r="D237" i="21" s="1"/>
  <c r="D238" i="21" s="1"/>
  <c r="D239" i="21" s="1"/>
  <c r="D240" i="21" s="1"/>
  <c r="D241" i="21" s="1"/>
  <c r="D242" i="21" s="1"/>
  <c r="D243" i="21" s="1"/>
  <c r="D244" i="21" s="1"/>
  <c r="D245" i="21" s="1"/>
  <c r="D246" i="21" s="1"/>
  <c r="D247" i="21" s="1"/>
  <c r="D248" i="21" s="1"/>
  <c r="D249" i="21" s="1"/>
  <c r="D121" i="21"/>
  <c r="H121" i="21"/>
  <c r="P121" i="83"/>
  <c r="G121" i="83"/>
  <c r="C26" i="23"/>
  <c r="B99" i="62"/>
  <c r="B100" i="62"/>
  <c r="F28" i="23"/>
  <c r="B81" i="62"/>
  <c r="G27" i="23" s="1"/>
  <c r="F27" i="23"/>
  <c r="K135" i="21"/>
  <c r="K136" i="21" s="1"/>
  <c r="K137" i="21" s="1"/>
  <c r="K138" i="21" s="1"/>
  <c r="K139" i="21" s="1"/>
  <c r="K140" i="21" s="1"/>
  <c r="K141" i="21" s="1"/>
  <c r="K142" i="21" s="1"/>
  <c r="K143" i="21" s="1"/>
  <c r="K144" i="21" s="1"/>
  <c r="K145" i="21" s="1"/>
  <c r="K146" i="21" s="1"/>
  <c r="K147" i="21" s="1"/>
  <c r="K148" i="21" s="1"/>
  <c r="K149" i="21" s="1"/>
  <c r="K150" i="21" s="1"/>
  <c r="K151" i="21" s="1"/>
  <c r="K152" i="21" s="1"/>
  <c r="K153" i="21" s="1"/>
  <c r="K154" i="21" s="1"/>
  <c r="K155" i="21" s="1"/>
  <c r="K156" i="21" s="1"/>
  <c r="K157" i="21" s="1"/>
  <c r="K158" i="21" s="1"/>
  <c r="K159" i="21" s="1"/>
  <c r="K160" i="21" s="1"/>
  <c r="K161" i="21" s="1"/>
  <c r="K162" i="21" s="1"/>
  <c r="K163" i="21" s="1"/>
  <c r="K164" i="21" s="1"/>
  <c r="K165" i="21" s="1"/>
  <c r="K166" i="21" s="1"/>
  <c r="K167" i="21" s="1"/>
  <c r="K168" i="21" s="1"/>
  <c r="K169" i="21" s="1"/>
  <c r="K170" i="21" s="1"/>
  <c r="K171" i="21" s="1"/>
  <c r="K172" i="21" s="1"/>
  <c r="K173" i="21" s="1"/>
  <c r="K174" i="21" s="1"/>
  <c r="K175" i="21" s="1"/>
  <c r="K176" i="21" s="1"/>
  <c r="K177" i="21" s="1"/>
  <c r="K178" i="21" s="1"/>
  <c r="K179" i="21" s="1"/>
  <c r="K180" i="21" s="1"/>
  <c r="K181" i="21" s="1"/>
  <c r="K182" i="21" s="1"/>
  <c r="K183" i="21" s="1"/>
  <c r="K184" i="21" s="1"/>
  <c r="K185" i="21" s="1"/>
  <c r="K186" i="21" s="1"/>
  <c r="K187" i="21" s="1"/>
  <c r="K188" i="21" s="1"/>
  <c r="K189" i="21" s="1"/>
  <c r="K190" i="21" s="1"/>
  <c r="K191" i="21" s="1"/>
  <c r="K192" i="21" s="1"/>
  <c r="K193" i="21" s="1"/>
  <c r="K194" i="21" s="1"/>
  <c r="K195" i="21" s="1"/>
  <c r="K196" i="21" s="1"/>
  <c r="K197" i="21" s="1"/>
  <c r="K198" i="21" s="1"/>
  <c r="K199" i="21" s="1"/>
  <c r="K200" i="21" s="1"/>
  <c r="K201" i="21" s="1"/>
  <c r="K202" i="21" s="1"/>
  <c r="K203" i="21" s="1"/>
  <c r="K204" i="21" s="1"/>
  <c r="K205" i="21" s="1"/>
  <c r="K206" i="21" s="1"/>
  <c r="K207" i="21" s="1"/>
  <c r="K208" i="21" s="1"/>
  <c r="K209" i="21" s="1"/>
  <c r="K210" i="21" s="1"/>
  <c r="K211" i="21" s="1"/>
  <c r="K212" i="21" s="1"/>
  <c r="K213" i="21" s="1"/>
  <c r="K214" i="21" s="1"/>
  <c r="K215" i="21" s="1"/>
  <c r="K216" i="21" s="1"/>
  <c r="K217" i="21" s="1"/>
  <c r="K218" i="21" s="1"/>
  <c r="K219" i="21" s="1"/>
  <c r="K220" i="21" s="1"/>
  <c r="K221" i="21" s="1"/>
  <c r="K222" i="21" s="1"/>
  <c r="K223" i="21" s="1"/>
  <c r="K224" i="21" s="1"/>
  <c r="K225" i="21" s="1"/>
  <c r="K226" i="21" s="1"/>
  <c r="K227" i="21" s="1"/>
  <c r="K228" i="21" s="1"/>
  <c r="K229" i="21" s="1"/>
  <c r="K230" i="21" s="1"/>
  <c r="K231" i="21" s="1"/>
  <c r="K232" i="21" s="1"/>
  <c r="K233" i="21" s="1"/>
  <c r="K234" i="21" s="1"/>
  <c r="K235" i="21" s="1"/>
  <c r="K236" i="21" s="1"/>
  <c r="K237" i="21" s="1"/>
  <c r="K238" i="21" s="1"/>
  <c r="K239" i="21" s="1"/>
  <c r="K240" i="21" s="1"/>
  <c r="K241" i="21" s="1"/>
  <c r="K242" i="21" s="1"/>
  <c r="K243" i="21" s="1"/>
  <c r="K244" i="21" s="1"/>
  <c r="K245" i="21" s="1"/>
  <c r="K246" i="21" s="1"/>
  <c r="K247" i="21" s="1"/>
  <c r="K248" i="21" s="1"/>
  <c r="K249" i="21" s="1"/>
  <c r="R135" i="21"/>
  <c r="R136" i="21" s="1"/>
  <c r="R137" i="21" s="1"/>
  <c r="R138" i="21" s="1"/>
  <c r="R139" i="21" s="1"/>
  <c r="R140" i="21" s="1"/>
  <c r="R141" i="21" s="1"/>
  <c r="R142" i="21" s="1"/>
  <c r="R143" i="21" s="1"/>
  <c r="R144" i="21" s="1"/>
  <c r="R145" i="21" s="1"/>
  <c r="R146" i="21" s="1"/>
  <c r="R147" i="21" s="1"/>
  <c r="R148" i="21" s="1"/>
  <c r="R149" i="21" s="1"/>
  <c r="R150" i="21" s="1"/>
  <c r="R151" i="21" s="1"/>
  <c r="R152" i="21" s="1"/>
  <c r="R153" i="21" s="1"/>
  <c r="R154" i="21" s="1"/>
  <c r="R155" i="21" s="1"/>
  <c r="R156" i="21" s="1"/>
  <c r="R157" i="21" s="1"/>
  <c r="R158" i="21" s="1"/>
  <c r="R159" i="21" s="1"/>
  <c r="R160" i="21" s="1"/>
  <c r="R161" i="21" s="1"/>
  <c r="R162" i="21" s="1"/>
  <c r="R163" i="21" s="1"/>
  <c r="R164" i="21" s="1"/>
  <c r="R165" i="21" s="1"/>
  <c r="R166" i="21" s="1"/>
  <c r="R167" i="21" s="1"/>
  <c r="R168" i="21" s="1"/>
  <c r="R169" i="21" s="1"/>
  <c r="R170" i="21" s="1"/>
  <c r="R171" i="21" s="1"/>
  <c r="R172" i="21" s="1"/>
  <c r="R173" i="21" s="1"/>
  <c r="R174" i="21" s="1"/>
  <c r="R175" i="21" s="1"/>
  <c r="R176" i="21" s="1"/>
  <c r="R177" i="21" s="1"/>
  <c r="R178" i="21" s="1"/>
  <c r="R179" i="21" s="1"/>
  <c r="R180" i="21" s="1"/>
  <c r="R181" i="21" s="1"/>
  <c r="R182" i="21" s="1"/>
  <c r="R183" i="21" s="1"/>
  <c r="R184" i="21" s="1"/>
  <c r="R185" i="21" s="1"/>
  <c r="R186" i="21" s="1"/>
  <c r="R187" i="21" s="1"/>
  <c r="R188" i="21" s="1"/>
  <c r="R189" i="21" s="1"/>
  <c r="R190" i="21" s="1"/>
  <c r="R191" i="21" s="1"/>
  <c r="R192" i="21" s="1"/>
  <c r="R193" i="21" s="1"/>
  <c r="R194" i="21" s="1"/>
  <c r="R195" i="21" s="1"/>
  <c r="R196" i="21" s="1"/>
  <c r="R197" i="21" s="1"/>
  <c r="R198" i="21" s="1"/>
  <c r="R199" i="21" s="1"/>
  <c r="R200" i="21" s="1"/>
  <c r="R201" i="21" s="1"/>
  <c r="R202" i="21" s="1"/>
  <c r="R203" i="21" s="1"/>
  <c r="R204" i="21" s="1"/>
  <c r="R205" i="21" s="1"/>
  <c r="R206" i="21" s="1"/>
  <c r="R207" i="21" s="1"/>
  <c r="R208" i="21" s="1"/>
  <c r="R209" i="21" s="1"/>
  <c r="R210" i="21" s="1"/>
  <c r="R211" i="21" s="1"/>
  <c r="R212" i="21" s="1"/>
  <c r="R213" i="21" s="1"/>
  <c r="R214" i="21" s="1"/>
  <c r="R215" i="21" s="1"/>
  <c r="R216" i="21" s="1"/>
  <c r="R217" i="21" s="1"/>
  <c r="R218" i="21" s="1"/>
  <c r="R219" i="21" s="1"/>
  <c r="R220" i="21" s="1"/>
  <c r="R221" i="21" s="1"/>
  <c r="R222" i="21" s="1"/>
  <c r="R223" i="21" s="1"/>
  <c r="R224" i="21" s="1"/>
  <c r="R225" i="21" s="1"/>
  <c r="R226" i="21" s="1"/>
  <c r="R227" i="21" s="1"/>
  <c r="R228" i="21" s="1"/>
  <c r="R229" i="21" s="1"/>
  <c r="R230" i="21" s="1"/>
  <c r="R231" i="21" s="1"/>
  <c r="R232" i="21" s="1"/>
  <c r="R233" i="21" s="1"/>
  <c r="R234" i="21" s="1"/>
  <c r="R235" i="21" s="1"/>
  <c r="R236" i="21" s="1"/>
  <c r="R237" i="21" s="1"/>
  <c r="R238" i="21" s="1"/>
  <c r="R239" i="21" s="1"/>
  <c r="R240" i="21" s="1"/>
  <c r="R241" i="21" s="1"/>
  <c r="R242" i="21" s="1"/>
  <c r="R243" i="21" s="1"/>
  <c r="R244" i="21" s="1"/>
  <c r="R245" i="21" s="1"/>
  <c r="R246" i="21" s="1"/>
  <c r="R247" i="21" s="1"/>
  <c r="R248" i="21" s="1"/>
  <c r="R249" i="21" s="1"/>
  <c r="Q134" i="21"/>
  <c r="Q135" i="21" s="1"/>
  <c r="Q136" i="21" s="1"/>
  <c r="Q137" i="21" s="1"/>
  <c r="Q138" i="21" s="1"/>
  <c r="Q139" i="21" s="1"/>
  <c r="Q140" i="21" s="1"/>
  <c r="Q141" i="21" s="1"/>
  <c r="Q142" i="21" s="1"/>
  <c r="Q143" i="21" s="1"/>
  <c r="Q144" i="21" s="1"/>
  <c r="Q145" i="21" s="1"/>
  <c r="Q146" i="21" s="1"/>
  <c r="Q147" i="21" s="1"/>
  <c r="Q148" i="21" s="1"/>
  <c r="Q149" i="21" s="1"/>
  <c r="Q150" i="21" s="1"/>
  <c r="Q151" i="21" s="1"/>
  <c r="Q152" i="21" s="1"/>
  <c r="Q153" i="21" s="1"/>
  <c r="Q154" i="21" s="1"/>
  <c r="Q155" i="21" s="1"/>
  <c r="Q156" i="21" s="1"/>
  <c r="Q157" i="21" s="1"/>
  <c r="Q158" i="21" s="1"/>
  <c r="Q159" i="21" s="1"/>
  <c r="Q160" i="21" s="1"/>
  <c r="Q161" i="21" s="1"/>
  <c r="Q162" i="21" s="1"/>
  <c r="Q163" i="21" s="1"/>
  <c r="Q164" i="21" s="1"/>
  <c r="Q165" i="21" s="1"/>
  <c r="Q166" i="21" s="1"/>
  <c r="Q167" i="21" s="1"/>
  <c r="Q168" i="21" s="1"/>
  <c r="Q169" i="21" s="1"/>
  <c r="Q170" i="21" s="1"/>
  <c r="Q171" i="21" s="1"/>
  <c r="Q172" i="21" s="1"/>
  <c r="Q173" i="21" s="1"/>
  <c r="Q174" i="21" s="1"/>
  <c r="Q175" i="21" s="1"/>
  <c r="Q176" i="21" s="1"/>
  <c r="Q177" i="21" s="1"/>
  <c r="Q178" i="21" s="1"/>
  <c r="Q179" i="21" s="1"/>
  <c r="Q180" i="21" s="1"/>
  <c r="Q181" i="21" s="1"/>
  <c r="Q182" i="21" s="1"/>
  <c r="Q183" i="21" s="1"/>
  <c r="Q184" i="21" s="1"/>
  <c r="Q185" i="21" s="1"/>
  <c r="Q186" i="21" s="1"/>
  <c r="Q187" i="21" s="1"/>
  <c r="Q188" i="21" s="1"/>
  <c r="Q189" i="21" s="1"/>
  <c r="Q190" i="21" s="1"/>
  <c r="Q191" i="21" s="1"/>
  <c r="Q192" i="21" s="1"/>
  <c r="Q193" i="21" s="1"/>
  <c r="Q194" i="21" s="1"/>
  <c r="Q195" i="21" s="1"/>
  <c r="Q196" i="21" s="1"/>
  <c r="Q197" i="21" s="1"/>
  <c r="Q198" i="21" s="1"/>
  <c r="Q199" i="21" s="1"/>
  <c r="Q200" i="21" s="1"/>
  <c r="Q201" i="21" s="1"/>
  <c r="Q202" i="21" s="1"/>
  <c r="Q203" i="21" s="1"/>
  <c r="Q204" i="21" s="1"/>
  <c r="Q205" i="21" s="1"/>
  <c r="Q206" i="21" s="1"/>
  <c r="Q207" i="21" s="1"/>
  <c r="Q208" i="21" s="1"/>
  <c r="Q209" i="21" s="1"/>
  <c r="Q210" i="21" s="1"/>
  <c r="Q211" i="21" s="1"/>
  <c r="Q212" i="21" s="1"/>
  <c r="Q213" i="21" s="1"/>
  <c r="Q214" i="21" s="1"/>
  <c r="Q215" i="21" s="1"/>
  <c r="Q216" i="21" s="1"/>
  <c r="Q217" i="21" s="1"/>
  <c r="Q218" i="21" s="1"/>
  <c r="Q219" i="21" s="1"/>
  <c r="Q220" i="21" s="1"/>
  <c r="Q221" i="21" s="1"/>
  <c r="Q222" i="21" s="1"/>
  <c r="Q223" i="21" s="1"/>
  <c r="Q224" i="21" s="1"/>
  <c r="Q225" i="21" s="1"/>
  <c r="Q226" i="21" s="1"/>
  <c r="Q227" i="21" s="1"/>
  <c r="Q228" i="21" s="1"/>
  <c r="Q229" i="21" s="1"/>
  <c r="Q230" i="21" s="1"/>
  <c r="Q231" i="21" s="1"/>
  <c r="Q232" i="21" s="1"/>
  <c r="Q233" i="21" s="1"/>
  <c r="Q234" i="21" s="1"/>
  <c r="Q235" i="21" s="1"/>
  <c r="Q236" i="21" s="1"/>
  <c r="Q237" i="21" s="1"/>
  <c r="Q238" i="21" s="1"/>
  <c r="Q239" i="21" s="1"/>
  <c r="Q240" i="21" s="1"/>
  <c r="Q241" i="21" s="1"/>
  <c r="Q242" i="21" s="1"/>
  <c r="Q243" i="21" s="1"/>
  <c r="Q244" i="21" s="1"/>
  <c r="Q245" i="21" s="1"/>
  <c r="Q246" i="21" s="1"/>
  <c r="Q247" i="21" s="1"/>
  <c r="Q248" i="21" s="1"/>
  <c r="Q249" i="21" s="1"/>
  <c r="S86" i="66"/>
  <c r="S85" i="66"/>
  <c r="S73" i="66"/>
  <c r="S75" i="66" s="1"/>
  <c r="J133" i="21"/>
  <c r="J134" i="21" s="1"/>
  <c r="J135" i="21" s="1"/>
  <c r="J136" i="21" s="1"/>
  <c r="J137" i="21" s="1"/>
  <c r="J138" i="21" s="1"/>
  <c r="J139" i="21" s="1"/>
  <c r="J140" i="21" s="1"/>
  <c r="J141" i="21" s="1"/>
  <c r="J142" i="21" s="1"/>
  <c r="J143" i="21" s="1"/>
  <c r="J144" i="21" s="1"/>
  <c r="J145" i="21" s="1"/>
  <c r="J146" i="21" s="1"/>
  <c r="J147" i="21" s="1"/>
  <c r="J148" i="21" s="1"/>
  <c r="J149" i="21" s="1"/>
  <c r="J150" i="21" s="1"/>
  <c r="J151" i="21" s="1"/>
  <c r="J152" i="21" s="1"/>
  <c r="J153" i="21" s="1"/>
  <c r="J154" i="21" s="1"/>
  <c r="J155" i="21" s="1"/>
  <c r="J156" i="21" s="1"/>
  <c r="J157" i="21" s="1"/>
  <c r="J158" i="21" s="1"/>
  <c r="J159" i="21" s="1"/>
  <c r="J160" i="21" s="1"/>
  <c r="J161" i="21" s="1"/>
  <c r="J162" i="21" s="1"/>
  <c r="J163" i="21" s="1"/>
  <c r="J164" i="21" s="1"/>
  <c r="J165" i="21" s="1"/>
  <c r="J166" i="21" s="1"/>
  <c r="J167" i="21" s="1"/>
  <c r="J168" i="21" s="1"/>
  <c r="J169" i="21" s="1"/>
  <c r="J170" i="21" s="1"/>
  <c r="J171" i="21" s="1"/>
  <c r="J172" i="21" s="1"/>
  <c r="J173" i="21" s="1"/>
  <c r="J174" i="21" s="1"/>
  <c r="J175" i="21" s="1"/>
  <c r="J176" i="21" s="1"/>
  <c r="J177" i="21" s="1"/>
  <c r="J178" i="21" s="1"/>
  <c r="J179" i="21" s="1"/>
  <c r="J180" i="21" s="1"/>
  <c r="J181" i="21" s="1"/>
  <c r="J182" i="21" s="1"/>
  <c r="J183" i="21" s="1"/>
  <c r="J184" i="21" s="1"/>
  <c r="J185" i="21" s="1"/>
  <c r="J186" i="21" s="1"/>
  <c r="J187" i="21" s="1"/>
  <c r="J188" i="21" s="1"/>
  <c r="J189" i="21" s="1"/>
  <c r="J190" i="21" s="1"/>
  <c r="J191" i="21" s="1"/>
  <c r="J192" i="21" s="1"/>
  <c r="J193" i="21" s="1"/>
  <c r="J194" i="21" s="1"/>
  <c r="J195" i="21" s="1"/>
  <c r="J196" i="21" s="1"/>
  <c r="J197" i="21" s="1"/>
  <c r="J198" i="21" s="1"/>
  <c r="J199" i="21" s="1"/>
  <c r="J200" i="21" s="1"/>
  <c r="J201" i="21" s="1"/>
  <c r="J202" i="21" s="1"/>
  <c r="J203" i="21" s="1"/>
  <c r="J204" i="21" s="1"/>
  <c r="J205" i="21" s="1"/>
  <c r="J206" i="21" s="1"/>
  <c r="J207" i="21" s="1"/>
  <c r="J208" i="21" s="1"/>
  <c r="J209" i="21" s="1"/>
  <c r="J210" i="21" s="1"/>
  <c r="J211" i="21" s="1"/>
  <c r="J212" i="21" s="1"/>
  <c r="J213" i="21" s="1"/>
  <c r="J214" i="21" s="1"/>
  <c r="J215" i="21" s="1"/>
  <c r="J216" i="21" s="1"/>
  <c r="J217" i="21" s="1"/>
  <c r="J218" i="21" s="1"/>
  <c r="J219" i="21" s="1"/>
  <c r="J220" i="21" s="1"/>
  <c r="J221" i="21" s="1"/>
  <c r="J222" i="21" s="1"/>
  <c r="J223" i="21" s="1"/>
  <c r="J224" i="21" s="1"/>
  <c r="J225" i="21" s="1"/>
  <c r="J226" i="21" s="1"/>
  <c r="J227" i="21" s="1"/>
  <c r="J228" i="21" s="1"/>
  <c r="J229" i="21" s="1"/>
  <c r="J230" i="21" s="1"/>
  <c r="J231" i="21" s="1"/>
  <c r="J232" i="21" s="1"/>
  <c r="J233" i="21" s="1"/>
  <c r="J234" i="21" s="1"/>
  <c r="J235" i="21" s="1"/>
  <c r="J236" i="21" s="1"/>
  <c r="J237" i="21" s="1"/>
  <c r="J238" i="21" s="1"/>
  <c r="J239" i="21" s="1"/>
  <c r="J240" i="21" s="1"/>
  <c r="J241" i="21" s="1"/>
  <c r="J242" i="21" s="1"/>
  <c r="J243" i="21" s="1"/>
  <c r="J244" i="21" s="1"/>
  <c r="J245" i="21" s="1"/>
  <c r="J246" i="21" s="1"/>
  <c r="J247" i="21" s="1"/>
  <c r="J248" i="21" s="1"/>
  <c r="J249" i="21" s="1"/>
  <c r="J73" i="66"/>
  <c r="J140" i="6"/>
  <c r="J86" i="66" s="1"/>
  <c r="J74" i="66"/>
  <c r="J137" i="6"/>
  <c r="J85" i="66" s="1"/>
  <c r="P74" i="66"/>
  <c r="P73" i="66"/>
  <c r="P85" i="66"/>
  <c r="P86" i="66"/>
  <c r="N74" i="66"/>
  <c r="N73" i="66"/>
  <c r="N86" i="66"/>
  <c r="N85" i="66"/>
  <c r="L137" i="6"/>
  <c r="L85" i="66" s="1"/>
  <c r="L74" i="66"/>
  <c r="L140" i="6"/>
  <c r="L86" i="66" s="1"/>
  <c r="L73" i="66"/>
  <c r="H26" i="73"/>
  <c r="H33" i="73"/>
  <c r="M134" i="21"/>
  <c r="M135" i="21" s="1"/>
  <c r="M136" i="21" s="1"/>
  <c r="M137" i="21" s="1"/>
  <c r="M138" i="21" s="1"/>
  <c r="M139" i="21" s="1"/>
  <c r="M140" i="21" s="1"/>
  <c r="M141" i="21" s="1"/>
  <c r="M142" i="21" s="1"/>
  <c r="M143" i="21" s="1"/>
  <c r="M144" i="21" s="1"/>
  <c r="M145" i="21" s="1"/>
  <c r="M146" i="21" s="1"/>
  <c r="M147" i="21" s="1"/>
  <c r="M148" i="21" s="1"/>
  <c r="M149" i="21" s="1"/>
  <c r="M150" i="21" s="1"/>
  <c r="M151" i="21" s="1"/>
  <c r="M152" i="21" s="1"/>
  <c r="M153" i="21" s="1"/>
  <c r="M154" i="21" s="1"/>
  <c r="M155" i="21" s="1"/>
  <c r="M156" i="21" s="1"/>
  <c r="M157" i="21" s="1"/>
  <c r="M158" i="21" s="1"/>
  <c r="M159" i="21" s="1"/>
  <c r="M160" i="21" s="1"/>
  <c r="M161" i="21" s="1"/>
  <c r="M162" i="21" s="1"/>
  <c r="M163" i="21" s="1"/>
  <c r="M164" i="21" s="1"/>
  <c r="M165" i="21" s="1"/>
  <c r="M166" i="21" s="1"/>
  <c r="M167" i="21" s="1"/>
  <c r="M168" i="21" s="1"/>
  <c r="M169" i="21" s="1"/>
  <c r="M170" i="21" s="1"/>
  <c r="M171" i="21" s="1"/>
  <c r="M172" i="21" s="1"/>
  <c r="M173" i="21" s="1"/>
  <c r="M174" i="21" s="1"/>
  <c r="M175" i="21" s="1"/>
  <c r="M176" i="21" s="1"/>
  <c r="M177" i="21" s="1"/>
  <c r="M178" i="21" s="1"/>
  <c r="M179" i="21" s="1"/>
  <c r="M180" i="21" s="1"/>
  <c r="M181" i="21" s="1"/>
  <c r="M182" i="21" s="1"/>
  <c r="M183" i="21" s="1"/>
  <c r="M184" i="21" s="1"/>
  <c r="M185" i="21" s="1"/>
  <c r="M186" i="21" s="1"/>
  <c r="M187" i="21" s="1"/>
  <c r="M188" i="21" s="1"/>
  <c r="M189" i="21" s="1"/>
  <c r="M190" i="21" s="1"/>
  <c r="M191" i="21" s="1"/>
  <c r="M192" i="21" s="1"/>
  <c r="M193" i="21" s="1"/>
  <c r="M194" i="21" s="1"/>
  <c r="M195" i="21" s="1"/>
  <c r="M196" i="21" s="1"/>
  <c r="M197" i="21" s="1"/>
  <c r="M198" i="21" s="1"/>
  <c r="M199" i="21" s="1"/>
  <c r="M200" i="21" s="1"/>
  <c r="M201" i="21" s="1"/>
  <c r="M202" i="21" s="1"/>
  <c r="M203" i="21" s="1"/>
  <c r="M204" i="21" s="1"/>
  <c r="M205" i="21" s="1"/>
  <c r="M206" i="21" s="1"/>
  <c r="M207" i="21" s="1"/>
  <c r="M208" i="21" s="1"/>
  <c r="M209" i="21" s="1"/>
  <c r="M210" i="21" s="1"/>
  <c r="M211" i="21" s="1"/>
  <c r="M212" i="21" s="1"/>
  <c r="M213" i="21" s="1"/>
  <c r="M214" i="21" s="1"/>
  <c r="M215" i="21" s="1"/>
  <c r="M216" i="21" s="1"/>
  <c r="M217" i="21" s="1"/>
  <c r="M218" i="21" s="1"/>
  <c r="M219" i="21" s="1"/>
  <c r="M220" i="21" s="1"/>
  <c r="M221" i="21" s="1"/>
  <c r="M222" i="21" s="1"/>
  <c r="M223" i="21" s="1"/>
  <c r="M224" i="21" s="1"/>
  <c r="M225" i="21" s="1"/>
  <c r="M226" i="21" s="1"/>
  <c r="M227" i="21" s="1"/>
  <c r="M228" i="21" s="1"/>
  <c r="M229" i="21" s="1"/>
  <c r="M230" i="21" s="1"/>
  <c r="M231" i="21" s="1"/>
  <c r="M232" i="21" s="1"/>
  <c r="M233" i="21" s="1"/>
  <c r="M234" i="21" s="1"/>
  <c r="M235" i="21" s="1"/>
  <c r="M236" i="21" s="1"/>
  <c r="M237" i="21" s="1"/>
  <c r="M238" i="21" s="1"/>
  <c r="M239" i="21" s="1"/>
  <c r="M240" i="21" s="1"/>
  <c r="M241" i="21" s="1"/>
  <c r="M242" i="21" s="1"/>
  <c r="M243" i="21" s="1"/>
  <c r="M244" i="21" s="1"/>
  <c r="M245" i="21" s="1"/>
  <c r="M246" i="21" s="1"/>
  <c r="M247" i="21" s="1"/>
  <c r="M248" i="21" s="1"/>
  <c r="M249" i="21" s="1"/>
  <c r="K137" i="6"/>
  <c r="K85" i="66" s="1"/>
  <c r="K140" i="6"/>
  <c r="K86" i="66" s="1"/>
  <c r="K73" i="66"/>
  <c r="K74" i="66"/>
  <c r="O73" i="66"/>
  <c r="O85" i="66"/>
  <c r="O74" i="66"/>
  <c r="O86" i="66"/>
  <c r="R74" i="66"/>
  <c r="R73" i="66"/>
  <c r="R86" i="66"/>
  <c r="R85" i="66"/>
  <c r="Q86" i="66"/>
  <c r="Q73" i="66"/>
  <c r="Q74" i="66"/>
  <c r="Q85" i="66"/>
  <c r="F27" i="73"/>
  <c r="F34" i="73"/>
  <c r="M85" i="66"/>
  <c r="M73" i="66"/>
  <c r="M86" i="66"/>
  <c r="M74" i="66"/>
  <c r="E134" i="2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E247" i="21" s="1"/>
  <c r="E248" i="21" s="1"/>
  <c r="E249" i="21" s="1"/>
  <c r="I26" i="73"/>
  <c r="I33" i="73"/>
  <c r="I75" i="66"/>
  <c r="H140" i="6"/>
  <c r="H86" i="66" s="1"/>
  <c r="H73" i="66"/>
  <c r="H137" i="6"/>
  <c r="H85" i="66" s="1"/>
  <c r="H74" i="66"/>
  <c r="H133" i="21"/>
  <c r="H134" i="21" s="1"/>
  <c r="H135" i="21" s="1"/>
  <c r="H136" i="21" s="1"/>
  <c r="H137" i="21" s="1"/>
  <c r="H138" i="21" s="1"/>
  <c r="H139" i="21" s="1"/>
  <c r="H140" i="21" s="1"/>
  <c r="H141" i="21" s="1"/>
  <c r="H142" i="21" s="1"/>
  <c r="H143" i="21" s="1"/>
  <c r="H144" i="21" s="1"/>
  <c r="H145" i="21" s="1"/>
  <c r="H146" i="21" s="1"/>
  <c r="H147" i="21" s="1"/>
  <c r="H148" i="21" s="1"/>
  <c r="H149" i="21" s="1"/>
  <c r="H150" i="21" s="1"/>
  <c r="H151" i="21" s="1"/>
  <c r="H152" i="21" s="1"/>
  <c r="H153" i="21" s="1"/>
  <c r="H154" i="21" s="1"/>
  <c r="H155" i="21" s="1"/>
  <c r="H156" i="21" s="1"/>
  <c r="H157" i="21" s="1"/>
  <c r="H158" i="21" s="1"/>
  <c r="H159" i="21" s="1"/>
  <c r="H160" i="21" s="1"/>
  <c r="H161" i="21" s="1"/>
  <c r="H162" i="21" s="1"/>
  <c r="H163" i="21" s="1"/>
  <c r="H164" i="21" s="1"/>
  <c r="H165" i="21" s="1"/>
  <c r="H166" i="21" s="1"/>
  <c r="H167" i="21" s="1"/>
  <c r="H168" i="21" s="1"/>
  <c r="H169" i="21" s="1"/>
  <c r="H170" i="21" s="1"/>
  <c r="H171" i="21" s="1"/>
  <c r="H172" i="21" s="1"/>
  <c r="H173" i="21" s="1"/>
  <c r="H174" i="21" s="1"/>
  <c r="H175" i="21" s="1"/>
  <c r="H176" i="21" s="1"/>
  <c r="H177" i="21" s="1"/>
  <c r="H178" i="21" s="1"/>
  <c r="H179" i="21" s="1"/>
  <c r="H180" i="21" s="1"/>
  <c r="H181" i="21" s="1"/>
  <c r="H182" i="21" s="1"/>
  <c r="H183" i="21" s="1"/>
  <c r="H184" i="21" s="1"/>
  <c r="H185" i="21" s="1"/>
  <c r="H186" i="21" s="1"/>
  <c r="H187" i="21" s="1"/>
  <c r="H188" i="21" s="1"/>
  <c r="H189" i="21" s="1"/>
  <c r="H190" i="21" s="1"/>
  <c r="H191" i="21" s="1"/>
  <c r="H192" i="21" s="1"/>
  <c r="H193" i="21" s="1"/>
  <c r="H194" i="21" s="1"/>
  <c r="H195" i="21" s="1"/>
  <c r="H196" i="21" s="1"/>
  <c r="H197" i="21" s="1"/>
  <c r="H198" i="21" s="1"/>
  <c r="H199" i="21" s="1"/>
  <c r="H200" i="21" s="1"/>
  <c r="H201" i="21" s="1"/>
  <c r="H202" i="21" s="1"/>
  <c r="H203" i="21" s="1"/>
  <c r="H204" i="21" s="1"/>
  <c r="H205" i="21" s="1"/>
  <c r="H206" i="21" s="1"/>
  <c r="H207" i="21" s="1"/>
  <c r="H208" i="21" s="1"/>
  <c r="H209" i="21" s="1"/>
  <c r="H210" i="21" s="1"/>
  <c r="H211" i="21" s="1"/>
  <c r="H212" i="21" s="1"/>
  <c r="H213" i="21" s="1"/>
  <c r="H214" i="21" s="1"/>
  <c r="H215" i="21" s="1"/>
  <c r="H216" i="21" s="1"/>
  <c r="H217" i="21" s="1"/>
  <c r="H218" i="21" s="1"/>
  <c r="H219" i="21" s="1"/>
  <c r="H220" i="21" s="1"/>
  <c r="H221" i="21" s="1"/>
  <c r="H222" i="21" s="1"/>
  <c r="H223" i="21" s="1"/>
  <c r="H224" i="21" s="1"/>
  <c r="H225" i="21" s="1"/>
  <c r="H226" i="21" s="1"/>
  <c r="H227" i="21" s="1"/>
  <c r="H228" i="21" s="1"/>
  <c r="H229" i="21" s="1"/>
  <c r="H230" i="21" s="1"/>
  <c r="H231" i="21" s="1"/>
  <c r="H232" i="21" s="1"/>
  <c r="H233" i="21" s="1"/>
  <c r="H234" i="21" s="1"/>
  <c r="H235" i="21" s="1"/>
  <c r="H236" i="21" s="1"/>
  <c r="H237" i="21" s="1"/>
  <c r="H238" i="21" s="1"/>
  <c r="H239" i="21" s="1"/>
  <c r="H240" i="21" s="1"/>
  <c r="H241" i="21" s="1"/>
  <c r="H242" i="21" s="1"/>
  <c r="H243" i="21" s="1"/>
  <c r="H244" i="21" s="1"/>
  <c r="H245" i="21" s="1"/>
  <c r="H246" i="21" s="1"/>
  <c r="H247" i="21" s="1"/>
  <c r="H248" i="21" s="1"/>
  <c r="H249" i="21" s="1"/>
  <c r="E140" i="6"/>
  <c r="E86" i="66" s="1"/>
  <c r="D140" i="6"/>
  <c r="D86" i="66" s="1"/>
  <c r="D73" i="66"/>
  <c r="D74" i="66"/>
  <c r="D137" i="6"/>
  <c r="D85" i="66" s="1"/>
  <c r="B27" i="73"/>
  <c r="M25" i="23" l="1"/>
  <c r="T96" i="86"/>
  <c r="T118" i="86"/>
  <c r="F25" i="23"/>
  <c r="I25" i="23" s="1"/>
  <c r="T106" i="86"/>
  <c r="T107" i="86"/>
  <c r="T113" i="86"/>
  <c r="AN5" i="86"/>
  <c r="AN6" i="86" s="1"/>
  <c r="AN7" i="86" s="1"/>
  <c r="AN8" i="86" s="1"/>
  <c r="AN9" i="86" s="1"/>
  <c r="AN10" i="86" s="1"/>
  <c r="AN11" i="86" s="1"/>
  <c r="AN12" i="86" s="1"/>
  <c r="AN13" i="86" s="1"/>
  <c r="AN14" i="86" s="1"/>
  <c r="AN15" i="86" s="1"/>
  <c r="AN16" i="86" s="1"/>
  <c r="AN17" i="86" s="1"/>
  <c r="AN18" i="86" s="1"/>
  <c r="AN19" i="86" s="1"/>
  <c r="AN20" i="86" s="1"/>
  <c r="AN21" i="86" s="1"/>
  <c r="AN22" i="86" s="1"/>
  <c r="AN23" i="86" s="1"/>
  <c r="AN24" i="86" s="1"/>
  <c r="AN25" i="86" s="1"/>
  <c r="AN26" i="86" s="1"/>
  <c r="AN27" i="86" s="1"/>
  <c r="AN28" i="86" s="1"/>
  <c r="AN29" i="86" s="1"/>
  <c r="AN30" i="86" s="1"/>
  <c r="AN31" i="86" s="1"/>
  <c r="AN32" i="86" s="1"/>
  <c r="AN33" i="86" s="1"/>
  <c r="AN34" i="86" s="1"/>
  <c r="AN35" i="86" s="1"/>
  <c r="AN36" i="86" s="1"/>
  <c r="AN37" i="86" s="1"/>
  <c r="AN38" i="86" s="1"/>
  <c r="AN39" i="86" s="1"/>
  <c r="AN40" i="86" s="1"/>
  <c r="AN41" i="86" s="1"/>
  <c r="AN42" i="86" s="1"/>
  <c r="AN43" i="86" s="1"/>
  <c r="AN44" i="86" s="1"/>
  <c r="AN45" i="86" s="1"/>
  <c r="AN46" i="86" s="1"/>
  <c r="AN47" i="86" s="1"/>
  <c r="AN48" i="86" s="1"/>
  <c r="AN49" i="86" s="1"/>
  <c r="AN50" i="86" s="1"/>
  <c r="AN51" i="86" s="1"/>
  <c r="AN52" i="86" s="1"/>
  <c r="AN53" i="86" s="1"/>
  <c r="AN54" i="86" s="1"/>
  <c r="AN55" i="86" s="1"/>
  <c r="AN56" i="86" s="1"/>
  <c r="AN57" i="86" s="1"/>
  <c r="AN58" i="86" s="1"/>
  <c r="AN59" i="86" s="1"/>
  <c r="AN60" i="86" s="1"/>
  <c r="AN61" i="86" s="1"/>
  <c r="AN62" i="86" s="1"/>
  <c r="AN63" i="86" s="1"/>
  <c r="AN64" i="86" s="1"/>
  <c r="AN65" i="86" s="1"/>
  <c r="AN66" i="86" s="1"/>
  <c r="AN67" i="86" s="1"/>
  <c r="AN68" i="86" s="1"/>
  <c r="AN69" i="86" s="1"/>
  <c r="AN70" i="86" s="1"/>
  <c r="AN71" i="86" s="1"/>
  <c r="AN72" i="86" s="1"/>
  <c r="AN73" i="86" s="1"/>
  <c r="AN74" i="86" s="1"/>
  <c r="AN75" i="86" s="1"/>
  <c r="AN76" i="86" s="1"/>
  <c r="AN77" i="86" s="1"/>
  <c r="AN78" i="86" s="1"/>
  <c r="AN79" i="86" s="1"/>
  <c r="AN80" i="86" s="1"/>
  <c r="AN81" i="86" s="1"/>
  <c r="AN82" i="86" s="1"/>
  <c r="AN83" i="86" s="1"/>
  <c r="AN84" i="86" s="1"/>
  <c r="AN85" i="86" s="1"/>
  <c r="AN86" i="86" s="1"/>
  <c r="AN87" i="86" s="1"/>
  <c r="AN88" i="86" s="1"/>
  <c r="AN89" i="86" s="1"/>
  <c r="AN90" i="86" s="1"/>
  <c r="AN91" i="86" s="1"/>
  <c r="AN92" i="86" s="1"/>
  <c r="AN93" i="86" s="1"/>
  <c r="AN94" i="86" s="1"/>
  <c r="AN95" i="86" s="1"/>
  <c r="AN96" i="86" s="1"/>
  <c r="AN97" i="86" s="1"/>
  <c r="AN98" i="86" s="1"/>
  <c r="AN99" i="86" s="1"/>
  <c r="AN100" i="86" s="1"/>
  <c r="AN101" i="86" s="1"/>
  <c r="AN102" i="86" s="1"/>
  <c r="AN103" i="86" s="1"/>
  <c r="AN104" i="86" s="1"/>
  <c r="AN105" i="86" s="1"/>
  <c r="AN106" i="86" s="1"/>
  <c r="AN107" i="86" s="1"/>
  <c r="AN108" i="86" s="1"/>
  <c r="AN109" i="86" s="1"/>
  <c r="AN110" i="86" s="1"/>
  <c r="AN111" i="86" s="1"/>
  <c r="AN112" i="86" s="1"/>
  <c r="AN113" i="86" s="1"/>
  <c r="AN114" i="86" s="1"/>
  <c r="AN115" i="86" s="1"/>
  <c r="AN116" i="86" s="1"/>
  <c r="AN117" i="86" s="1"/>
  <c r="AN118" i="86" s="1"/>
  <c r="AN119" i="86" s="1"/>
  <c r="AN120" i="86" s="1"/>
  <c r="AN121" i="86" s="1"/>
  <c r="T108" i="86"/>
  <c r="T100" i="86"/>
  <c r="T116" i="86"/>
  <c r="T105" i="86"/>
  <c r="T110" i="86"/>
  <c r="T98" i="86"/>
  <c r="N111" i="86"/>
  <c r="T97" i="86"/>
  <c r="T119" i="86"/>
  <c r="L106" i="86"/>
  <c r="T111" i="86"/>
  <c r="T99" i="86"/>
  <c r="L113" i="86"/>
  <c r="T103" i="86"/>
  <c r="N107" i="86"/>
  <c r="T104" i="86"/>
  <c r="N103" i="86"/>
  <c r="T120" i="86"/>
  <c r="T115" i="86"/>
  <c r="T109" i="86"/>
  <c r="U123" i="86"/>
  <c r="AG114" i="86"/>
  <c r="T114" i="86"/>
  <c r="T121" i="86"/>
  <c r="N119" i="86"/>
  <c r="L98" i="86"/>
  <c r="D33" i="23"/>
  <c r="L114" i="86"/>
  <c r="AS6" i="86"/>
  <c r="AS7" i="86" s="1"/>
  <c r="AS8" i="86" s="1"/>
  <c r="AS9" i="86" s="1"/>
  <c r="AS10" i="86" s="1"/>
  <c r="AS11" i="86" s="1"/>
  <c r="AS12" i="86" s="1"/>
  <c r="AS13" i="86" s="1"/>
  <c r="AS14" i="86" s="1"/>
  <c r="AS15" i="86" s="1"/>
  <c r="AS16" i="86" s="1"/>
  <c r="AS17" i="86" s="1"/>
  <c r="AS18" i="86" s="1"/>
  <c r="AS19" i="86" s="1"/>
  <c r="AS20" i="86" s="1"/>
  <c r="AS21" i="86" s="1"/>
  <c r="AS22" i="86" s="1"/>
  <c r="AS23" i="86" s="1"/>
  <c r="AS24" i="86" s="1"/>
  <c r="AS25" i="86" s="1"/>
  <c r="AS26" i="86" s="1"/>
  <c r="AS27" i="86" s="1"/>
  <c r="AS28" i="86" s="1"/>
  <c r="AS29" i="86" s="1"/>
  <c r="AS30" i="86" s="1"/>
  <c r="AS31" i="86" s="1"/>
  <c r="AS32" i="86" s="1"/>
  <c r="AS33" i="86" s="1"/>
  <c r="AS34" i="86" s="1"/>
  <c r="AS35" i="86" s="1"/>
  <c r="AS36" i="86" s="1"/>
  <c r="AS37" i="86" s="1"/>
  <c r="AS38" i="86" s="1"/>
  <c r="AS39" i="86" s="1"/>
  <c r="AS40" i="86" s="1"/>
  <c r="AS41" i="86" s="1"/>
  <c r="AS42" i="86" s="1"/>
  <c r="AS43" i="86" s="1"/>
  <c r="AS44" i="86" s="1"/>
  <c r="AS45" i="86" s="1"/>
  <c r="AS46" i="86" s="1"/>
  <c r="AS47" i="86" s="1"/>
  <c r="AS48" i="86" s="1"/>
  <c r="AS49" i="86" s="1"/>
  <c r="AS50" i="86" s="1"/>
  <c r="AS51" i="86" s="1"/>
  <c r="AS52" i="86" s="1"/>
  <c r="AS53" i="86" s="1"/>
  <c r="AS54" i="86" s="1"/>
  <c r="AS55" i="86" s="1"/>
  <c r="AS56" i="86" s="1"/>
  <c r="AS57" i="86" s="1"/>
  <c r="AS58" i="86" s="1"/>
  <c r="AS59" i="86" s="1"/>
  <c r="AS60" i="86" s="1"/>
  <c r="AS61" i="86" s="1"/>
  <c r="AS62" i="86" s="1"/>
  <c r="AS63" i="86" s="1"/>
  <c r="AS64" i="86" s="1"/>
  <c r="AS65" i="86" s="1"/>
  <c r="AS66" i="86" s="1"/>
  <c r="AS67" i="86" s="1"/>
  <c r="AS68" i="86" s="1"/>
  <c r="AS69" i="86" s="1"/>
  <c r="AS70" i="86" s="1"/>
  <c r="AS71" i="86" s="1"/>
  <c r="AS72" i="86" s="1"/>
  <c r="AS73" i="86" s="1"/>
  <c r="AS74" i="86" s="1"/>
  <c r="AS75" i="86" s="1"/>
  <c r="AS76" i="86" s="1"/>
  <c r="AS77" i="86" s="1"/>
  <c r="AS78" i="86" s="1"/>
  <c r="AS79" i="86" s="1"/>
  <c r="AS80" i="86" s="1"/>
  <c r="AS81" i="86" s="1"/>
  <c r="AS82" i="86" s="1"/>
  <c r="AS83" i="86" s="1"/>
  <c r="AS84" i="86" s="1"/>
  <c r="AS85" i="86" s="1"/>
  <c r="AS86" i="86" s="1"/>
  <c r="AS87" i="86" s="1"/>
  <c r="AS88" i="86" s="1"/>
  <c r="AS89" i="86" s="1"/>
  <c r="AS90" i="86" s="1"/>
  <c r="AS91" i="86" s="1"/>
  <c r="AS92" i="86" s="1"/>
  <c r="AS93" i="86" s="1"/>
  <c r="AS94" i="86" s="1"/>
  <c r="AS95" i="86" s="1"/>
  <c r="AS96" i="86" s="1"/>
  <c r="AS97" i="86" s="1"/>
  <c r="AS98" i="86" s="1"/>
  <c r="AS99" i="86" s="1"/>
  <c r="AS100" i="86" s="1"/>
  <c r="AS101" i="86" s="1"/>
  <c r="AS102" i="86" s="1"/>
  <c r="AS103" i="86" s="1"/>
  <c r="AS104" i="86" s="1"/>
  <c r="AS105" i="86" s="1"/>
  <c r="AS106" i="86" s="1"/>
  <c r="AS107" i="86" s="1"/>
  <c r="AS108" i="86" s="1"/>
  <c r="AS109" i="86" s="1"/>
  <c r="AS110" i="86" s="1"/>
  <c r="AS111" i="86" s="1"/>
  <c r="AS112" i="86" s="1"/>
  <c r="AS113" i="86" s="1"/>
  <c r="L102" i="86"/>
  <c r="N102" i="86"/>
  <c r="N117" i="86"/>
  <c r="N110" i="86"/>
  <c r="N96" i="86"/>
  <c r="L110" i="86"/>
  <c r="N121" i="86"/>
  <c r="L121" i="86"/>
  <c r="N116" i="86"/>
  <c r="L109" i="86"/>
  <c r="N120" i="86"/>
  <c r="L120" i="86"/>
  <c r="L115" i="86"/>
  <c r="N115" i="86"/>
  <c r="L112" i="86"/>
  <c r="L104" i="86"/>
  <c r="L108" i="86"/>
  <c r="N104" i="86"/>
  <c r="N108" i="86"/>
  <c r="N99" i="86"/>
  <c r="N97" i="86"/>
  <c r="L97" i="86"/>
  <c r="L96" i="86"/>
  <c r="N112" i="86"/>
  <c r="L105" i="86"/>
  <c r="N105" i="86"/>
  <c r="N118" i="86"/>
  <c r="L118" i="86"/>
  <c r="N100" i="86"/>
  <c r="L100" i="86"/>
  <c r="H157" i="77"/>
  <c r="AU48" i="86"/>
  <c r="AU49" i="86" s="1"/>
  <c r="AU50" i="86" s="1"/>
  <c r="AU51" i="86" s="1"/>
  <c r="AU52" i="86" s="1"/>
  <c r="AU53" i="86" s="1"/>
  <c r="AU54" i="86" s="1"/>
  <c r="AU55" i="86" s="1"/>
  <c r="AU56" i="86" s="1"/>
  <c r="AU57" i="86" s="1"/>
  <c r="AU58" i="86" s="1"/>
  <c r="AU59" i="86" s="1"/>
  <c r="AU60" i="86" s="1"/>
  <c r="AU61" i="86" s="1"/>
  <c r="AU62" i="86" s="1"/>
  <c r="AU63" i="86" s="1"/>
  <c r="AU64" i="86" s="1"/>
  <c r="AU65" i="86" s="1"/>
  <c r="AU66" i="86" s="1"/>
  <c r="AU67" i="86" s="1"/>
  <c r="AU68" i="86" s="1"/>
  <c r="AU69" i="86" s="1"/>
  <c r="AU70" i="86" s="1"/>
  <c r="AU71" i="86" s="1"/>
  <c r="AU72" i="86" s="1"/>
  <c r="AU73" i="86" s="1"/>
  <c r="AU74" i="86" s="1"/>
  <c r="AU75" i="86" s="1"/>
  <c r="AU76" i="86" s="1"/>
  <c r="AU77" i="86" s="1"/>
  <c r="AU78" i="86" s="1"/>
  <c r="AU79" i="86" s="1"/>
  <c r="AU80" i="86" s="1"/>
  <c r="AU81" i="86" s="1"/>
  <c r="AU82" i="86" s="1"/>
  <c r="AU83" i="86" s="1"/>
  <c r="AU84" i="86" s="1"/>
  <c r="AU85" i="86" s="1"/>
  <c r="AU86" i="86" s="1"/>
  <c r="AU87" i="86" s="1"/>
  <c r="AU88" i="86" s="1"/>
  <c r="AU89" i="86" s="1"/>
  <c r="AU90" i="86" s="1"/>
  <c r="AU91" i="86" s="1"/>
  <c r="AU92" i="86" s="1"/>
  <c r="AU93" i="86" s="1"/>
  <c r="AU94" i="86" s="1"/>
  <c r="AU95" i="86" s="1"/>
  <c r="AU96" i="86" s="1"/>
  <c r="AU97" i="86" s="1"/>
  <c r="AU98" i="86" s="1"/>
  <c r="AU99" i="86" s="1"/>
  <c r="AU100" i="86" s="1"/>
  <c r="T5" i="86"/>
  <c r="AV5" i="86"/>
  <c r="T26" i="86"/>
  <c r="AV26" i="86"/>
  <c r="T69" i="86"/>
  <c r="AV69" i="86"/>
  <c r="T21" i="86"/>
  <c r="AV21" i="86"/>
  <c r="T86" i="86"/>
  <c r="AV86" i="86"/>
  <c r="T17" i="86"/>
  <c r="AV17" i="86"/>
  <c r="T58" i="86"/>
  <c r="AV58" i="86"/>
  <c r="T55" i="86"/>
  <c r="AV55" i="86"/>
  <c r="T64" i="86"/>
  <c r="AV64" i="86"/>
  <c r="T79" i="86"/>
  <c r="AV79" i="86"/>
  <c r="T68" i="86"/>
  <c r="AV68" i="86"/>
  <c r="T70" i="86"/>
  <c r="AV70" i="86"/>
  <c r="T67" i="86"/>
  <c r="AV67" i="86"/>
  <c r="T76" i="86"/>
  <c r="AV76" i="86"/>
  <c r="T12" i="86"/>
  <c r="AV12" i="86"/>
  <c r="T10" i="86"/>
  <c r="AV10" i="86"/>
  <c r="T49" i="86"/>
  <c r="AV49" i="86"/>
  <c r="T11" i="86"/>
  <c r="AV11" i="86"/>
  <c r="T32" i="86"/>
  <c r="AV32" i="86"/>
  <c r="T83" i="86"/>
  <c r="AV83" i="86"/>
  <c r="T36" i="86"/>
  <c r="AV36" i="86"/>
  <c r="T56" i="86"/>
  <c r="AV56" i="86"/>
  <c r="T9" i="86"/>
  <c r="AV9" i="86"/>
  <c r="T91" i="86"/>
  <c r="AV91" i="86"/>
  <c r="T39" i="86"/>
  <c r="AV39" i="86"/>
  <c r="T16" i="86"/>
  <c r="AV16" i="86"/>
  <c r="T71" i="86"/>
  <c r="AV71" i="86"/>
  <c r="T53" i="86"/>
  <c r="AV53" i="86"/>
  <c r="T43" i="86"/>
  <c r="AV43" i="86"/>
  <c r="T94" i="86"/>
  <c r="AV94" i="86"/>
  <c r="T74" i="86"/>
  <c r="AV74" i="86"/>
  <c r="T23" i="86"/>
  <c r="AV23" i="86"/>
  <c r="T63" i="86"/>
  <c r="AV63" i="86"/>
  <c r="T40" i="86"/>
  <c r="AV40" i="86"/>
  <c r="T29" i="86"/>
  <c r="AV29" i="86"/>
  <c r="T80" i="86"/>
  <c r="AV80" i="86"/>
  <c r="T52" i="86"/>
  <c r="AV52" i="86"/>
  <c r="T7" i="86"/>
  <c r="AV7" i="86"/>
  <c r="T93" i="86"/>
  <c r="AV93" i="86"/>
  <c r="T60" i="86"/>
  <c r="AV60" i="86"/>
  <c r="T84" i="86"/>
  <c r="AV84" i="86"/>
  <c r="T65" i="86"/>
  <c r="AV65" i="86"/>
  <c r="T75" i="86"/>
  <c r="AV75" i="86"/>
  <c r="T31" i="86"/>
  <c r="AV31" i="86"/>
  <c r="T54" i="86"/>
  <c r="AV54" i="86"/>
  <c r="T19" i="86"/>
  <c r="AV19" i="86"/>
  <c r="T87" i="86"/>
  <c r="AV87" i="86"/>
  <c r="T46" i="86"/>
  <c r="AV46" i="86"/>
  <c r="T51" i="86"/>
  <c r="AV51" i="86"/>
  <c r="T66" i="86"/>
  <c r="AV66" i="86"/>
  <c r="T50" i="86"/>
  <c r="AV50" i="86"/>
  <c r="T30" i="86"/>
  <c r="AV30" i="86"/>
  <c r="T90" i="86"/>
  <c r="AV90" i="86"/>
  <c r="T15" i="86"/>
  <c r="AV15" i="86"/>
  <c r="T22" i="86"/>
  <c r="AV22" i="86"/>
  <c r="T18" i="86"/>
  <c r="AV18" i="86"/>
  <c r="T95" i="86"/>
  <c r="AV95" i="86"/>
  <c r="T73" i="86"/>
  <c r="AV73" i="86"/>
  <c r="T34" i="86"/>
  <c r="AV34" i="86"/>
  <c r="T25" i="86"/>
  <c r="AV25" i="86"/>
  <c r="T44" i="86"/>
  <c r="AV44" i="86"/>
  <c r="T62" i="86"/>
  <c r="AV62" i="86"/>
  <c r="T88" i="86"/>
  <c r="AV88" i="86"/>
  <c r="T77" i="86"/>
  <c r="AV77" i="86"/>
  <c r="T42" i="86"/>
  <c r="AV42" i="86"/>
  <c r="T8" i="86"/>
  <c r="AV8" i="86"/>
  <c r="T45" i="86"/>
  <c r="AV45" i="86"/>
  <c r="T59" i="86"/>
  <c r="AV59" i="86"/>
  <c r="T78" i="86"/>
  <c r="AV78" i="86"/>
  <c r="T37" i="86"/>
  <c r="AV37" i="86"/>
  <c r="T38" i="86"/>
  <c r="AV38" i="86"/>
  <c r="T33" i="86"/>
  <c r="AV33" i="86"/>
  <c r="T48" i="86"/>
  <c r="AV48" i="86"/>
  <c r="T28" i="86"/>
  <c r="AV28" i="86"/>
  <c r="T13" i="86"/>
  <c r="AV13" i="86"/>
  <c r="T14" i="86"/>
  <c r="AV14" i="86"/>
  <c r="T72" i="86"/>
  <c r="AV72" i="86"/>
  <c r="T92" i="86"/>
  <c r="AV92" i="86"/>
  <c r="T81" i="86"/>
  <c r="AV81" i="86"/>
  <c r="T82" i="86"/>
  <c r="AV82" i="86"/>
  <c r="T27" i="86"/>
  <c r="AV27" i="86"/>
  <c r="T85" i="86"/>
  <c r="AV85" i="86"/>
  <c r="T6" i="86"/>
  <c r="AV6" i="86"/>
  <c r="T57" i="86"/>
  <c r="AV57" i="86"/>
  <c r="T41" i="86"/>
  <c r="AV41" i="86"/>
  <c r="T20" i="86"/>
  <c r="AV20" i="86"/>
  <c r="T47" i="86"/>
  <c r="AV47" i="86"/>
  <c r="T35" i="86"/>
  <c r="AV35" i="86"/>
  <c r="T89" i="86"/>
  <c r="AV89" i="86"/>
  <c r="T61" i="86"/>
  <c r="AV61" i="86"/>
  <c r="T24" i="86"/>
  <c r="W123" i="86"/>
  <c r="M29" i="23"/>
  <c r="K5" i="86"/>
  <c r="J5" i="86"/>
  <c r="V121" i="21"/>
  <c r="I32" i="23"/>
  <c r="H162" i="77"/>
  <c r="B163" i="77"/>
  <c r="V133" i="21"/>
  <c r="B135" i="21"/>
  <c r="V134" i="21"/>
  <c r="L73" i="86"/>
  <c r="L87" i="86"/>
  <c r="I44" i="87"/>
  <c r="L81" i="86"/>
  <c r="L14" i="86"/>
  <c r="L85" i="86"/>
  <c r="L43" i="86"/>
  <c r="L35" i="86"/>
  <c r="L68" i="86"/>
  <c r="L90" i="86"/>
  <c r="L59" i="86"/>
  <c r="L75" i="86"/>
  <c r="L71" i="86"/>
  <c r="L60" i="86"/>
  <c r="L38" i="86"/>
  <c r="L54" i="86"/>
  <c r="L39" i="86"/>
  <c r="L61" i="86"/>
  <c r="L9" i="86"/>
  <c r="L26" i="86"/>
  <c r="L76" i="86"/>
  <c r="L17" i="86"/>
  <c r="L36" i="86"/>
  <c r="L91" i="86"/>
  <c r="L27" i="86"/>
  <c r="L13" i="86"/>
  <c r="L28" i="86"/>
  <c r="L15" i="86"/>
  <c r="L46" i="86"/>
  <c r="L93" i="86"/>
  <c r="L19" i="86"/>
  <c r="L18" i="86"/>
  <c r="L32" i="86"/>
  <c r="L44" i="86"/>
  <c r="L55" i="86"/>
  <c r="L89" i="86"/>
  <c r="L79" i="86"/>
  <c r="L29" i="86"/>
  <c r="L42" i="86"/>
  <c r="L25" i="86"/>
  <c r="L53" i="86"/>
  <c r="L63" i="86"/>
  <c r="L69" i="86"/>
  <c r="L58" i="86"/>
  <c r="L74" i="86"/>
  <c r="L70" i="86"/>
  <c r="L31" i="86"/>
  <c r="L45" i="86"/>
  <c r="L78" i="86"/>
  <c r="L52" i="86"/>
  <c r="L86" i="86"/>
  <c r="L94" i="86"/>
  <c r="L65" i="86"/>
  <c r="L95" i="86"/>
  <c r="L41" i="86"/>
  <c r="L82" i="86"/>
  <c r="L40" i="86"/>
  <c r="L49" i="86"/>
  <c r="L51" i="86"/>
  <c r="L56" i="86"/>
  <c r="L62" i="86"/>
  <c r="L34" i="86"/>
  <c r="L48" i="86"/>
  <c r="L50" i="86"/>
  <c r="L30" i="86"/>
  <c r="L88" i="86"/>
  <c r="L47" i="86"/>
  <c r="L92" i="86"/>
  <c r="L22" i="86"/>
  <c r="L10" i="86"/>
  <c r="L80" i="86"/>
  <c r="L37" i="86"/>
  <c r="L7" i="86"/>
  <c r="L67" i="86"/>
  <c r="L72" i="86"/>
  <c r="L8" i="86"/>
  <c r="L12" i="86"/>
  <c r="L16" i="86"/>
  <c r="L66" i="86"/>
  <c r="L83" i="86"/>
  <c r="L77" i="86"/>
  <c r="L21" i="86"/>
  <c r="L20" i="86"/>
  <c r="L23" i="86"/>
  <c r="L64" i="86"/>
  <c r="L57" i="86"/>
  <c r="L84" i="86"/>
  <c r="L33" i="86"/>
  <c r="L11" i="86"/>
  <c r="A21" i="70"/>
  <c r="A22" i="70" s="1"/>
  <c r="A23" i="70" s="1"/>
  <c r="A24" i="70" s="1"/>
  <c r="A25" i="70" s="1"/>
  <c r="A27" i="70" s="1"/>
  <c r="P122" i="70"/>
  <c r="Q121" i="70" s="1"/>
  <c r="A19" i="69"/>
  <c r="G28" i="23"/>
  <c r="I28" i="23" s="1"/>
  <c r="M27" i="23"/>
  <c r="I27" i="23"/>
  <c r="J75" i="66"/>
  <c r="N75" i="66"/>
  <c r="K75" i="66"/>
  <c r="L75" i="66"/>
  <c r="P75" i="66"/>
  <c r="H27" i="73"/>
  <c r="H34" i="73"/>
  <c r="O75" i="66"/>
  <c r="F35" i="73"/>
  <c r="F28" i="73"/>
  <c r="F36" i="73" s="1"/>
  <c r="Q75" i="66"/>
  <c r="R75" i="66"/>
  <c r="M75" i="66"/>
  <c r="I27" i="73"/>
  <c r="I34" i="73"/>
  <c r="E24" i="23"/>
  <c r="H75" i="66"/>
  <c r="D75" i="66"/>
  <c r="D24" i="23"/>
  <c r="B28" i="73"/>
  <c r="AS114" i="86" l="1"/>
  <c r="AS115" i="86" s="1"/>
  <c r="AS116" i="86" s="1"/>
  <c r="AS117" i="86" s="1"/>
  <c r="AS118" i="86" s="1"/>
  <c r="AS119" i="86" s="1"/>
  <c r="AS120" i="86" s="1"/>
  <c r="AS121" i="86" s="1"/>
  <c r="G123" i="86"/>
  <c r="N5" i="86"/>
  <c r="BF5" i="86"/>
  <c r="K6" i="86"/>
  <c r="K7" i="86" s="1"/>
  <c r="K8" i="86" s="1"/>
  <c r="K9" i="86" s="1"/>
  <c r="K10" i="86" s="1"/>
  <c r="K11" i="86" s="1"/>
  <c r="K12" i="86" s="1"/>
  <c r="K13" i="86" s="1"/>
  <c r="K14" i="86" s="1"/>
  <c r="K15" i="86" s="1"/>
  <c r="K16" i="86" s="1"/>
  <c r="K17" i="86" s="1"/>
  <c r="K18" i="86" s="1"/>
  <c r="K19" i="86" s="1"/>
  <c r="K20" i="86" s="1"/>
  <c r="K21" i="86" s="1"/>
  <c r="K22" i="86" s="1"/>
  <c r="K23" i="86" s="1"/>
  <c r="K24" i="86" s="1"/>
  <c r="K25" i="86" s="1"/>
  <c r="L5" i="86"/>
  <c r="N38" i="86"/>
  <c r="N8" i="86"/>
  <c r="N27" i="86"/>
  <c r="N83" i="86"/>
  <c r="N15" i="86"/>
  <c r="N64" i="86"/>
  <c r="N24" i="86"/>
  <c r="N61" i="86"/>
  <c r="N76" i="86"/>
  <c r="N58" i="86"/>
  <c r="N95" i="86"/>
  <c r="N49" i="86"/>
  <c r="N45" i="86"/>
  <c r="N13" i="86"/>
  <c r="N17" i="86"/>
  <c r="N46" i="86"/>
  <c r="N39" i="86"/>
  <c r="N22" i="86"/>
  <c r="N77" i="86"/>
  <c r="N33" i="86"/>
  <c r="N14" i="86"/>
  <c r="N10" i="86"/>
  <c r="N70" i="86"/>
  <c r="N32" i="86"/>
  <c r="N89" i="86"/>
  <c r="N21" i="86"/>
  <c r="N7" i="86"/>
  <c r="N11" i="86"/>
  <c r="N94" i="86"/>
  <c r="N44" i="86"/>
  <c r="N87" i="86"/>
  <c r="N86" i="86"/>
  <c r="N75" i="86"/>
  <c r="N81" i="86"/>
  <c r="N19" i="86"/>
  <c r="N41" i="86"/>
  <c r="N71" i="86"/>
  <c r="N6" i="86"/>
  <c r="N12" i="86"/>
  <c r="N53" i="86"/>
  <c r="N34" i="86"/>
  <c r="N35" i="86"/>
  <c r="N69" i="86"/>
  <c r="N48" i="86"/>
  <c r="N65" i="86"/>
  <c r="N29" i="86"/>
  <c r="N62" i="86"/>
  <c r="N88" i="86"/>
  <c r="N78" i="86"/>
  <c r="N18" i="86"/>
  <c r="N67" i="86"/>
  <c r="N30" i="86"/>
  <c r="N68" i="86"/>
  <c r="N20" i="86"/>
  <c r="N37" i="86"/>
  <c r="N85" i="86"/>
  <c r="N31" i="86"/>
  <c r="N25" i="86"/>
  <c r="N60" i="86"/>
  <c r="N16" i="86"/>
  <c r="N55" i="86"/>
  <c r="N59" i="86"/>
  <c r="N54" i="86"/>
  <c r="N40" i="86"/>
  <c r="N57" i="86"/>
  <c r="N50" i="86"/>
  <c r="N82" i="86"/>
  <c r="N9" i="86"/>
  <c r="N74" i="86"/>
  <c r="N72" i="86"/>
  <c r="N73" i="86"/>
  <c r="N47" i="86"/>
  <c r="N90" i="86"/>
  <c r="N80" i="86"/>
  <c r="N56" i="86"/>
  <c r="N23" i="86"/>
  <c r="N84" i="86"/>
  <c r="N66" i="86"/>
  <c r="N52" i="86"/>
  <c r="N36" i="86"/>
  <c r="N43" i="86"/>
  <c r="N63" i="86"/>
  <c r="N79" i="86"/>
  <c r="N91" i="86"/>
  <c r="N26" i="86"/>
  <c r="N92" i="86"/>
  <c r="N42" i="86"/>
  <c r="N28" i="86"/>
  <c r="N93" i="86"/>
  <c r="N51" i="86"/>
  <c r="M5" i="86"/>
  <c r="L24" i="86"/>
  <c r="J6" i="86"/>
  <c r="L6" i="86"/>
  <c r="B136" i="21"/>
  <c r="V135" i="21"/>
  <c r="B164" i="77"/>
  <c r="H163" i="77"/>
  <c r="M28" i="23"/>
  <c r="A20" i="69"/>
  <c r="P123" i="70"/>
  <c r="Q122" i="70" s="1"/>
  <c r="A28" i="70"/>
  <c r="A29" i="70" s="1"/>
  <c r="A31" i="70" s="1"/>
  <c r="H28" i="73"/>
  <c r="H36" i="73" s="1"/>
  <c r="H35" i="73"/>
  <c r="I28" i="73"/>
  <c r="I36" i="73" s="1"/>
  <c r="I35" i="73"/>
  <c r="B90" i="66"/>
  <c r="F24" i="23"/>
  <c r="B89" i="66"/>
  <c r="B88" i="66"/>
  <c r="BF6" i="86" l="1"/>
  <c r="BF7" i="86" s="1"/>
  <c r="BF8" i="86" s="1"/>
  <c r="BF9" i="86" s="1"/>
  <c r="BF10" i="86" s="1"/>
  <c r="BF11" i="86" s="1"/>
  <c r="BF12" i="86" s="1"/>
  <c r="BF13" i="86" s="1"/>
  <c r="BF14" i="86" s="1"/>
  <c r="BF15" i="86" s="1"/>
  <c r="BF16" i="86" s="1"/>
  <c r="BF17" i="86" s="1"/>
  <c r="BF18" i="86" s="1"/>
  <c r="BF19" i="86" s="1"/>
  <c r="BF20" i="86" s="1"/>
  <c r="BF21" i="86" s="1"/>
  <c r="BF22" i="86" s="1"/>
  <c r="BF23" i="86" s="1"/>
  <c r="BF24" i="86" s="1"/>
  <c r="BF25" i="86" s="1"/>
  <c r="BF26" i="86" s="1"/>
  <c r="BF27" i="86" s="1"/>
  <c r="BF28" i="86" s="1"/>
  <c r="BF29" i="86" s="1"/>
  <c r="BF30" i="86" s="1"/>
  <c r="BF31" i="86" s="1"/>
  <c r="BF32" i="86" s="1"/>
  <c r="BF33" i="86" s="1"/>
  <c r="BF34" i="86" s="1"/>
  <c r="BF35" i="86" s="1"/>
  <c r="BF36" i="86" s="1"/>
  <c r="BF37" i="86" s="1"/>
  <c r="BF38" i="86" s="1"/>
  <c r="BF39" i="86" s="1"/>
  <c r="BF40" i="86" s="1"/>
  <c r="BF41" i="86" s="1"/>
  <c r="BF42" i="86" s="1"/>
  <c r="BF43" i="86" s="1"/>
  <c r="BF44" i="86" s="1"/>
  <c r="BF45" i="86" s="1"/>
  <c r="BF46" i="86" s="1"/>
  <c r="BF47" i="86" s="1"/>
  <c r="BF48" i="86" s="1"/>
  <c r="BF49" i="86" s="1"/>
  <c r="BF50" i="86" s="1"/>
  <c r="BF51" i="86" s="1"/>
  <c r="BF52" i="86" s="1"/>
  <c r="BF53" i="86" s="1"/>
  <c r="BF54" i="86" s="1"/>
  <c r="BF55" i="86" s="1"/>
  <c r="BF56" i="86" s="1"/>
  <c r="BF57" i="86" s="1"/>
  <c r="BF58" i="86" s="1"/>
  <c r="BF59" i="86" s="1"/>
  <c r="BF60" i="86" s="1"/>
  <c r="BF61" i="86" s="1"/>
  <c r="BF62" i="86" s="1"/>
  <c r="BF63" i="86" s="1"/>
  <c r="BF64" i="86" s="1"/>
  <c r="BF65" i="86" s="1"/>
  <c r="BF66" i="86" s="1"/>
  <c r="BF67" i="86" s="1"/>
  <c r="BF68" i="86" s="1"/>
  <c r="BF69" i="86" s="1"/>
  <c r="BF70" i="86" s="1"/>
  <c r="BF71" i="86" s="1"/>
  <c r="BF72" i="86" s="1"/>
  <c r="BF73" i="86" s="1"/>
  <c r="BF74" i="86" s="1"/>
  <c r="BF75" i="86" s="1"/>
  <c r="BF76" i="86" s="1"/>
  <c r="BF77" i="86" s="1"/>
  <c r="BF78" i="86" s="1"/>
  <c r="BF79" i="86" s="1"/>
  <c r="BF80" i="86" s="1"/>
  <c r="BF81" i="86" s="1"/>
  <c r="BF82" i="86" s="1"/>
  <c r="BF83" i="86" s="1"/>
  <c r="BF84" i="86" s="1"/>
  <c r="BF85" i="86" s="1"/>
  <c r="BF86" i="86" s="1"/>
  <c r="BF87" i="86" s="1"/>
  <c r="BF88" i="86" s="1"/>
  <c r="BF89" i="86" s="1"/>
  <c r="BF90" i="86" s="1"/>
  <c r="BF91" i="86" s="1"/>
  <c r="BF92" i="86" s="1"/>
  <c r="BF93" i="86" s="1"/>
  <c r="BF94" i="86" s="1"/>
  <c r="BF95" i="86" s="1"/>
  <c r="BF96" i="86" s="1"/>
  <c r="BF97" i="86" s="1"/>
  <c r="BF98" i="86" s="1"/>
  <c r="BF99" i="86" s="1"/>
  <c r="BF100" i="86" s="1"/>
  <c r="O5" i="86"/>
  <c r="M6" i="86"/>
  <c r="J7" i="86"/>
  <c r="K26" i="86"/>
  <c r="B165" i="77"/>
  <c r="H164" i="77"/>
  <c r="B137" i="21"/>
  <c r="V136" i="21"/>
  <c r="P124" i="70"/>
  <c r="Q123" i="70" s="1"/>
  <c r="A32" i="70"/>
  <c r="A33" i="70" s="1"/>
  <c r="A34" i="70" s="1"/>
  <c r="A36" i="70" s="1"/>
  <c r="A21" i="69"/>
  <c r="G24" i="23"/>
  <c r="O6" i="86" l="1"/>
  <c r="O7" i="86" s="1"/>
  <c r="O8" i="86" s="1"/>
  <c r="O9" i="86" s="1"/>
  <c r="O10" i="86" s="1"/>
  <c r="O11" i="86" s="1"/>
  <c r="O12" i="86" s="1"/>
  <c r="O13" i="86" s="1"/>
  <c r="O14" i="86" s="1"/>
  <c r="O15" i="86" s="1"/>
  <c r="O16" i="86" s="1"/>
  <c r="O17" i="86" s="1"/>
  <c r="O18" i="86" s="1"/>
  <c r="O19" i="86" s="1"/>
  <c r="O20" i="86" s="1"/>
  <c r="O21" i="86" s="1"/>
  <c r="O22" i="86" s="1"/>
  <c r="O23" i="86" s="1"/>
  <c r="O24" i="86" s="1"/>
  <c r="O25" i="86" s="1"/>
  <c r="O26" i="86" s="1"/>
  <c r="O27" i="86" s="1"/>
  <c r="O28" i="86" s="1"/>
  <c r="O29" i="86" s="1"/>
  <c r="O30" i="86" s="1"/>
  <c r="O31" i="86" s="1"/>
  <c r="O32" i="86" s="1"/>
  <c r="O33" i="86" s="1"/>
  <c r="O34" i="86" s="1"/>
  <c r="O35" i="86" s="1"/>
  <c r="O36" i="86" s="1"/>
  <c r="O37" i="86" s="1"/>
  <c r="O38" i="86" s="1"/>
  <c r="O39" i="86" s="1"/>
  <c r="O40" i="86" s="1"/>
  <c r="O41" i="86" s="1"/>
  <c r="O42" i="86" s="1"/>
  <c r="O43" i="86" s="1"/>
  <c r="O44" i="86" s="1"/>
  <c r="O45" i="86" s="1"/>
  <c r="O46" i="86" s="1"/>
  <c r="O47" i="86" s="1"/>
  <c r="O48" i="86" s="1"/>
  <c r="O49" i="86" s="1"/>
  <c r="O50" i="86" s="1"/>
  <c r="O51" i="86" s="1"/>
  <c r="O52" i="86" s="1"/>
  <c r="O53" i="86" s="1"/>
  <c r="O54" i="86" s="1"/>
  <c r="O55" i="86" s="1"/>
  <c r="O56" i="86" s="1"/>
  <c r="O57" i="86" s="1"/>
  <c r="O58" i="86" s="1"/>
  <c r="O59" i="86" s="1"/>
  <c r="O60" i="86" s="1"/>
  <c r="O61" i="86" s="1"/>
  <c r="O62" i="86" s="1"/>
  <c r="O63" i="86" s="1"/>
  <c r="O64" i="86" s="1"/>
  <c r="O65" i="86" s="1"/>
  <c r="O66" i="86" s="1"/>
  <c r="O67" i="86" s="1"/>
  <c r="O68" i="86" s="1"/>
  <c r="O69" i="86" s="1"/>
  <c r="O70" i="86" s="1"/>
  <c r="O71" i="86" s="1"/>
  <c r="O72" i="86" s="1"/>
  <c r="O73" i="86" s="1"/>
  <c r="O74" i="86" s="1"/>
  <c r="O75" i="86" s="1"/>
  <c r="O76" i="86" s="1"/>
  <c r="O77" i="86" s="1"/>
  <c r="O78" i="86" s="1"/>
  <c r="O79" i="86" s="1"/>
  <c r="O80" i="86" s="1"/>
  <c r="O81" i="86" s="1"/>
  <c r="O82" i="86" s="1"/>
  <c r="O83" i="86" s="1"/>
  <c r="O84" i="86" s="1"/>
  <c r="O85" i="86" s="1"/>
  <c r="O86" i="86" s="1"/>
  <c r="O87" i="86" s="1"/>
  <c r="O88" i="86" s="1"/>
  <c r="O89" i="86" s="1"/>
  <c r="O90" i="86" s="1"/>
  <c r="O91" i="86" s="1"/>
  <c r="O92" i="86" s="1"/>
  <c r="O93" i="86" s="1"/>
  <c r="O94" i="86" s="1"/>
  <c r="O95" i="86" s="1"/>
  <c r="O96" i="86" s="1"/>
  <c r="O97" i="86" s="1"/>
  <c r="O98" i="86" s="1"/>
  <c r="O99" i="86" s="1"/>
  <c r="O100" i="86" s="1"/>
  <c r="M7" i="86"/>
  <c r="J8" i="86"/>
  <c r="K27" i="86"/>
  <c r="B138" i="21"/>
  <c r="V137" i="21"/>
  <c r="B166" i="77"/>
  <c r="H165" i="77"/>
  <c r="A23" i="69"/>
  <c r="P125" i="70"/>
  <c r="Q124" i="70" s="1"/>
  <c r="A37" i="70"/>
  <c r="A39" i="70" s="1"/>
  <c r="I24" i="23"/>
  <c r="M24" i="23"/>
  <c r="J9" i="86" l="1"/>
  <c r="M8" i="86"/>
  <c r="K28" i="86"/>
  <c r="B167" i="77"/>
  <c r="H166" i="77"/>
  <c r="B139" i="21"/>
  <c r="V138" i="21"/>
  <c r="P126" i="70"/>
  <c r="Q125" i="70" s="1"/>
  <c r="A40" i="70"/>
  <c r="A41" i="70" s="1"/>
  <c r="A43" i="70" s="1"/>
  <c r="X62" i="69"/>
  <c r="Y61" i="69" s="1"/>
  <c r="A24" i="69"/>
  <c r="J10" i="86" l="1"/>
  <c r="M9" i="86"/>
  <c r="K29" i="86"/>
  <c r="B140" i="21"/>
  <c r="V139" i="21"/>
  <c r="B168" i="77"/>
  <c r="H167" i="77"/>
  <c r="A25" i="69"/>
  <c r="P127" i="70"/>
  <c r="Q126" i="70" s="1"/>
  <c r="A44" i="70"/>
  <c r="A45" i="70" s="1"/>
  <c r="A47" i="70" s="1"/>
  <c r="J11" i="86" l="1"/>
  <c r="M10" i="86"/>
  <c r="K30" i="86"/>
  <c r="B169" i="77"/>
  <c r="H168" i="77"/>
  <c r="B141" i="21"/>
  <c r="V140" i="21"/>
  <c r="P128" i="70"/>
  <c r="Q127" i="70" s="1"/>
  <c r="A48" i="70"/>
  <c r="A50" i="70" s="1"/>
  <c r="A27" i="69"/>
  <c r="J12" i="86" l="1"/>
  <c r="M11" i="86"/>
  <c r="K31" i="86"/>
  <c r="B142" i="21"/>
  <c r="V141" i="21"/>
  <c r="B170" i="77"/>
  <c r="H169" i="77"/>
  <c r="A28" i="69"/>
  <c r="X63" i="69"/>
  <c r="Y62" i="69" s="1"/>
  <c r="A52" i="70"/>
  <c r="P129" i="70"/>
  <c r="Q128" i="70" s="1"/>
  <c r="J13" i="86" l="1"/>
  <c r="M12" i="86"/>
  <c r="K32" i="86"/>
  <c r="B171" i="77"/>
  <c r="H170" i="77"/>
  <c r="B143" i="21"/>
  <c r="V142" i="21"/>
  <c r="P130" i="70"/>
  <c r="Q129" i="70" s="1"/>
  <c r="A54" i="70"/>
  <c r="A29" i="69"/>
  <c r="J14" i="86" l="1"/>
  <c r="M13" i="86"/>
  <c r="K33" i="86"/>
  <c r="B144" i="21"/>
  <c r="V143" i="21"/>
  <c r="B172" i="77"/>
  <c r="H171" i="77"/>
  <c r="P131" i="70"/>
  <c r="Q130" i="70" s="1"/>
  <c r="A56" i="70"/>
  <c r="A31" i="69"/>
  <c r="J15" i="86" l="1"/>
  <c r="M14" i="86"/>
  <c r="K34" i="86"/>
  <c r="B173" i="77"/>
  <c r="H172" i="77"/>
  <c r="B145" i="21"/>
  <c r="V144" i="21"/>
  <c r="A32" i="69"/>
  <c r="A33" i="69" s="1"/>
  <c r="A35" i="69" s="1"/>
  <c r="X64" i="69"/>
  <c r="Y63" i="69" s="1"/>
  <c r="P132" i="70"/>
  <c r="Q131" i="70" s="1"/>
  <c r="A58" i="70"/>
  <c r="J16" i="86" l="1"/>
  <c r="M15" i="86"/>
  <c r="K35" i="86"/>
  <c r="B146" i="21"/>
  <c r="V145" i="21"/>
  <c r="B174" i="77"/>
  <c r="H173" i="77"/>
  <c r="P133" i="70"/>
  <c r="Q132" i="70" s="1"/>
  <c r="A60" i="70"/>
  <c r="P134" i="70" s="1"/>
  <c r="Q133" i="70" s="1"/>
  <c r="A36" i="69"/>
  <c r="A38" i="69" s="1"/>
  <c r="X65" i="69"/>
  <c r="Y64" i="69" s="1"/>
  <c r="J17" i="86" l="1"/>
  <c r="M16" i="86"/>
  <c r="K36" i="86"/>
  <c r="B175" i="77"/>
  <c r="H174" i="77"/>
  <c r="B147" i="21"/>
  <c r="V146" i="21"/>
  <c r="A39" i="69"/>
  <c r="A41" i="69" s="1"/>
  <c r="X66" i="69"/>
  <c r="Y65" i="69" s="1"/>
  <c r="J18" i="86" l="1"/>
  <c r="M17" i="86"/>
  <c r="K37" i="86"/>
  <c r="B148" i="21"/>
  <c r="V147" i="21"/>
  <c r="B176" i="77"/>
  <c r="H175" i="77"/>
  <c r="X67" i="69"/>
  <c r="Y66" i="69" s="1"/>
  <c r="A43" i="69"/>
  <c r="J19" i="86" l="1"/>
  <c r="M18" i="86"/>
  <c r="K38" i="86"/>
  <c r="B177" i="77"/>
  <c r="H176" i="77"/>
  <c r="B149" i="21"/>
  <c r="V148" i="21"/>
  <c r="X68" i="69"/>
  <c r="Y67" i="69" s="1"/>
  <c r="A45" i="69"/>
  <c r="J20" i="86" l="1"/>
  <c r="M19" i="86"/>
  <c r="K39" i="86"/>
  <c r="B150" i="21"/>
  <c r="V149" i="21"/>
  <c r="B178" i="77"/>
  <c r="H177" i="77"/>
  <c r="X69" i="69"/>
  <c r="Y68" i="69" s="1"/>
  <c r="A47" i="69"/>
  <c r="J21" i="86" l="1"/>
  <c r="M20" i="86"/>
  <c r="K40" i="86"/>
  <c r="B179" i="77"/>
  <c r="H178" i="77"/>
  <c r="B151" i="21"/>
  <c r="V150" i="21"/>
  <c r="X70" i="69"/>
  <c r="Y69" i="69" s="1"/>
  <c r="A48" i="69"/>
  <c r="A50" i="69" s="1"/>
  <c r="J22" i="86" l="1"/>
  <c r="M21" i="86"/>
  <c r="K41" i="86"/>
  <c r="B152" i="21"/>
  <c r="V151" i="21"/>
  <c r="B180" i="77"/>
  <c r="H179" i="77"/>
  <c r="X71" i="69"/>
  <c r="Y70" i="69" s="1"/>
  <c r="A51" i="69"/>
  <c r="A52" i="69" s="1"/>
  <c r="J23" i="86" l="1"/>
  <c r="M22" i="86"/>
  <c r="K42" i="86"/>
  <c r="B181" i="77"/>
  <c r="H180" i="77"/>
  <c r="B153" i="21"/>
  <c r="V152" i="21"/>
  <c r="D31" i="73"/>
  <c r="C36" i="73"/>
  <c r="C33" i="73"/>
  <c r="C32" i="73"/>
  <c r="C31" i="73"/>
  <c r="B31" i="73"/>
  <c r="C35" i="73"/>
  <c r="B32" i="73"/>
  <c r="C34" i="73"/>
  <c r="D36" i="73"/>
  <c r="B33" i="73"/>
  <c r="D35" i="73"/>
  <c r="D34" i="73"/>
  <c r="D32" i="73"/>
  <c r="D33" i="73"/>
  <c r="B34" i="73"/>
  <c r="B36" i="73"/>
  <c r="B35" i="73"/>
  <c r="J24" i="86" l="1"/>
  <c r="M23" i="86"/>
  <c r="K43" i="86"/>
  <c r="B154" i="21"/>
  <c r="V153" i="21"/>
  <c r="B182" i="77"/>
  <c r="H181" i="77"/>
  <c r="J25" i="86" l="1"/>
  <c r="M24" i="86"/>
  <c r="K44" i="86"/>
  <c r="B183" i="77"/>
  <c r="H182" i="77"/>
  <c r="B155" i="21"/>
  <c r="V154" i="21"/>
  <c r="J26" i="86" l="1"/>
  <c r="M25" i="86"/>
  <c r="K45" i="86"/>
  <c r="B156" i="21"/>
  <c r="V155" i="21"/>
  <c r="B184" i="77"/>
  <c r="H183" i="77"/>
  <c r="J27" i="86" l="1"/>
  <c r="M26" i="86"/>
  <c r="K46" i="86"/>
  <c r="B185" i="77"/>
  <c r="H184" i="77"/>
  <c r="B157" i="21"/>
  <c r="V156" i="21"/>
  <c r="J28" i="86" l="1"/>
  <c r="M27" i="86"/>
  <c r="K47" i="86"/>
  <c r="B158" i="21"/>
  <c r="V157" i="21"/>
  <c r="B186" i="77"/>
  <c r="H185" i="77"/>
  <c r="J29" i="86" l="1"/>
  <c r="M28" i="86"/>
  <c r="K48" i="86"/>
  <c r="B187" i="77"/>
  <c r="H186" i="77"/>
  <c r="B159" i="21"/>
  <c r="V158" i="21"/>
  <c r="J30" i="86" l="1"/>
  <c r="M29" i="86"/>
  <c r="K49" i="86"/>
  <c r="B160" i="21"/>
  <c r="V159" i="21"/>
  <c r="B188" i="77"/>
  <c r="H187" i="77"/>
  <c r="J31" i="86" l="1"/>
  <c r="M30" i="86"/>
  <c r="K50" i="86"/>
  <c r="B189" i="77"/>
  <c r="H188" i="77"/>
  <c r="B161" i="21"/>
  <c r="V160" i="21"/>
  <c r="J32" i="86" l="1"/>
  <c r="M31" i="86"/>
  <c r="K51" i="86"/>
  <c r="B162" i="21"/>
  <c r="V161" i="21"/>
  <c r="B190" i="77"/>
  <c r="H189" i="77"/>
  <c r="J33" i="86" l="1"/>
  <c r="M32" i="86"/>
  <c r="K52" i="86"/>
  <c r="B191" i="77"/>
  <c r="H190" i="77"/>
  <c r="B163" i="21"/>
  <c r="V162" i="21"/>
  <c r="J34" i="86" l="1"/>
  <c r="M33" i="86"/>
  <c r="K53" i="86"/>
  <c r="B164" i="21"/>
  <c r="V163" i="21"/>
  <c r="B192" i="77"/>
  <c r="H191" i="77"/>
  <c r="J35" i="86" l="1"/>
  <c r="M34" i="86"/>
  <c r="K54" i="86"/>
  <c r="B193" i="77"/>
  <c r="H192" i="77"/>
  <c r="B165" i="21"/>
  <c r="V164" i="21"/>
  <c r="J36" i="86" l="1"/>
  <c r="M35" i="86"/>
  <c r="K55" i="86"/>
  <c r="B166" i="21"/>
  <c r="V165" i="21"/>
  <c r="B194" i="77"/>
  <c r="H193" i="77"/>
  <c r="J37" i="86" l="1"/>
  <c r="M36" i="86"/>
  <c r="K56" i="86"/>
  <c r="B195" i="77"/>
  <c r="H194" i="77"/>
  <c r="B167" i="21"/>
  <c r="V166" i="21"/>
  <c r="J38" i="86" l="1"/>
  <c r="M37" i="86"/>
  <c r="K57" i="86"/>
  <c r="B168" i="21"/>
  <c r="V167" i="21"/>
  <c r="B196" i="77"/>
  <c r="H195" i="77"/>
  <c r="J39" i="86" l="1"/>
  <c r="M38" i="86"/>
  <c r="K58" i="86"/>
  <c r="B197" i="77"/>
  <c r="H196" i="77"/>
  <c r="B169" i="21"/>
  <c r="V168" i="21"/>
  <c r="J40" i="86" l="1"/>
  <c r="M39" i="86"/>
  <c r="K59" i="86"/>
  <c r="B170" i="21"/>
  <c r="V169" i="21"/>
  <c r="B198" i="77"/>
  <c r="H197" i="77"/>
  <c r="J41" i="86" l="1"/>
  <c r="M40" i="86"/>
  <c r="K60" i="86"/>
  <c r="B199" i="77"/>
  <c r="H198" i="77"/>
  <c r="B171" i="21"/>
  <c r="V170" i="21"/>
  <c r="J42" i="86" l="1"/>
  <c r="M41" i="86"/>
  <c r="K61" i="86"/>
  <c r="B172" i="21"/>
  <c r="V171" i="21"/>
  <c r="B200" i="77"/>
  <c r="H199" i="77"/>
  <c r="J43" i="86" l="1"/>
  <c r="M42" i="86"/>
  <c r="K62" i="86"/>
  <c r="B201" i="77"/>
  <c r="H200" i="77"/>
  <c r="B173" i="21"/>
  <c r="V172" i="21"/>
  <c r="J44" i="86" l="1"/>
  <c r="M43" i="86"/>
  <c r="K63" i="86"/>
  <c r="B174" i="21"/>
  <c r="V173" i="21"/>
  <c r="B202" i="77"/>
  <c r="H201" i="77"/>
  <c r="J45" i="86" l="1"/>
  <c r="M44" i="86"/>
  <c r="K64" i="86"/>
  <c r="B203" i="77"/>
  <c r="H202" i="77"/>
  <c r="B175" i="21"/>
  <c r="V174" i="21"/>
  <c r="J46" i="86" l="1"/>
  <c r="M45" i="86"/>
  <c r="K65" i="86"/>
  <c r="B176" i="21"/>
  <c r="V175" i="21"/>
  <c r="B204" i="77"/>
  <c r="H203" i="77"/>
  <c r="J47" i="86" l="1"/>
  <c r="M46" i="86"/>
  <c r="K66" i="86"/>
  <c r="B205" i="77"/>
  <c r="H204" i="77"/>
  <c r="B177" i="21"/>
  <c r="V176" i="21"/>
  <c r="J48" i="86" l="1"/>
  <c r="M47" i="86"/>
  <c r="K67" i="86"/>
  <c r="B178" i="21"/>
  <c r="V177" i="21"/>
  <c r="B206" i="77"/>
  <c r="H205" i="77"/>
  <c r="J49" i="86" l="1"/>
  <c r="M48" i="86"/>
  <c r="K68" i="86"/>
  <c r="B207" i="77"/>
  <c r="H206" i="77"/>
  <c r="B179" i="21"/>
  <c r="V178" i="21"/>
  <c r="J50" i="86" l="1"/>
  <c r="M49" i="86"/>
  <c r="K69" i="86"/>
  <c r="B180" i="21"/>
  <c r="V179" i="21"/>
  <c r="B208" i="77"/>
  <c r="H207" i="77"/>
  <c r="J51" i="86" l="1"/>
  <c r="M50" i="86"/>
  <c r="K70" i="86"/>
  <c r="B209" i="77"/>
  <c r="H208" i="77"/>
  <c r="B181" i="21"/>
  <c r="V180" i="21"/>
  <c r="J52" i="86" l="1"/>
  <c r="M51" i="86"/>
  <c r="K71" i="86"/>
  <c r="B182" i="21"/>
  <c r="V181" i="21"/>
  <c r="B210" i="77"/>
  <c r="H209" i="77"/>
  <c r="J53" i="86" l="1"/>
  <c r="M52" i="86"/>
  <c r="K72" i="86"/>
  <c r="B211" i="77"/>
  <c r="H210" i="77"/>
  <c r="B183" i="21"/>
  <c r="V182" i="21"/>
  <c r="J54" i="86" l="1"/>
  <c r="M53" i="86"/>
  <c r="K73" i="86"/>
  <c r="B184" i="21"/>
  <c r="V183" i="21"/>
  <c r="B212" i="77"/>
  <c r="H211" i="77"/>
  <c r="J55" i="86" l="1"/>
  <c r="M54" i="86"/>
  <c r="K74" i="86"/>
  <c r="B213" i="77"/>
  <c r="H212" i="77"/>
  <c r="B185" i="21"/>
  <c r="V184" i="21"/>
  <c r="J56" i="86" l="1"/>
  <c r="M55" i="86"/>
  <c r="K75" i="86"/>
  <c r="B186" i="21"/>
  <c r="V185" i="21"/>
  <c r="B214" i="77"/>
  <c r="H213" i="77"/>
  <c r="J57" i="86" l="1"/>
  <c r="M56" i="86"/>
  <c r="K76" i="86"/>
  <c r="K9" i="87" s="1"/>
  <c r="B215" i="77"/>
  <c r="H214" i="77"/>
  <c r="B187" i="21"/>
  <c r="V186" i="21"/>
  <c r="J58" i="86" l="1"/>
  <c r="M57" i="86"/>
  <c r="K77" i="86"/>
  <c r="B188" i="21"/>
  <c r="V187" i="21"/>
  <c r="B216" i="77"/>
  <c r="H215" i="77"/>
  <c r="J59" i="86" l="1"/>
  <c r="M58" i="86"/>
  <c r="K78" i="86"/>
  <c r="B217" i="77"/>
  <c r="H216" i="77"/>
  <c r="B189" i="21"/>
  <c r="V188" i="21"/>
  <c r="J60" i="86" l="1"/>
  <c r="M59" i="86"/>
  <c r="K79" i="86"/>
  <c r="B190" i="21"/>
  <c r="V189" i="21"/>
  <c r="B218" i="77"/>
  <c r="H217" i="77"/>
  <c r="J61" i="86" l="1"/>
  <c r="M60" i="86"/>
  <c r="K80" i="86"/>
  <c r="B219" i="77"/>
  <c r="H218" i="77"/>
  <c r="B191" i="21"/>
  <c r="V190" i="21"/>
  <c r="J62" i="86" l="1"/>
  <c r="M61" i="86"/>
  <c r="K81" i="86"/>
  <c r="B192" i="21"/>
  <c r="V191" i="21"/>
  <c r="B220" i="77"/>
  <c r="H219" i="77"/>
  <c r="J63" i="86" l="1"/>
  <c r="M62" i="86"/>
  <c r="K82" i="86"/>
  <c r="B221" i="77"/>
  <c r="H220" i="77"/>
  <c r="B193" i="21"/>
  <c r="V192" i="21"/>
  <c r="J64" i="86" l="1"/>
  <c r="M63" i="86"/>
  <c r="K83" i="86"/>
  <c r="B194" i="21"/>
  <c r="V193" i="21"/>
  <c r="B222" i="77"/>
  <c r="H221" i="77"/>
  <c r="J65" i="86" l="1"/>
  <c r="M64" i="86"/>
  <c r="K84" i="86"/>
  <c r="B223" i="77"/>
  <c r="H222" i="77"/>
  <c r="B195" i="21"/>
  <c r="V194" i="21"/>
  <c r="J66" i="86" l="1"/>
  <c r="M65" i="86"/>
  <c r="K85" i="86"/>
  <c r="B196" i="21"/>
  <c r="V195" i="21"/>
  <c r="B224" i="77"/>
  <c r="H223" i="77"/>
  <c r="J67" i="86" l="1"/>
  <c r="M66" i="86"/>
  <c r="K86" i="86"/>
  <c r="B225" i="77"/>
  <c r="H224" i="77"/>
  <c r="B197" i="21"/>
  <c r="V196" i="21"/>
  <c r="J68" i="86" l="1"/>
  <c r="M67" i="86"/>
  <c r="K87" i="86"/>
  <c r="B198" i="21"/>
  <c r="V197" i="21"/>
  <c r="B226" i="77"/>
  <c r="H225" i="77"/>
  <c r="J69" i="86" l="1"/>
  <c r="M68" i="86"/>
  <c r="K88" i="86"/>
  <c r="B227" i="77"/>
  <c r="H226" i="77"/>
  <c r="B199" i="21"/>
  <c r="V198" i="21"/>
  <c r="J70" i="86" l="1"/>
  <c r="M69" i="86"/>
  <c r="K89" i="86"/>
  <c r="B200" i="21"/>
  <c r="V199" i="21"/>
  <c r="B228" i="77"/>
  <c r="H227" i="77"/>
  <c r="J71" i="86" l="1"/>
  <c r="M70" i="86"/>
  <c r="K90" i="86"/>
  <c r="B229" i="77"/>
  <c r="H228" i="77"/>
  <c r="B201" i="21"/>
  <c r="V200" i="21"/>
  <c r="J72" i="86" l="1"/>
  <c r="M71" i="86"/>
  <c r="K91" i="86"/>
  <c r="B202" i="21"/>
  <c r="V201" i="21"/>
  <c r="B230" i="77"/>
  <c r="H229" i="77"/>
  <c r="J73" i="86" l="1"/>
  <c r="M72" i="86"/>
  <c r="K92" i="86"/>
  <c r="B231" i="77"/>
  <c r="H230" i="77"/>
  <c r="B203" i="21"/>
  <c r="V202" i="21"/>
  <c r="J74" i="86" l="1"/>
  <c r="M73" i="86"/>
  <c r="K93" i="86"/>
  <c r="B204" i="21"/>
  <c r="V203" i="21"/>
  <c r="B232" i="77"/>
  <c r="H231" i="77"/>
  <c r="J75" i="86" l="1"/>
  <c r="M74" i="86"/>
  <c r="K94" i="86"/>
  <c r="B233" i="77"/>
  <c r="H232" i="77"/>
  <c r="B205" i="21"/>
  <c r="V204" i="21"/>
  <c r="J76" i="86" l="1"/>
  <c r="C9" i="87" s="1"/>
  <c r="M75" i="86"/>
  <c r="K95" i="86"/>
  <c r="B206" i="21"/>
  <c r="V205" i="21"/>
  <c r="B234" i="77"/>
  <c r="H233" i="77"/>
  <c r="J77" i="86" l="1"/>
  <c r="M76" i="86"/>
  <c r="C8" i="87" s="1"/>
  <c r="K96" i="86"/>
  <c r="B235" i="77"/>
  <c r="H234" i="77"/>
  <c r="B207" i="21"/>
  <c r="V206" i="21"/>
  <c r="J78" i="86" l="1"/>
  <c r="M77" i="86"/>
  <c r="K97" i="86"/>
  <c r="B208" i="21"/>
  <c r="V207" i="21"/>
  <c r="B236" i="77"/>
  <c r="H235" i="77"/>
  <c r="J79" i="86" l="1"/>
  <c r="M78" i="86"/>
  <c r="K98" i="86"/>
  <c r="B209" i="21"/>
  <c r="V208" i="21"/>
  <c r="B237" i="77"/>
  <c r="H236" i="77"/>
  <c r="J80" i="86" l="1"/>
  <c r="M79" i="86"/>
  <c r="K99" i="86"/>
  <c r="B238" i="77"/>
  <c r="H237" i="77"/>
  <c r="B210" i="21"/>
  <c r="V209" i="21"/>
  <c r="J81" i="86" l="1"/>
  <c r="M80" i="86"/>
  <c r="K100" i="86"/>
  <c r="B211" i="21"/>
  <c r="V210" i="21"/>
  <c r="B239" i="77"/>
  <c r="H238" i="77"/>
  <c r="J82" i="86" l="1"/>
  <c r="M81" i="86"/>
  <c r="B240" i="77"/>
  <c r="H239" i="77"/>
  <c r="B212" i="21"/>
  <c r="V211" i="21"/>
  <c r="J83" i="86" l="1"/>
  <c r="M82" i="86"/>
  <c r="B213" i="21"/>
  <c r="V212" i="21"/>
  <c r="B241" i="77"/>
  <c r="H240" i="77"/>
  <c r="J84" i="86" l="1"/>
  <c r="M83" i="86"/>
  <c r="B242" i="77"/>
  <c r="H241" i="77"/>
  <c r="B214" i="21"/>
  <c r="V213" i="21"/>
  <c r="J85" i="86" l="1"/>
  <c r="M84" i="86"/>
  <c r="B215" i="21"/>
  <c r="V214" i="21"/>
  <c r="B243" i="77"/>
  <c r="H242" i="77"/>
  <c r="J86" i="86" l="1"/>
  <c r="M85" i="86"/>
  <c r="B244" i="77"/>
  <c r="H243" i="77"/>
  <c r="B216" i="21"/>
  <c r="V215" i="21"/>
  <c r="J87" i="86" l="1"/>
  <c r="M86" i="86"/>
  <c r="B217" i="21"/>
  <c r="V216" i="21"/>
  <c r="B245" i="77"/>
  <c r="H244" i="77"/>
  <c r="J88" i="86" l="1"/>
  <c r="M87" i="86"/>
  <c r="B246" i="77"/>
  <c r="H245" i="77"/>
  <c r="B218" i="21"/>
  <c r="V217" i="21"/>
  <c r="J89" i="86" l="1"/>
  <c r="M88" i="86"/>
  <c r="B219" i="21"/>
  <c r="V218" i="21"/>
  <c r="B247" i="77"/>
  <c r="H246" i="77"/>
  <c r="J90" i="86" l="1"/>
  <c r="M89" i="86"/>
  <c r="B248" i="77"/>
  <c r="H247" i="77"/>
  <c r="B220" i="21"/>
  <c r="V219" i="21"/>
  <c r="J91" i="86" l="1"/>
  <c r="M90" i="86"/>
  <c r="B221" i="21"/>
  <c r="V220" i="21"/>
  <c r="B249" i="77"/>
  <c r="H248" i="77"/>
  <c r="J92" i="86" l="1"/>
  <c r="M91" i="86"/>
  <c r="B250" i="77"/>
  <c r="H249" i="77"/>
  <c r="B222" i="21"/>
  <c r="V221" i="21"/>
  <c r="J93" i="86" l="1"/>
  <c r="M92" i="86"/>
  <c r="B223" i="21"/>
  <c r="V222" i="21"/>
  <c r="B251" i="77"/>
  <c r="H250" i="77"/>
  <c r="J94" i="86" l="1"/>
  <c r="M93" i="86"/>
  <c r="B252" i="77"/>
  <c r="H251" i="77"/>
  <c r="B224" i="21"/>
  <c r="V223" i="21"/>
  <c r="J95" i="86" l="1"/>
  <c r="M94" i="86"/>
  <c r="B225" i="21"/>
  <c r="V224" i="21"/>
  <c r="B253" i="77"/>
  <c r="H252" i="77"/>
  <c r="J96" i="86" l="1"/>
  <c r="M95" i="86"/>
  <c r="B226" i="21"/>
  <c r="V225" i="21"/>
  <c r="B254" i="77"/>
  <c r="H253" i="77"/>
  <c r="J97" i="86" l="1"/>
  <c r="M96" i="86"/>
  <c r="B255" i="77"/>
  <c r="H254" i="77"/>
  <c r="B227" i="21"/>
  <c r="V226" i="21"/>
  <c r="J98" i="86" l="1"/>
  <c r="M97" i="86"/>
  <c r="B228" i="21"/>
  <c r="V227" i="21"/>
  <c r="H255" i="77"/>
  <c r="J99" i="86" l="1"/>
  <c r="M98" i="86"/>
  <c r="B229" i="21"/>
  <c r="V228" i="21"/>
  <c r="J100" i="86" l="1"/>
  <c r="M99" i="86"/>
  <c r="B230" i="21"/>
  <c r="V229" i="21"/>
  <c r="J101" i="86" l="1"/>
  <c r="M100" i="86"/>
  <c r="B231" i="21"/>
  <c r="V230" i="21"/>
  <c r="J102" i="86" l="1"/>
  <c r="B232" i="21"/>
  <c r="V231" i="21"/>
  <c r="J103" i="86" l="1"/>
  <c r="B233" i="21"/>
  <c r="V232" i="21"/>
  <c r="J104" i="86" l="1"/>
  <c r="B234" i="21"/>
  <c r="V233" i="21"/>
  <c r="J105" i="86" l="1"/>
  <c r="B235" i="21"/>
  <c r="V234" i="21"/>
  <c r="J106" i="86" l="1"/>
  <c r="B236" i="21"/>
  <c r="V235" i="21"/>
  <c r="J107" i="86" l="1"/>
  <c r="B237" i="21"/>
  <c r="V236" i="21"/>
  <c r="J108" i="86" l="1"/>
  <c r="B238" i="21"/>
  <c r="V237" i="21"/>
  <c r="J109" i="86" l="1"/>
  <c r="B239" i="21"/>
  <c r="V238" i="21"/>
  <c r="J110" i="86" l="1"/>
  <c r="B240" i="21"/>
  <c r="V239" i="21"/>
  <c r="J111" i="86" l="1"/>
  <c r="B241" i="21"/>
  <c r="V240" i="21"/>
  <c r="J112" i="86" l="1"/>
  <c r="B242" i="21"/>
  <c r="V241" i="21"/>
  <c r="J113" i="86" l="1"/>
  <c r="B243" i="21"/>
  <c r="V242" i="21"/>
  <c r="J114" i="86" l="1"/>
  <c r="B244" i="21"/>
  <c r="V243" i="21"/>
  <c r="J115" i="86" l="1"/>
  <c r="B245" i="21"/>
  <c r="V244" i="21"/>
  <c r="H134" i="77" l="1"/>
  <c r="V101" i="86" s="1"/>
  <c r="V123" i="86" s="1"/>
  <c r="F101" i="86"/>
  <c r="I101" i="86" s="1"/>
  <c r="B256" i="77"/>
  <c r="J116" i="86"/>
  <c r="B246" i="21"/>
  <c r="V245" i="21"/>
  <c r="I123" i="86" l="1"/>
  <c r="F123" i="86"/>
  <c r="B257" i="77"/>
  <c r="H256" i="77"/>
  <c r="T101" i="86"/>
  <c r="T123" i="86" s="1"/>
  <c r="AU101" i="86"/>
  <c r="AU102" i="86" s="1"/>
  <c r="AU103" i="86" s="1"/>
  <c r="AU104" i="86" s="1"/>
  <c r="AU105" i="86" s="1"/>
  <c r="AU106" i="86" s="1"/>
  <c r="AU107" i="86" s="1"/>
  <c r="AU108" i="86" s="1"/>
  <c r="AU109" i="86" s="1"/>
  <c r="AU110" i="86" s="1"/>
  <c r="AU111" i="86" s="1"/>
  <c r="AU112" i="86" s="1"/>
  <c r="AU113" i="86" s="1"/>
  <c r="AU114" i="86" s="1"/>
  <c r="AU115" i="86" s="1"/>
  <c r="AU116" i="86" s="1"/>
  <c r="AU117" i="86" s="1"/>
  <c r="AU118" i="86" s="1"/>
  <c r="AU119" i="86" s="1"/>
  <c r="AU120" i="86" s="1"/>
  <c r="AU121" i="86" s="1"/>
  <c r="J117" i="86"/>
  <c r="B247" i="21"/>
  <c r="V246" i="21"/>
  <c r="K101" i="86" l="1"/>
  <c r="K102" i="86" s="1"/>
  <c r="L101" i="86"/>
  <c r="L123" i="86" s="1"/>
  <c r="BF101" i="86"/>
  <c r="BF102" i="86" s="1"/>
  <c r="BF103" i="86" s="1"/>
  <c r="BF104" i="86" s="1"/>
  <c r="BF105" i="86" s="1"/>
  <c r="BF106" i="86" s="1"/>
  <c r="BF107" i="86" s="1"/>
  <c r="BF108" i="86" s="1"/>
  <c r="BF109" i="86" s="1"/>
  <c r="BF110" i="86" s="1"/>
  <c r="BF111" i="86" s="1"/>
  <c r="BF112" i="86" s="1"/>
  <c r="BF113" i="86" s="1"/>
  <c r="BF114" i="86" s="1"/>
  <c r="BF115" i="86" s="1"/>
  <c r="BF116" i="86" s="1"/>
  <c r="BF117" i="86" s="1"/>
  <c r="BF118" i="86" s="1"/>
  <c r="BF119" i="86" s="1"/>
  <c r="BF120" i="86" s="1"/>
  <c r="BF121" i="86" s="1"/>
  <c r="N101" i="86"/>
  <c r="AF123" i="86"/>
  <c r="B258" i="77"/>
  <c r="H257" i="77"/>
  <c r="J118" i="86"/>
  <c r="B248" i="21"/>
  <c r="V247" i="21"/>
  <c r="O101" i="86" l="1"/>
  <c r="O102" i="86" s="1"/>
  <c r="O103" i="86" s="1"/>
  <c r="O104" i="86" s="1"/>
  <c r="O105" i="86" s="1"/>
  <c r="O106" i="86" s="1"/>
  <c r="O107" i="86" s="1"/>
  <c r="O108" i="86" s="1"/>
  <c r="O109" i="86" s="1"/>
  <c r="O110" i="86" s="1"/>
  <c r="O111" i="86" s="1"/>
  <c r="O112" i="86" s="1"/>
  <c r="O113" i="86" s="1"/>
  <c r="O114" i="86" s="1"/>
  <c r="O115" i="86" s="1"/>
  <c r="O116" i="86" s="1"/>
  <c r="O117" i="86" s="1"/>
  <c r="O118" i="86" s="1"/>
  <c r="O119" i="86" s="1"/>
  <c r="O120" i="86" s="1"/>
  <c r="O121" i="86" s="1"/>
  <c r="N123" i="86"/>
  <c r="M101" i="86"/>
  <c r="H258" i="77"/>
  <c r="B259" i="77"/>
  <c r="K103" i="86"/>
  <c r="M102" i="86"/>
  <c r="J119" i="86"/>
  <c r="B249" i="21"/>
  <c r="V249" i="21" s="1"/>
  <c r="V248" i="21"/>
  <c r="O123" i="86" l="1"/>
  <c r="K104" i="86"/>
  <c r="M103" i="86"/>
  <c r="B260" i="77"/>
  <c r="H259" i="77"/>
  <c r="J120" i="86"/>
  <c r="B261" i="77" l="1"/>
  <c r="H260" i="77"/>
  <c r="K105" i="86"/>
  <c r="M104" i="86"/>
  <c r="J121" i="86"/>
  <c r="J123" i="86" s="1"/>
  <c r="K106" i="86" l="1"/>
  <c r="M105" i="86"/>
  <c r="B262" i="77"/>
  <c r="H261" i="77"/>
  <c r="H262" i="77" l="1"/>
  <c r="B263" i="77"/>
  <c r="K107" i="86"/>
  <c r="M106" i="86"/>
  <c r="K108" i="86" l="1"/>
  <c r="M107" i="86"/>
  <c r="H263" i="77"/>
  <c r="B264" i="77"/>
  <c r="B265" i="77" l="1"/>
  <c r="H264" i="77"/>
  <c r="K109" i="86"/>
  <c r="M108" i="86"/>
  <c r="K110" i="86" l="1"/>
  <c r="M109" i="86"/>
  <c r="B266" i="77"/>
  <c r="H265" i="77"/>
  <c r="H266" i="77" l="1"/>
  <c r="B267" i="77"/>
  <c r="K111" i="86"/>
  <c r="M110" i="86"/>
  <c r="K112" i="86" l="1"/>
  <c r="M111" i="86"/>
  <c r="H267" i="77"/>
  <c r="B268" i="77"/>
  <c r="B269" i="77" l="1"/>
  <c r="H268" i="77"/>
  <c r="K113" i="86"/>
  <c r="M112" i="86"/>
  <c r="K114" i="86" l="1"/>
  <c r="M113" i="86"/>
  <c r="B270" i="77"/>
  <c r="H269" i="77"/>
  <c r="H270" i="77" l="1"/>
  <c r="B271" i="77"/>
  <c r="K115" i="86"/>
  <c r="M114" i="86"/>
  <c r="B272" i="77" l="1"/>
  <c r="H271" i="77"/>
  <c r="K116" i="86"/>
  <c r="M115" i="86"/>
  <c r="K117" i="86" l="1"/>
  <c r="M116" i="86"/>
  <c r="H272" i="77"/>
  <c r="B273" i="77"/>
  <c r="H273" i="77" l="1"/>
  <c r="B274" i="77"/>
  <c r="K118" i="86"/>
  <c r="M117" i="86"/>
  <c r="K119" i="86" l="1"/>
  <c r="M118" i="86"/>
  <c r="B275" i="77"/>
  <c r="H274" i="77"/>
  <c r="B276" i="77" l="1"/>
  <c r="H276" i="77" s="1"/>
  <c r="H275" i="77"/>
  <c r="K120" i="86"/>
  <c r="M119" i="86"/>
  <c r="K121" i="86" l="1"/>
  <c r="M120" i="86"/>
  <c r="K123" i="86" l="1"/>
  <c r="M121" i="86"/>
  <c r="M123" i="86" s="1"/>
  <c r="K8" i="87" l="1"/>
  <c r="C144" i="61" s="1"/>
  <c r="D47" i="66" l="1"/>
  <c r="E47" i="66"/>
  <c r="B138" i="68"/>
  <c r="C34" i="23"/>
  <c r="C138" i="68"/>
  <c r="B40" i="64"/>
  <c r="B47" i="66"/>
  <c r="C47" i="66"/>
  <c r="B38" i="62"/>
  <c r="C33" i="23"/>
  <c r="C29" i="64"/>
  <c r="D138" i="68"/>
  <c r="B24" i="62"/>
  <c r="E138" i="68"/>
  <c r="D29" i="64"/>
  <c r="F144" i="61"/>
  <c r="B29" i="64"/>
  <c r="D144" i="61"/>
  <c r="C40" i="64"/>
  <c r="C38" i="62"/>
  <c r="C54" i="62"/>
  <c r="F138" i="68"/>
  <c r="C24" i="62"/>
  <c r="B54" i="62"/>
  <c r="E144" i="61"/>
  <c r="B144" i="61"/>
  <c r="C31" i="23" l="1"/>
  <c r="C24" i="23"/>
  <c r="C28" i="23"/>
  <c r="C29" i="23"/>
  <c r="C25" i="23"/>
  <c r="C32" i="23"/>
  <c r="C30" i="23"/>
  <c r="C27" i="23"/>
</calcChain>
</file>

<file path=xl/comments1.xml><?xml version="1.0" encoding="utf-8"?>
<comments xmlns="http://schemas.openxmlformats.org/spreadsheetml/2006/main">
  <authors>
    <author>Robin Underwood</author>
  </authors>
  <commentList>
    <comment ref="K8" authorId="0">
      <text>
        <r>
          <rPr>
            <b/>
            <sz val="12"/>
            <color indexed="81"/>
            <rFont val="Tahoma"/>
            <family val="2"/>
          </rPr>
          <t>Robin Underwood:</t>
        </r>
        <r>
          <rPr>
            <sz val="12"/>
            <color indexed="81"/>
            <rFont val="Tahoma"/>
            <family val="2"/>
          </rPr>
          <t xml:space="preserve">
End of contract date, ensure fuel and electric future data has been input</t>
        </r>
      </text>
    </comment>
  </commentList>
</comments>
</file>

<file path=xl/comments10.xml><?xml version="1.0" encoding="utf-8"?>
<comments xmlns="http://schemas.openxmlformats.org/spreadsheetml/2006/main">
  <authors>
    <author>Robin Underwood</author>
    <author>Navid Hojjati</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K23" authorId="1">
      <text>
        <r>
          <rPr>
            <b/>
            <sz val="16"/>
            <color indexed="81"/>
            <rFont val="Tahoma"/>
            <family val="2"/>
          </rPr>
          <t>Navid Hojjati:</t>
        </r>
        <r>
          <rPr>
            <sz val="16"/>
            <color indexed="81"/>
            <rFont val="Tahoma"/>
            <family val="2"/>
          </rPr>
          <t xml:space="preserve">
This figures are updated based on the percentage entered in the Data Entry Fuel tab.</t>
        </r>
      </text>
    </comment>
  </commentList>
</comments>
</file>

<file path=xl/comments11.xml><?xml version="1.0" encoding="utf-8"?>
<comments xmlns="http://schemas.openxmlformats.org/spreadsheetml/2006/main">
  <authors>
    <author>Navid Hojjati</author>
  </authors>
  <commentList>
    <comment ref="I3" authorId="0">
      <text>
        <r>
          <rPr>
            <b/>
            <sz val="8"/>
            <color indexed="81"/>
            <rFont val="Tahoma"/>
            <family val="2"/>
          </rPr>
          <t>If you want to report on a specific biodiesel blend of Z% , please enter the Z% here.
Then conversion factor is calculated as follows:
 M = 100% mineral diesel conversion factor
 B = 100% biodiesel conversion factor 
Z% biodiesel blend conversion factor = [Z% x B] + [(1-Z%) x M]</t>
        </r>
      </text>
    </comment>
  </commentList>
</comments>
</file>

<file path=xl/comments12.xml><?xml version="1.0" encoding="utf-8"?>
<comments xmlns="http://schemas.openxmlformats.org/spreadsheetml/2006/main">
  <authors>
    <author>Duncan Fraser</author>
    <author>Robin Underwood</author>
    <author>Navid Hojjati</author>
  </authors>
  <commentList>
    <comment ref="D2" authorId="0">
      <text>
        <r>
          <rPr>
            <b/>
            <sz val="10"/>
            <color indexed="81"/>
            <rFont val="Arial"/>
            <family val="2"/>
          </rPr>
          <t xml:space="preserve">Duncan Fraser:
Currently onsite renewables are counted as electricity generated and therfore has the UK electricity generated (Scope 2) GHG factor applied to them </t>
        </r>
      </text>
    </comment>
    <comment ref="E2" authorId="0">
      <text>
        <r>
          <rPr>
            <b/>
            <sz val="10"/>
            <color indexed="81"/>
            <rFont val="Arial"/>
            <family val="2"/>
          </rPr>
          <t xml:space="preserve">Duncan Fraser:
Quality CHP is counted as electricity generated and therefore has the UK electricity generated (Scope 2) GHG factor applied to them </t>
        </r>
      </text>
    </comment>
    <comment ref="F2" authorId="1">
      <text>
        <r>
          <rPr>
            <b/>
            <sz val="8"/>
            <color indexed="81"/>
            <rFont val="Tahoma"/>
            <family val="2"/>
          </rPr>
          <t>Robin Underwood:</t>
        </r>
        <r>
          <rPr>
            <sz val="8"/>
            <color indexed="81"/>
            <rFont val="Tahoma"/>
            <family val="2"/>
          </rPr>
          <t xml:space="preserve">
This is used for site office calculations only
</t>
        </r>
      </text>
    </comment>
    <comment ref="C3" authorId="2">
      <text>
        <r>
          <rPr>
            <b/>
            <sz val="8"/>
            <color indexed="81"/>
            <rFont val="Tahoma"/>
            <family val="2"/>
          </rPr>
          <t>Navid Hojjati:</t>
        </r>
        <r>
          <rPr>
            <sz val="8"/>
            <color indexed="81"/>
            <rFont val="Tahoma"/>
            <family val="2"/>
          </rPr>
          <t xml:space="preserve">
Please select your energy provider's name from the drop down menu</t>
        </r>
      </text>
    </comment>
    <comment ref="N3" authorId="0">
      <text>
        <r>
          <rPr>
            <b/>
            <sz val="10"/>
            <color indexed="81"/>
            <rFont val="Arial"/>
            <family val="2"/>
          </rPr>
          <t xml:space="preserve">Duncan Fraser:
Currently onsite renewables are counted as electricity generated and therfore has the UK electricity generated (Scope 2) GHG factor applied to them </t>
        </r>
      </text>
    </comment>
    <comment ref="O3" authorId="0">
      <text>
        <r>
          <rPr>
            <b/>
            <sz val="10"/>
            <color indexed="81"/>
            <rFont val="Arial"/>
            <family val="2"/>
          </rPr>
          <t xml:space="preserve">Duncan Fraser:
Quality CHP is counted as electricity generated and therefore has the UK electricity generated (Scope 2) GHG factor applied to them </t>
        </r>
      </text>
    </comment>
  </commentList>
</comments>
</file>

<file path=xl/comments2.xml><?xml version="1.0" encoding="utf-8"?>
<comments xmlns="http://schemas.openxmlformats.org/spreadsheetml/2006/main">
  <authors>
    <author>Robin Underwood</author>
  </authors>
  <commentList>
    <comment ref="D22" authorId="0">
      <text>
        <r>
          <rPr>
            <b/>
            <sz val="11"/>
            <color indexed="81"/>
            <rFont val="Tahoma"/>
            <family val="2"/>
          </rPr>
          <t>Robin Underwood:</t>
        </r>
        <r>
          <rPr>
            <sz val="11"/>
            <color indexed="81"/>
            <rFont val="Tahoma"/>
            <family val="2"/>
          </rPr>
          <t xml:space="preserve">
A field is consider a piece of equipment or office building (its 1  column in data entry). Please note this excludes electricity or fuel data entry</t>
        </r>
      </text>
    </comment>
    <comment ref="G22" authorId="0">
      <text>
        <r>
          <rPr>
            <b/>
            <sz val="11"/>
            <color indexed="81"/>
            <rFont val="Tahoma"/>
            <family val="2"/>
          </rPr>
          <t>Robin Underwood:</t>
        </r>
        <r>
          <rPr>
            <sz val="11"/>
            <color indexed="81"/>
            <rFont val="Tahoma"/>
            <family val="2"/>
          </rPr>
          <t xml:space="preserve">
Please note that the errors should be highlighted in red on the appropriate spreadsheet.</t>
        </r>
      </text>
    </comment>
  </commentList>
</comments>
</file>

<file path=xl/comments3.xml><?xml version="1.0" encoding="utf-8"?>
<comments xmlns="http://schemas.openxmlformats.org/spreadsheetml/2006/main">
  <authors>
    <author>Navid Hojjati</author>
  </authors>
  <commentList>
    <comment ref="D4" authorId="0">
      <text>
        <r>
          <rPr>
            <b/>
            <sz val="18"/>
            <color indexed="81"/>
            <rFont val="Tahoma"/>
            <family val="2"/>
          </rPr>
          <t>Navid Hojjati:</t>
        </r>
        <r>
          <rPr>
            <sz val="18"/>
            <color indexed="81"/>
            <rFont val="Tahoma"/>
            <family val="2"/>
          </rPr>
          <t xml:space="preserve">
This is calculated base on Green tariff GHG (if applicable.)</t>
        </r>
      </text>
    </comment>
    <comment ref="E4" authorId="0">
      <text>
        <r>
          <rPr>
            <b/>
            <sz val="18"/>
            <color indexed="81"/>
            <rFont val="Tahoma"/>
            <family val="2"/>
          </rPr>
          <t>Navid Hojjati:</t>
        </r>
        <r>
          <rPr>
            <sz val="18"/>
            <color indexed="81"/>
            <rFont val="Tahoma"/>
            <family val="2"/>
          </rPr>
          <t xml:space="preserve">
This is calculated based on Normal GHG regardless of the tariff contractors are on.</t>
        </r>
      </text>
    </comment>
  </commentList>
</comments>
</file>

<file path=xl/comments4.xml><?xml version="1.0" encoding="utf-8"?>
<comments xmlns="http://schemas.openxmlformats.org/spreadsheetml/2006/main">
  <authors>
    <author>Robin Underwood</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9" authorId="0">
      <text>
        <r>
          <rPr>
            <b/>
            <sz val="11"/>
            <color indexed="81"/>
            <rFont val="Tahoma"/>
            <family val="2"/>
          </rPr>
          <t xml:space="preserve">Robin Underwood:
</t>
        </r>
        <r>
          <rPr>
            <sz val="11"/>
            <color indexed="81"/>
            <rFont val="Tahoma"/>
            <family val="2"/>
          </rPr>
          <t xml:space="preserve">If both boxes suddenly become red, it means they need to be filled. Once filled correctly red will disapear.
</t>
        </r>
        <r>
          <rPr>
            <b/>
            <sz val="11"/>
            <color indexed="81"/>
            <rFont val="Tahoma"/>
            <family val="2"/>
          </rPr>
          <t>Please total all of the fuel tank capacities on site together.</t>
        </r>
      </text>
    </comment>
    <comment ref="A10" authorId="0">
      <text>
        <r>
          <rPr>
            <b/>
            <sz val="11"/>
            <color indexed="81"/>
            <rFont val="Arial"/>
            <family val="2"/>
          </rPr>
          <t>Robin Underwood:</t>
        </r>
        <r>
          <rPr>
            <sz val="11"/>
            <color indexed="81"/>
            <rFont val="Arial"/>
            <family val="2"/>
          </rPr>
          <t xml:space="preserve">
Please total all of the fuel tank capacities on site together.</t>
        </r>
      </text>
    </comment>
    <comment ref="A17" authorId="0">
      <text>
        <r>
          <rPr>
            <b/>
            <sz val="11"/>
            <color indexed="81"/>
            <rFont val="Tahoma"/>
            <family val="2"/>
          </rPr>
          <t>Robin Underwood:</t>
        </r>
        <r>
          <rPr>
            <sz val="11"/>
            <color indexed="81"/>
            <rFont val="Tahoma"/>
            <family val="2"/>
          </rPr>
          <t xml:space="preserve">
Cell will go red if there is no data added for the 'Data Entry Fuel' tab on or before this period</t>
        </r>
      </text>
    </comment>
    <comment ref="A22" authorId="0">
      <text>
        <r>
          <rPr>
            <b/>
            <sz val="11"/>
            <color indexed="81"/>
            <rFont val="Tahoma"/>
            <family val="2"/>
          </rPr>
          <t>Robin Underwood:</t>
        </r>
        <r>
          <rPr>
            <sz val="11"/>
            <color indexed="81"/>
            <rFont val="Tahoma"/>
            <family val="2"/>
          </rPr>
          <t xml:space="preserve">
If the fuel type suddenly turns red during data entry, it means that you have not input any fuel of this type in the 'Data Entry Fuel' tab yet.
If it is still red after you have entered all the data in the 'Data Entry Fuel' tab then you have not specified the correct fuel.
NOTE: if you are using a specific blend of biodiesel, please choose “biodiesel 100%” you will then have the opportunity to enter your specific blend percentage in the “Data Entry Fuel” tab cell I3. 
</t>
        </r>
      </text>
    </comment>
  </commentList>
</comments>
</file>

<file path=xl/comments5.xml><?xml version="1.0" encoding="utf-8"?>
<comments xmlns="http://schemas.openxmlformats.org/spreadsheetml/2006/main">
  <authors>
    <author>Robin Underwood</author>
    <author>Duncan Fraser</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15" authorId="0">
      <text>
        <r>
          <rPr>
            <b/>
            <sz val="8"/>
            <color indexed="81"/>
            <rFont val="Tahoma"/>
            <family val="2"/>
          </rPr>
          <t>Robin Underwood:</t>
        </r>
        <r>
          <rPr>
            <sz val="8"/>
            <color indexed="81"/>
            <rFont val="Tahoma"/>
            <family val="2"/>
          </rPr>
          <t xml:space="preserve">
Providing the EPC only needs to be done once, after this energy savings can be calimed without providing EPC again </t>
        </r>
      </text>
    </comment>
    <comment ref="A19" authorId="1">
      <text>
        <r>
          <rPr>
            <b/>
            <sz val="11"/>
            <color indexed="81"/>
            <rFont val="Tahoma"/>
            <family val="2"/>
          </rPr>
          <t>Duncan Fraser:</t>
        </r>
        <r>
          <rPr>
            <sz val="11"/>
            <color indexed="81"/>
            <rFont val="Tahoma"/>
            <family val="2"/>
          </rPr>
          <t xml:space="preserve">
If all of your site/contract/project electricity consumption is consumed by your site office then enter 100%
If a proportion of your total electricity consumption is consumed by your site office then enter the % proportion of electricity consumption that IS consumed by your site office. For example, if half your electricity consumption is consumed by your site office then enter 50%</t>
        </r>
      </text>
    </comment>
  </commentList>
</comments>
</file>

<file path=xl/comments6.xml><?xml version="1.0" encoding="utf-8"?>
<comments xmlns="http://schemas.openxmlformats.org/spreadsheetml/2006/main">
  <authors>
    <author>Robin Underwood</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List>
</comments>
</file>

<file path=xl/comments7.xml><?xml version="1.0" encoding="utf-8"?>
<comments xmlns="http://schemas.openxmlformats.org/spreadsheetml/2006/main">
  <authors>
    <author>Robin Underwood</author>
    <author>Roma Gore</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10" authorId="1">
      <text>
        <r>
          <rPr>
            <b/>
            <sz val="12"/>
            <color indexed="81"/>
            <rFont val="Tahoma"/>
            <family val="2"/>
          </rPr>
          <t>Roma Gore:</t>
        </r>
        <r>
          <rPr>
            <sz val="12"/>
            <color indexed="81"/>
            <rFont val="Tahoma"/>
            <family val="2"/>
          </rPr>
          <t xml:space="preserve">
if multiple types/watt of lights are used fill in new columns</t>
        </r>
        <r>
          <rPr>
            <sz val="8"/>
            <color indexed="81"/>
            <rFont val="Tahoma"/>
            <family val="2"/>
          </rPr>
          <t xml:space="preserve">
</t>
        </r>
      </text>
    </comment>
    <comment ref="A32" authorId="1">
      <text>
        <r>
          <rPr>
            <b/>
            <sz val="12"/>
            <color indexed="81"/>
            <rFont val="Tahoma"/>
            <family val="2"/>
          </rPr>
          <t xml:space="preserve">Roma Gore:
</t>
        </r>
        <r>
          <rPr>
            <sz val="12"/>
            <color indexed="81"/>
            <rFont val="Tahoma"/>
            <family val="2"/>
          </rPr>
          <t xml:space="preserve">Get this information from your site electrician/ supplier of PIR sensors
</t>
        </r>
      </text>
    </comment>
    <comment ref="A41" authorId="1">
      <text>
        <r>
          <rPr>
            <b/>
            <sz val="12"/>
            <color indexed="81"/>
            <rFont val="Tahoma"/>
            <family val="2"/>
          </rPr>
          <t>Roma Gore:</t>
        </r>
        <r>
          <rPr>
            <sz val="12"/>
            <color indexed="81"/>
            <rFont val="Tahoma"/>
            <family val="2"/>
          </rPr>
          <t xml:space="preserve">
Fill in new columns for different types of lighting tower</t>
        </r>
      </text>
    </comment>
    <comment ref="A46" authorId="0">
      <text>
        <r>
          <rPr>
            <b/>
            <sz val="11"/>
            <color indexed="81"/>
            <rFont val="Tahoma"/>
            <family val="2"/>
          </rPr>
          <t>Robin Underwood:</t>
        </r>
        <r>
          <rPr>
            <sz val="11"/>
            <color indexed="81"/>
            <rFont val="Tahoma"/>
            <family val="2"/>
          </rPr>
          <t xml:space="preserve">
If the fuel type suddenly turns red during data entry, it means that you have not input any fuel of this type in the 'Data Entry Fuel' tab yet.
If it is still red after you have entered all the data in the 'Data Entry Fuel' tab then you have not specified the correct fuel.</t>
        </r>
      </text>
    </comment>
  </commentList>
</comments>
</file>

<file path=xl/comments8.xml><?xml version="1.0" encoding="utf-8"?>
<comments xmlns="http://schemas.openxmlformats.org/spreadsheetml/2006/main">
  <authors>
    <author>Roma Gore</author>
  </authors>
  <commentList>
    <comment ref="A2" authorId="0">
      <text>
        <r>
          <rPr>
            <b/>
            <sz val="8"/>
            <color indexed="81"/>
            <rFont val="Tahoma"/>
            <family val="2"/>
          </rPr>
          <t>Roma Gore:</t>
        </r>
        <r>
          <rPr>
            <sz val="8"/>
            <color indexed="81"/>
            <rFont val="Tahoma"/>
            <family val="2"/>
          </rPr>
          <t xml:space="preserve">
http://www.therichworks.co.uk/more_info.asp?current_id=2132 </t>
        </r>
      </text>
    </comment>
  </commentList>
</comments>
</file>

<file path=xl/comments9.xml><?xml version="1.0" encoding="utf-8"?>
<comments xmlns="http://schemas.openxmlformats.org/spreadsheetml/2006/main">
  <authors>
    <author>Robin Underwood</author>
    <author>Roma Gore</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B11" authorId="1">
      <text>
        <r>
          <rPr>
            <b/>
            <sz val="12"/>
            <color indexed="81"/>
            <rFont val="Tahoma"/>
            <family val="2"/>
          </rPr>
          <t>Roma Gore:</t>
        </r>
        <r>
          <rPr>
            <sz val="12"/>
            <color indexed="81"/>
            <rFont val="Tahoma"/>
            <family val="2"/>
          </rPr>
          <t xml:space="preserve">
Switch it off campaign</t>
        </r>
      </text>
    </comment>
    <comment ref="B16" authorId="1">
      <text>
        <r>
          <rPr>
            <b/>
            <sz val="12"/>
            <color indexed="81"/>
            <rFont val="Tahoma"/>
            <family val="2"/>
          </rPr>
          <t>Roma Gore:</t>
        </r>
        <r>
          <rPr>
            <sz val="12"/>
            <color indexed="81"/>
            <rFont val="Tahoma"/>
            <family val="2"/>
          </rPr>
          <t xml:space="preserve">
Switch it off campaign</t>
        </r>
      </text>
    </comment>
    <comment ref="B21" authorId="1">
      <text>
        <r>
          <rPr>
            <b/>
            <sz val="12"/>
            <color indexed="81"/>
            <rFont val="Tahoma"/>
            <family val="2"/>
          </rPr>
          <t>Roma Gore:</t>
        </r>
        <r>
          <rPr>
            <sz val="12"/>
            <color indexed="81"/>
            <rFont val="Tahoma"/>
            <family val="2"/>
          </rPr>
          <t xml:space="preserve">
Encourage double sided printing, and encourage reuse of paper</t>
        </r>
      </text>
    </comment>
  </commentList>
</comments>
</file>

<file path=xl/sharedStrings.xml><?xml version="1.0" encoding="utf-8"?>
<sst xmlns="http://schemas.openxmlformats.org/spreadsheetml/2006/main" count="3806" uniqueCount="1128">
  <si>
    <t>2011/12-P10</t>
  </si>
  <si>
    <t>2011/12-P11</t>
  </si>
  <si>
    <t>2011/12-P12</t>
  </si>
  <si>
    <t>2011/12-P13</t>
  </si>
  <si>
    <t>2012/13-P10</t>
  </si>
  <si>
    <t>2012/13-P11</t>
  </si>
  <si>
    <t>2012/13-P12</t>
  </si>
  <si>
    <t>2012/13-P13</t>
  </si>
  <si>
    <t>2013/14-P10</t>
  </si>
  <si>
    <t>2013/14-P11</t>
  </si>
  <si>
    <t>2013/14-P12</t>
  </si>
  <si>
    <t>2013/14-P13</t>
  </si>
  <si>
    <t>2014/15-P10</t>
  </si>
  <si>
    <t>2014/15-P11</t>
  </si>
  <si>
    <t>2014/15-P12</t>
  </si>
  <si>
    <t>2014/15-P13</t>
  </si>
  <si>
    <t>2015/16-P10</t>
  </si>
  <si>
    <t>2015/16-P11</t>
  </si>
  <si>
    <t>2015/16-P12</t>
  </si>
  <si>
    <t>2015/16-P13</t>
  </si>
  <si>
    <t>2016/17-P10</t>
  </si>
  <si>
    <t>2016/17-P11</t>
  </si>
  <si>
    <t>2016/17-P12</t>
  </si>
  <si>
    <t>2016/17-P13</t>
  </si>
  <si>
    <t>2010/11-P13</t>
  </si>
  <si>
    <t>2010/11-P10</t>
  </si>
  <si>
    <t>2010/11-P11</t>
  </si>
  <si>
    <t>2010/11-P12</t>
  </si>
  <si>
    <t>Other fuel value</t>
  </si>
  <si>
    <t>Other fuel value 2</t>
  </si>
  <si>
    <t>Period</t>
  </si>
  <si>
    <t>2010/11-P01</t>
  </si>
  <si>
    <t>2010/11-P02</t>
  </si>
  <si>
    <t>2010/11-P03</t>
  </si>
  <si>
    <t>2010/11-P04</t>
  </si>
  <si>
    <t>2010/11-P05</t>
  </si>
  <si>
    <t>2010/11-P06</t>
  </si>
  <si>
    <t>2010/11-P07</t>
  </si>
  <si>
    <t>2010/11-P08</t>
  </si>
  <si>
    <t>2010/11-P09</t>
  </si>
  <si>
    <t>2011/12-P01</t>
  </si>
  <si>
    <t>2011/12-P02</t>
  </si>
  <si>
    <t>2011/12-P03</t>
  </si>
  <si>
    <t>2011/12-P04</t>
  </si>
  <si>
    <t>2011/12-P05</t>
  </si>
  <si>
    <t>2011/12-P06</t>
  </si>
  <si>
    <t>2011/12-P07</t>
  </si>
  <si>
    <t>2011/12-P08</t>
  </si>
  <si>
    <t>2011/12-P09</t>
  </si>
  <si>
    <t>2012/13-P01</t>
  </si>
  <si>
    <t>2012/13-P02</t>
  </si>
  <si>
    <t>2012/13-P03</t>
  </si>
  <si>
    <t>2012/13-P04</t>
  </si>
  <si>
    <t>2012/13-P05</t>
  </si>
  <si>
    <t>2012/13-P06</t>
  </si>
  <si>
    <t>2012/13-P07</t>
  </si>
  <si>
    <t>2012/13-P08</t>
  </si>
  <si>
    <t>2012/13-P09</t>
  </si>
  <si>
    <t>2013/14-P01</t>
  </si>
  <si>
    <t>2013/14-P02</t>
  </si>
  <si>
    <t>2013/14-P03</t>
  </si>
  <si>
    <t>2013/14-P04</t>
  </si>
  <si>
    <t>2013/14-P05</t>
  </si>
  <si>
    <t>2013/14-P06</t>
  </si>
  <si>
    <t>2013/14-P07</t>
  </si>
  <si>
    <t>2013/14-P08</t>
  </si>
  <si>
    <t>2013/14-P09</t>
  </si>
  <si>
    <t>2014/15-P01</t>
  </si>
  <si>
    <t>2014/15-P02</t>
  </si>
  <si>
    <t>2014/15-P03</t>
  </si>
  <si>
    <t>2014/15-P04</t>
  </si>
  <si>
    <t>2014/15-P05</t>
  </si>
  <si>
    <t>2014/15-P06</t>
  </si>
  <si>
    <t>2014/15-P07</t>
  </si>
  <si>
    <t>2014/15-P08</t>
  </si>
  <si>
    <t>2014/15-P09</t>
  </si>
  <si>
    <t>2015/16-P01</t>
  </si>
  <si>
    <t>2015/16-P02</t>
  </si>
  <si>
    <t>2015/16-P03</t>
  </si>
  <si>
    <t>2015/16-P04</t>
  </si>
  <si>
    <t>2015/16-P05</t>
  </si>
  <si>
    <t>2015/16-P06</t>
  </si>
  <si>
    <t>2015/16-P07</t>
  </si>
  <si>
    <t>2015/16-P08</t>
  </si>
  <si>
    <t>2015/16-P09</t>
  </si>
  <si>
    <t>2016/17-P01</t>
  </si>
  <si>
    <t>2016/17-P02</t>
  </si>
  <si>
    <t>2016/17-P03</t>
  </si>
  <si>
    <t>2016/17-P04</t>
  </si>
  <si>
    <t>2016/17-P05</t>
  </si>
  <si>
    <t>2016/17-P06</t>
  </si>
  <si>
    <t>2016/17-P07</t>
  </si>
  <si>
    <t>2016/17-P08</t>
  </si>
  <si>
    <t>2016/17-P09</t>
  </si>
  <si>
    <t>Diesel (100% mineral diesel)</t>
  </si>
  <si>
    <t>Unit</t>
  </si>
  <si>
    <t>Diesel (average biofuel blend)</t>
  </si>
  <si>
    <t>Gas oil (aka Red diesel)</t>
  </si>
  <si>
    <t>Petrol (average biofuel blend)</t>
  </si>
  <si>
    <t>kg CO2e per litre</t>
  </si>
  <si>
    <t>kg CO2e per kWh</t>
  </si>
  <si>
    <t>UK electricity generated (Scope 2)</t>
  </si>
  <si>
    <t>UK electricity - transmission &amp; distribution (Scope 3)</t>
  </si>
  <si>
    <t>Fuel consumption (litres)</t>
  </si>
  <si>
    <t>Electricity consumption (kWh)</t>
  </si>
  <si>
    <t>LPG</t>
  </si>
  <si>
    <t>Co2e (kg) - Actual fuel consumption</t>
  </si>
  <si>
    <t>Co2e (kg) - Actual electricity consumption</t>
  </si>
  <si>
    <t>Period Co2e (kg) - with savings</t>
  </si>
  <si>
    <t>Period Co2e (kg) - without savings</t>
  </si>
  <si>
    <t>Cumulative CO2e (kg) - with savings</t>
  </si>
  <si>
    <t>Cumulative CO2e (kg) - without savings</t>
  </si>
  <si>
    <t>Total</t>
  </si>
  <si>
    <t>Dates</t>
  </si>
  <si>
    <t>State the contract start period, current period and contract end period. These dates should align with the dates set for the energy baseline and energy percentage reduction. If the dates are not aligned, state both the energy baseline and reduction start and end periods and the contract start and end periods.</t>
  </si>
  <si>
    <t>Start:</t>
  </si>
  <si>
    <t>Current:</t>
  </si>
  <si>
    <t>End:</t>
  </si>
  <si>
    <t>Progress statement</t>
  </si>
  <si>
    <t>Start period</t>
  </si>
  <si>
    <t>End period</t>
  </si>
  <si>
    <t>Quantity of equipment</t>
  </si>
  <si>
    <t>Fuel emissions type</t>
  </si>
  <si>
    <t>CO2 emissions (kg)</t>
  </si>
  <si>
    <t>Name of site office</t>
  </si>
  <si>
    <t>2014/15-Q3</t>
  </si>
  <si>
    <t>Quarter covered by this report (i.e. 2013/14-Q4)</t>
  </si>
  <si>
    <t>State the reason for any significant changes in emissions since previous reporting period (for example scope change, data correction, added/subtracted savings)</t>
  </si>
  <si>
    <t>Include a progress statement on meeting or not meeting the % energy reduction. Include actions taken in the current quarter and actions to be taken in next quarter</t>
  </si>
  <si>
    <t>State exclusions from the emissions scope (fuel, electricity &amp; vehicle movements) and provide justification.</t>
  </si>
  <si>
    <t>Include a list of energy reduction initiatives either implemented or to be implemented here</t>
  </si>
  <si>
    <t>Fuel type</t>
  </si>
  <si>
    <t>Saving-equipment worksheet</t>
  </si>
  <si>
    <t>Name of unit</t>
  </si>
  <si>
    <t>Emission factors
(DEFRA - Government conversion factors for Company Reporting)</t>
  </si>
  <si>
    <t>CO2e emissions</t>
  </si>
  <si>
    <t>Emission savings worksheet</t>
  </si>
  <si>
    <t xml:space="preserve">Password: </t>
  </si>
  <si>
    <t>carbon</t>
  </si>
  <si>
    <t>ENERGY EMISSIONS PERFORMANCE REPORT</t>
  </si>
  <si>
    <t>Total CO2e emissions (kg)</t>
  </si>
  <si>
    <t>This password unlocks protected worksheets and ranges</t>
  </si>
  <si>
    <t>Behaviour Initiatives</t>
  </si>
  <si>
    <t>Initiative Type</t>
  </si>
  <si>
    <t>Office Lighting</t>
  </si>
  <si>
    <t>Computers and monitors</t>
  </si>
  <si>
    <t>Number of employees on site</t>
  </si>
  <si>
    <t>Vehicle Type</t>
  </si>
  <si>
    <t>Classification</t>
  </si>
  <si>
    <t>Total Kms</t>
  </si>
  <si>
    <t>Number of Arrivals at site</t>
  </si>
  <si>
    <t>Average kms per Arrival</t>
  </si>
  <si>
    <t xml:space="preserve">kg CO2e per vehicle km </t>
  </si>
  <si>
    <t>total kg CO2e per Vehicle Type</t>
  </si>
  <si>
    <t>Abnormal Load</t>
  </si>
  <si>
    <t>Abnormal</t>
  </si>
  <si>
    <t>Artic Flatbed</t>
  </si>
  <si>
    <t>Artic</t>
  </si>
  <si>
    <t>Artic Flatbed c/w Hi-Ab</t>
  </si>
  <si>
    <t>Artic Low-loader</t>
  </si>
  <si>
    <t>Artic Other</t>
  </si>
  <si>
    <t>Artic Tanker</t>
  </si>
  <si>
    <t>Artic Tipper</t>
  </si>
  <si>
    <t>Mobile Plant</t>
  </si>
  <si>
    <t>Rigid</t>
  </si>
  <si>
    <t>Rigid Concrete Mixer</t>
  </si>
  <si>
    <t>Rigid Flatbed</t>
  </si>
  <si>
    <t>Rigid Flatbed c/w Hi-Ab</t>
  </si>
  <si>
    <t>Rigid Other</t>
  </si>
  <si>
    <t>Rigid Skip</t>
  </si>
  <si>
    <t>Rigid Tanker</t>
  </si>
  <si>
    <t>Rigid Tipper</t>
  </si>
  <si>
    <t>Road Sweeper</t>
  </si>
  <si>
    <t>Van (Car Derived)</t>
  </si>
  <si>
    <t>Van</t>
  </si>
  <si>
    <t>Van (Minibus)</t>
  </si>
  <si>
    <t>Van (Pick Up)</t>
  </si>
  <si>
    <t>Van (Transit)</t>
  </si>
  <si>
    <t>Van/Pickup</t>
  </si>
  <si>
    <t>All</t>
  </si>
  <si>
    <t>LED Lighting</t>
  </si>
  <si>
    <t>Start Period</t>
  </si>
  <si>
    <t>End Period</t>
  </si>
  <si>
    <t>Start (year)</t>
  </si>
  <si>
    <t>End  (year)</t>
  </si>
  <si>
    <t>http://www.carbontrust.com/resources/tools/empower-savings-calculator</t>
  </si>
  <si>
    <t>Number of bulbs</t>
  </si>
  <si>
    <t>Location</t>
  </si>
  <si>
    <t>Hybrid Lighting Towers</t>
  </si>
  <si>
    <t>Carbon Saving</t>
  </si>
  <si>
    <t>VT Hybrid Tower carbon saving claim</t>
  </si>
  <si>
    <t>· Weekly C02 emissions: 1.09kg (VT1 Eco: 11.55kg)</t>
  </si>
  <si>
    <t>User Guide: Crossrail Energy and Carbon Model</t>
  </si>
  <si>
    <t>Checklist of Information Needed:</t>
  </si>
  <si>
    <t>Paper Recycling &amp; Printing</t>
  </si>
  <si>
    <t>Electricity and Fuel Data</t>
  </si>
  <si>
    <t>Details of Energy Saving Initiatives</t>
  </si>
  <si>
    <t>Project Details</t>
  </si>
  <si>
    <t>Including start and finish dates and a progress statement.</t>
  </si>
  <si>
    <t>What you need to fill in:</t>
  </si>
  <si>
    <t>Report</t>
  </si>
  <si>
    <t>Savings Calculator</t>
  </si>
  <si>
    <t>Date</t>
  </si>
  <si>
    <t>Scope 3 - VMPS Transport</t>
  </si>
  <si>
    <t>Scope 3 - Embodied Emissions</t>
  </si>
  <si>
    <t>Water</t>
  </si>
  <si>
    <t>PIR Lighting Sensors</t>
  </si>
  <si>
    <t>Rain Water Harvester</t>
  </si>
  <si>
    <t>2nd Referee (if applicable)</t>
  </si>
  <si>
    <t>Drop Down Box</t>
  </si>
  <si>
    <t>Manufacturer &amp; Model</t>
  </si>
  <si>
    <t>OR</t>
  </si>
  <si>
    <t>DATA ENTRY FOR FUEL EQUIPMENT</t>
  </si>
  <si>
    <t>VALIDATION FOR FUEL EQUIPMENT</t>
  </si>
  <si>
    <t>Number of hours equipment is on per period</t>
  </si>
  <si>
    <t>Option 1</t>
  </si>
  <si>
    <t>Option 2</t>
  </si>
  <si>
    <t>Option 3</t>
  </si>
  <si>
    <t>Percentage Contribution to End Energy Reduction</t>
  </si>
  <si>
    <t>Natural Gas</t>
  </si>
  <si>
    <t>For Validation of colour of fuel type in Fuel Equipment</t>
  </si>
  <si>
    <t>Percentage Drop Down Box</t>
  </si>
  <si>
    <t>Total (Period)</t>
  </si>
  <si>
    <t>For Date Validation in Fuel Equipment</t>
  </si>
  <si>
    <r>
      <t>Total kg CO</t>
    </r>
    <r>
      <rPr>
        <b/>
        <vertAlign val="subscript"/>
        <sz val="8"/>
        <color theme="1"/>
        <rFont val="Calibri"/>
        <family val="2"/>
        <scheme val="minor"/>
      </rPr>
      <t>2</t>
    </r>
  </si>
  <si>
    <r>
      <t>Total kg CO</t>
    </r>
    <r>
      <rPr>
        <b/>
        <vertAlign val="subscript"/>
        <sz val="11"/>
        <color theme="1"/>
        <rFont val="Calibri"/>
        <family val="2"/>
        <scheme val="minor"/>
      </rPr>
      <t>2</t>
    </r>
  </si>
  <si>
    <t>Fuel Equipment</t>
  </si>
  <si>
    <t>Efficient Site Offices</t>
  </si>
  <si>
    <t>Power Factor Correction</t>
  </si>
  <si>
    <t>Lighting</t>
  </si>
  <si>
    <t>Behaviours</t>
  </si>
  <si>
    <t>Yes</t>
  </si>
  <si>
    <t>No</t>
  </si>
  <si>
    <t>Generator</t>
  </si>
  <si>
    <t>Carbon Saved Per Person (kg CO2)</t>
  </si>
  <si>
    <t>Per year</t>
  </si>
  <si>
    <t>Per Period</t>
  </si>
  <si>
    <t>Drop Down Box For use</t>
  </si>
  <si>
    <t>Contribution to end of contract % energy reduction</t>
  </si>
  <si>
    <t>Spreadsheet Tab</t>
  </si>
  <si>
    <t>Energy Reduction Section</t>
  </si>
  <si>
    <t>VALIDATION FOR BEHAVIOUR INITIATIVES</t>
  </si>
  <si>
    <t>BEHAVIOUR INITIATIVES</t>
  </si>
  <si>
    <t>Data Entry Validation</t>
  </si>
  <si>
    <t>Details of Equipment Incomplete</t>
  </si>
  <si>
    <t># Fields Started</t>
  </si>
  <si>
    <t># Fields Completed</t>
  </si>
  <si>
    <t>A: Produces 1 if it has been started</t>
  </si>
  <si>
    <t>B: Produces 2 if it has been finished</t>
  </si>
  <si>
    <t>A + B</t>
  </si>
  <si>
    <t>LED Lighting Data Entry Validation</t>
  </si>
  <si>
    <t>PIR Lighting Data Entry Validation</t>
  </si>
  <si>
    <t>Hybrid Lighting Towers Data Entry Validation</t>
  </si>
  <si>
    <t>Behaviours Data Entry Validation</t>
  </si>
  <si>
    <t>N/A</t>
  </si>
  <si>
    <t>Water Data Entry Validation</t>
  </si>
  <si>
    <t># Errors</t>
  </si>
  <si>
    <t>Error Checking</t>
  </si>
  <si>
    <t>Space Filler Space Filler Space Filler Space Filler Space Filler Space Filler Space Filler Space Filler Space Filler Space Filler Space Filler Space Filler Space Filler Space Filler Space Filler Space Filler Space Filler</t>
  </si>
  <si>
    <t>Fuel Usage of Efficient Equipment on Site</t>
  </si>
  <si>
    <t>If required have you provided references?</t>
  </si>
  <si>
    <t>Hours</t>
  </si>
  <si>
    <t>Days</t>
  </si>
  <si>
    <t>Ref Check</t>
  </si>
  <si>
    <t>Fuel Check</t>
  </si>
  <si>
    <t>Date Fuel Check</t>
  </si>
  <si>
    <t>Author</t>
  </si>
  <si>
    <t>Tank</t>
  </si>
  <si>
    <t>LED Lighting Error Checking</t>
  </si>
  <si>
    <t>Wattage Comparison</t>
  </si>
  <si>
    <t>Hours per day</t>
  </si>
  <si>
    <t>Days per period</t>
  </si>
  <si>
    <t>PIR Lighting Error Checking</t>
  </si>
  <si>
    <t>Hours (more than 13)</t>
  </si>
  <si>
    <t>K Wattage (0.5 &lt; X , 500)</t>
  </si>
  <si>
    <t>Hybrid Lighting Towers Error Checking</t>
  </si>
  <si>
    <t>Fuel</t>
  </si>
  <si>
    <t>Fuel Date</t>
  </si>
  <si>
    <t>For Validation of colour of fuel type in Hybrid Lighting</t>
  </si>
  <si>
    <t>For Date Validation in Hybrid Lighting</t>
  </si>
  <si>
    <t>Section Empty/Incomplete/Complete</t>
  </si>
  <si>
    <t>Not Required</t>
  </si>
  <si>
    <t>Is the section required</t>
  </si>
  <si>
    <t>Names of Individuals who are:</t>
  </si>
  <si>
    <t>Additional Initiatives</t>
  </si>
  <si>
    <t>Initiative Referencing (where/what calculations have been done)</t>
  </si>
  <si>
    <t>Referencing</t>
  </si>
  <si>
    <t xml:space="preserve">Author </t>
  </si>
  <si>
    <t>Additional Iniatives</t>
  </si>
  <si>
    <t>Type</t>
  </si>
  <si>
    <t>CO2 Values</t>
  </si>
  <si>
    <t>WARNING</t>
  </si>
  <si>
    <t>Unit of measure for data entry</t>
  </si>
  <si>
    <t>Please specify what is being recorded below</t>
  </si>
  <si>
    <t>Equivalent Carbon Dioxide</t>
  </si>
  <si>
    <t>kg</t>
  </si>
  <si>
    <t>l</t>
  </si>
  <si>
    <t>m3</t>
  </si>
  <si>
    <t>kWh</t>
  </si>
  <si>
    <t>Fuel Type</t>
  </si>
  <si>
    <t>Name</t>
  </si>
  <si>
    <t>Fuel Usage of Standard Site Equipment</t>
  </si>
  <si>
    <t xml:space="preserve">Manufacturer </t>
  </si>
  <si>
    <t xml:space="preserve">Model </t>
  </si>
  <si>
    <t>Crossrail using</t>
  </si>
  <si>
    <t>Site</t>
  </si>
  <si>
    <t>Weight (kg)</t>
  </si>
  <si>
    <t xml:space="preserve">Engine model </t>
  </si>
  <si>
    <t xml:space="preserve">Emission rating </t>
  </si>
  <si>
    <t>Engine power (output) (kw)</t>
  </si>
  <si>
    <t>Tank capacity (l)</t>
  </si>
  <si>
    <t>Fuel Consumption (ltrs/hr)</t>
  </si>
  <si>
    <t>GHG emissions/day (kg Co2e)</t>
  </si>
  <si>
    <t>Avg. fuel consumption (l/s)</t>
  </si>
  <si>
    <t>Avg. fuel savings (%)</t>
  </si>
  <si>
    <t xml:space="preserve">Notes </t>
  </si>
  <si>
    <t>Av to MA</t>
  </si>
  <si>
    <t>Av to Min</t>
  </si>
  <si>
    <t>Sharepoint Reference</t>
  </si>
  <si>
    <t>Sharepoint Notes</t>
  </si>
  <si>
    <t>Ref:</t>
  </si>
  <si>
    <t>Application</t>
  </si>
  <si>
    <t>70-90%</t>
  </si>
  <si>
    <t>50-70%</t>
  </si>
  <si>
    <t>40-50%</t>
  </si>
  <si>
    <t>Hitachi ZX29-u</t>
  </si>
  <si>
    <t>(3t) ZX29-u</t>
  </si>
  <si>
    <t>Caterpillar  305D CR</t>
  </si>
  <si>
    <t>(5t) 305D CR</t>
  </si>
  <si>
    <t>Mitsubishi S4 Q2</t>
  </si>
  <si>
    <t>Caterpillar 305E CR</t>
  </si>
  <si>
    <t>(5t) 305E CR</t>
  </si>
  <si>
    <t>Y</t>
  </si>
  <si>
    <t>C340</t>
  </si>
  <si>
    <t>Caterpillar C2.4</t>
  </si>
  <si>
    <t xml:space="preserve">Interim tier 4 </t>
  </si>
  <si>
    <t>Hitach ZX60USB</t>
  </si>
  <si>
    <t>(6t) ZX60USB</t>
  </si>
  <si>
    <t>Yanmar 4TNV98</t>
  </si>
  <si>
    <t>EPA Tier 4</t>
  </si>
  <si>
    <t>http://hitachiconstruction.com/assets/files/products/Construction/ZX60USB-3/ZX60USB-3.pdf</t>
  </si>
  <si>
    <t>Caterpillar 308 E CR SB</t>
  </si>
  <si>
    <t>(8t) 308 E CR SB</t>
  </si>
  <si>
    <t xml:space="preserve"> </t>
  </si>
  <si>
    <t>Caterpillar C3.3</t>
  </si>
  <si>
    <t>http://directorates.crossrail.co.uk/sites/Technical/SandC/Environment/Energy/Forms/AllItems.aspx?RootFolder=%2Fsites%2FTechnical%2FSandC%2FEnvironment%2FEnergy%2FPlant%20Equipment%20information&amp;FolderCTID=0x012000AD56E73FD1EB4E4A8F503AB31C1D527B&amp;View=%7b7450A505-9C52-4C65-9978-75646488A79E%7d</t>
  </si>
  <si>
    <t>Equipment Information (Email) - Attachment (RE: Crossrail - Excavator Burn Figures)</t>
  </si>
  <si>
    <t>Caterpillar 308 D CR</t>
  </si>
  <si>
    <t>(8t) 308 D CR</t>
  </si>
  <si>
    <t>Mitsubishi 4M40</t>
  </si>
  <si>
    <t>Tier 4</t>
  </si>
  <si>
    <t>Caterpillar 308 E2 CR SB</t>
  </si>
  <si>
    <t>(8t) 308 E2 CR SB</t>
  </si>
  <si>
    <t>Caterpillar 308E</t>
  </si>
  <si>
    <t>(8t) 308E</t>
  </si>
  <si>
    <t>Komatsu PC88MR-8</t>
  </si>
  <si>
    <t>(8t) PC88MR-8</t>
  </si>
  <si>
    <t>Komatsu SAA4D95LE-5</t>
  </si>
  <si>
    <t>ref: http://www.marubeni-komatsu.co.uk/images/file/product/specifications/komatsu-pc88mr-8-midi-crawler-excavator-specifications-1381763949.pdf and fuel fig. email</t>
  </si>
  <si>
    <t>Cat 312E</t>
  </si>
  <si>
    <t xml:space="preserve">(12t) 312E </t>
  </si>
  <si>
    <t xml:space="preserve">Y </t>
  </si>
  <si>
    <t>cat c4.4 ACERT</t>
  </si>
  <si>
    <t>Komatsu PC138US</t>
  </si>
  <si>
    <t>(13t)  PC138US</t>
  </si>
  <si>
    <t xml:space="preserve">Crawler </t>
  </si>
  <si>
    <t>Komatsu SAA4D95LE-6</t>
  </si>
  <si>
    <t>ref: http://www.marubeni-komatsu.co.uk/images/file/product/specifications/komatsu-pc138us-10-short-tail-swing-excavator-specifications-1383664708.pdf</t>
  </si>
  <si>
    <t>Interim tier 4</t>
  </si>
  <si>
    <t>Caterpillar 314E CR</t>
  </si>
  <si>
    <t>(14t) 314E CR</t>
  </si>
  <si>
    <t>from email</t>
  </si>
  <si>
    <t>Komatsu PC130-8</t>
  </si>
  <si>
    <t>(14t) PC130-8</t>
  </si>
  <si>
    <t>ref: from fuel fig. email</t>
  </si>
  <si>
    <t>Volvo EW140 D</t>
  </si>
  <si>
    <t>(14t) EW140 D</t>
  </si>
  <si>
    <t xml:space="preserve">Wheeled </t>
  </si>
  <si>
    <t>Volvo D4H</t>
  </si>
  <si>
    <t>Equipment Information (Email) - Attachment (Fuel Figures)</t>
  </si>
  <si>
    <t>Ref. Email from volvo &amp; http://www.volvoce.com/SiteCollectionDocuments/VCE/Documents%20Global/wheeled%20excavators/ProductBrochure_EW140D_EN_21_20030258-D_2014-04.pdf</t>
  </si>
  <si>
    <t>Cat M316D</t>
  </si>
  <si>
    <t>(16t) M316D</t>
  </si>
  <si>
    <t>C6.6 ACERT</t>
  </si>
  <si>
    <t xml:space="preserve">Tier 3 </t>
  </si>
  <si>
    <t>Caterpillar 316E</t>
  </si>
  <si>
    <t>(16t) 316E</t>
  </si>
  <si>
    <t>Volvo EW16D</t>
  </si>
  <si>
    <t>(16t) EW16D</t>
  </si>
  <si>
    <t>Volvo D6H</t>
  </si>
  <si>
    <t>ref: http://www.volvoce.com/SiteCollectionDocuments/VCE/Documents%20Global/wheeled%20excavators/ProductBrochure_EW160D_EN_21_20029057-E_2014-04.pdf and email from volvo</t>
  </si>
  <si>
    <t>Volvo EW18D</t>
  </si>
  <si>
    <t>(18t) EW18D</t>
  </si>
  <si>
    <t>ref: http://www.volvoce.com/SiteCollectionDocuments/VCE/Documents%20Global/wheeled%20excavators/ProductBrochure_EW180D_EW210D_EN_21_20030259-E_2014-04.pdf</t>
  </si>
  <si>
    <t xml:space="preserve">Doosan DX180LC-3 </t>
  </si>
  <si>
    <t xml:space="preserve">(18t) DX180LC-3 </t>
  </si>
  <si>
    <t>DOOSAN DL06K</t>
  </si>
  <si>
    <t>Caterpillar 318E</t>
  </si>
  <si>
    <t>(18t) 318E</t>
  </si>
  <si>
    <t>Caterpillar 320E</t>
  </si>
  <si>
    <t>(20t) 320E</t>
  </si>
  <si>
    <t>ref: http://directorates.crossrail.co.uk/sites/Technical/SandC/Environment/Energy/Equipment%20information/Pat%20Flannery%20-Morgan%20Sindall%20-%20Fuel.pdf and email from caterpillar</t>
  </si>
  <si>
    <t>Komatsu PC210-L10</t>
  </si>
  <si>
    <t>(20t) PC210-L10</t>
  </si>
  <si>
    <t>SAA6D107E-1</t>
  </si>
  <si>
    <t xml:space="preserve">ref: http://directorates.crossrail.co.uk/sites/Technical/SandC/Environment/Energy/Equipment%20information/Pat%20Flannery%20-Morgan%20Sindall%20-%20Fuel.pdf and http://www.komatsu.eu/displayBrochure.ashx?id=84256 </t>
  </si>
  <si>
    <t>Komatsu HB215LC-1</t>
  </si>
  <si>
    <t>(20t) HB215LC-1</t>
  </si>
  <si>
    <t>Paddington</t>
  </si>
  <si>
    <t>SAA4D107E-1-A</t>
  </si>
  <si>
    <t>8.3 l/s (from paddington trial)</t>
  </si>
  <si>
    <t>http://directorates.crossrail.co.uk/sites/Technical/SandC/Environment/Energy/Plant%20Equipment%20information/Paddington%20Hybrid%20Trial.pdf</t>
  </si>
  <si>
    <t xml:space="preserve">ref: Brochure saved and email from komatsu </t>
  </si>
  <si>
    <t>Hitachi ZX225USRLC-3</t>
  </si>
  <si>
    <t>(25t) ZX225USRLC-3</t>
  </si>
  <si>
    <t>Isuzu Al-4HK1XYSA-02</t>
  </si>
  <si>
    <t>Assuming LC-3 is same as LC-5b</t>
  </si>
  <si>
    <t>Equipment Information (Email) - Top attachment (RE: Fuel Consumption)</t>
  </si>
  <si>
    <t>http://hitachiconstruction.com/assets/files/non-current-brochures/construction/ZX225US_LC-3_08-11.pdf</t>
  </si>
  <si>
    <t xml:space="preserve">Email </t>
  </si>
  <si>
    <t>Hitachi ZX225USLC</t>
  </si>
  <si>
    <t>(25t) ZX225USLC</t>
  </si>
  <si>
    <t>Isuzu AM-4HK1X</t>
  </si>
  <si>
    <t>Komatsu PC228</t>
  </si>
  <si>
    <t>(28t) PC228</t>
  </si>
  <si>
    <t>http://www.komatsu.com/ce/products/pdfs/PC228US_USLC-3E0_.pdf</t>
  </si>
  <si>
    <t>Cat 329E</t>
  </si>
  <si>
    <t>(29t) 329E</t>
  </si>
  <si>
    <t>C502</t>
  </si>
  <si>
    <t>C7.1 ACERT</t>
  </si>
  <si>
    <t>T3B</t>
  </si>
  <si>
    <t>Cat 336E H Hybrid</t>
  </si>
  <si>
    <t>(36t) 336E H Hybrid</t>
  </si>
  <si>
    <t xml:space="preserve">Cat C9.3 ATAAC </t>
  </si>
  <si>
    <t>Caterpillar 336E</t>
  </si>
  <si>
    <t>(40t) 336E</t>
  </si>
  <si>
    <t>cat c9.3 ATAAC</t>
  </si>
  <si>
    <t>Komatsu PC450LC-7</t>
  </si>
  <si>
    <t>(45t) PC450LC-7</t>
  </si>
  <si>
    <t>wallasea</t>
  </si>
  <si>
    <t>SAA6D125E-3</t>
  </si>
  <si>
    <t>http://www.komatsu.com/ce/products/pdfs/PC450-7_PC450LC-7_CEN00299-01.pdf</t>
  </si>
  <si>
    <t>Komatsu PC490LC-10</t>
  </si>
  <si>
    <t>(49t) PC490LC-10</t>
  </si>
  <si>
    <t>C405 DTS</t>
  </si>
  <si>
    <t>SAA6D125E-6</t>
  </si>
  <si>
    <t>http://www.komatsu.eu/displayBrochure.ashx?id=83125</t>
  </si>
  <si>
    <t>Caterpillar 349EL</t>
  </si>
  <si>
    <t>(49t) 349EL</t>
  </si>
  <si>
    <t>Volvo EC380D</t>
  </si>
  <si>
    <t>(80t) EC380D</t>
  </si>
  <si>
    <t>Volvo D13H (T3)</t>
  </si>
  <si>
    <t>IIIB</t>
  </si>
  <si>
    <t>ref: http://www.volvoce.com/SiteCollectionDocuments/VCE/Documents%20Global/crawler%20excavators/ProductBrochure_EC380D_EC480D_EN_21_20024034-B_2012.04.pdf</t>
  </si>
  <si>
    <t>Volvo EC48D</t>
  </si>
  <si>
    <t>(80t) EC48D</t>
  </si>
  <si>
    <t>Equipment Information (Email) - Attachment (RE: UK Rental Enquiry)</t>
  </si>
  <si>
    <t>Komatsu PC800 LC-8</t>
  </si>
  <si>
    <t>(80t) PC800 LC-8</t>
  </si>
  <si>
    <t>Komatsu SAA6D140E-5</t>
  </si>
  <si>
    <t>ref: http://www.marubeni-komatsu.co.uk/images/file/product/specifications/komatsu-pc800lc-8-hydraulic-crawler-excavator-specifications-1381763631.pdf</t>
  </si>
  <si>
    <t>Note: As shown, please be aware that these are  expected average fuel consumption figures only - and detailed fuel consumption data can vary dependent upon certain site / application / attachment and operating conditions.</t>
  </si>
  <si>
    <t>Low: Intermittent work with job efficiency less than 65 %</t>
  </si>
  <si>
    <t>Material; Easy to excavate</t>
  </si>
  <si>
    <t>Medium: Digging and loading 65 - 80 % of machine operation hours</t>
  </si>
  <si>
    <t>Material; Not easy to excavate</t>
  </si>
  <si>
    <t>High: Work with job effficiency more than 80 %</t>
  </si>
  <si>
    <t>Direct excavation needed sometimes.</t>
  </si>
  <si>
    <t>***Assuming machine performs at 9 hours per day. Day=9 hrs</t>
  </si>
  <si>
    <t xml:space="preserve">Note: Different manufactures have different guides for load factor (%), but relatively similar. </t>
  </si>
  <si>
    <t xml:space="preserve">GUIDE </t>
  </si>
  <si>
    <t xml:space="preserve">Please refer to the specific load factor to measure the effiviency. If unknown, then refer to the average fuel savings (%) </t>
  </si>
  <si>
    <t xml:space="preserve">Bold % are standard equipment and have 0% savings </t>
  </si>
  <si>
    <t>Still waiting on manufacturers to send over fuel consumption figures: Yanmar, Case, Doosan</t>
  </si>
  <si>
    <t>MAX</t>
  </si>
  <si>
    <t>3T</t>
  </si>
  <si>
    <t>5T</t>
  </si>
  <si>
    <t>16T</t>
  </si>
  <si>
    <t>18T</t>
  </si>
  <si>
    <t>20T</t>
  </si>
  <si>
    <t>25T</t>
  </si>
  <si>
    <t>28T-30T</t>
  </si>
  <si>
    <t>35T</t>
  </si>
  <si>
    <t>40T</t>
  </si>
  <si>
    <t>45T</t>
  </si>
  <si>
    <t>49T</t>
  </si>
  <si>
    <t>80T</t>
  </si>
  <si>
    <t>As attached, please be aware that these are expected average fuel consumption figures only - and detailed fuel consumption data can vary dependent upon certain site / application / attachment and operating conditions.</t>
  </si>
  <si>
    <t>* Based on machine working on  hours per day</t>
  </si>
  <si>
    <t>http://www.speedyservices.com/canopied-generators-hire?mainfilter=all&amp;per_page=99</t>
  </si>
  <si>
    <t>2100kva</t>
  </si>
  <si>
    <t xml:space="preserve">1250Kva </t>
  </si>
  <si>
    <t xml:space="preserve">1000Kva </t>
  </si>
  <si>
    <t xml:space="preserve">800Kva </t>
  </si>
  <si>
    <t xml:space="preserve">500Kva </t>
  </si>
  <si>
    <t>350kva</t>
  </si>
  <si>
    <t>320kva GHP2</t>
  </si>
  <si>
    <t xml:space="preserve">320Kva </t>
  </si>
  <si>
    <t xml:space="preserve">250Kva </t>
  </si>
  <si>
    <t>200Kva GHP2</t>
  </si>
  <si>
    <t>200Kva</t>
  </si>
  <si>
    <t>175Kva GHP2</t>
  </si>
  <si>
    <t xml:space="preserve">175Kva </t>
  </si>
  <si>
    <t>125kva New Non GHP2</t>
  </si>
  <si>
    <t>125Kva GHP2</t>
  </si>
  <si>
    <t>125kva Towable</t>
  </si>
  <si>
    <t>125Kva</t>
  </si>
  <si>
    <t xml:space="preserve">100Kva </t>
  </si>
  <si>
    <t>60Kva GHP2</t>
  </si>
  <si>
    <t>60kva Towable</t>
  </si>
  <si>
    <t>60Kva Tower Power</t>
  </si>
  <si>
    <t xml:space="preserve">60Kva </t>
  </si>
  <si>
    <t>30Kva Tower Power</t>
  </si>
  <si>
    <t>30Kva</t>
  </si>
  <si>
    <t xml:space="preserve">15Kva </t>
  </si>
  <si>
    <t>Fuel Consumption (ltrs/per/hr)</t>
  </si>
  <si>
    <t>Complete with 600 gallon fuel tank</t>
  </si>
  <si>
    <t>Generator Consumptions working from 600 Gallon fuel tank</t>
  </si>
  <si>
    <t xml:space="preserve">if wish to add hire rate coloum for a more accurate financial cost per day. </t>
  </si>
  <si>
    <t>Aggreko 2100Kva</t>
  </si>
  <si>
    <t xml:space="preserve">Aggreko 1250Kva </t>
  </si>
  <si>
    <t xml:space="preserve">Aggreko 1000Kva </t>
  </si>
  <si>
    <t xml:space="preserve">Aggreko 800Kva </t>
  </si>
  <si>
    <t xml:space="preserve">Aggreko 500Kva </t>
  </si>
  <si>
    <t>Aggreko 350Kva</t>
  </si>
  <si>
    <t>Aggreko GHP2</t>
  </si>
  <si>
    <t>Aggreko</t>
  </si>
  <si>
    <t>http://www.speedyservices.com/41_0250-h-250kva-generator-415-3-50</t>
  </si>
  <si>
    <t xml:space="preserve">250Kva 41/0250-h </t>
  </si>
  <si>
    <t xml:space="preserve">Speedy 41/0250-h </t>
  </si>
  <si>
    <t>250Kva G250</t>
  </si>
  <si>
    <t>Ingersol Rand G250</t>
  </si>
  <si>
    <t>200 Kva G200</t>
  </si>
  <si>
    <t>Ingersol Rand G200</t>
  </si>
  <si>
    <t>Aggreko New Non GHP2</t>
  </si>
  <si>
    <t>Aggreko Towable</t>
  </si>
  <si>
    <t>http://www.speedyservices.com/41_0100-h-100kva-canopy-generator</t>
  </si>
  <si>
    <t>100Kva 41/0100-h</t>
  </si>
  <si>
    <t>Speedy 41/0100-h</t>
  </si>
  <si>
    <t>Equipment Information (Email) - Attachment (HRD - Fuel Consumption)</t>
  </si>
  <si>
    <t>100 Kva HRD1000T1</t>
  </si>
  <si>
    <t>HGI HRD1000T1</t>
  </si>
  <si>
    <t>60kva HRD600T1</t>
  </si>
  <si>
    <t>HGI HRD600T1</t>
  </si>
  <si>
    <t>Aggreko Tower Power</t>
  </si>
  <si>
    <t>http://www.speedyservices.com/41_0060-h-60kva-canopy-generator</t>
  </si>
  <si>
    <t>60kva 41/0060-h</t>
  </si>
  <si>
    <t>Speedy 41/0060-h</t>
  </si>
  <si>
    <t>http://www.speedyservices.com/41_0030-h-30kva-canopy-generator</t>
  </si>
  <si>
    <t>C350</t>
  </si>
  <si>
    <t>30kva 41/0030-h </t>
  </si>
  <si>
    <t>Speedy 41/0030-h </t>
  </si>
  <si>
    <t>27Kva HRD270T1+</t>
  </si>
  <si>
    <t>HGI HRD270T1+</t>
  </si>
  <si>
    <t>27Kva HRD270T1</t>
  </si>
  <si>
    <t>HGI HRD270T1</t>
  </si>
  <si>
    <t>20Kva G20</t>
  </si>
  <si>
    <t>Ingersol Rand G20</t>
  </si>
  <si>
    <t>http://www.speedyservices.com/41_0020-h-20kva-canopy-generator</t>
  </si>
  <si>
    <t>20kva 41/0020-h</t>
  </si>
  <si>
    <t>Speedy 41/0020-h</t>
  </si>
  <si>
    <t>20kva HRD200T1</t>
  </si>
  <si>
    <t>HGI HRD200T1</t>
  </si>
  <si>
    <t>9kva HRD90T1</t>
  </si>
  <si>
    <t>HGI HRD90T1</t>
  </si>
  <si>
    <t>Aggreko 15Kva</t>
  </si>
  <si>
    <t>ref</t>
  </si>
  <si>
    <t>Notes</t>
  </si>
  <si>
    <t>Savings (%)</t>
  </si>
  <si>
    <t>Average Fuel Consumption (l/h)</t>
  </si>
  <si>
    <t>Tank size (l)</t>
  </si>
  <si>
    <t>Contract</t>
  </si>
  <si>
    <t>kva</t>
  </si>
  <si>
    <t>Manufacturer</t>
  </si>
  <si>
    <t xml:space="preserve">Generator Consumptions </t>
  </si>
  <si>
    <t>9-15kVA</t>
  </si>
  <si>
    <t>20kVA</t>
  </si>
  <si>
    <t>27kVA</t>
  </si>
  <si>
    <t>30kVA</t>
  </si>
  <si>
    <t>60kVA</t>
  </si>
  <si>
    <t>100kVA</t>
  </si>
  <si>
    <t>125kVA</t>
  </si>
  <si>
    <t>175kVA</t>
  </si>
  <si>
    <t>200kVA</t>
  </si>
  <si>
    <t>250kVA</t>
  </si>
  <si>
    <t>320kVA</t>
  </si>
  <si>
    <t>350kVA</t>
  </si>
  <si>
    <t>500kVA</t>
  </si>
  <si>
    <t>800kVA</t>
  </si>
  <si>
    <t>1000kVA</t>
  </si>
  <si>
    <t>1250kVA</t>
  </si>
  <si>
    <t>2100kVA</t>
  </si>
  <si>
    <t>12T</t>
  </si>
  <si>
    <t>High : Short loading time, uphill travel with load (steep grade), travel on normally maintained road</t>
  </si>
  <si>
    <t>Medium : Normal loading time , uphill travel with load (normal grade), travel on well maintained road</t>
  </si>
  <si>
    <t>Low : Long loading time, downhill travel with load, travel on well maintained road</t>
  </si>
  <si>
    <t>CONDITIONS:</t>
  </si>
  <si>
    <t>High: Long haul times with frequently adverse grades. Continuous use on poorly maintained haul roads with high rolling resistance.</t>
  </si>
  <si>
    <t>Medium: Average loading zone conditions and frequently maintained haul roads. Normal hauling times and several adverse grades. Some areas of high rolling resistance.</t>
  </si>
  <si>
    <t>Low: Large amount of idling. Short to medium hauls on well-maintained level haul roads. Minimum total resistance.</t>
  </si>
  <si>
    <t xml:space="preserve">contractors could add a hire rate column to get more accurate rate for financial costs  </t>
  </si>
  <si>
    <t>* 1 day = 9 hours</t>
  </si>
  <si>
    <t>STILL HAS NOT GOT BACK TO ME !!!</t>
  </si>
  <si>
    <t>Thwaits Mach 866</t>
  </si>
  <si>
    <t>Thwaits Mach 698</t>
  </si>
  <si>
    <t>Thwaits Mach 590</t>
  </si>
  <si>
    <t>http://directorates.crossrail.co.uk/sites/Technical/SandC/Environment/Energy/Plant%20Equipment%20information/DUMP%20TRUCKS%20komatsu.pdf</t>
  </si>
  <si>
    <t>Articulated</t>
  </si>
  <si>
    <t>(35t) HM350-2</t>
  </si>
  <si>
    <t>Komatsu HM350-2</t>
  </si>
  <si>
    <t>(35t) HM350-1</t>
  </si>
  <si>
    <t>Komatsu  HM250-1</t>
  </si>
  <si>
    <t>http://www.marubeni-komatsu.co.uk/images/file/product/specifications/komatsu-hm300-3-articulated-dump-truck-specifications-1381223978.pdf</t>
  </si>
  <si>
    <t>Komatsu SAA6D125E-6</t>
  </si>
  <si>
    <t xml:space="preserve">Articulated </t>
  </si>
  <si>
    <t>(30t) HM300-3</t>
  </si>
  <si>
    <t>Komatsu HM300-3</t>
  </si>
  <si>
    <t>http://www.komatsu.com/ce/products/pdfs/HM300-2R_.pdf</t>
  </si>
  <si>
    <t>Komatsu SAA6D125E-5</t>
  </si>
  <si>
    <t>(30t) HM300-2R</t>
  </si>
  <si>
    <t>Komatsu HM300-2R</t>
  </si>
  <si>
    <t>http://www.komatsu.com/ce/products/pdfs/HM300-1_.pdf</t>
  </si>
  <si>
    <t>Komatsu SAA6D125E-3</t>
  </si>
  <si>
    <t>(30t) HM300-1</t>
  </si>
  <si>
    <t>Komatsu HM300-1</t>
  </si>
  <si>
    <t>http://www.volvoce.com/SiteCollectionDocuments/VCE/Documents%20Global/articulated%20haulers/ProductBrochure_A25F_A30F_EN_21A1006560.pdf</t>
  </si>
  <si>
    <t>Tier 4i</t>
  </si>
  <si>
    <t>Volvo D11H-A</t>
  </si>
  <si>
    <t>(30t) A30F</t>
  </si>
  <si>
    <t>(25t) A25F</t>
  </si>
  <si>
    <t>Volvo A25F</t>
  </si>
  <si>
    <t>Equipment Information (Email) - Attachment (Re: Fuel consumption figure)</t>
  </si>
  <si>
    <t>(22t) 922D</t>
  </si>
  <si>
    <t>Hydrema 922D</t>
  </si>
  <si>
    <t>Cummins QSB 4.5</t>
  </si>
  <si>
    <t>(12t) 912E</t>
  </si>
  <si>
    <t>Hydrema 912E</t>
  </si>
  <si>
    <t>High</t>
  </si>
  <si>
    <t>Medium</t>
  </si>
  <si>
    <t>Low</t>
  </si>
  <si>
    <t>Sharepoint notes</t>
  </si>
  <si>
    <t>Sharepoint Information Link (Keep Scrolling for Notes)</t>
  </si>
  <si>
    <t>Avg. fuel consumption (l/h)</t>
  </si>
  <si>
    <t>22T</t>
  </si>
  <si>
    <t>30T</t>
  </si>
  <si>
    <t xml:space="preserve">Electric Scissor lifts </t>
  </si>
  <si>
    <t>Working height (m)</t>
  </si>
  <si>
    <t xml:space="preserve">Lift capacity (kg) </t>
  </si>
  <si>
    <t xml:space="preserve">Power source </t>
  </si>
  <si>
    <t xml:space="preserve">Voltage (V) </t>
  </si>
  <si>
    <t xml:space="preserve">Current (Ah) </t>
  </si>
  <si>
    <t>Power (Wh)</t>
  </si>
  <si>
    <t>Power (kwh)</t>
  </si>
  <si>
    <t>GHG</t>
  </si>
  <si>
    <t>http://genielift.co.uk/en/products/new-equipment/scissor-lifts/electric-scissor-lifts/index.htm</t>
  </si>
  <si>
    <t xml:space="preserve">227 kg </t>
  </si>
  <si>
    <t>Genie GS™-1530</t>
  </si>
  <si>
    <t>GS™-1530</t>
  </si>
  <si>
    <t xml:space="preserve">272 kg </t>
  </si>
  <si>
    <t>24 V DC (four 6 V 225 Ah batteries</t>
  </si>
  <si>
    <t>http://www.genielift.com/en/idc03/groups/webcontent/@web/@awp/documents/web_content/ucm03_089424.pdf</t>
  </si>
  <si>
    <t>Average</t>
  </si>
  <si>
    <t>Genie GS™-1930</t>
  </si>
  <si>
    <t>GS™-1930</t>
  </si>
  <si>
    <t>24 V DC (four 6 V 225 Ah batteries)</t>
  </si>
  <si>
    <t>Genie GS™-2032</t>
  </si>
  <si>
    <t>GS™-2032</t>
  </si>
  <si>
    <t xml:space="preserve">363 kg </t>
  </si>
  <si>
    <t>24 V DC (four 6V 225 Ah batteries)</t>
  </si>
  <si>
    <t>Genie GS™-2046</t>
  </si>
  <si>
    <t>GS™-2046</t>
  </si>
  <si>
    <t xml:space="preserve">544 kg </t>
  </si>
  <si>
    <t>JLG 1930ES</t>
  </si>
  <si>
    <t>1930ES</t>
  </si>
  <si>
    <t>Haulotte Compact 8W</t>
  </si>
  <si>
    <t>Compact 8W</t>
  </si>
  <si>
    <t>450 kg</t>
  </si>
  <si>
    <t>http://www.lifterz.co.uk/lifts/electric-scissor-lift.html</t>
  </si>
  <si>
    <t xml:space="preserve">350 kg </t>
  </si>
  <si>
    <t>Genie GS™-2632</t>
  </si>
  <si>
    <t>GS™-2632</t>
  </si>
  <si>
    <t>Genie GS™-2646</t>
  </si>
  <si>
    <t>GS™-2646</t>
  </si>
  <si>
    <t xml:space="preserve">454 kg </t>
  </si>
  <si>
    <t>Genie GS™-2669DC</t>
  </si>
  <si>
    <t>GS™-2669DC</t>
  </si>
  <si>
    <t xml:space="preserve">680 kg </t>
  </si>
  <si>
    <t>48V DC (eight 6v 225Ah batteries)</t>
  </si>
  <si>
    <t>http://www.genielift.com/en/idc03/groups/webcontent/@web/@awp/documents/web_content/ucm03_089428.pdf</t>
  </si>
  <si>
    <t>JLG 3246ES</t>
  </si>
  <si>
    <t>3246ES</t>
  </si>
  <si>
    <t>Genie GS™-3232</t>
  </si>
  <si>
    <t>GS™-3232</t>
  </si>
  <si>
    <t>Genie GS™-3246</t>
  </si>
  <si>
    <t>GS™-3246</t>
  </si>
  <si>
    <t xml:space="preserve">318 kg </t>
  </si>
  <si>
    <t>Genie GS™-3369DC</t>
  </si>
  <si>
    <t>GS™-3369DC</t>
  </si>
  <si>
    <t>454 kg</t>
  </si>
  <si>
    <t>Haulotte Compact 14</t>
  </si>
  <si>
    <t>Compact 14</t>
  </si>
  <si>
    <t xml:space="preserve">Diesel scissor lifts </t>
  </si>
  <si>
    <t xml:space="preserve">Fuel type </t>
  </si>
  <si>
    <t>Engine model</t>
  </si>
  <si>
    <t>Power (kw)</t>
  </si>
  <si>
    <t>Average fuel consumption (l/h)</t>
  </si>
  <si>
    <t xml:space="preserve">GHG </t>
  </si>
  <si>
    <t xml:space="preserve">Diesel </t>
  </si>
  <si>
    <t>JLG 3394RT</t>
  </si>
  <si>
    <t>3394RT</t>
  </si>
  <si>
    <t>DEUTZ T4F D2.9L4</t>
  </si>
  <si>
    <t>https://csapps.jlg.com/OnlineManuals/Manuals/JLG/JLG%20Scissor%20Lifts/3394_4394RT/Operation%20Manuals/Operation_3121132_05-16-14_Global_English.pdf</t>
  </si>
  <si>
    <t>SkyJack SJ 6826RT</t>
  </si>
  <si>
    <t>SJ 6826RT</t>
  </si>
  <si>
    <t>Kubato 8KBXL.898KCB</t>
  </si>
  <si>
    <t>SkyJack SJ 8831</t>
  </si>
  <si>
    <t>SJ 8831</t>
  </si>
  <si>
    <t>Kubota 8KBXL01.3DCB</t>
  </si>
  <si>
    <t>JLG 4394RT</t>
  </si>
  <si>
    <t>4394RT</t>
  </si>
  <si>
    <t>GS™-2669RT</t>
  </si>
  <si>
    <t>680 kg (1,500 lbs)</t>
  </si>
  <si>
    <t>GS™-3369RT</t>
  </si>
  <si>
    <t>454 kg (1,000 lbs)</t>
  </si>
  <si>
    <t>GS™-3384RT</t>
  </si>
  <si>
    <t>1,134 kg (2,500 lbs)</t>
  </si>
  <si>
    <t>GS™-3390RT</t>
  </si>
  <si>
    <t xml:space="preserve">Roma: Chase up Snorkel </t>
  </si>
  <si>
    <t xml:space="preserve">All Engine powered lifts are at working heights of 10m or above </t>
  </si>
  <si>
    <t>Dumpers</t>
  </si>
  <si>
    <t>Excavators</t>
  </si>
  <si>
    <t>Generators</t>
  </si>
  <si>
    <t>Scissor Lifts</t>
  </si>
  <si>
    <t>Drop down</t>
  </si>
  <si>
    <t>10m</t>
  </si>
  <si>
    <t>11m</t>
  </si>
  <si>
    <t>13m</t>
  </si>
  <si>
    <t>Avergae fuel consumption* (l/h)</t>
  </si>
  <si>
    <t>Financial savings per day (£)</t>
  </si>
  <si>
    <t xml:space="preserve">Carrier </t>
  </si>
  <si>
    <t>Crane</t>
  </si>
  <si>
    <t>Low (40-50%)</t>
  </si>
  <si>
    <t>Med (50-70%)</t>
  </si>
  <si>
    <t>High (70-90%)</t>
  </si>
  <si>
    <t>Liebherr LTM 1055-3.1</t>
  </si>
  <si>
    <t>(55t) LTM 1055-3.1</t>
  </si>
  <si>
    <t>Liebherr LTM 1055-3.2</t>
  </si>
  <si>
    <t>(55t) LTM 1055-3.2</t>
  </si>
  <si>
    <t>92 GAL</t>
  </si>
  <si>
    <t>Liebherr LTM1055</t>
  </si>
  <si>
    <t>(55t) LTM1055</t>
  </si>
  <si>
    <t>Mobile crane</t>
  </si>
  <si>
    <t>Terex Challenger 3160</t>
  </si>
  <si>
    <t>(55t) Challenger 3160</t>
  </si>
  <si>
    <t xml:space="preserve">Terex Challenger 3180 </t>
  </si>
  <si>
    <t xml:space="preserve">(60t) Challenger 3180 </t>
  </si>
  <si>
    <t xml:space="preserve">320 &amp; 40 Ad Blue </t>
  </si>
  <si>
    <t>Terex AC 60/3</t>
  </si>
  <si>
    <t>(60t) AC 60/3</t>
  </si>
  <si>
    <t xml:space="preserve">OM 501 LA, Water cooled </t>
  </si>
  <si>
    <t>Terex AC 60/3L</t>
  </si>
  <si>
    <t>(60t) AC 60/3L</t>
  </si>
  <si>
    <t>Liebherr LTM 1100-4.2</t>
  </si>
  <si>
    <t>(100t) LTM 1100-4.2)</t>
  </si>
  <si>
    <t xml:space="preserve">Terex </t>
  </si>
  <si>
    <t>(100t)</t>
  </si>
  <si>
    <t>MTU (merc) 350-3a</t>
  </si>
  <si>
    <t>Terex AC 350/6</t>
  </si>
  <si>
    <t>(350t) AC 350/6</t>
  </si>
  <si>
    <t>55T</t>
  </si>
  <si>
    <t>60T</t>
  </si>
  <si>
    <t>100T</t>
  </si>
  <si>
    <t>350T</t>
  </si>
  <si>
    <t>drop down box</t>
  </si>
  <si>
    <t>Please select the loading if available</t>
  </si>
  <si>
    <t>Load Available</t>
  </si>
  <si>
    <t>Option 4</t>
  </si>
  <si>
    <t>Fuel Consumption (Efficient/Held On Site)</t>
  </si>
  <si>
    <t>Fuel Consumption (Standard/Baseline)</t>
  </si>
  <si>
    <t>Transport</t>
  </si>
  <si>
    <t>Here is the link to the Crossrail VMPS report download:</t>
  </si>
  <si>
    <t>COPY AND PASTE THE EXPORT FROM VMPS INTO THE BOX BELOW</t>
  </si>
  <si>
    <t>http://vmps.crossrail.co.uk/#/Reports/ViewReports</t>
  </si>
  <si>
    <t xml:space="preserve">How to download the relevant emissions:
Click on the link above
Click on the drop down selection box for avaliable reports and choose E3 Carbon Emissions.
Click on Run Report.
Select the contract and the date works began to current.
Once the report is run, export to excel and copy and paste the results into the box to the left. 
</t>
  </si>
  <si>
    <r>
      <t>Total Emboddied Emissions (kgCO</t>
    </r>
    <r>
      <rPr>
        <sz val="8"/>
        <color theme="1"/>
        <rFont val="Calibri"/>
        <family val="2"/>
        <scheme val="minor"/>
      </rPr>
      <t>2</t>
    </r>
    <r>
      <rPr>
        <sz val="12"/>
        <color theme="1"/>
        <rFont val="Calibri"/>
        <family val="2"/>
        <charset val="136"/>
        <scheme val="minor"/>
      </rPr>
      <t>)</t>
    </r>
  </si>
  <si>
    <t>Personnel travel</t>
  </si>
  <si>
    <t>Material transport</t>
  </si>
  <si>
    <t>Portable site accommodation</t>
  </si>
  <si>
    <t>Waste Removal</t>
  </si>
  <si>
    <t>Plant and equipment emissions</t>
  </si>
  <si>
    <t>Finishings, coatings &amp; adhesives</t>
  </si>
  <si>
    <t>Miscellaneous</t>
  </si>
  <si>
    <t>Glass</t>
  </si>
  <si>
    <t>Plastics</t>
  </si>
  <si>
    <t>Metals</t>
  </si>
  <si>
    <t>Concrete, Mortars &amp; Cement</t>
  </si>
  <si>
    <t>Timber</t>
  </si>
  <si>
    <t>Quarried Material</t>
  </si>
  <si>
    <t>%</t>
  </si>
  <si>
    <r>
      <t>tonnes CO</t>
    </r>
    <r>
      <rPr>
        <b/>
        <vertAlign val="subscript"/>
        <sz val="10"/>
        <rFont val="Arial"/>
        <family val="2"/>
      </rPr>
      <t>2</t>
    </r>
    <r>
      <rPr>
        <b/>
        <sz val="10"/>
        <rFont val="Arial"/>
        <family val="2"/>
      </rPr>
      <t>e</t>
    </r>
  </si>
  <si>
    <t xml:space="preserve">Sub-totals </t>
  </si>
  <si>
    <t xml:space="preserve">Download the spreadsheet underlined as carbon tool from the above link. 
Fill in the blue tab called 'Construction input' and insert the quantity of materials in tonnes in the light blue cells.
Once all is entered go onto the 'Report' tab and copy the sub totals table from the EA spreadsheet into the box below. </t>
  </si>
  <si>
    <t xml:space="preserve">https://www.gov.uk/government/publications/carbon-calculator-for-construction-projects </t>
  </si>
  <si>
    <t xml:space="preserve">If you are using the Environment Agency Carbon Tool then copy and paste the results into the table below. 
If you are using another tool or your own calculations then please over-right the grey total cell and enter the total emboddied emissions that you have calculated. </t>
  </si>
  <si>
    <t>Download the EA carbon calculator here:</t>
  </si>
  <si>
    <t>Embodied Emissions</t>
  </si>
  <si>
    <t>Other</t>
  </si>
  <si>
    <t>Cranes</t>
  </si>
  <si>
    <t>6T-8T</t>
  </si>
  <si>
    <t>Details</t>
  </si>
  <si>
    <t>M&amp;m ##</t>
  </si>
  <si>
    <t>M&amp;M DD</t>
  </si>
  <si>
    <t>(CALCULATIONS)</t>
  </si>
  <si>
    <t xml:space="preserve">Total Carbon Footprint </t>
  </si>
  <si>
    <t>Scope 1 (fuel)</t>
  </si>
  <si>
    <t>Scope 2 (electricity)</t>
  </si>
  <si>
    <t>Scope 3 (embodied + indirect transport)</t>
  </si>
  <si>
    <t>Total Project Carbon Footprint</t>
  </si>
  <si>
    <t>Scope 3 Transport</t>
  </si>
  <si>
    <t>Scope 3 Emobodied</t>
  </si>
  <si>
    <t>Embodied</t>
  </si>
  <si>
    <t>Double Percentage Entry</t>
  </si>
  <si>
    <t>Drop Down Details</t>
  </si>
  <si>
    <t>Reduced Power Lighting</t>
  </si>
  <si>
    <t>Please give details of efficient lights (type and model)</t>
  </si>
  <si>
    <t>Please give details of standard lights (type and model)</t>
  </si>
  <si>
    <t>VALIDATION FOR PIR SENSORS</t>
  </si>
  <si>
    <t>VALIDATION FOR HYBRID LIGHTING</t>
  </si>
  <si>
    <t>VALIDATION FOR REDUCED POWER LIGHTING</t>
  </si>
  <si>
    <t>Drop Down</t>
  </si>
  <si>
    <t>A Rated</t>
  </si>
  <si>
    <t>B Rated</t>
  </si>
  <si>
    <t>C Rated</t>
  </si>
  <si>
    <t>D Rated</t>
  </si>
  <si>
    <t>Office Name</t>
  </si>
  <si>
    <t>Calculated Energy Usage</t>
  </si>
  <si>
    <t>normal grid mix</t>
  </si>
  <si>
    <t>onsite renewables</t>
  </si>
  <si>
    <t>quality CHP</t>
  </si>
  <si>
    <t>VALIDATION FOR EFFICIENT SITE OFFICES</t>
  </si>
  <si>
    <t>Double Input</t>
  </si>
  <si>
    <t>Electricity</t>
  </si>
  <si>
    <t>Total of Totals</t>
  </si>
  <si>
    <t>Have you provided a scan/picture of EPC?</t>
  </si>
  <si>
    <r>
      <t xml:space="preserve">Fuel used by equipment each period </t>
    </r>
    <r>
      <rPr>
        <sz val="12"/>
        <color rgb="FFFF0000"/>
        <rFont val="Arial"/>
        <family val="2"/>
      </rPr>
      <t>(litres)</t>
    </r>
  </si>
  <si>
    <r>
      <rPr>
        <sz val="12"/>
        <color rgb="FFFF0000"/>
        <rFont val="Arial"/>
        <family val="2"/>
      </rPr>
      <t>Hours</t>
    </r>
    <r>
      <rPr>
        <sz val="12"/>
        <color theme="1"/>
        <rFont val="Arial"/>
        <family val="2"/>
      </rPr>
      <t xml:space="preserve"> used per day</t>
    </r>
  </si>
  <si>
    <r>
      <t xml:space="preserve">Average number of </t>
    </r>
    <r>
      <rPr>
        <sz val="12"/>
        <color rgb="FFFF0000"/>
        <rFont val="Arial"/>
        <family val="2"/>
      </rPr>
      <t>days</t>
    </r>
    <r>
      <rPr>
        <sz val="12"/>
        <color theme="1"/>
        <rFont val="Arial"/>
        <family val="2"/>
      </rPr>
      <t xml:space="preserve"> equipment was used each period (out of the 28 total days in the period)</t>
    </r>
  </si>
  <si>
    <r>
      <t xml:space="preserve">Improvement that the equipment is compared to a standard piece of fuel equipment </t>
    </r>
    <r>
      <rPr>
        <sz val="12"/>
        <color rgb="FFFF0000"/>
        <rFont val="Arial"/>
        <family val="2"/>
      </rPr>
      <t>(%)</t>
    </r>
  </si>
  <si>
    <r>
      <t xml:space="preserve">Site office efficiency rating </t>
    </r>
    <r>
      <rPr>
        <sz val="12"/>
        <color rgb="FFFF0000"/>
        <rFont val="Arial"/>
        <family val="2"/>
      </rPr>
      <t>(from EPC)</t>
    </r>
  </si>
  <si>
    <r>
      <t xml:space="preserve">Please select the exact value of rating </t>
    </r>
    <r>
      <rPr>
        <sz val="12"/>
        <color rgb="FFFF0000"/>
        <rFont val="Arial"/>
        <family val="2"/>
      </rPr>
      <t>(from EPC)</t>
    </r>
  </si>
  <si>
    <r>
      <rPr>
        <sz val="12"/>
        <color rgb="FFFF0000"/>
        <rFont val="Arial"/>
        <family val="2"/>
      </rPr>
      <t>%</t>
    </r>
    <r>
      <rPr>
        <sz val="12"/>
        <color theme="1"/>
        <rFont val="Arial"/>
        <family val="2"/>
      </rPr>
      <t xml:space="preserve"> of total electricity consumption consumed by site office</t>
    </r>
  </si>
  <si>
    <r>
      <rPr>
        <sz val="12"/>
        <color rgb="FFFF0000"/>
        <rFont val="Arial"/>
        <family val="2"/>
      </rPr>
      <t>Days</t>
    </r>
    <r>
      <rPr>
        <sz val="12"/>
        <color theme="1"/>
        <rFont val="Arial"/>
        <family val="2"/>
      </rPr>
      <t xml:space="preserve"> per period lights are on (out of 28)</t>
    </r>
  </si>
  <si>
    <r>
      <t xml:space="preserve">Number of </t>
    </r>
    <r>
      <rPr>
        <sz val="12"/>
        <color rgb="FFFF0000"/>
        <rFont val="Arial"/>
        <family val="2"/>
      </rPr>
      <t>hours</t>
    </r>
    <r>
      <rPr>
        <sz val="12"/>
        <color theme="1"/>
        <rFont val="Arial"/>
        <family val="2"/>
      </rPr>
      <t xml:space="preserve"> per day lights are on</t>
    </r>
  </si>
  <si>
    <r>
      <t xml:space="preserve">Average </t>
    </r>
    <r>
      <rPr>
        <sz val="12"/>
        <color rgb="FFFF0000"/>
        <rFont val="Arial"/>
        <family val="2"/>
      </rPr>
      <t>hours</t>
    </r>
    <r>
      <rPr>
        <sz val="12"/>
        <color theme="1"/>
        <rFont val="Arial"/>
        <family val="2"/>
      </rPr>
      <t xml:space="preserve"> saved due to sensors per day</t>
    </r>
  </si>
  <si>
    <r>
      <t xml:space="preserve">Number of </t>
    </r>
    <r>
      <rPr>
        <sz val="12"/>
        <color rgb="FFFF0000"/>
        <rFont val="Arial"/>
        <family val="2"/>
      </rPr>
      <t>days</t>
    </r>
    <r>
      <rPr>
        <sz val="12"/>
        <color theme="1"/>
        <rFont val="Arial"/>
        <family val="2"/>
      </rPr>
      <t xml:space="preserve"> PIR sensors operate each period (out of 28)</t>
    </r>
  </si>
  <si>
    <r>
      <t>Volume of Water collected/saved (</t>
    </r>
    <r>
      <rPr>
        <sz val="12"/>
        <color rgb="FFFF0000"/>
        <rFont val="Arial"/>
        <family val="2"/>
      </rPr>
      <t>m</t>
    </r>
    <r>
      <rPr>
        <vertAlign val="superscript"/>
        <sz val="12"/>
        <color rgb="FFFF0000"/>
        <rFont val="Arial"/>
        <family val="2"/>
      </rPr>
      <t>3</t>
    </r>
    <r>
      <rPr>
        <sz val="12"/>
        <color theme="1"/>
        <rFont val="Arial"/>
        <family val="2"/>
      </rPr>
      <t xml:space="preserve"> per period)</t>
    </r>
  </si>
  <si>
    <t>Part 1</t>
  </si>
  <si>
    <t>Part 2</t>
  </si>
  <si>
    <t>Part 3</t>
  </si>
  <si>
    <t>Computers and Monitors</t>
  </si>
  <si>
    <t>Computers &amp; Monitors</t>
  </si>
  <si>
    <t>Printing &amp; Paper</t>
  </si>
  <si>
    <t>Date (DD/MM/YY)</t>
  </si>
  <si>
    <t>Enables 3 different levels of staffing during the lifetime of the project for each behavioural initiative (Any overlapping dates will cause an "Error" to be generated and dates will be highlighted)</t>
  </si>
  <si>
    <r>
      <rPr>
        <b/>
        <sz val="12"/>
        <color theme="1"/>
        <rFont val="Arial"/>
        <family val="2"/>
      </rPr>
      <t>Reduced Power Lighting:</t>
    </r>
    <r>
      <rPr>
        <sz val="12"/>
        <color theme="1"/>
        <rFont val="Arial"/>
        <family val="2"/>
      </rPr>
      <t xml:space="preserve"> This initiative enables the contractor to claim energy savings from using lights on site/office that have a reduced power compared to standard lights (an example of standard lighting includes fluorescent lights)</t>
    </r>
  </si>
  <si>
    <r>
      <rPr>
        <b/>
        <sz val="12"/>
        <color theme="1"/>
        <rFont val="Arial"/>
        <family val="2"/>
      </rPr>
      <t>PIR Sensors:</t>
    </r>
    <r>
      <rPr>
        <sz val="12"/>
        <color theme="1"/>
        <rFont val="Arial"/>
        <family val="2"/>
      </rPr>
      <t xml:space="preserve"> This initiative calculates the energy saved from having equipment that would normally be on when its not being used, connected to a PIR sensor reducing the time that it is on for. </t>
    </r>
  </si>
  <si>
    <r>
      <rPr>
        <b/>
        <sz val="12"/>
        <color theme="1"/>
        <rFont val="Arial"/>
        <family val="2"/>
      </rPr>
      <t>Computers and Monitors:</t>
    </r>
    <r>
      <rPr>
        <sz val="12"/>
        <color theme="1"/>
        <rFont val="Arial"/>
        <family val="2"/>
      </rPr>
      <t xml:space="preserve"> This calculates the average energy (carbon) saved from everyone switching off their computers at night and not leaving them on standby.</t>
    </r>
  </si>
  <si>
    <r>
      <rPr>
        <b/>
        <sz val="12"/>
        <color theme="1"/>
        <rFont val="Arial"/>
        <family val="2"/>
      </rPr>
      <t>Paper Recycling:</t>
    </r>
    <r>
      <rPr>
        <sz val="12"/>
        <color theme="1"/>
        <rFont val="Arial"/>
        <family val="2"/>
      </rPr>
      <t xml:space="preserve"> This is the average carbon saved from encouraging employees to print double sided &amp; two page per sheet of paper</t>
    </r>
  </si>
  <si>
    <t>Procuring Electric Equipment</t>
  </si>
  <si>
    <t xml:space="preserve">This tab enables the contractor to quantify any additional savings that is not documented in the other initiatives. Savings can be input as fuel, electric or carbon for convenience. This must be referenced for the savings to be accepted. </t>
  </si>
  <si>
    <t>% Energy Reduction</t>
  </si>
  <si>
    <r>
      <t>kg CO2e per m</t>
    </r>
    <r>
      <rPr>
        <vertAlign val="superscript"/>
        <sz val="12"/>
        <color theme="1"/>
        <rFont val="Arial"/>
        <family val="2"/>
      </rPr>
      <t>3</t>
    </r>
  </si>
  <si>
    <r>
      <t>Total Carbon Footprint to date (kg CO</t>
    </r>
    <r>
      <rPr>
        <b/>
        <vertAlign val="subscript"/>
        <sz val="12"/>
        <color theme="1"/>
        <rFont val="Arial"/>
        <family val="2"/>
      </rPr>
      <t>2</t>
    </r>
    <r>
      <rPr>
        <b/>
        <sz val="12"/>
        <color theme="1"/>
        <rFont val="Arial"/>
        <family val="2"/>
      </rPr>
      <t>)</t>
    </r>
  </si>
  <si>
    <t>WATER SAVING INITIATIVES</t>
  </si>
  <si>
    <t>VALIDATION FOR WATER SAVING INITIATIVES</t>
  </si>
  <si>
    <t>Water Saving Initiatives</t>
  </si>
  <si>
    <r>
      <rPr>
        <b/>
        <sz val="12"/>
        <color theme="1"/>
        <rFont val="Arial"/>
        <family val="2"/>
      </rPr>
      <t>Water Saving Initiatives:</t>
    </r>
    <r>
      <rPr>
        <sz val="12"/>
        <color theme="1"/>
        <rFont val="Arial"/>
        <family val="2"/>
      </rPr>
      <t xml:space="preserve"> This initiative enables the carbon savings from collecting/saving water on site to be quantified and included in this model.</t>
    </r>
  </si>
  <si>
    <t>Data entry - Electricity</t>
  </si>
  <si>
    <t>Data Entry - Fuel</t>
  </si>
  <si>
    <t>Tonne/Length/Kva of equipment being used</t>
  </si>
  <si>
    <t>Type of equipment being used</t>
  </si>
  <si>
    <t>Author for tab</t>
  </si>
  <si>
    <t>Referee for tab</t>
  </si>
  <si>
    <t>Do you have an external fuel tank on site?</t>
  </si>
  <si>
    <t>External fuel tank size on site (l)</t>
  </si>
  <si>
    <t>Make &amp; model (if same as above)</t>
  </si>
  <si>
    <r>
      <t xml:space="preserve">Fuel consumption of equipment </t>
    </r>
    <r>
      <rPr>
        <sz val="12"/>
        <color rgb="FFFF0000"/>
        <rFont val="Arial"/>
        <family val="2"/>
      </rPr>
      <t xml:space="preserve">(litres/hour) </t>
    </r>
  </si>
  <si>
    <r>
      <t xml:space="preserve">Fuel tank size of equipment </t>
    </r>
    <r>
      <rPr>
        <sz val="12"/>
        <color rgb="FFFF0000"/>
        <rFont val="Arial"/>
        <family val="2"/>
      </rPr>
      <t>(litres)</t>
    </r>
  </si>
  <si>
    <t>Number of refills of tank per period</t>
  </si>
  <si>
    <r>
      <t xml:space="preserve">Calculated reduction in fuel consumption </t>
    </r>
    <r>
      <rPr>
        <sz val="12"/>
        <color rgb="FFFF0000"/>
        <rFont val="Arial"/>
        <family val="2"/>
      </rPr>
      <t>(%)</t>
    </r>
  </si>
  <si>
    <r>
      <t xml:space="preserve">Efficient lights power </t>
    </r>
    <r>
      <rPr>
        <sz val="12"/>
        <color rgb="FFFF0000"/>
        <rFont val="Arial"/>
        <family val="2"/>
      </rPr>
      <t>(W)</t>
    </r>
  </si>
  <si>
    <r>
      <t xml:space="preserve">Standard lights power </t>
    </r>
    <r>
      <rPr>
        <sz val="12"/>
        <color rgb="FFFF0000"/>
        <rFont val="Arial"/>
        <family val="2"/>
      </rPr>
      <t>(W)</t>
    </r>
  </si>
  <si>
    <r>
      <t xml:space="preserve">Total power </t>
    </r>
    <r>
      <rPr>
        <sz val="12"/>
        <color rgb="FFFF0000"/>
        <rFont val="Arial"/>
        <family val="2"/>
      </rPr>
      <t>(kW)</t>
    </r>
    <r>
      <rPr>
        <sz val="12"/>
        <color theme="1"/>
        <rFont val="Arial"/>
        <family val="2"/>
      </rPr>
      <t xml:space="preserve"> of lights connected to PIR Sensor</t>
    </r>
  </si>
  <si>
    <t>Please see right hand side of cells to see comments about each one</t>
  </si>
  <si>
    <t>This cells list the drop down options for row 20 for fuel equipment giving the tonne/kva of the equipment group depending on what has been selected from row 18</t>
  </si>
  <si>
    <t>Please note that the top cell for each column is for the Not Listed option on the drop down box</t>
  </si>
  <si>
    <t>The rest of the column other than the top cell pulls the data directly from each of the equipment tabs which is listed below the actual table</t>
  </si>
  <si>
    <t>Please note the formula in the top cell is different to the formulas below it. When changing formula change row 22 and 23-28 separately. E.g. You can change 23 then drag down and across but 22 must be done separately.</t>
  </si>
  <si>
    <t>This table is to help populate the manufacturer and model table below this one on this tab. The numbers correspond to the numbered equipment in the equipment tabs</t>
  </si>
  <si>
    <t>This table uses the numbers in the previous table above (rows 22-28) to populate the dropdown menu for row 29 on the Fuel Equipment tab</t>
  </si>
  <si>
    <t>Please note the formula in the top cell is different to the formulas below it. When changing formula, change row 30 and 31-36 separately. E.g. You can change 31 then drag down and across the entire table but 30 must be done separately.</t>
  </si>
  <si>
    <t>This populates the loading data available for that specific piece of equipment (what ever is input into the Equipment tab and enables the user to select the most appropriate option</t>
  </si>
  <si>
    <t>Great care must be taken when changing the formula, each of the rows have different formula but once one cell has been changed this can be dragged across the other columns (along the row) to update. Amend each row independently</t>
  </si>
  <si>
    <t>This populates the information we have regarding the maximum value for each grouped equipment (e.g. 12T Dumper) for each of the loadings.</t>
  </si>
  <si>
    <t>This is used for the drop down boxes on row 17 on ESO, also gives the default values if no value is entered in row 18</t>
  </si>
  <si>
    <r>
      <rPr>
        <b/>
        <sz val="11"/>
        <color theme="1"/>
        <rFont val="Calibri"/>
        <family val="2"/>
        <scheme val="minor"/>
      </rPr>
      <t>Table B8:F33:</t>
    </r>
    <r>
      <rPr>
        <sz val="11"/>
        <color theme="1"/>
        <rFont val="Calibri"/>
        <family val="2"/>
        <scheme val="minor"/>
      </rPr>
      <t xml:space="preserve"> This forms the drop down bos information in row 18 depending on the value the user has input on row 17, these will automatically update when each drop down in 17 has been selected</t>
    </r>
  </si>
  <si>
    <r>
      <rPr>
        <b/>
        <sz val="11"/>
        <color theme="1"/>
        <rFont val="Calibri"/>
        <family val="2"/>
        <scheme val="minor"/>
      </rPr>
      <t>Table I8:L33:</t>
    </r>
    <r>
      <rPr>
        <sz val="11"/>
        <color theme="1"/>
        <rFont val="Calibri"/>
        <family val="2"/>
        <scheme val="minor"/>
      </rPr>
      <t xml:space="preserve"> This provides the static data which is used to populate the table B8:F33</t>
    </r>
  </si>
  <si>
    <t>EPC VALUE</t>
  </si>
  <si>
    <t>Depending on whether it is calculated from using the percentage of electricity the office uses of the total site electricity or the defined office usage of electricity respectively</t>
  </si>
  <si>
    <t xml:space="preserve">Fill in all grey boxes, the dates are important for reporting the correct current and end of project savings in the graphs. The descriptive boxes are important for explaining the energy saving initiatives and the effect these have had on savings reported as well as reasons for any change since previous quarter reporting. </t>
  </si>
  <si>
    <t>The Savings Calculator tab shows the energy graph, which details actual carbon footprint and the energy savings.
There is a checklist table that shows the overall progress of data input. Once all data has been entered into the relevant sections the checklist table will all be green. If there are still red sections in the checklist table then there are incomplete sections in the model.</t>
  </si>
  <si>
    <t>This initiative documents the energy saving of a contractor using an efficient piece of equipment compared to using a standard/inefficient piece of equipment. This initiative calculates the fuel saved by using efficient machinery by estimating the fuel used by efficient equipment and by standard equipment and working out the difference between the two - the difference is your saving.  There are several different options as to how to fill this section out. Please use the library of data to look up information for Cranes, Excavators, Dumpers and Generators.</t>
  </si>
  <si>
    <r>
      <rPr>
        <b/>
        <sz val="12"/>
        <color theme="1"/>
        <rFont val="Arial"/>
        <family val="2"/>
      </rPr>
      <t>Hybrid Lighting Towers:</t>
    </r>
    <r>
      <rPr>
        <sz val="12"/>
        <color theme="1"/>
        <rFont val="Arial"/>
        <family val="2"/>
      </rPr>
      <t xml:space="preserve"> This enables the energy (carbon) saved whilst using a VT Hybrid Lighting Tower to be calculated compared to a standard non hybrid lighting tower. If you know the savings from a different hybrid lighting tower please unhide the ‘Hybrid Lighting Calculator’ tab and change the savings data (which is the assumed carbon saving).</t>
    </r>
  </si>
  <si>
    <r>
      <rPr>
        <b/>
        <sz val="12"/>
        <color theme="1"/>
        <rFont val="Arial"/>
        <family val="2"/>
      </rPr>
      <t>Office Lighting:</t>
    </r>
    <r>
      <rPr>
        <sz val="12"/>
        <color theme="1"/>
        <rFont val="Arial"/>
        <family val="2"/>
      </rPr>
      <t xml:space="preserve"> This calculates the average energy (carbon) saved from running a ‘Switch It Off Campaign’ ensuring lights were turned off at the end of a day/when not in use.</t>
    </r>
  </si>
  <si>
    <t>This initiative quantifies the reduction in carbon from procuring electric equipment rather than  standard fuel powered equipment for the same job. Please note, no savings will be awarded if the site is not connected to the national grid or there is no standard piece of fuel equipment.</t>
  </si>
  <si>
    <t xml:space="preserve">Enter your electricity data into the 'Data entry - electricity' tab, for the correct electricity type. </t>
  </si>
  <si>
    <t xml:space="preserve">Enter your fuel data into the 'Data entry - electricity' tab, for the correct fuel type. </t>
  </si>
  <si>
    <t>BEFORE PFC</t>
  </si>
  <si>
    <t>AFTER PFC</t>
  </si>
  <si>
    <t>VALIDATION OF PFC EQUIPMENT</t>
  </si>
  <si>
    <t>GHG kVArh</t>
  </si>
  <si>
    <t>PFC Before</t>
  </si>
  <si>
    <t>PFC After</t>
  </si>
  <si>
    <r>
      <t xml:space="preserve">The kilovolt amperes reactive </t>
    </r>
    <r>
      <rPr>
        <sz val="12"/>
        <color rgb="FFFF0000"/>
        <rFont val="Arial"/>
        <family val="2"/>
      </rPr>
      <t>(kVAr)</t>
    </r>
    <r>
      <rPr>
        <sz val="12"/>
        <color theme="1"/>
        <rFont val="Arial"/>
        <family val="2"/>
      </rPr>
      <t xml:space="preserve"> of the PFC equipment</t>
    </r>
  </si>
  <si>
    <r>
      <t xml:space="preserve">Average </t>
    </r>
    <r>
      <rPr>
        <sz val="12"/>
        <color rgb="FFFF0000"/>
        <rFont val="Arial"/>
        <family val="2"/>
      </rPr>
      <t>days</t>
    </r>
    <r>
      <rPr>
        <sz val="12"/>
        <color theme="1"/>
        <rFont val="Arial"/>
        <family val="2"/>
      </rPr>
      <t xml:space="preserve"> per period PFC equipment is used for (out of 28)</t>
    </r>
  </si>
  <si>
    <r>
      <t xml:space="preserve">Average </t>
    </r>
    <r>
      <rPr>
        <sz val="12"/>
        <color rgb="FFFF0000"/>
        <rFont val="Arial"/>
        <family val="2"/>
      </rPr>
      <t>hours</t>
    </r>
    <r>
      <rPr>
        <sz val="12"/>
        <color theme="1"/>
        <rFont val="Arial"/>
        <family val="2"/>
      </rPr>
      <t xml:space="preserve"> per day PFC equipment is used for (out of 24)</t>
    </r>
  </si>
  <si>
    <t>B-PFC&gt;A-PFC</t>
  </si>
  <si>
    <t>Cummulative Fuel</t>
  </si>
  <si>
    <t>Cummulative</t>
  </si>
  <si>
    <r>
      <t xml:space="preserve">Itemised kilovolt ampere reactive hours (kVArh) shown on electricity bill </t>
    </r>
    <r>
      <rPr>
        <b/>
        <sz val="12"/>
        <color theme="1"/>
        <rFont val="Arial"/>
        <family val="2"/>
      </rPr>
      <t>after</t>
    </r>
    <r>
      <rPr>
        <sz val="12"/>
        <color theme="1"/>
        <rFont val="Arial"/>
        <family val="2"/>
      </rPr>
      <t xml:space="preserve"> PFC equipment installed</t>
    </r>
  </si>
  <si>
    <r>
      <t xml:space="preserve">Itemised kilovolt ampere reactive hours (kVArh) shown on electricity bill </t>
    </r>
    <r>
      <rPr>
        <b/>
        <sz val="12"/>
        <color theme="1"/>
        <rFont val="Arial"/>
        <family val="2"/>
      </rPr>
      <t>before</t>
    </r>
    <r>
      <rPr>
        <sz val="12"/>
        <color theme="1"/>
        <rFont val="Arial"/>
        <family val="2"/>
      </rPr>
      <t xml:space="preserve"> PFC equipment installed</t>
    </r>
  </si>
  <si>
    <r>
      <t xml:space="preserve">Period A </t>
    </r>
    <r>
      <rPr>
        <sz val="12"/>
        <color rgb="FFFF0000"/>
        <rFont val="Arial"/>
        <family val="2"/>
      </rPr>
      <t>(kVArh)</t>
    </r>
  </si>
  <si>
    <r>
      <t xml:space="preserve">Period B </t>
    </r>
    <r>
      <rPr>
        <sz val="12"/>
        <color rgb="FFFF0000"/>
        <rFont val="Arial"/>
        <family val="2"/>
      </rPr>
      <t>(kVArh)</t>
    </r>
  </si>
  <si>
    <r>
      <t xml:space="preserve">Period C </t>
    </r>
    <r>
      <rPr>
        <sz val="12"/>
        <color rgb="FFFF0000"/>
        <rFont val="Arial"/>
        <family val="2"/>
      </rPr>
      <t>(kVArh)</t>
    </r>
  </si>
  <si>
    <r>
      <t xml:space="preserve">Period D </t>
    </r>
    <r>
      <rPr>
        <sz val="12"/>
        <color rgb="FFFF0000"/>
        <rFont val="Arial"/>
        <family val="2"/>
      </rPr>
      <t>(kVArh)</t>
    </r>
  </si>
  <si>
    <r>
      <t>Period E</t>
    </r>
    <r>
      <rPr>
        <sz val="12"/>
        <color rgb="FFFF0000"/>
        <rFont val="Arial"/>
        <family val="2"/>
      </rPr>
      <t xml:space="preserve"> (kVArh)</t>
    </r>
  </si>
  <si>
    <r>
      <t xml:space="preserve">Period F </t>
    </r>
    <r>
      <rPr>
        <sz val="12"/>
        <color rgb="FFFF0000"/>
        <rFont val="Arial"/>
        <family val="2"/>
      </rPr>
      <t>(kVArh)</t>
    </r>
  </si>
  <si>
    <t>GHG kVAr/Year</t>
  </si>
  <si>
    <r>
      <t xml:space="preserve">Period G </t>
    </r>
    <r>
      <rPr>
        <sz val="12"/>
        <color rgb="FFFF0000"/>
        <rFont val="Arial"/>
        <family val="2"/>
      </rPr>
      <t>(kVArh)</t>
    </r>
  </si>
  <si>
    <r>
      <t xml:space="preserve">Period H </t>
    </r>
    <r>
      <rPr>
        <sz val="12"/>
        <color rgb="FFFF0000"/>
        <rFont val="Arial"/>
        <family val="2"/>
      </rPr>
      <t>(kVArh)</t>
    </r>
  </si>
  <si>
    <r>
      <t xml:space="preserve">Period I </t>
    </r>
    <r>
      <rPr>
        <sz val="12"/>
        <color rgb="FFFF0000"/>
        <rFont val="Arial"/>
        <family val="2"/>
      </rPr>
      <t>(kVArh)</t>
    </r>
  </si>
  <si>
    <r>
      <t xml:space="preserve">Period J </t>
    </r>
    <r>
      <rPr>
        <sz val="12"/>
        <color rgb="FFFF0000"/>
        <rFont val="Arial"/>
        <family val="2"/>
      </rPr>
      <t>(kVArh)</t>
    </r>
  </si>
  <si>
    <r>
      <t>Period K</t>
    </r>
    <r>
      <rPr>
        <sz val="12"/>
        <color rgb="FFFF0000"/>
        <rFont val="Arial"/>
        <family val="2"/>
      </rPr>
      <t xml:space="preserve"> (kVArh)</t>
    </r>
  </si>
  <si>
    <r>
      <t xml:space="preserve">Period L </t>
    </r>
    <r>
      <rPr>
        <sz val="12"/>
        <color rgb="FFFF0000"/>
        <rFont val="Arial"/>
        <family val="2"/>
      </rPr>
      <t>(kVArh)</t>
    </r>
  </si>
  <si>
    <t>Reduction in emissions from PF due to PFC equipment installed (CO2 kg)</t>
  </si>
  <si>
    <t>Emissions due to PF after PFC equipment installed (CO2 kg)</t>
  </si>
  <si>
    <t>Office Electricity Usage</t>
  </si>
  <si>
    <t>Power Factor after PFC equipment has been installed</t>
  </si>
  <si>
    <t>2014/15-Q4</t>
  </si>
  <si>
    <t>2015/16-Q1</t>
  </si>
  <si>
    <t>2015/16-Q2</t>
  </si>
  <si>
    <t>2015/16-Q3</t>
  </si>
  <si>
    <t>2015/16-Q4</t>
  </si>
  <si>
    <t>Cummulative current &amp; end of contract % energy reduction</t>
  </si>
  <si>
    <t>Cumulative Current with Savings</t>
  </si>
  <si>
    <t>Cumulative Currentwithout Savings</t>
  </si>
  <si>
    <t>Efficient Site Cabins</t>
  </si>
  <si>
    <r>
      <t xml:space="preserve">Please only use this option when you have been monitoring the meter for the individual office cabins </t>
    </r>
    <r>
      <rPr>
        <b/>
        <sz val="12"/>
        <color rgb="FFFF0000"/>
        <rFont val="Calibri"/>
        <family val="2"/>
        <scheme val="minor"/>
      </rPr>
      <t>(kWh)</t>
    </r>
  </si>
  <si>
    <t>VT hybrid LED Tower</t>
  </si>
  <si>
    <t>Name of unit (if not listed)</t>
  </si>
  <si>
    <t>Fuel saved per hour compared to standard lighting tower</t>
  </si>
  <si>
    <t>Has this figure above been referenced in the referencing tab?</t>
  </si>
  <si>
    <t>Fuel Saved Per hour</t>
  </si>
  <si>
    <t>Referee (person refered to for data for the section)</t>
  </si>
  <si>
    <t>Section Author (person completing the specific section)</t>
  </si>
  <si>
    <t>This table should be used to check progress after data input to all the relevant tabs. If you do not use a section please use the drop down box (highlighted in yellow) in the table to confirm that the section is not required. The form will be considered complete when all sections are shown in green.</t>
  </si>
  <si>
    <t>This tab enables contractors to claim carbon savings with fuel efficient equipment compared to standard equipment. Please input all the types of fuel EFFICIENT equipment you have, this includes lighting towers except for the VT Hybrid LED Lighting Tower which can be input in the lighting section</t>
  </si>
  <si>
    <t>Author for section</t>
  </si>
  <si>
    <t>Referee for section</t>
  </si>
  <si>
    <t>This section enables contractors to claim carbon savings for energy efficient site construction cabin offices.</t>
  </si>
  <si>
    <t>This section enables contractors to claim CO2 emission savings whilst using power factor correction equipment</t>
  </si>
  <si>
    <t>This section enables contractors to claim carbon savings for various efficient lighting situations</t>
  </si>
  <si>
    <t>This section enables contractors to claim carbon savings with different behavioural initiatives in their offices and water collection/saving on site</t>
  </si>
  <si>
    <t>This section enables contractors to claim carbon savings for initiatives that have not been covered in the previous sections</t>
  </si>
  <si>
    <t>2017/18-P01</t>
  </si>
  <si>
    <t>2017/18-P02</t>
  </si>
  <si>
    <t>2017/18-P03</t>
  </si>
  <si>
    <t>2017/18-P04</t>
  </si>
  <si>
    <t>2017/18-P05</t>
  </si>
  <si>
    <t>2017/18-P06</t>
  </si>
  <si>
    <t>2017/18-P07</t>
  </si>
  <si>
    <t>2017/18-P08</t>
  </si>
  <si>
    <t>2017/18-P09</t>
  </si>
  <si>
    <t>2017/18-P10</t>
  </si>
  <si>
    <t>2017/18-P11</t>
  </si>
  <si>
    <t>2017/18-P12</t>
  </si>
  <si>
    <t>2017/18-P13</t>
  </si>
  <si>
    <t>2018/19-P01</t>
  </si>
  <si>
    <t>2018/19-P02</t>
  </si>
  <si>
    <t>2018/19-P03</t>
  </si>
  <si>
    <t>2018/19-P04</t>
  </si>
  <si>
    <t>2018/19-P05</t>
  </si>
  <si>
    <t>2018/19-P06</t>
  </si>
  <si>
    <t>2018/19-P07</t>
  </si>
  <si>
    <t>2018/19-P08</t>
  </si>
  <si>
    <t>2018/19-P09</t>
  </si>
  <si>
    <t>2018/19-P10</t>
  </si>
  <si>
    <t>2018/19-P11</t>
  </si>
  <si>
    <t>2018/19-P12</t>
  </si>
  <si>
    <t>2018/19-P13</t>
  </si>
  <si>
    <t>NOTE: Figures change on 31st of May the year after. Eg. 2014 figures expire on 31/05/2015</t>
  </si>
  <si>
    <t>GHG year</t>
  </si>
  <si>
    <t>Fuel Equipment saving</t>
  </si>
  <si>
    <t>Efficient Site Office</t>
  </si>
  <si>
    <t>PFC</t>
  </si>
  <si>
    <t>Hybrid Lighting</t>
  </si>
  <si>
    <t>PIR Lighting</t>
  </si>
  <si>
    <t>Additional Saving</t>
  </si>
  <si>
    <t xml:space="preserve"> Itemised Savings </t>
  </si>
  <si>
    <t>Ecotricity</t>
  </si>
  <si>
    <t>Good Energy</t>
  </si>
  <si>
    <t>UPL/Haven Power</t>
  </si>
  <si>
    <t>npower</t>
  </si>
  <si>
    <t>GHG Year</t>
  </si>
  <si>
    <t>Normal GHG</t>
  </si>
  <si>
    <t>Vlookup Table Index Column</t>
  </si>
  <si>
    <t>Total (KWH)</t>
  </si>
  <si>
    <t>Co2e (kg) - STANDARD electricity consumption</t>
  </si>
  <si>
    <t xml:space="preserve">
Period Co2e (kg) - with savings</t>
  </si>
  <si>
    <t>Green Tariff Saving</t>
  </si>
  <si>
    <t>PIR Lighting Sensors Saving kgCO2</t>
  </si>
  <si>
    <t>Green Tariff</t>
  </si>
  <si>
    <t>Data Entry Electricity</t>
  </si>
  <si>
    <t>Scope 1</t>
  </si>
  <si>
    <t>Scope 2</t>
  </si>
  <si>
    <t>Emissions</t>
  </si>
  <si>
    <t>Initiative Savings</t>
  </si>
  <si>
    <t>Fuel Equip</t>
  </si>
  <si>
    <t>Office</t>
  </si>
  <si>
    <t>Co2e (kg) - earned savings from initiatives</t>
  </si>
  <si>
    <t>SUMs</t>
  </si>
  <si>
    <t>Scope</t>
  </si>
  <si>
    <t>Title</t>
  </si>
  <si>
    <t>Co2e (Kg)</t>
  </si>
  <si>
    <t>Assending</t>
  </si>
  <si>
    <t>Descending</t>
  </si>
  <si>
    <t>ADDITIONAL SAVING</t>
  </si>
  <si>
    <t>Paper &amp; Printers</t>
  </si>
  <si>
    <t>Scope 1 Cummulative Total Emission</t>
  </si>
  <si>
    <t>Scope 2 Cummulative Totlal emission</t>
  </si>
  <si>
    <t>Earned Saving</t>
  </si>
  <si>
    <t>Vlookup Index</t>
  </si>
  <si>
    <t>EDF</t>
  </si>
  <si>
    <t>Green Tariff?</t>
  </si>
  <si>
    <r>
      <t xml:space="preserve">GreenTariff
</t>
    </r>
    <r>
      <rPr>
        <b/>
        <sz val="8"/>
        <rFont val="Arial"/>
        <family val="2"/>
      </rPr>
      <t>(Select your Provider)</t>
    </r>
  </si>
  <si>
    <t>2016/17-Q1</t>
  </si>
  <si>
    <t>2016/17-Q2</t>
  </si>
  <si>
    <t>2016/17-Q3</t>
  </si>
  <si>
    <t>2016/17-Q4</t>
  </si>
  <si>
    <t>2017/18-Q1</t>
  </si>
  <si>
    <t>2017/18-Q2</t>
  </si>
  <si>
    <t>2017/18-Q3</t>
  </si>
  <si>
    <t>2017/18-Q4</t>
  </si>
  <si>
    <t>2018/19-Q1</t>
  </si>
  <si>
    <t>2018/19-Q2</t>
  </si>
  <si>
    <t>2018/19-Q3</t>
  </si>
  <si>
    <t>2018/19-Q4</t>
  </si>
  <si>
    <t>Biodiesel 100%</t>
  </si>
  <si>
    <t>Bioethanol 100%</t>
  </si>
  <si>
    <t>Biomethane 100%</t>
  </si>
  <si>
    <t>kg CO2e per kg</t>
  </si>
  <si>
    <t>Cumulative table</t>
  </si>
  <si>
    <r>
      <t>Biodiesel</t>
    </r>
    <r>
      <rPr>
        <b/>
        <sz val="10"/>
        <color theme="0"/>
        <rFont val="Arial"/>
        <family val="2"/>
      </rPr>
      <t xml:space="preserve"> 100%</t>
    </r>
  </si>
  <si>
    <t>Conversion Values</t>
  </si>
  <si>
    <t>IF you have green</t>
  </si>
  <si>
    <t>If Tariff is not specified</t>
  </si>
  <si>
    <t>Green Validation</t>
  </si>
  <si>
    <t>sum</t>
  </si>
  <si>
    <t>if you have green LED</t>
  </si>
  <si>
    <t>if you have green PIR</t>
  </si>
  <si>
    <t>If Actual Green Not entred</t>
  </si>
  <si>
    <t>If there is actual green but no Initiative</t>
  </si>
  <si>
    <t>S
cum</t>
  </si>
  <si>
    <t>Period counter</t>
  </si>
  <si>
    <t>Start of Contract</t>
  </si>
  <si>
    <t>End</t>
  </si>
  <si>
    <t>Number of rows</t>
  </si>
  <si>
    <t>Biodiesel Saving</t>
  </si>
  <si>
    <t>Co2e (kg) - STANDARD Fuel consumption</t>
  </si>
  <si>
    <t>TGE</t>
  </si>
  <si>
    <t>TSE</t>
  </si>
  <si>
    <t>TS = TSF + TSE</t>
  </si>
  <si>
    <t>TGE
cum</t>
  </si>
  <si>
    <r>
      <t>T</t>
    </r>
    <r>
      <rPr>
        <b/>
        <sz val="10"/>
        <color rgb="FFFF0000"/>
        <rFont val="Times New Roman"/>
        <family val="1"/>
      </rPr>
      <t>BF</t>
    </r>
  </si>
  <si>
    <r>
      <t>T</t>
    </r>
    <r>
      <rPr>
        <b/>
        <sz val="10"/>
        <color rgb="FFFF0000"/>
        <rFont val="Times New Roman"/>
        <family val="1"/>
      </rPr>
      <t>SF</t>
    </r>
  </si>
  <si>
    <r>
      <rPr>
        <b/>
        <sz val="24"/>
        <color rgb="FFFF0000"/>
        <rFont val="Times New Roman"/>
        <family val="1"/>
      </rPr>
      <t>S</t>
    </r>
    <r>
      <rPr>
        <b/>
        <sz val="14"/>
        <color rgb="FFFF0000"/>
        <rFont val="Times New Roman"/>
        <family val="1"/>
      </rPr>
      <t xml:space="preserve"> = TS + I</t>
    </r>
  </si>
  <si>
    <r>
      <rPr>
        <b/>
        <sz val="22"/>
        <color rgb="FFFF0000"/>
        <rFont val="Times New Roman"/>
        <family val="1"/>
      </rPr>
      <t xml:space="preserve">I </t>
    </r>
    <r>
      <rPr>
        <b/>
        <sz val="14"/>
        <color rgb="FFFF0000"/>
        <rFont val="Times New Roman"/>
        <family val="1"/>
      </rPr>
      <t>= ISF + ISE</t>
    </r>
  </si>
  <si>
    <t>TBG
cum</t>
  </si>
  <si>
    <t>1 - TBG / S</t>
  </si>
  <si>
    <t>1 - TBG / S
cum</t>
  </si>
  <si>
    <t>S - TBG</t>
  </si>
  <si>
    <t>S - TBG
cum</t>
  </si>
  <si>
    <t>TBF
cum</t>
  </si>
  <si>
    <t>Bio Diesel</t>
  </si>
  <si>
    <r>
      <rPr>
        <b/>
        <sz val="24"/>
        <color rgb="FFFF0000"/>
        <rFont val="Times New Roman"/>
        <family val="1"/>
      </rPr>
      <t>T</t>
    </r>
    <r>
      <rPr>
        <b/>
        <sz val="14"/>
        <color rgb="FFFF0000"/>
        <rFont val="Times New Roman"/>
        <family val="1"/>
      </rPr>
      <t>BG = TBF + TGE</t>
    </r>
  </si>
  <si>
    <t>% saving - Current period</t>
  </si>
  <si>
    <t>% saving - End of contract</t>
  </si>
  <si>
    <t>Green + Bio + Initiatives C02 Saved</t>
  </si>
  <si>
    <t>Cummulative - Green + Bio + Initiatives C02 Saved</t>
  </si>
  <si>
    <r>
      <rPr>
        <b/>
        <sz val="16"/>
        <color rgb="FF0070C0"/>
        <rFont val="Arial"/>
        <family val="2"/>
      </rPr>
      <t>I</t>
    </r>
    <r>
      <rPr>
        <b/>
        <sz val="11"/>
        <color rgb="FF0070C0"/>
        <rFont val="Arial"/>
        <family val="2"/>
      </rPr>
      <t xml:space="preserve">
Co2e (kg) - earned savings from Initiatives</t>
    </r>
  </si>
  <si>
    <t>TSE - TGE</t>
  </si>
  <si>
    <t xml:space="preserve">(TSF-TBF) - 0.13 I </t>
  </si>
  <si>
    <t>Biodiesel</t>
  </si>
  <si>
    <t>Data Entry Fuel</t>
  </si>
  <si>
    <t>PIR Lighting
Efficient Site offices/cabins
Hybrid Lighting Towers
Efficient Machinery</t>
  </si>
  <si>
    <t>Hitachi zx225uslc-5b (25T excavator)</t>
  </si>
  <si>
    <t xml:space="preserve">Generator: Speedy 250Kva 41/0250-h </t>
  </si>
  <si>
    <t>Not Listed</t>
  </si>
  <si>
    <t xml:space="preserve">Thwaites 6t forward tipping dumper </t>
  </si>
  <si>
    <t>50%</t>
  </si>
  <si>
    <t>NOT REQUIRED</t>
  </si>
  <si>
    <t xml:space="preserve">Eco Units Wernick </t>
  </si>
  <si>
    <t>Site Offices AD1</t>
  </si>
  <si>
    <t>Site Offices AD2</t>
  </si>
  <si>
    <t>Site Offices AD4</t>
  </si>
  <si>
    <t>Main Offices Undercroft</t>
  </si>
  <si>
    <t xml:space="preserve">After updating usage figures this model is giving a smaller saving than previously. Use of efficient machiniery and lighting  has the most significant contribution to the energy reduction, as well as the water saving measure (efficient flush) implemented in the undercroft male lavatories. Actions to be taken in the next quarter include investigating the implementation of a green tariff. </t>
  </si>
  <si>
    <t>Embodied carbon not yer included.</t>
  </si>
  <si>
    <t xml:space="preserve">Smaller change in energy reduction due to an increased use in fuel (extended hours to reach C160 handover date) and date of project completion has been extended by 3 periods. </t>
  </si>
  <si>
    <t>43.84</t>
  </si>
  <si>
    <t>-</t>
  </si>
  <si>
    <r>
      <t xml:space="preserve">E3 - Carbon Emissions       </t>
    </r>
    <r>
      <rPr>
        <sz val="11.95"/>
        <color indexed="10"/>
        <rFont val="Arial"/>
        <family val="2"/>
      </rPr>
      <t>Date Range: 01/01/2011 - 27/06/2015</t>
    </r>
  </si>
  <si>
    <t>MR AA</t>
  </si>
  <si>
    <t>Mrs BB</t>
  </si>
  <si>
    <t>This needs to be accurate and to match up with what has been reported in RIVO (Crossrail's data platform - contractors are required to update this every 4 weeks)</t>
  </si>
  <si>
    <t>Please try and quantify all energy saving initiatives you have stated in your Quarterly Environmental Report (Quarterly reporting is a contract requierment)</t>
  </si>
  <si>
    <t>Please download your vehicle movements from the Crossrail Logistics software (VMPS - E3 Emissions download) and copy and paste the results into this tab.  (Crossrail uses a centralised too VMPS to capture all vehicle movements.  This data is used to calculate transport logistics related carbon)</t>
  </si>
  <si>
    <t>Either use the Environment Agency Tool for calculating embodied emissions and copy and paste the results on the report tab into this spreadsheet or copy your own calculations into the grey total embodied emissions box.(Other tools could include Transport Scotland, RSSB)</t>
  </si>
</sst>
</file>

<file path=xl/styles.xml><?xml version="1.0" encoding="utf-8"?>
<styleSheet xmlns="http://schemas.openxmlformats.org/spreadsheetml/2006/main" xmlns:mc="http://schemas.openxmlformats.org/markup-compatibility/2006" xmlns:x14ac="http://schemas.microsoft.com/office/spreadsheetml/2009/9/ac" mc:Ignorable="x14ac">
  <numFmts count="151">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2]* #,##0.00_-;\-[$€-2]* #,##0.00_-;_-[$€-2]* &quot;-&quot;??_-"/>
    <numFmt numFmtId="165" formatCode="_(* #,##0.00_);_(* \(#,##0.00\);_(* &quot;-&quot;??_);_(@_)"/>
    <numFmt numFmtId="166" formatCode="[&gt;0.5]#,##0;[&lt;-0.5]\-#,##0;\-"/>
    <numFmt numFmtId="167" formatCode="_-* #,##0\ _F_-;\-* #,##0\ _F_-;_-* &quot;-&quot;\ _F_-;_-@_-"/>
    <numFmt numFmtId="168" formatCode="_-* #,##0.00\ _F_-;\-* #,##0.00\ _F_-;_-* &quot;-&quot;??\ _F_-;_-@_-"/>
    <numFmt numFmtId="169" formatCode="_-* #,##0\ &quot;F&quot;_-;\-* #,##0\ &quot;F&quot;_-;_-* &quot;-&quot;\ &quot;F&quot;_-;_-@_-"/>
    <numFmt numFmtId="170" formatCode="_-* #,##0.00\ &quot;F&quot;_-;\-* #,##0.00\ &quot;F&quot;_-;_-* &quot;-&quot;??\ &quot;F&quot;_-;_-@_-"/>
    <numFmt numFmtId="171" formatCode="###.0"/>
    <numFmt numFmtId="172" formatCode="0.000"/>
    <numFmt numFmtId="173" formatCode="##.0"/>
    <numFmt numFmtId="174" formatCode="#,###,##0"/>
    <numFmt numFmtId="175" formatCode="0.0"/>
    <numFmt numFmtId="176" formatCode="0.00000"/>
    <numFmt numFmtId="177" formatCode="0.0%"/>
    <numFmt numFmtId="178" formatCode="_-* #,##0_-;\-* #,##0_-;_-* &quot;-&quot;??_-;_-@_-"/>
    <numFmt numFmtId="179" formatCode="0.000%"/>
    <numFmt numFmtId="180" formatCode="0.0000"/>
    <numFmt numFmtId="181" formatCode="#,##0_ ;\-#,##0\ "/>
    <numFmt numFmtId="182" formatCode="dd/mm/yy;@"/>
    <numFmt numFmtId="183" formatCode="\€#,##0.0_);\(\€#,##0.0\);@_)"/>
    <numFmt numFmtId="184" formatCode="#,##0;\(#,##0\)"/>
    <numFmt numFmtId="185" formatCode="#,##0.0_);\(#,##0.0\)"/>
    <numFmt numFmtId="186" formatCode="#,##0.0;\(#,##0.0\)"/>
    <numFmt numFmtId="187" formatCode="0.0_)\%;\(0.0\)\%;0.0_)\%;@_)_%"/>
    <numFmt numFmtId="188" formatCode="#,##0.0_)_%;\(#,##0.0\)_%;0.0_)_%;@_)_%"/>
    <numFmt numFmtId="189" formatCode="0.000000"/>
    <numFmt numFmtId="190" formatCode="#,##0.0_);\(#,##0.0\);#,##0.0_);@_)"/>
    <numFmt numFmtId="191" formatCode="&quot;£&quot;_(#,##0.00_);&quot;£&quot;\(#,##0.00\);&quot;£&quot;_(0.00_);@_)"/>
    <numFmt numFmtId="192" formatCode="&quot;$&quot;_(#,##0.00_);&quot;$&quot;\(#,##0.00\);&quot;$&quot;_(0.00_);@_)"/>
    <numFmt numFmtId="193" formatCode="&quot;$&quot;_(#,##0.00_);&quot;$&quot;\(#,##0.00\)"/>
    <numFmt numFmtId="194" formatCode="#,##0.00_);\(#,##0.00\);0.00_);@_)"/>
    <numFmt numFmtId="195" formatCode="\€_(#,##0.00_);\€\(#,##0.00\);\€_(0.00_);@_)"/>
    <numFmt numFmtId="196" formatCode="0.00\x_)_);&quot;NM&quot;_x_)_);0.00\x_)_);@_%_)"/>
    <numFmt numFmtId="197" formatCode="#,##0_)\x;\(#,##0\)\x;0_)\x;@_)_x"/>
    <numFmt numFmtId="198" formatCode="#,##0.0_)\x;\(#,##0.0\)\x;0.0_)\x;@_)_x"/>
    <numFmt numFmtId="199" formatCode="#,##0.0_)\x;\(#,##0.0\)\x"/>
    <numFmt numFmtId="200" formatCode="#,##0_)_x;\(#,##0\)_x;0_)_x;@_)_x"/>
    <numFmt numFmtId="201" formatCode="#,##0.0_)_x;\(#,##0.0\)_x;0.0_)_x;@_)_x"/>
    <numFmt numFmtId="202" formatCode="#,##0.0_)_%;\(#,##0.0\)_%"/>
    <numFmt numFmtId="203" formatCode="&quot;\&quot;#,##0;[Red]&quot;\&quot;&quot;\&quot;\-&quot;\&quot;#,##0"/>
    <numFmt numFmtId="204" formatCode="m\-d\-yy"/>
    <numFmt numFmtId="205" formatCode="#,##0.0\ \ \ _);\(#,##0.0\)"/>
    <numFmt numFmtId="206" formatCode="#,##0&quot;  &quot;;\(#,##0\)&quot; &quot;"/>
    <numFmt numFmtId="207" formatCode="#,##0\ ;\(#,##0\)"/>
    <numFmt numFmtId="208" formatCode="#,##0_);\(#,##0\);\-_)"/>
    <numFmt numFmtId="209" formatCode="\£#,##0_);\(\£#,##0\)"/>
    <numFmt numFmtId="210" formatCode="&quot;$&quot;#,##0_);[Red]&quot;\&quot;\(&quot;$&quot;#,##0&quot;\&quot;\)"/>
    <numFmt numFmtId="211" formatCode="#,##0.0000;\-#,##0.0000"/>
    <numFmt numFmtId="212" formatCode="_(&quot;$&quot;* #,##0.00_);_(&quot;$&quot;* \(#,##0.00\);_(&quot;$&quot;* &quot;-&quot;??_);_(@_)"/>
    <numFmt numFmtId="213" formatCode="0.0;\(0.0\);\-"/>
    <numFmt numFmtId="214" formatCode="General_)"/>
    <numFmt numFmtId="215" formatCode="_-* #,##0_-;[Red]\-\ #,##0_-;_-* &quot;-&quot;??_-;_-@_-"/>
    <numFmt numFmtId="216" formatCode="0.0%;\(0.0\)%"/>
    <numFmt numFmtId="217" formatCode="#,##0_)_-;[Red]\(#,##0\)_-;\-_)_-"/>
    <numFmt numFmtId="218" formatCode="#,##0_);[Red]\(#,##0\);&quot;-   &quot;"/>
    <numFmt numFmtId="219" formatCode="_(* #,##0.0_);_(* \(#,##0.0\);_(* &quot;-&quot;??_);_(@_)"/>
    <numFmt numFmtId="220" formatCode="#,##0.0_);\(#,##0.0\);0.0_)"/>
    <numFmt numFmtId="221" formatCode="#,##0.00_);\(#,##0.00\);0.00_)"/>
    <numFmt numFmtId="222" formatCode="0.0%;\(0.0%\);\-"/>
    <numFmt numFmtId="223" formatCode="#,##0,_);[Red]\(#,##0,\)"/>
    <numFmt numFmtId="224" formatCode="_(* #,##0_);_(* \(#,##0\);_(* &quot;-&quot;\ \ _);@"/>
    <numFmt numFmtId="225" formatCode="#,##0.0;[Red]\(#,##0.0\);\-"/>
    <numFmt numFmtId="226" formatCode="[Magenta]&quot;Err&quot;;[Magenta]&quot;Err&quot;;[Blue]&quot;OK&quot;"/>
    <numFmt numFmtId="227" formatCode="#,##0;[Red]\(#,##0\);\-"/>
    <numFmt numFmtId="228" formatCode="#,##0.0_);[Red]\(#,##0.0\);\-_)"/>
    <numFmt numFmtId="229" formatCode="&quot;$&quot;#,##0.0;\(&quot;$&quot;#,##0.0\);&quot;$&quot;#,##0.0"/>
    <numFmt numFmtId="230" formatCode="\£#,##0.0;\(\£#,##0.0\);\£#,##0.0"/>
    <numFmt numFmtId="231" formatCode="0.0%;\(0.0%\)"/>
    <numFmt numFmtId="232" formatCode="&quot;$&quot;#,##0.00_);[Red]\(&quot;$&quot;#,##0.00\)"/>
    <numFmt numFmtId="233" formatCode="#,##0;\(#,##0\);\-"/>
    <numFmt numFmtId="234" formatCode="0_);\(0\)"/>
    <numFmt numFmtId="235" formatCode="&quot;$&quot;#,##0.00_%_);\(&quot;$&quot;#,##0.00\)_%;&quot;$&quot;#,##0.00_%_);@_%_)"/>
    <numFmt numFmtId="236" formatCode="#,##0.0\x\x\);\(#,##0.0\)"/>
    <numFmt numFmtId="237" formatCode="\$#,##0\ ;\(\$#,##0\)"/>
    <numFmt numFmtId="238" formatCode="&quot;Stock&quot;_%_);;&quot;Asset&quot;_%_)"/>
    <numFmt numFmtId="239" formatCode="_(* #,##0_);_(* \(#,##0\);_(* &quot;-&quot;_);_(@_)"/>
    <numFmt numFmtId="240" formatCode="#,##0_ ;[Red]\(#,##0\);\-"/>
    <numFmt numFmtId="241" formatCode="#,##0.0_);\-#,##0.0_);\-"/>
    <numFmt numFmtId="242" formatCode="0&quot; years&quot;"/>
    <numFmt numFmtId="243" formatCode="dd\ mmm\ yyyy_);&quot;Error &lt;0  &quot;;dd\ mmm\ yyyy_);&quot;  &quot;@"/>
    <numFmt numFmtId="244" formatCode="mmm/yyyy_);;&quot;-  &quot;;&quot;  &quot;@"/>
    <numFmt numFmtId="245" formatCode="mmm\ d\,\ yyyy"/>
    <numFmt numFmtId="246" formatCode="&quot;$&quot;#,##0_);\(&quot;$&quot;#,##0\)"/>
    <numFmt numFmtId="247" formatCode="_(&quot;$&quot;* #,##0_);_(&quot;$&quot;* \(#,##0\);_(&quot;$&quot;* &quot;-&quot;_);_(@_)"/>
    <numFmt numFmtId="248" formatCode="#,##0.0\ ;\(#,##0.0\)"/>
    <numFmt numFmtId="249" formatCode="\€#,##0;\-\€#,##0"/>
    <numFmt numFmtId="250" formatCode="_-* #,##0.00\ &quot;€&quot;_-;\-* #,##0.00\ &quot;€&quot;_-;_-* &quot;-&quot;??\ &quot;€&quot;_-;_-@_-"/>
    <numFmt numFmtId="251" formatCode="0.00_)"/>
    <numFmt numFmtId="252" formatCode="00"/>
    <numFmt numFmtId="253" formatCode="#,##0_);\(#,##0\);&quot;-  &quot;"/>
    <numFmt numFmtId="254" formatCode="0.00%;\(0.00%\)"/>
    <numFmt numFmtId="255" formatCode="_(* #,##0_);_(* \(#,##0\);_(* &quot;-&quot;\ \ _);@\ &quot; (HHV)&quot;"/>
    <numFmt numFmtId="256" formatCode="\ ;\ ;"/>
    <numFmt numFmtId="257" formatCode="#,##0.00&quot;x&quot;;\(#,##0.00\)&quot;x&quot;"/>
    <numFmt numFmtId="258" formatCode="#,##0.00;\(#,##0.00\);\-"/>
    <numFmt numFmtId="259" formatCode="&quot;Asset&quot;_%_);;&quot;Stock&quot;_%_)"/>
    <numFmt numFmtId="260" formatCode="0.0_x_)_);&quot;NM&quot;_x_)_);0.0_x_)_);@_%_)"/>
    <numFmt numFmtId="261" formatCode="#,##0_%_);\(#,##0\)_%;**;@_%_)"/>
    <numFmt numFmtId="262" formatCode="#,##0.0##;[Red]\-#,##0.0##"/>
    <numFmt numFmtId="263" formatCode="#,###_);[Red]\(#,###\);#"/>
    <numFmt numFmtId="264" formatCode="_ * #,##0_ ;_ * \-#,##0_ ;_ * &quot;-&quot;_ ;_ @_ "/>
    <numFmt numFmtId="265" formatCode="_ * #,##0.00_ ;_ * \-#,##0.00_ ;_ * &quot;-&quot;??_ ;_ @_ "/>
    <numFmt numFmtId="266" formatCode="#,##0.0,,_);\(#,##0.0,,\);\-_0_)"/>
    <numFmt numFmtId="267" formatCode="#,##0.0,;[Red]\(#,##0.0,\);\-_)"/>
    <numFmt numFmtId="268" formatCode="#,##0%_);\(#,##0%\)"/>
    <numFmt numFmtId="269" formatCode="0.00_);[Red]\(0.00\);\-_0_)"/>
    <numFmt numFmtId="270" formatCode="0.0_);[Red]\(0.0\);\-_0_)"/>
    <numFmt numFmtId="271" formatCode="mmm\ yyyy"/>
    <numFmt numFmtId="272" formatCode="&quot;End&quot;_%_);&quot;Beg&quot;_%_);&quot;Avg&quot;_%_)"/>
    <numFmt numFmtId="273" formatCode="&quot;Tariff&quot;\ 0"/>
    <numFmt numFmtId="274" formatCode="#,##0.0_)%;\(#,##0.0\)\%;#,##0.0_)\%;@_)_%"/>
    <numFmt numFmtId="275" formatCode="0;\(0\)"/>
    <numFmt numFmtId="276" formatCode="##\ &quot;Years&quot;"/>
    <numFmt numFmtId="277" formatCode="#,##0.00;\(#,##0.00\)"/>
    <numFmt numFmtId="278" formatCode="\(0\);;\(@\)"/>
    <numFmt numFmtId="279" formatCode="_(* #,##0.0_);[Red]\(* #,##0.0\);_(* &quot;-&quot;_);_(@_)"/>
    <numFmt numFmtId="280" formatCode="&quot;No&quot;;&quot;Yes&quot;"/>
    <numFmt numFmtId="281" formatCode="[Blue]#,##0,_);[Red]\(#,##0,\)"/>
    <numFmt numFmtId="282" formatCode="d\ mmm\ yy"/>
    <numFmt numFmtId="283" formatCode="_(* #,##0.00%_);[Red]_(* \-#,##0.00%_);[Green]_(* 0.00%_);_(@_)_%"/>
    <numFmt numFmtId="284" formatCode=";;;"/>
    <numFmt numFmtId="285" formatCode="0.0%_ ;[Red]\-0.0%_ ;#"/>
    <numFmt numFmtId="286" formatCode="[&gt;10]#,##0.0_);[&lt;-10]\-#,##0.0_);#,##0.00_);@_)"/>
    <numFmt numFmtId="287" formatCode="\£#,##0.00_);[Red]\(\£#,##0.00\)"/>
    <numFmt numFmtId="288" formatCode="#,##0.0"/>
    <numFmt numFmtId="289" formatCode="mmmm\-yy"/>
    <numFmt numFmtId="290" formatCode="0.00\ \ \x"/>
    <numFmt numFmtId="291" formatCode="#,##0.0%;\(#,##0.0%\);\-"/>
    <numFmt numFmtId="292" formatCode="0_);[Red]\(0\);\-_)"/>
    <numFmt numFmtId="293" formatCode="#,##0_ ;\(#,##0\)_-;&quot;-&quot;"/>
    <numFmt numFmtId="294" formatCode="dd\ mmm\ yyyy"/>
    <numFmt numFmtId="295" formatCode="&quot;+&quot;0.0%;&quot;-&quot;0.0%;\-"/>
    <numFmt numFmtId="296" formatCode="\¥#,##0_);\(\¥#,##0\)"/>
    <numFmt numFmtId="297" formatCode="#,##0_ ;[Red]\-#,##0\ "/>
    <numFmt numFmtId="298" formatCode="&quot;£&quot;#,##0.00"/>
    <numFmt numFmtId="299" formatCode="d\-mmm\-yy"/>
    <numFmt numFmtId="300" formatCode="#,##0;[Red]\(#,##0\)"/>
    <numFmt numFmtId="301" formatCode="#,##0\ \ ;\(#,##0\)\ "/>
    <numFmt numFmtId="302" formatCode="#,##0.0;[Red]\-#,##0.0"/>
    <numFmt numFmtId="303" formatCode="#,##0.0000;[Red]\-#,##0.0000"/>
    <numFmt numFmtId="304" formatCode="#,##0\ \ \ ;\(#,##0\)\ \ "/>
    <numFmt numFmtId="305" formatCode="[Red]0%;[Black]\-0%"/>
    <numFmt numFmtId="306" formatCode="0.0,,&quot;m&quot;"/>
    <numFmt numFmtId="307" formatCode="#,##0_);[Red]\(#,##0\)"/>
    <numFmt numFmtId="308" formatCode="m/d/yy\ h:mm:ss"/>
    <numFmt numFmtId="309" formatCode="0.0000%"/>
  </numFmts>
  <fonts count="43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name val="Arial"/>
      <family val="2"/>
    </font>
    <font>
      <b/>
      <sz val="10"/>
      <name val="Arial"/>
      <family val="2"/>
    </font>
    <font>
      <u/>
      <sz val="11"/>
      <color theme="10"/>
      <name val="Calibri"/>
      <family val="2"/>
      <scheme val="minor"/>
    </font>
    <font>
      <u/>
      <sz val="11"/>
      <color theme="11"/>
      <name val="Calibri"/>
      <family val="2"/>
      <scheme val="minor"/>
    </font>
    <font>
      <sz val="11"/>
      <color theme="1"/>
      <name val="Arial"/>
      <family val="2"/>
    </font>
    <font>
      <b/>
      <sz val="11"/>
      <color theme="1"/>
      <name val="Arial"/>
      <family val="2"/>
    </font>
    <font>
      <b/>
      <sz val="14"/>
      <color indexed="48"/>
      <name val="Arial Narrow"/>
      <family val="2"/>
    </font>
    <font>
      <b/>
      <i/>
      <sz val="10"/>
      <name val="Arial"/>
      <family val="2"/>
    </font>
    <font>
      <i/>
      <sz val="8"/>
      <color indexed="23"/>
      <name val="Arial"/>
      <family val="2"/>
    </font>
    <font>
      <sz val="11"/>
      <color theme="1"/>
      <name val="Calibri"/>
      <family val="2"/>
      <scheme val="minor"/>
    </font>
    <font>
      <b/>
      <sz val="10"/>
      <color indexed="81"/>
      <name val="Arial"/>
      <family val="2"/>
    </font>
    <font>
      <sz val="12"/>
      <color indexed="8"/>
      <name val="Arial"/>
      <family val="2"/>
    </font>
    <font>
      <sz val="10"/>
      <name val="Arial Cyr"/>
      <charset val="204"/>
    </font>
    <font>
      <sz val="12"/>
      <color indexed="9"/>
      <name val="Arial"/>
      <family val="2"/>
    </font>
    <font>
      <sz val="9"/>
      <name val="Times New Roman"/>
      <family val="1"/>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sz val="14"/>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sz val="10"/>
      <name val="Times New Roman"/>
      <family val="1"/>
    </font>
    <font>
      <i/>
      <sz val="12"/>
      <name val="Times New Roman"/>
      <family val="1"/>
    </font>
    <font>
      <sz val="8"/>
      <name val="Helv"/>
    </font>
    <font>
      <sz val="8"/>
      <name val="Arial"/>
      <family val="2"/>
    </font>
    <font>
      <b/>
      <sz val="18"/>
      <color indexed="56"/>
      <name val="Cambria"/>
      <family val="2"/>
    </font>
    <font>
      <b/>
      <sz val="14"/>
      <name val="Helv"/>
    </font>
    <font>
      <b/>
      <sz val="12"/>
      <name val="Helv"/>
    </font>
    <font>
      <b/>
      <sz val="10"/>
      <color indexed="18"/>
      <name val="Arial"/>
      <family val="2"/>
    </font>
    <font>
      <b/>
      <sz val="12"/>
      <color indexed="8"/>
      <name val="Arial"/>
      <family val="2"/>
    </font>
    <font>
      <b/>
      <sz val="10"/>
      <color indexed="8"/>
      <name val="Arial"/>
      <family val="2"/>
    </font>
    <font>
      <sz val="12"/>
      <color indexed="10"/>
      <name val="Arial"/>
      <family val="2"/>
    </font>
    <font>
      <b/>
      <sz val="12"/>
      <color indexed="12"/>
      <name val="Arial"/>
      <family val="2"/>
    </font>
    <font>
      <b/>
      <sz val="14"/>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sz val="11"/>
      <color theme="0"/>
      <name val="Arial"/>
      <family val="2"/>
    </font>
    <font>
      <sz val="8"/>
      <color indexed="81"/>
      <name val="Tahoma"/>
      <family val="2"/>
    </font>
    <font>
      <b/>
      <sz val="8"/>
      <color indexed="81"/>
      <name val="Tahoma"/>
      <family val="2"/>
    </font>
    <font>
      <b/>
      <sz val="11"/>
      <color rgb="FF00B050"/>
      <name val="Arial"/>
      <family val="2"/>
    </font>
    <font>
      <sz val="11"/>
      <color rgb="FF00B050"/>
      <name val="Arial"/>
      <family val="2"/>
    </font>
    <font>
      <b/>
      <sz val="11"/>
      <color rgb="FF0070C0"/>
      <name val="Arial"/>
      <family val="2"/>
    </font>
    <font>
      <sz val="11"/>
      <color rgb="FF0070C0"/>
      <name val="Arial"/>
      <family val="2"/>
    </font>
    <font>
      <sz val="10"/>
      <name val="Arial"/>
      <family val="2"/>
    </font>
    <font>
      <sz val="11"/>
      <color indexed="17"/>
      <name val="Arial"/>
      <family val="2"/>
    </font>
    <font>
      <sz val="11"/>
      <color indexed="20"/>
      <name val="Arial"/>
      <family val="2"/>
    </font>
    <font>
      <sz val="11"/>
      <color indexed="60"/>
      <name val="Arial"/>
      <family val="2"/>
    </font>
    <font>
      <sz val="11"/>
      <color indexed="62"/>
      <name val="Arial"/>
      <family val="2"/>
    </font>
    <font>
      <b/>
      <sz val="11"/>
      <color indexed="63"/>
      <name val="Arial"/>
      <family val="2"/>
    </font>
    <font>
      <b/>
      <sz val="11"/>
      <color indexed="52"/>
      <name val="Arial"/>
      <family val="2"/>
    </font>
    <font>
      <sz val="11"/>
      <color indexed="52"/>
      <name val="Arial"/>
      <family val="2"/>
    </font>
    <font>
      <i/>
      <sz val="11"/>
      <color indexed="23"/>
      <name val="Arial"/>
      <family val="2"/>
    </font>
    <font>
      <b/>
      <sz val="11"/>
      <color indexed="8"/>
      <name val="Arial"/>
      <family val="2"/>
    </font>
    <font>
      <sz val="11"/>
      <color indexed="10"/>
      <name val="Arial"/>
      <family val="2"/>
    </font>
    <font>
      <sz val="11"/>
      <color indexed="9"/>
      <name val="Arial"/>
      <family val="2"/>
    </font>
    <font>
      <b/>
      <sz val="11"/>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81"/>
      <name val="Tahoma"/>
      <family val="2"/>
    </font>
    <font>
      <sz val="11"/>
      <color indexed="81"/>
      <name val="Tahoma"/>
      <family val="2"/>
    </font>
    <font>
      <sz val="11"/>
      <name val="Arial"/>
      <family val="2"/>
    </font>
    <font>
      <b/>
      <sz val="11"/>
      <color theme="1"/>
      <name val="Calibri"/>
      <family val="2"/>
      <scheme val="minor"/>
    </font>
    <font>
      <b/>
      <vertAlign val="subscript"/>
      <sz val="11"/>
      <color theme="1"/>
      <name val="Calibri"/>
      <family val="2"/>
      <scheme val="minor"/>
    </font>
    <font>
      <sz val="10"/>
      <name val="Arial"/>
      <family val="2"/>
    </font>
    <font>
      <b/>
      <sz val="12"/>
      <color indexed="81"/>
      <name val="Tahoma"/>
      <family val="2"/>
    </font>
    <font>
      <sz val="12"/>
      <color indexed="81"/>
      <name val="Tahoma"/>
      <family val="2"/>
    </font>
    <font>
      <b/>
      <sz val="11"/>
      <color theme="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9"/>
      <color rgb="FF444444"/>
      <name val="Arial"/>
      <family val="2"/>
    </font>
    <font>
      <sz val="16"/>
      <color rgb="FFFF0000"/>
      <name val="Arial"/>
      <family val="2"/>
    </font>
    <font>
      <b/>
      <sz val="8"/>
      <color theme="1"/>
      <name val="Calibri"/>
      <family val="2"/>
      <scheme val="minor"/>
    </font>
    <font>
      <b/>
      <vertAlign val="subscript"/>
      <sz val="8"/>
      <color theme="1"/>
      <name val="Calibri"/>
      <family val="2"/>
      <scheme val="minor"/>
    </font>
    <font>
      <u/>
      <sz val="11"/>
      <color theme="10"/>
      <name val="Arial"/>
      <family val="2"/>
    </font>
    <font>
      <b/>
      <sz val="20"/>
      <color theme="1"/>
      <name val="Arial"/>
      <family val="2"/>
    </font>
    <font>
      <sz val="12"/>
      <name val="Arial"/>
      <family val="2"/>
    </font>
    <font>
      <sz val="12"/>
      <color theme="1"/>
      <name val="Arial"/>
      <family val="2"/>
    </font>
    <font>
      <sz val="12"/>
      <color theme="1"/>
      <name val="Calibri"/>
      <family val="2"/>
      <scheme val="minor"/>
    </font>
    <font>
      <b/>
      <sz val="12"/>
      <color theme="1"/>
      <name val="Arial"/>
      <family val="2"/>
    </font>
    <font>
      <b/>
      <sz val="12"/>
      <color theme="1"/>
      <name val="Calibri"/>
      <family val="2"/>
      <scheme val="minor"/>
    </font>
    <font>
      <b/>
      <u/>
      <sz val="12"/>
      <color theme="1"/>
      <name val="Arial"/>
      <family val="2"/>
    </font>
    <font>
      <b/>
      <sz val="14"/>
      <color theme="1"/>
      <name val="Calibri"/>
      <family val="2"/>
      <scheme val="minor"/>
    </font>
    <font>
      <b/>
      <sz val="18"/>
      <color theme="1"/>
      <name val="Calibri"/>
      <family val="2"/>
      <scheme val="minor"/>
    </font>
    <font>
      <b/>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2"/>
      <color theme="0"/>
      <name val="Arial"/>
      <family val="2"/>
    </font>
    <font>
      <sz val="12"/>
      <color theme="0"/>
      <name val="Calibri"/>
      <family val="2"/>
      <scheme val="minor"/>
    </font>
    <font>
      <b/>
      <sz val="18"/>
      <color theme="1"/>
      <name val="Arial"/>
      <family val="2"/>
    </font>
    <font>
      <b/>
      <sz val="22"/>
      <color theme="1"/>
      <name val="Arial"/>
      <family val="2"/>
    </font>
    <font>
      <sz val="11"/>
      <color rgb="FF000000"/>
      <name val="Arial"/>
      <family val="2"/>
    </font>
    <font>
      <b/>
      <sz val="14"/>
      <name val="Arial"/>
      <family val="2"/>
    </font>
    <font>
      <sz val="10"/>
      <color indexed="10"/>
      <name val="Arial"/>
      <family val="2"/>
    </font>
    <font>
      <b/>
      <sz val="18"/>
      <name val="Arial"/>
      <family val="2"/>
    </font>
    <font>
      <sz val="11"/>
      <name val="Calibri"/>
      <family val="2"/>
    </font>
    <font>
      <sz val="8"/>
      <color rgb="FF333333"/>
      <name val="Verdana"/>
      <family val="2"/>
    </font>
    <font>
      <sz val="11"/>
      <color rgb="FF333333"/>
      <name val="Arial"/>
      <family val="2"/>
    </font>
    <font>
      <b/>
      <i/>
      <sz val="11"/>
      <color theme="1"/>
      <name val="Arial"/>
      <family val="2"/>
    </font>
    <font>
      <sz val="18"/>
      <color theme="1"/>
      <name val="Calibri"/>
      <family val="2"/>
      <scheme val="minor"/>
    </font>
    <font>
      <sz val="11.95"/>
      <color indexed="10"/>
      <name val="Arial"/>
      <family val="2"/>
    </font>
    <font>
      <sz val="10"/>
      <name val="Arial"/>
      <family val="2"/>
    </font>
    <font>
      <sz val="14"/>
      <color theme="1"/>
      <name val="Calibri"/>
      <family val="2"/>
      <scheme val="minor"/>
    </font>
    <font>
      <sz val="8"/>
      <color theme="1"/>
      <name val="Calibri"/>
      <family val="2"/>
      <scheme val="minor"/>
    </font>
    <font>
      <sz val="12"/>
      <color theme="1"/>
      <name val="Calibri"/>
      <family val="2"/>
      <charset val="136"/>
      <scheme val="minor"/>
    </font>
    <font>
      <b/>
      <sz val="8"/>
      <name val="Arial"/>
      <family val="2"/>
    </font>
    <font>
      <b/>
      <vertAlign val="subscript"/>
      <sz val="10"/>
      <name val="Arial"/>
      <family val="2"/>
    </font>
    <font>
      <sz val="16"/>
      <color theme="1"/>
      <name val="Calibri"/>
      <family val="2"/>
      <scheme val="minor"/>
    </font>
    <font>
      <b/>
      <sz val="10"/>
      <name val="Tahoma"/>
      <family val="2"/>
    </font>
    <font>
      <sz val="10"/>
      <name val="Tahoma"/>
      <family val="2"/>
    </font>
    <font>
      <sz val="10"/>
      <color theme="1"/>
      <name val="Calibri"/>
      <family val="2"/>
      <scheme val="minor"/>
    </font>
    <font>
      <sz val="12"/>
      <color rgb="FFFF0000"/>
      <name val="Arial"/>
      <family val="2"/>
    </font>
    <font>
      <b/>
      <sz val="12"/>
      <color rgb="FFFF0000"/>
      <name val="Calibri"/>
      <family val="2"/>
      <scheme val="minor"/>
    </font>
    <font>
      <vertAlign val="superscript"/>
      <sz val="12"/>
      <color rgb="FFFF0000"/>
      <name val="Arial"/>
      <family val="2"/>
    </font>
    <font>
      <b/>
      <sz val="16"/>
      <color theme="1"/>
      <name val="Calibri"/>
      <family val="2"/>
      <scheme val="minor"/>
    </font>
    <font>
      <sz val="20"/>
      <color theme="1"/>
      <name val="Arial"/>
      <family val="2"/>
    </font>
    <font>
      <b/>
      <i/>
      <sz val="12"/>
      <color theme="5"/>
      <name val="Arial"/>
      <family val="2"/>
    </font>
    <font>
      <b/>
      <i/>
      <sz val="12"/>
      <color theme="4"/>
      <name val="Arial"/>
      <family val="2"/>
    </font>
    <font>
      <b/>
      <sz val="16"/>
      <color theme="5"/>
      <name val="Arial"/>
      <family val="2"/>
    </font>
    <font>
      <sz val="22"/>
      <color theme="4"/>
      <name val="Arial"/>
      <family val="2"/>
    </font>
    <font>
      <sz val="11"/>
      <color theme="4"/>
      <name val="Arial"/>
      <family val="2"/>
    </font>
    <font>
      <b/>
      <sz val="16"/>
      <color theme="4"/>
      <name val="Arial"/>
      <family val="2"/>
    </font>
    <font>
      <vertAlign val="superscript"/>
      <sz val="12"/>
      <color theme="1"/>
      <name val="Arial"/>
      <family val="2"/>
    </font>
    <font>
      <b/>
      <vertAlign val="subscript"/>
      <sz val="12"/>
      <color theme="1"/>
      <name val="Arial"/>
      <family val="2"/>
    </font>
    <font>
      <b/>
      <u/>
      <sz val="20"/>
      <color theme="1"/>
      <name val="Arial"/>
      <family val="2"/>
    </font>
    <font>
      <b/>
      <sz val="11"/>
      <color indexed="81"/>
      <name val="Arial"/>
      <family val="2"/>
    </font>
    <font>
      <sz val="11"/>
      <color indexed="81"/>
      <name val="Arial"/>
      <family val="2"/>
    </font>
    <font>
      <sz val="14"/>
      <color theme="0"/>
      <name val="Calibri"/>
      <family val="2"/>
      <scheme val="minor"/>
    </font>
    <font>
      <b/>
      <sz val="16"/>
      <color theme="1"/>
      <name val="Arial"/>
      <family val="2"/>
    </font>
    <font>
      <b/>
      <sz val="12"/>
      <color theme="0"/>
      <name val="Arial"/>
      <family val="2"/>
    </font>
    <font>
      <b/>
      <sz val="10"/>
      <color theme="1"/>
      <name val="Arial"/>
      <family val="2"/>
    </font>
    <font>
      <u/>
      <sz val="11"/>
      <color theme="10"/>
      <name val="Calibri"/>
      <family val="2"/>
    </font>
    <font>
      <sz val="12"/>
      <color rgb="FF00B050"/>
      <name val="Arial"/>
      <family val="2"/>
    </font>
    <font>
      <sz val="11"/>
      <color rgb="FF00B0F0"/>
      <name val="Arial"/>
      <family val="2"/>
    </font>
    <font>
      <b/>
      <sz val="11"/>
      <color rgb="FF00B0F0"/>
      <name val="Arial"/>
      <family val="2"/>
    </font>
    <font>
      <b/>
      <sz val="11"/>
      <color rgb="FFFF0000"/>
      <name val="Arial"/>
      <family val="2"/>
    </font>
    <font>
      <b/>
      <sz val="18"/>
      <color indexed="81"/>
      <name val="Tahoma"/>
      <family val="2"/>
    </font>
    <font>
      <sz val="18"/>
      <color indexed="81"/>
      <name val="Tahoma"/>
      <family val="2"/>
    </font>
    <font>
      <b/>
      <sz val="11"/>
      <color theme="9" tint="-0.499984740745262"/>
      <name val="Arial"/>
      <family val="2"/>
    </font>
    <font>
      <sz val="11"/>
      <color theme="9" tint="-0.499984740745262"/>
      <name val="Arial"/>
      <family val="2"/>
    </font>
    <font>
      <b/>
      <sz val="14"/>
      <color theme="1"/>
      <name val="Times New Roman"/>
      <family val="1"/>
    </font>
    <font>
      <b/>
      <sz val="14"/>
      <color theme="9" tint="-0.499984740745262"/>
      <name val="Times New Roman"/>
      <family val="1"/>
    </font>
    <font>
      <b/>
      <sz val="14"/>
      <name val="Times New Roman"/>
      <family val="1"/>
    </font>
    <font>
      <b/>
      <sz val="11"/>
      <name val="Times New Roman"/>
      <family val="1"/>
    </font>
    <font>
      <b/>
      <sz val="11"/>
      <name val="Arial"/>
      <family val="2"/>
    </font>
    <font>
      <sz val="10"/>
      <color indexed="8"/>
      <name val="MS Sans Serif"/>
      <family val="2"/>
    </font>
    <font>
      <sz val="12"/>
      <name val="Times New Roman"/>
      <family val="1"/>
    </font>
    <font>
      <sz val="10"/>
      <name val="Helvetica"/>
      <family val="2"/>
    </font>
    <font>
      <sz val="10"/>
      <name val="Helvetica"/>
    </font>
    <font>
      <sz val="8"/>
      <name val="Palatino"/>
      <family val="1"/>
    </font>
    <font>
      <sz val="10"/>
      <color indexed="8"/>
      <name val="Arial"/>
      <family val="2"/>
    </font>
    <font>
      <sz val="10"/>
      <name val="Helv"/>
      <charset val="204"/>
    </font>
    <font>
      <sz val="9"/>
      <name val="Arial"/>
      <family val="2"/>
    </font>
    <font>
      <sz val="10"/>
      <name val="Geneva"/>
    </font>
    <font>
      <sz val="10"/>
      <name val="Helv"/>
      <family val="2"/>
    </font>
    <font>
      <sz val="12"/>
      <name val="바탕체"/>
      <family val="1"/>
      <charset val="255"/>
    </font>
    <font>
      <b/>
      <sz val="22"/>
      <color indexed="18"/>
      <name val="Arial"/>
      <family val="2"/>
    </font>
    <font>
      <b/>
      <sz val="14"/>
      <color indexed="18"/>
      <name val="Arial"/>
      <family val="2"/>
    </font>
    <font>
      <sz val="9"/>
      <color indexed="8"/>
      <name val="Arial"/>
      <family val="2"/>
    </font>
    <font>
      <b/>
      <u val="singleAccounting"/>
      <sz val="10"/>
      <color indexed="18"/>
      <name val="Arial"/>
      <family val="2"/>
    </font>
    <font>
      <b/>
      <sz val="14"/>
      <color indexed="10"/>
      <name val="Helv"/>
    </font>
    <font>
      <sz val="10"/>
      <color indexed="9"/>
      <name val="Arial"/>
      <family val="2"/>
    </font>
    <font>
      <sz val="10"/>
      <color indexed="12"/>
      <name val="Arial"/>
      <family val="2"/>
    </font>
    <font>
      <sz val="8"/>
      <name val="Times New Roman"/>
      <family val="1"/>
    </font>
    <font>
      <sz val="10"/>
      <name val="Arial Narrow"/>
      <family val="2"/>
    </font>
    <font>
      <sz val="10"/>
      <color indexed="12"/>
      <name val="Times New Roman"/>
      <family val="1"/>
    </font>
    <font>
      <sz val="9"/>
      <name val="Tahoma"/>
      <family val="2"/>
    </font>
    <font>
      <sz val="12"/>
      <color indexed="12"/>
      <name val="Times New Roman"/>
      <family val="1"/>
    </font>
    <font>
      <sz val="11"/>
      <color indexed="37"/>
      <name val="Calibri"/>
      <family val="2"/>
    </font>
    <font>
      <sz val="10"/>
      <color indexed="20"/>
      <name val="Arial"/>
      <family val="2"/>
    </font>
    <font>
      <sz val="10"/>
      <name val="ICL Franklin"/>
      <family val="2"/>
    </font>
    <font>
      <sz val="12"/>
      <color indexed="8"/>
      <name val="Times New Roman"/>
      <family val="1"/>
    </font>
    <font>
      <sz val="8"/>
      <color indexed="12"/>
      <name val="Tms Rmn"/>
    </font>
    <font>
      <b/>
      <sz val="10"/>
      <color indexed="9"/>
      <name val="Arial"/>
      <family val="2"/>
    </font>
    <font>
      <sz val="10"/>
      <color indexed="12"/>
      <name val="Palatino"/>
    </font>
    <font>
      <i/>
      <sz val="8"/>
      <color indexed="62"/>
      <name val="Arial"/>
      <family val="2"/>
    </font>
    <font>
      <sz val="9"/>
      <color indexed="62"/>
      <name val="Arial"/>
      <family val="2"/>
    </font>
    <font>
      <i/>
      <sz val="8"/>
      <name val="Arial"/>
      <family val="2"/>
    </font>
    <font>
      <u val="singleAccounting"/>
      <sz val="10"/>
      <name val="Arial"/>
      <family val="2"/>
    </font>
    <font>
      <sz val="24"/>
      <name val="Times New Roman"/>
      <family val="1"/>
    </font>
    <font>
      <sz val="10"/>
      <name val="Helv"/>
    </font>
    <font>
      <sz val="10"/>
      <name val="MS Sans Serif"/>
      <family val="2"/>
    </font>
    <font>
      <b/>
      <sz val="11"/>
      <color indexed="29"/>
      <name val="Calibri"/>
      <family val="2"/>
      <scheme val="minor"/>
    </font>
    <font>
      <b/>
      <sz val="11"/>
      <color indexed="17"/>
      <name val="Calibri"/>
      <family val="2"/>
    </font>
    <font>
      <b/>
      <sz val="10"/>
      <color indexed="52"/>
      <name val="Arial"/>
      <family val="2"/>
    </font>
    <font>
      <sz val="9"/>
      <color indexed="23"/>
      <name val="Arial"/>
      <family val="2"/>
    </font>
    <font>
      <b/>
      <i/>
      <sz val="8"/>
      <name val="Arial"/>
      <family val="2"/>
    </font>
    <font>
      <b/>
      <sz val="16"/>
      <color indexed="10"/>
      <name val="Helv"/>
    </font>
    <font>
      <sz val="12"/>
      <name val="Helvetica"/>
      <family val="2"/>
    </font>
    <font>
      <sz val="12"/>
      <name val="Helvetica"/>
    </font>
    <font>
      <sz val="8"/>
      <color indexed="12"/>
      <name val="Times New Roman"/>
      <family val="1"/>
    </font>
    <font>
      <sz val="8"/>
      <name val="trebuchet"/>
    </font>
    <font>
      <u/>
      <sz val="10"/>
      <name val="Arial"/>
      <family val="2"/>
    </font>
    <font>
      <sz val="14"/>
      <name val="Palatino"/>
      <family val="1"/>
    </font>
    <font>
      <sz val="16"/>
      <name val="Palatino"/>
      <family val="1"/>
    </font>
    <font>
      <sz val="32"/>
      <name val="Helvetica-Black"/>
    </font>
    <font>
      <sz val="9"/>
      <color indexed="12"/>
      <name val="Arial"/>
      <family val="2"/>
    </font>
    <font>
      <b/>
      <sz val="10"/>
      <color indexed="12"/>
      <name val="Arial"/>
      <family val="2"/>
    </font>
    <font>
      <sz val="10"/>
      <color indexed="12"/>
      <name val="Arial Narrow"/>
      <family val="2"/>
    </font>
    <font>
      <sz val="12"/>
      <name val="Tms Rmn"/>
    </font>
    <font>
      <sz val="11"/>
      <color indexed="12"/>
      <name val="Book Antiqua"/>
      <family val="1"/>
    </font>
    <font>
      <sz val="11"/>
      <name val="Book Antiqua"/>
      <family val="1"/>
    </font>
    <font>
      <i/>
      <sz val="10"/>
      <name val="Arial"/>
      <family val="2"/>
    </font>
    <font>
      <strike/>
      <sz val="10"/>
      <name val="Arial"/>
      <family val="2"/>
    </font>
    <font>
      <sz val="8"/>
      <color indexed="8"/>
      <name val="Arial"/>
      <family val="2"/>
    </font>
    <font>
      <sz val="10"/>
      <color indexed="23"/>
      <name val="Arial"/>
      <family val="2"/>
    </font>
    <font>
      <sz val="8"/>
      <color indexed="14"/>
      <name val="Times New Roman"/>
      <family val="1"/>
    </font>
    <font>
      <u val="doubleAccounting"/>
      <sz val="10"/>
      <name val="Arial"/>
      <family val="2"/>
    </font>
    <font>
      <sz val="9"/>
      <color indexed="12"/>
      <name val="Times New Roman"/>
      <family val="1"/>
    </font>
    <font>
      <sz val="10"/>
      <color indexed="17"/>
      <name val="Arial"/>
      <family val="2"/>
    </font>
    <font>
      <i/>
      <sz val="11"/>
      <color rgb="FF7F7F7F"/>
      <name val="Calibri"/>
      <family val="2"/>
      <scheme val="minor"/>
    </font>
    <font>
      <i/>
      <sz val="10"/>
      <color indexed="18"/>
      <name val="Arial"/>
      <family val="2"/>
    </font>
    <font>
      <i/>
      <sz val="10"/>
      <color indexed="23"/>
      <name val="Arial"/>
      <family val="2"/>
    </font>
    <font>
      <sz val="6"/>
      <color indexed="23"/>
      <name val="Helvetica-Black"/>
    </font>
    <font>
      <sz val="9.5"/>
      <color indexed="23"/>
      <name val="Helvetica-Black"/>
    </font>
    <font>
      <sz val="7"/>
      <name val="Palatino"/>
      <family val="1"/>
    </font>
    <font>
      <sz val="7"/>
      <name val="Arial"/>
      <family val="2"/>
    </font>
    <font>
      <sz val="10"/>
      <color indexed="12"/>
      <name val="Helvetica"/>
      <family val="2"/>
    </font>
    <font>
      <sz val="10"/>
      <color indexed="17"/>
      <name val="Times New Roman"/>
      <family val="1"/>
    </font>
    <font>
      <sz val="6"/>
      <color indexed="16"/>
      <name val="Palatino"/>
      <family val="1"/>
    </font>
    <font>
      <sz val="6"/>
      <name val="Palatino"/>
      <family val="1"/>
    </font>
    <font>
      <b/>
      <sz val="8"/>
      <color indexed="9"/>
      <name val="Arial"/>
      <family val="2"/>
    </font>
    <font>
      <b/>
      <sz val="12"/>
      <name val="Arial"/>
      <family val="2"/>
    </font>
    <font>
      <b/>
      <i/>
      <sz val="8"/>
      <name val="Helv"/>
    </font>
    <font>
      <b/>
      <sz val="15"/>
      <color indexed="62"/>
      <name val="Calibri"/>
      <family val="2"/>
    </font>
    <font>
      <sz val="10"/>
      <name val="Helvetica-Black"/>
    </font>
    <font>
      <sz val="28"/>
      <name val="Helvetica-Black"/>
    </font>
    <font>
      <b/>
      <sz val="13"/>
      <color indexed="62"/>
      <name val="Calibri"/>
      <family val="2"/>
      <scheme val="minor"/>
    </font>
    <font>
      <b/>
      <sz val="13"/>
      <color indexed="62"/>
      <name val="Calibri"/>
      <family val="2"/>
    </font>
    <font>
      <sz val="10"/>
      <name val="Palatino"/>
    </font>
    <font>
      <sz val="18"/>
      <name val="Palatino"/>
      <family val="1"/>
    </font>
    <font>
      <b/>
      <sz val="11"/>
      <color indexed="62"/>
      <name val="Calibri"/>
      <family val="2"/>
    </font>
    <font>
      <i/>
      <sz val="14"/>
      <name val="Palatino"/>
      <family val="1"/>
    </font>
    <font>
      <b/>
      <sz val="8"/>
      <name val="Times New Roman"/>
      <family val="1"/>
    </font>
    <font>
      <b/>
      <u/>
      <sz val="8"/>
      <name val="Times New Roman"/>
      <family val="1"/>
    </font>
    <font>
      <b/>
      <u/>
      <sz val="14"/>
      <name val="Arial Narrow"/>
      <family val="2"/>
    </font>
    <font>
      <b/>
      <i/>
      <sz val="18"/>
      <color indexed="10"/>
      <name val="Arial"/>
      <family val="2"/>
    </font>
    <font>
      <sz val="10"/>
      <color indexed="8"/>
      <name val="Times New Roman"/>
      <family val="1"/>
    </font>
    <font>
      <b/>
      <sz val="14"/>
      <name val="Arial MT"/>
    </font>
    <font>
      <u/>
      <sz val="8.5"/>
      <color indexed="12"/>
      <name val="Arial"/>
      <family val="2"/>
    </font>
    <font>
      <sz val="10"/>
      <color indexed="10"/>
      <name val="Times New Roman"/>
      <family val="1"/>
    </font>
    <font>
      <sz val="10"/>
      <color indexed="62"/>
      <name val="Arial"/>
      <family val="2"/>
    </font>
    <font>
      <sz val="11"/>
      <color rgb="FF3F3F76"/>
      <name val="Calibri"/>
      <family val="2"/>
      <scheme val="minor"/>
    </font>
    <font>
      <sz val="11"/>
      <color indexed="48"/>
      <name val="Calibri"/>
      <family val="2"/>
    </font>
    <font>
      <sz val="12"/>
      <color indexed="37"/>
      <name val="swiss"/>
    </font>
    <font>
      <b/>
      <sz val="10"/>
      <color indexed="37"/>
      <name val="Arial MT"/>
    </font>
    <font>
      <b/>
      <sz val="8"/>
      <color indexed="12"/>
      <name val="Times New Roman"/>
      <family val="1"/>
    </font>
    <font>
      <b/>
      <sz val="8"/>
      <color indexed="8"/>
      <name val="Times New Roman"/>
      <family val="1"/>
    </font>
    <font>
      <sz val="18"/>
      <name val="Times New Roman"/>
      <family val="1"/>
    </font>
    <font>
      <b/>
      <sz val="13"/>
      <name val="Times New Roman"/>
      <family val="1"/>
    </font>
    <font>
      <b/>
      <i/>
      <sz val="12"/>
      <name val="Times New Roman"/>
      <family val="1"/>
    </font>
    <font>
      <sz val="11"/>
      <name val="Times New Roman"/>
      <family val="1"/>
    </font>
    <font>
      <sz val="8"/>
      <color indexed="20"/>
      <name val="Arial"/>
      <family val="2"/>
    </font>
    <font>
      <b/>
      <sz val="22"/>
      <color indexed="16"/>
      <name val="Arial"/>
      <family val="2"/>
    </font>
    <font>
      <b/>
      <sz val="10"/>
      <name val="MS Sans Serif"/>
      <family val="2"/>
    </font>
    <font>
      <sz val="11"/>
      <color indexed="29"/>
      <name val="Calibri"/>
      <family val="2"/>
    </font>
    <font>
      <sz val="10"/>
      <color indexed="52"/>
      <name val="Arial"/>
      <family val="2"/>
    </font>
    <font>
      <b/>
      <sz val="12"/>
      <color indexed="10"/>
      <name val="Helv"/>
    </font>
    <font>
      <sz val="10"/>
      <name val="Garamond"/>
      <family val="1"/>
    </font>
    <font>
      <sz val="8"/>
      <name val="Helvetica"/>
      <family val="2"/>
    </font>
    <font>
      <sz val="10"/>
      <color indexed="60"/>
      <name val="Arial"/>
      <family val="2"/>
    </font>
    <font>
      <sz val="10"/>
      <name val="CG Times (WN)"/>
    </font>
    <font>
      <sz val="7"/>
      <name val="Small Fonts"/>
      <family val="2"/>
    </font>
    <font>
      <b/>
      <i/>
      <sz val="16"/>
      <name val="Helv"/>
    </font>
    <font>
      <sz val="10"/>
      <color indexed="53"/>
      <name val="Arial"/>
      <family val="2"/>
    </font>
    <font>
      <b/>
      <sz val="8"/>
      <name val="Helvetica"/>
      <family val="2"/>
    </font>
    <font>
      <b/>
      <sz val="8"/>
      <name val="Helvetica"/>
    </font>
    <font>
      <sz val="10"/>
      <name val="Palatino"/>
      <family val="1"/>
    </font>
    <font>
      <sz val="10"/>
      <name val="Book Antiqua"/>
      <family val="1"/>
    </font>
    <font>
      <i/>
      <sz val="10"/>
      <name val="Helv"/>
    </font>
    <font>
      <sz val="10"/>
      <name val="CG Times"/>
      <family val="1"/>
    </font>
    <font>
      <sz val="8"/>
      <color indexed="12"/>
      <name val="Arial"/>
      <family val="2"/>
    </font>
    <font>
      <sz val="10"/>
      <color indexed="14"/>
      <name val="Arial"/>
      <family val="2"/>
    </font>
    <font>
      <sz val="8"/>
      <color indexed="12"/>
      <name val="Helv"/>
    </font>
    <font>
      <sz val="8"/>
      <name val="Tahoma"/>
      <family val="2"/>
    </font>
    <font>
      <b/>
      <sz val="8"/>
      <name val="Tahoma"/>
      <family val="2"/>
    </font>
    <font>
      <b/>
      <sz val="11"/>
      <color rgb="FF3F3F3F"/>
      <name val="Calibri"/>
      <family val="2"/>
      <scheme val="minor"/>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ms Rmn"/>
    </font>
    <font>
      <b/>
      <sz val="26"/>
      <name val="Times New Roman"/>
      <family val="1"/>
    </font>
    <font>
      <b/>
      <sz val="18"/>
      <name val="Times New Roman"/>
      <family val="1"/>
    </font>
    <font>
      <sz val="10"/>
      <color indexed="16"/>
      <name val="Helvetica-Black"/>
    </font>
    <font>
      <sz val="22"/>
      <name val="UBSHeadline"/>
      <family val="1"/>
    </font>
    <font>
      <sz val="10"/>
      <color indexed="18"/>
      <name val="Arial"/>
      <family val="2"/>
    </font>
    <font>
      <sz val="10"/>
      <name val="C Helvetica Condensed"/>
    </font>
    <font>
      <sz val="10"/>
      <color indexed="55"/>
      <name val="Arial"/>
      <family val="2"/>
    </font>
    <font>
      <sz val="12"/>
      <color indexed="8"/>
      <name val="Helvetica"/>
      <family val="2"/>
    </font>
    <font>
      <b/>
      <sz val="12"/>
      <color indexed="56"/>
      <name val="Times New Roman"/>
      <family val="1"/>
    </font>
    <font>
      <b/>
      <sz val="9"/>
      <name val="Arial"/>
      <family val="2"/>
    </font>
    <font>
      <sz val="10"/>
      <color indexed="20"/>
      <name val="Times New Roman"/>
      <family val="1"/>
    </font>
    <font>
      <sz val="10"/>
      <color indexed="55"/>
      <name val="Times New Roman"/>
      <family val="1"/>
    </font>
    <font>
      <sz val="8"/>
      <color indexed="62"/>
      <name val="Arial"/>
      <family val="2"/>
    </font>
    <font>
      <b/>
      <sz val="10"/>
      <color indexed="39"/>
      <name val="Arial"/>
      <family val="2"/>
    </font>
    <font>
      <b/>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b/>
      <sz val="10"/>
      <color indexed="9"/>
      <name val="Book Antiqua"/>
      <family val="1"/>
    </font>
    <font>
      <sz val="8"/>
      <name val="Helvetica"/>
    </font>
    <font>
      <sz val="8"/>
      <name val="Arial Narrow"/>
      <family val="2"/>
    </font>
    <font>
      <b/>
      <sz val="18"/>
      <color indexed="62"/>
      <name val="Cambria"/>
      <family val="2"/>
    </font>
    <font>
      <b/>
      <u/>
      <sz val="12"/>
      <name val="Arial Narrow"/>
      <family val="2"/>
    </font>
    <font>
      <b/>
      <sz val="16"/>
      <color indexed="16"/>
      <name val="Arial"/>
      <family val="2"/>
    </font>
    <font>
      <i/>
      <sz val="10"/>
      <name val="Times New Roman"/>
      <family val="1"/>
    </font>
    <font>
      <b/>
      <u/>
      <sz val="10"/>
      <name val="Arial Narrow"/>
      <family val="2"/>
    </font>
    <font>
      <b/>
      <u/>
      <sz val="10"/>
      <name val="Helv"/>
    </font>
    <font>
      <b/>
      <sz val="10"/>
      <name val="Times New Roman"/>
      <family val="1"/>
    </font>
    <font>
      <b/>
      <sz val="9"/>
      <name val="Palatino"/>
      <family val="1"/>
    </font>
    <font>
      <sz val="9"/>
      <color indexed="21"/>
      <name val="Helvetica-Black"/>
    </font>
    <font>
      <b/>
      <sz val="10"/>
      <color indexed="16"/>
      <name val="Arial"/>
      <family val="2"/>
    </font>
    <font>
      <sz val="9"/>
      <name val="Helvetica-Black"/>
    </font>
    <font>
      <sz val="10"/>
      <name val="Frutiger 45 Light"/>
      <family val="2"/>
    </font>
    <font>
      <sz val="12"/>
      <color indexed="8"/>
      <name val="Palatino"/>
      <family val="1"/>
    </font>
    <font>
      <sz val="12"/>
      <name val="Palatino"/>
      <family val="1"/>
    </font>
    <font>
      <sz val="11"/>
      <color indexed="8"/>
      <name val="Helvetica-Black"/>
    </font>
    <font>
      <sz val="11"/>
      <name val="Helvetica-Black"/>
    </font>
    <font>
      <b/>
      <i/>
      <sz val="14"/>
      <color indexed="9"/>
      <name val="Times New Roman"/>
      <family val="1"/>
    </font>
    <font>
      <b/>
      <sz val="10"/>
      <name val="Arial Narrow"/>
      <family val="2"/>
    </font>
    <font>
      <b/>
      <sz val="7"/>
      <color indexed="12"/>
      <name val="Arial"/>
      <family val="2"/>
    </font>
    <font>
      <i/>
      <sz val="12"/>
      <color indexed="8"/>
      <name val="Arial MT"/>
    </font>
    <font>
      <sz val="8"/>
      <color indexed="10"/>
      <name val="Arial Narrow"/>
      <family val="2"/>
    </font>
    <font>
      <sz val="8"/>
      <color indexed="16"/>
      <name val="Helv"/>
    </font>
    <font>
      <sz val="10"/>
      <color indexed="10"/>
      <name val="Arial Narrow"/>
      <family val="2"/>
    </font>
    <font>
      <sz val="11"/>
      <color rgb="FFFF0000"/>
      <name val="Calibri"/>
      <family val="2"/>
      <scheme val="minor"/>
    </font>
    <font>
      <sz val="11"/>
      <color indexed="14"/>
      <name val="Calibri"/>
      <family val="2"/>
    </font>
    <font>
      <b/>
      <sz val="10"/>
      <color indexed="18"/>
      <name val="CG Times (WN)"/>
    </font>
    <font>
      <sz val="10"/>
      <name val="Gill Sans"/>
      <family val="2"/>
    </font>
    <font>
      <b/>
      <sz val="10"/>
      <name val="Gill Sans"/>
    </font>
    <font>
      <sz val="10"/>
      <name val="Gill Sans"/>
    </font>
    <font>
      <sz val="10"/>
      <color indexed="32"/>
      <name val="Gill Sans"/>
      <family val="2"/>
    </font>
    <font>
      <sz val="10"/>
      <color indexed="8"/>
      <name val="Gill Sans"/>
      <family val="2"/>
    </font>
    <font>
      <sz val="10"/>
      <color indexed="12"/>
      <name val="Gill Sans"/>
      <family val="2"/>
    </font>
    <font>
      <sz val="12"/>
      <color indexed="12"/>
      <name val="Gill Sans"/>
      <family val="2"/>
    </font>
    <font>
      <sz val="12"/>
      <color indexed="37"/>
      <name val="Gill Sans"/>
      <family val="2"/>
    </font>
    <font>
      <sz val="12"/>
      <name val="Gill Sans"/>
      <family val="2"/>
    </font>
    <font>
      <b/>
      <sz val="12"/>
      <color indexed="17"/>
      <name val="Helv"/>
    </font>
    <font>
      <sz val="10"/>
      <color indexed="17"/>
      <name val="Gill Sans"/>
      <family val="2"/>
    </font>
    <font>
      <sz val="18"/>
      <name val="Arial"/>
      <family val="2"/>
    </font>
    <font>
      <b/>
      <sz val="8"/>
      <color indexed="9"/>
      <name val="Verdana"/>
      <family val="2"/>
    </font>
    <font>
      <b/>
      <sz val="8"/>
      <color indexed="8"/>
      <name val="Verdana"/>
      <family val="2"/>
    </font>
    <font>
      <sz val="8"/>
      <color indexed="8"/>
      <name val="Verdana"/>
      <family val="2"/>
    </font>
    <font>
      <u/>
      <sz val="7.5"/>
      <color indexed="12"/>
      <name val="Arial"/>
      <family val="2"/>
    </font>
    <font>
      <b/>
      <sz val="12"/>
      <color rgb="FF00B050"/>
      <name val="Arial"/>
      <family val="2"/>
    </font>
    <font>
      <b/>
      <sz val="14"/>
      <color rgb="FFFFFF00"/>
      <name val="Arial"/>
      <family val="2"/>
    </font>
    <font>
      <b/>
      <sz val="10"/>
      <color theme="0"/>
      <name val="Arial"/>
      <family val="2"/>
    </font>
    <font>
      <b/>
      <sz val="9"/>
      <color theme="0"/>
      <name val="Arial"/>
      <family val="2"/>
    </font>
    <font>
      <sz val="10"/>
      <color theme="0"/>
      <name val="Arial"/>
      <family val="2"/>
    </font>
    <font>
      <b/>
      <sz val="11"/>
      <color rgb="FFFFFF00"/>
      <name val="Arial"/>
      <family val="2"/>
    </font>
    <font>
      <b/>
      <sz val="16"/>
      <color indexed="81"/>
      <name val="Tahoma"/>
      <family val="2"/>
    </font>
    <font>
      <sz val="16"/>
      <color indexed="81"/>
      <name val="Tahoma"/>
      <family val="2"/>
    </font>
    <font>
      <sz val="14"/>
      <color theme="1"/>
      <name val="Times New Roman"/>
      <family val="1"/>
    </font>
    <font>
      <b/>
      <sz val="14"/>
      <color rgb="FFFF0000"/>
      <name val="Times New Roman"/>
      <family val="1"/>
    </font>
    <font>
      <b/>
      <sz val="10"/>
      <color rgb="FFFF0000"/>
      <name val="Times New Roman"/>
      <family val="1"/>
    </font>
    <font>
      <b/>
      <sz val="22"/>
      <color rgb="FFFF0000"/>
      <name val="Times New Roman"/>
      <family val="1"/>
    </font>
    <font>
      <b/>
      <sz val="24"/>
      <color rgb="FFFF0000"/>
      <name val="Times New Roman"/>
      <family val="1"/>
    </font>
    <font>
      <b/>
      <sz val="16"/>
      <color rgb="FF0070C0"/>
      <name val="Arial"/>
      <family val="2"/>
    </font>
  </fonts>
  <fills count="188">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lightGray">
        <fgColor indexed="9"/>
      </patternFill>
    </fill>
    <fill>
      <patternFill patternType="gray0625">
        <fgColor indexed="9"/>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2"/>
        <bgColor indexed="64"/>
      </patternFill>
    </fill>
    <fill>
      <patternFill patternType="solid">
        <fgColor theme="3"/>
        <bgColor indexed="64"/>
      </patternFill>
    </fill>
    <fill>
      <patternFill patternType="solid">
        <fgColor theme="4"/>
        <bgColor indexed="64"/>
      </patternFill>
    </fill>
    <fill>
      <patternFill patternType="solid">
        <fgColor theme="8"/>
        <bgColor indexed="64"/>
      </patternFill>
    </fill>
    <fill>
      <patternFill patternType="solid">
        <fgColor rgb="FFFF0000"/>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indexed="41"/>
      </patternFill>
    </fill>
    <fill>
      <patternFill patternType="solid">
        <fgColor indexed="9"/>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3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7"/>
      </patternFill>
    </fill>
    <fill>
      <patternFill patternType="solid">
        <fgColor indexed="53"/>
        <bgColor indexed="53"/>
      </patternFill>
    </fill>
    <fill>
      <patternFill patternType="solid">
        <fgColor indexed="40"/>
        <bgColor indexed="10"/>
      </patternFill>
    </fill>
    <fill>
      <patternFill patternType="solid">
        <fgColor indexed="18"/>
        <bgColor indexed="64"/>
      </patternFill>
    </fill>
    <fill>
      <patternFill patternType="solid">
        <fgColor indexed="13"/>
      </patternFill>
    </fill>
    <fill>
      <patternFill patternType="solid">
        <fgColor indexed="35"/>
        <bgColor indexed="35"/>
      </patternFill>
    </fill>
    <fill>
      <patternFill patternType="lightGray">
        <fgColor indexed="15"/>
      </patternFill>
    </fill>
    <fill>
      <patternFill patternType="solid">
        <fgColor indexed="23"/>
        <bgColor indexed="64"/>
      </patternFill>
    </fill>
    <fill>
      <patternFill patternType="solid">
        <fgColor indexed="14"/>
        <bgColor indexed="64"/>
      </patternFill>
    </fill>
    <fill>
      <patternFill patternType="solid">
        <fgColor indexed="21"/>
        <bgColor indexed="64"/>
      </patternFill>
    </fill>
    <fill>
      <patternFill patternType="gray125">
        <fgColor indexed="26"/>
        <bgColor indexed="26"/>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41"/>
        <bgColor indexed="64"/>
      </patternFill>
    </fill>
    <fill>
      <patternFill patternType="gray0625">
        <bgColor indexed="22"/>
      </patternFill>
    </fill>
    <fill>
      <patternFill patternType="solid">
        <fgColor indexed="8"/>
        <bgColor indexed="64"/>
      </patternFill>
    </fill>
    <fill>
      <patternFill patternType="solid">
        <fgColor indexed="43"/>
        <bgColor indexed="8"/>
      </patternFill>
    </fill>
    <fill>
      <patternFill patternType="gray0625">
        <fgColor indexed="26"/>
        <bgColor indexed="43"/>
      </patternFill>
    </fill>
    <fill>
      <patternFill patternType="lightGray">
        <fgColor indexed="13"/>
      </patternFill>
    </fill>
    <fill>
      <patternFill patternType="gray0625">
        <bgColor indexed="27"/>
      </patternFill>
    </fill>
    <fill>
      <patternFill patternType="solid">
        <fgColor indexed="65"/>
        <bgColor indexed="64"/>
      </patternFill>
    </fill>
    <fill>
      <patternFill patternType="solid">
        <fgColor indexed="60"/>
      </patternFill>
    </fill>
    <fill>
      <patternFill patternType="solid">
        <fgColor indexed="9"/>
        <bgColor indexed="64"/>
      </patternFill>
    </fill>
    <fill>
      <patternFill patternType="gray0625">
        <fgColor indexed="9"/>
        <bgColor indexed="44"/>
      </patternFill>
    </fill>
    <fill>
      <patternFill patternType="gray0625">
        <fgColor indexed="9"/>
        <bgColor indexed="42"/>
      </patternFill>
    </fill>
    <fill>
      <patternFill patternType="lightGray">
        <fgColor indexed="10"/>
      </patternFill>
    </fill>
    <fill>
      <patternFill patternType="mediumGray">
        <fgColor indexed="22"/>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54"/>
        <bgColor indexed="64"/>
      </patternFill>
    </fill>
    <fill>
      <patternFill patternType="solid">
        <fgColor rgb="FFC6C4C4"/>
        <bgColor indexed="64"/>
      </patternFill>
    </fill>
    <fill>
      <patternFill patternType="solid">
        <fgColor indexed="23"/>
      </patternFill>
    </fill>
    <fill>
      <patternFill patternType="solid">
        <fgColor rgb="FFB6D9E6"/>
        <bgColor indexed="64"/>
      </patternFill>
    </fill>
    <fill>
      <patternFill patternType="solid">
        <fgColor indexed="15"/>
      </patternFill>
    </fill>
    <fill>
      <patternFill patternType="solid">
        <fgColor indexed="20"/>
      </patternFill>
    </fill>
    <fill>
      <patternFill patternType="solid">
        <fgColor indexed="63"/>
        <bgColor indexed="64"/>
      </patternFill>
    </fill>
    <fill>
      <patternFill patternType="solid">
        <fgColor indexed="15"/>
        <bgColor indexed="64"/>
      </patternFill>
    </fill>
    <fill>
      <patternFill patternType="solid">
        <fgColor indexed="16"/>
        <bgColor indexed="64"/>
      </patternFill>
    </fill>
    <fill>
      <patternFill patternType="solid">
        <fgColor indexed="58"/>
        <bgColor indexed="64"/>
      </patternFill>
    </fill>
    <fill>
      <patternFill patternType="mediumGray">
        <fgColor indexed="11"/>
      </patternFill>
    </fill>
    <fill>
      <patternFill patternType="lightGray">
        <fgColor indexed="11"/>
      </patternFill>
    </fill>
    <fill>
      <patternFill patternType="solid">
        <fgColor indexed="34"/>
        <bgColor indexed="64"/>
      </patternFill>
    </fill>
    <fill>
      <patternFill patternType="solid">
        <fgColor indexed="27"/>
        <bgColor indexed="8"/>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s>
  <borders count="183">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medium">
        <color indexed="64"/>
      </left>
      <right style="thick">
        <color indexed="64"/>
      </right>
      <top/>
      <bottom/>
      <diagonal/>
    </border>
    <border>
      <left style="thick">
        <color indexed="64"/>
      </left>
      <right style="medium">
        <color indexed="64"/>
      </right>
      <top/>
      <bottom/>
      <diagonal/>
    </border>
    <border>
      <left style="medium">
        <color indexed="64"/>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style="medium">
        <color indexed="9"/>
      </right>
      <top/>
      <bottom style="medium">
        <color indexed="9"/>
      </bottom>
      <diagonal/>
    </border>
    <border>
      <left style="thin">
        <color indexed="8"/>
      </left>
      <right style="thin">
        <color indexed="8"/>
      </right>
      <top style="thin">
        <color indexed="8"/>
      </top>
      <bottom style="thin">
        <color indexed="8"/>
      </bottom>
      <diagonal/>
    </border>
    <border>
      <left/>
      <right style="thin">
        <color indexed="9"/>
      </right>
      <top/>
      <bottom/>
      <diagonal/>
    </border>
    <border>
      <left/>
      <right/>
      <top/>
      <bottom style="thin">
        <color indexed="9"/>
      </bottom>
      <diagonal/>
    </border>
    <border>
      <left/>
      <right/>
      <top/>
      <bottom style="thin">
        <color rgb="FFFFFFFF"/>
      </bottom>
      <diagonal/>
    </border>
    <border>
      <left/>
      <right style="thin">
        <color indexed="22"/>
      </right>
      <top/>
      <bottom/>
      <diagonal/>
    </border>
    <border>
      <left/>
      <right/>
      <top/>
      <bottom style="thin">
        <color indexed="44"/>
      </bottom>
      <diagonal/>
    </border>
    <border>
      <left/>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12"/>
      </left>
      <right style="medium">
        <color indexed="12"/>
      </right>
      <top style="medium">
        <color indexed="12"/>
      </top>
      <bottom style="medium">
        <color indexed="12"/>
      </bottom>
      <diagonal/>
    </border>
    <border>
      <left style="hair">
        <color indexed="22"/>
      </left>
      <right style="hair">
        <color indexed="22"/>
      </right>
      <top style="hair">
        <color indexed="22"/>
      </top>
      <bottom style="hair">
        <color indexed="22"/>
      </bottom>
      <diagonal/>
    </border>
    <border>
      <left/>
      <right/>
      <top style="thin">
        <color indexed="64"/>
      </top>
      <bottom style="double">
        <color indexed="64"/>
      </bottom>
      <diagonal/>
    </border>
    <border>
      <left/>
      <right style="thin">
        <color indexed="8"/>
      </right>
      <top style="thin">
        <color indexed="8"/>
      </top>
      <bottom/>
      <diagonal/>
    </border>
    <border>
      <left style="dashed">
        <color indexed="22"/>
      </left>
      <right style="dashed">
        <color indexed="22"/>
      </right>
      <top style="dashed">
        <color indexed="22"/>
      </top>
      <bottom style="dashed">
        <color indexed="22"/>
      </bottom>
      <diagonal/>
    </border>
    <border>
      <left style="thin">
        <color indexed="64"/>
      </left>
      <right style="medium">
        <color indexed="10"/>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right/>
      <top/>
      <bottom style="dotted">
        <color indexed="64"/>
      </bottom>
      <diagonal/>
    </border>
    <border>
      <left style="thin">
        <color indexed="17"/>
      </left>
      <right style="thin">
        <color indexed="17"/>
      </right>
      <top style="thin">
        <color indexed="17"/>
      </top>
      <bottom style="thin">
        <color indexed="17"/>
      </bottom>
      <diagonal/>
    </border>
    <border>
      <left style="hair">
        <color indexed="64"/>
      </left>
      <right style="hair">
        <color indexed="64"/>
      </right>
      <top style="hair">
        <color indexed="64"/>
      </top>
      <bottom style="hair">
        <color indexed="64"/>
      </bottom>
      <diagonal/>
    </border>
    <border>
      <left/>
      <right style="thin">
        <color indexed="55"/>
      </right>
      <top style="thin">
        <color indexed="55"/>
      </top>
      <bottom style="thin">
        <color indexed="55"/>
      </bottom>
      <diagonal/>
    </border>
    <border>
      <left/>
      <right/>
      <top style="medium">
        <color indexed="64"/>
      </top>
      <bottom style="medium">
        <color indexed="64"/>
      </bottom>
      <diagonal/>
    </border>
    <border>
      <left/>
      <right/>
      <top/>
      <bottom style="thick">
        <color indexed="32"/>
      </bottom>
      <diagonal/>
    </border>
    <border>
      <left/>
      <right/>
      <top/>
      <bottom style="thick">
        <color indexed="48"/>
      </bottom>
      <diagonal/>
    </border>
    <border>
      <left/>
      <right/>
      <top/>
      <bottom style="thick">
        <color indexed="58"/>
      </bottom>
      <diagonal/>
    </border>
    <border>
      <left/>
      <right/>
      <top/>
      <bottom style="medium">
        <color indexed="32"/>
      </bottom>
      <diagonal/>
    </border>
    <border>
      <left/>
      <right/>
      <top/>
      <bottom style="medium">
        <color indexed="49"/>
      </bottom>
      <diagonal/>
    </border>
    <border>
      <left/>
      <right/>
      <top/>
      <bottom style="medium">
        <color indexed="58"/>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style="medium">
        <color indexed="8"/>
      </top>
      <bottom/>
      <diagonal/>
    </border>
    <border>
      <left/>
      <right/>
      <top/>
      <bottom style="double">
        <color indexed="29"/>
      </bottom>
      <diagonal/>
    </border>
    <border>
      <left/>
      <right/>
      <top/>
      <bottom style="double">
        <color indexed="17"/>
      </bottom>
      <diagonal/>
    </border>
    <border>
      <left/>
      <right/>
      <top style="thin">
        <color indexed="24"/>
      </top>
      <bottom style="thin">
        <color indexed="24"/>
      </bottom>
      <diagonal/>
    </border>
    <border>
      <left/>
      <right/>
      <top/>
      <bottom style="double">
        <color indexed="24"/>
      </bottom>
      <diagonal/>
    </border>
    <border>
      <left/>
      <right/>
      <top/>
      <bottom style="thin">
        <color indexed="24"/>
      </bottom>
      <diagonal/>
    </border>
    <border>
      <left style="dashed">
        <color indexed="54"/>
      </left>
      <right style="dashed">
        <color indexed="54"/>
      </right>
      <top style="dashed">
        <color indexed="54"/>
      </top>
      <bottom style="dashed">
        <color indexed="5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rgb="FF848484"/>
      </left>
      <right style="thin">
        <color rgb="FF848484"/>
      </right>
      <top style="thin">
        <color rgb="FF848484"/>
      </top>
      <bottom style="thin">
        <color rgb="FF84848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medium">
        <color indexed="64"/>
      </left>
      <right style="medium">
        <color indexed="64"/>
      </right>
      <top style="medium">
        <color indexed="64"/>
      </top>
      <bottom style="medium">
        <color indexed="64"/>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32"/>
      </top>
      <bottom style="double">
        <color indexed="32"/>
      </bottom>
      <diagonal/>
    </border>
    <border>
      <left style="medium">
        <color indexed="9"/>
      </left>
      <right style="medium">
        <color indexed="49"/>
      </right>
      <top/>
      <bottom/>
      <diagonal/>
    </border>
    <border>
      <left/>
      <right/>
      <top style="double">
        <color indexed="64"/>
      </top>
      <bottom style="thin">
        <color indexed="64"/>
      </bottom>
      <diagonal/>
    </border>
    <border>
      <left/>
      <right/>
      <top style="double">
        <color indexed="64"/>
      </top>
      <bottom style="double">
        <color indexed="64"/>
      </bottom>
      <diagonal/>
    </border>
    <border>
      <left/>
      <right/>
      <top style="thin">
        <color indexed="23"/>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style="thin">
        <color auto="1"/>
      </left>
      <right/>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style="thick">
        <color auto="1"/>
      </right>
      <top/>
      <bottom/>
      <diagonal/>
    </border>
    <border>
      <left style="thin">
        <color indexed="64"/>
      </left>
      <right style="thick">
        <color auto="1"/>
      </right>
      <top/>
      <bottom style="thick">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top/>
      <bottom style="thick">
        <color indexed="64"/>
      </bottom>
      <diagonal/>
    </border>
    <border>
      <left/>
      <right style="thick">
        <color indexed="64"/>
      </right>
      <top/>
      <bottom style="thick">
        <color indexed="64"/>
      </bottom>
      <diagonal/>
    </border>
    <border>
      <left/>
      <right/>
      <top/>
      <bottom style="thick">
        <color indexed="49"/>
      </bottom>
      <diagonal/>
    </border>
    <border>
      <left/>
      <right/>
      <top/>
      <bottom style="thick">
        <color indexed="22"/>
      </bottom>
      <diagonal/>
    </border>
  </borders>
  <cellStyleXfs count="20961">
    <xf numFmtId="0" fontId="0" fillId="0" borderId="0"/>
    <xf numFmtId="0" fontId="34" fillId="0" borderId="0" applyNumberFormat="0" applyFill="0" applyBorder="0" applyAlignment="0" applyProtection="0"/>
    <xf numFmtId="0" fontId="35" fillId="0" borderId="0" applyNumberFormat="0" applyFill="0" applyBorder="0" applyAlignment="0" applyProtection="0"/>
    <xf numFmtId="0" fontId="36" fillId="0" borderId="0"/>
    <xf numFmtId="164" fontId="32" fillId="0" borderId="0" applyFont="0" applyFill="0" applyBorder="0" applyAlignment="0" applyProtection="0"/>
    <xf numFmtId="0" fontId="38" fillId="0" borderId="0">
      <alignment horizontal="justify"/>
    </xf>
    <xf numFmtId="0" fontId="32" fillId="0" borderId="0"/>
    <xf numFmtId="0" fontId="32" fillId="0" borderId="0"/>
    <xf numFmtId="9" fontId="32" fillId="0" borderId="0" applyFont="0" applyFill="0" applyBorder="0" applyAlignment="0" applyProtection="0"/>
    <xf numFmtId="0" fontId="33" fillId="2" borderId="0" applyNumberFormat="0" applyFont="0" applyFill="0" applyBorder="0" applyAlignment="0" applyProtection="0"/>
    <xf numFmtId="0" fontId="39" fillId="0" borderId="0" applyNumberFormat="0" applyFont="0" applyFill="0" applyBorder="0" applyAlignment="0" applyProtection="0"/>
    <xf numFmtId="0" fontId="33" fillId="0" borderId="0" applyNumberFormat="0" applyFont="0" applyFill="0" applyBorder="0" applyAlignment="0" applyProtection="0"/>
    <xf numFmtId="0" fontId="40" fillId="0" borderId="0" applyNumberFormat="0" applyFont="0" applyFill="0" applyBorder="0" applyAlignment="0" applyProtection="0"/>
    <xf numFmtId="0" fontId="32" fillId="0" borderId="0" applyNumberFormat="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9" fontId="41" fillId="0" borderId="0" applyFont="0" applyFill="0" applyBorder="0" applyAlignment="0" applyProtection="0"/>
    <xf numFmtId="0" fontId="32" fillId="0" borderId="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4" fillId="0" borderId="0" applyNumberFormat="0" applyFont="0" applyFill="0" applyBorder="0" applyProtection="0">
      <alignment horizontal="left" vertical="center" indent="5"/>
    </xf>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4" fontId="48" fillId="0" borderId="3" applyFill="0" applyBorder="0" applyProtection="0">
      <alignment horizontal="right" vertical="center"/>
    </xf>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43" fontId="41" fillId="0" borderId="0" applyFont="0" applyFill="0" applyBorder="0" applyAlignment="0" applyProtection="0"/>
    <xf numFmtId="0" fontId="32" fillId="22" borderId="0" applyNumberFormat="0" applyFont="0" applyBorder="0" applyAlignment="0"/>
    <xf numFmtId="164" fontId="32" fillId="0" borderId="0" applyFont="0" applyFill="0" applyBorder="0" applyAlignment="0" applyProtection="0"/>
    <xf numFmtId="0" fontId="51" fillId="0" borderId="0" applyNumberFormat="0" applyFill="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6" fontId="53" fillId="0" borderId="0">
      <alignment horizontal="left" vertical="center"/>
    </xf>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4" fontId="46" fillId="0" borderId="9">
      <alignment horizontal="right" vertical="center"/>
    </xf>
    <xf numFmtId="0" fontId="60" fillId="0" borderId="10" applyNumberFormat="0" applyFill="0" applyAlignment="0" applyProtection="0"/>
    <xf numFmtId="0" fontId="32" fillId="8" borderId="0" applyNumberFormat="0" applyFont="0" applyBorder="0" applyAlignment="0"/>
    <xf numFmtId="167" fontId="32" fillId="0" borderId="0" applyFont="0" applyFill="0" applyBorder="0" applyAlignment="0" applyProtection="0"/>
    <xf numFmtId="168" fontId="32"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0" fillId="0" borderId="0"/>
    <xf numFmtId="0" fontId="30" fillId="0" borderId="0"/>
    <xf numFmtId="0" fontId="32"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30" fillId="0" borderId="0"/>
    <xf numFmtId="0" fontId="30" fillId="0" borderId="0"/>
    <xf numFmtId="0" fontId="30" fillId="0" borderId="0"/>
    <xf numFmtId="0" fontId="32" fillId="0" borderId="0"/>
    <xf numFmtId="0" fontId="44" fillId="21" borderId="0" applyNumberFormat="0" applyFont="0" applyBorder="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9" fontId="3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3" fontId="32" fillId="0" borderId="0" applyFont="0" applyFill="0" applyProtection="0"/>
    <xf numFmtId="9" fontId="30" fillId="0" borderId="0" applyFont="0" applyFill="0" applyBorder="0" applyAlignment="0" applyProtection="0"/>
    <xf numFmtId="166" fontId="64" fillId="0" borderId="0" applyFill="0" applyBorder="0" applyAlignment="0" applyProtection="0"/>
    <xf numFmtId="0" fontId="32" fillId="0" borderId="0"/>
    <xf numFmtId="0" fontId="32" fillId="0" borderId="0"/>
    <xf numFmtId="0" fontId="46" fillId="21" borderId="13"/>
    <xf numFmtId="0" fontId="46" fillId="21" borderId="13"/>
    <xf numFmtId="0" fontId="46" fillId="21" borderId="13"/>
    <xf numFmtId="0" fontId="65" fillId="0" borderId="0"/>
    <xf numFmtId="0" fontId="66" fillId="0" borderId="0">
      <alignment horizontal="right"/>
    </xf>
    <xf numFmtId="0" fontId="66" fillId="0" borderId="0">
      <alignment horizontal="left"/>
    </xf>
    <xf numFmtId="171" fontId="32" fillId="0" borderId="0" applyFont="0" applyFill="0" applyBorder="0" applyAlignment="0" applyProtection="0">
      <alignment horizontal="left"/>
    </xf>
    <xf numFmtId="171" fontId="32" fillId="0" borderId="0" applyFont="0" applyFill="0" applyBorder="0" applyAlignment="0" applyProtection="0">
      <alignment horizontal="left"/>
    </xf>
    <xf numFmtId="172" fontId="32" fillId="0" borderId="0" applyFont="0" applyFill="0" applyBorder="0" applyAlignment="0" applyProtection="0">
      <alignment horizontal="left"/>
    </xf>
    <xf numFmtId="172" fontId="32" fillId="0" borderId="0" applyFont="0" applyFill="0" applyBorder="0" applyAlignment="0" applyProtection="0">
      <alignment horizontal="left"/>
    </xf>
    <xf numFmtId="173" fontId="32" fillId="0" borderId="0" applyFont="0" applyFill="0" applyBorder="0" applyAlignment="0" applyProtection="0">
      <alignment horizontal="left"/>
    </xf>
    <xf numFmtId="173" fontId="32" fillId="0" borderId="0" applyFont="0" applyFill="0" applyBorder="0" applyAlignment="0" applyProtection="0">
      <alignment horizontal="left"/>
    </xf>
    <xf numFmtId="49" fontId="32" fillId="0" borderId="0" applyFill="0" applyBorder="0" applyProtection="0">
      <alignment horizontal="left"/>
    </xf>
    <xf numFmtId="49" fontId="32" fillId="0" borderId="0" applyFill="0" applyBorder="0" applyProtection="0">
      <alignment horizontal="left"/>
    </xf>
    <xf numFmtId="171" fontId="32" fillId="0" borderId="0" applyFont="0" applyFill="0" applyBorder="0" applyAlignment="0" applyProtection="0">
      <alignment horizontal="left"/>
    </xf>
    <xf numFmtId="171" fontId="32" fillId="0" borderId="0" applyFont="0" applyFill="0" applyBorder="0" applyAlignment="0" applyProtection="0">
      <alignment horizontal="left"/>
    </xf>
    <xf numFmtId="172" fontId="32" fillId="0" borderId="0" applyFont="0" applyFill="0" applyBorder="0" applyAlignment="0" applyProtection="0">
      <alignment horizontal="left"/>
    </xf>
    <xf numFmtId="172" fontId="32" fillId="0" borderId="0" applyFont="0" applyFill="0" applyBorder="0" applyAlignment="0" applyProtection="0">
      <alignment horizontal="left"/>
    </xf>
    <xf numFmtId="173" fontId="32" fillId="0" borderId="0" applyFont="0" applyFill="0" applyBorder="0" applyAlignment="0" applyProtection="0">
      <alignment horizontal="left"/>
    </xf>
    <xf numFmtId="173" fontId="32" fillId="0" borderId="0" applyFont="0" applyFill="0" applyBorder="0" applyAlignment="0" applyProtection="0">
      <alignment horizontal="left"/>
    </xf>
    <xf numFmtId="49" fontId="32" fillId="0" borderId="0" applyFill="0" applyBorder="0" applyProtection="0">
      <alignment horizontal="left"/>
    </xf>
    <xf numFmtId="49" fontId="32" fillId="0" borderId="0" applyFill="0" applyBorder="0" applyProtection="0">
      <alignment horizontal="left"/>
    </xf>
    <xf numFmtId="0" fontId="68" fillId="0" borderId="0" applyNumberFormat="0" applyFill="0" applyBorder="0" applyAlignment="0" applyProtection="0"/>
    <xf numFmtId="0" fontId="69" fillId="0" borderId="0">
      <alignment horizontal="left" vertical="top"/>
    </xf>
    <xf numFmtId="0" fontId="70" fillId="0" borderId="0">
      <alignment horizontal="left"/>
    </xf>
    <xf numFmtId="174" fontId="71" fillId="24" borderId="0" applyNumberFormat="0" applyBorder="0">
      <protection locked="0"/>
    </xf>
    <xf numFmtId="0" fontId="72" fillId="0" borderId="14" applyNumberFormat="0" applyFill="0" applyAlignment="0" applyProtection="0"/>
    <xf numFmtId="0" fontId="72" fillId="0" borderId="14" applyNumberFormat="0" applyFill="0" applyAlignment="0" applyProtection="0"/>
    <xf numFmtId="174" fontId="73" fillId="25" borderId="0" applyNumberFormat="0" applyBorder="0">
      <protection locked="0"/>
    </xf>
    <xf numFmtId="41"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0" fontId="74" fillId="0" borderId="0" applyNumberFormat="0" applyFill="0" applyBorder="0" applyAlignment="0" applyProtection="0"/>
    <xf numFmtId="0" fontId="75" fillId="22" borderId="0">
      <alignment horizontal="left" vertical="center" indent="1"/>
    </xf>
    <xf numFmtId="4" fontId="46" fillId="0" borderId="0"/>
    <xf numFmtId="0" fontId="34" fillId="0" borderId="0" applyNumberFormat="0" applyFill="0" applyBorder="0" applyAlignment="0" applyProtection="0"/>
    <xf numFmtId="0" fontId="35" fillId="0" borderId="0" applyNumberFormat="0" applyFill="0" applyBorder="0" applyAlignment="0" applyProtection="0"/>
    <xf numFmtId="0" fontId="30" fillId="0" borderId="0"/>
    <xf numFmtId="0" fontId="34" fillId="0" borderId="0" applyNumberFormat="0" applyFill="0" applyBorder="0" applyAlignment="0" applyProtection="0"/>
    <xf numFmtId="0" fontId="35" fillId="0" borderId="0" applyNumberFormat="0" applyFill="0" applyBorder="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46" fillId="21" borderId="2"/>
    <xf numFmtId="0" fontId="46" fillId="21" borderId="2"/>
    <xf numFmtId="0" fontId="46" fillId="21" borderId="2"/>
    <xf numFmtId="0" fontId="72" fillId="0" borderId="17" applyNumberFormat="0" applyFill="0" applyAlignment="0" applyProtection="0"/>
    <xf numFmtId="0" fontId="72" fillId="0" borderId="17" applyNumberFormat="0" applyFill="0" applyAlignment="0" applyProtection="0"/>
    <xf numFmtId="0" fontId="77" fillId="0" borderId="0" applyNumberFormat="0" applyFill="0" applyBorder="0" applyAlignment="0" applyProtection="0"/>
    <xf numFmtId="0" fontId="78" fillId="0" borderId="18" applyNumberFormat="0" applyFill="0" applyAlignment="0" applyProtection="0"/>
    <xf numFmtId="0" fontId="79" fillId="0" borderId="19" applyNumberFormat="0" applyFill="0" applyAlignment="0" applyProtection="0"/>
    <xf numFmtId="0" fontId="80" fillId="0" borderId="20" applyNumberFormat="0" applyFill="0" applyAlignment="0" applyProtection="0"/>
    <xf numFmtId="0" fontId="80" fillId="0" borderId="0" applyNumberFormat="0" applyFill="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4" fillId="30" borderId="21" applyNumberFormat="0" applyAlignment="0" applyProtection="0"/>
    <xf numFmtId="0" fontId="85" fillId="31" borderId="22" applyNumberFormat="0" applyAlignment="0" applyProtection="0"/>
    <xf numFmtId="0" fontId="86" fillId="31" borderId="21" applyNumberFormat="0" applyAlignment="0" applyProtection="0"/>
    <xf numFmtId="0" fontId="87" fillId="0" borderId="23" applyNumberFormat="0" applyFill="0" applyAlignment="0" applyProtection="0"/>
    <xf numFmtId="0" fontId="88" fillId="32" borderId="24"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37" fillId="0" borderId="26" applyNumberFormat="0" applyFill="0" applyAlignment="0" applyProtection="0"/>
    <xf numFmtId="0" fontId="91"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1" fillId="57" borderId="0" applyNumberFormat="0" applyBorder="0" applyAlignment="0" applyProtection="0"/>
    <xf numFmtId="0" fontId="28" fillId="0" borderId="0"/>
    <xf numFmtId="0" fontId="28" fillId="33" borderId="25" applyNumberFormat="0" applyFont="0" applyAlignment="0" applyProtection="0"/>
    <xf numFmtId="0" fontId="32" fillId="0" borderId="0">
      <alignment vertical="center"/>
    </xf>
    <xf numFmtId="0" fontId="43" fillId="58" borderId="0" applyNumberFormat="0" applyBorder="0" applyAlignment="0" applyProtection="0"/>
    <xf numFmtId="0" fontId="43" fillId="3" borderId="0" applyNumberFormat="0" applyBorder="0" applyAlignment="0" applyProtection="0"/>
    <xf numFmtId="0" fontId="43" fillId="59" borderId="0" applyNumberFormat="0" applyBorder="0" applyAlignment="0" applyProtection="0"/>
    <xf numFmtId="0" fontId="43" fillId="4" borderId="0" applyNumberFormat="0" applyBorder="0" applyAlignment="0" applyProtection="0"/>
    <xf numFmtId="0" fontId="43" fillId="60" borderId="0" applyNumberFormat="0" applyBorder="0" applyAlignment="0" applyProtection="0"/>
    <xf numFmtId="0" fontId="43" fillId="5" borderId="0" applyNumberFormat="0" applyBorder="0" applyAlignment="0" applyProtection="0"/>
    <xf numFmtId="0" fontId="43" fillId="61" borderId="0" applyNumberFormat="0" applyBorder="0" applyAlignment="0" applyProtection="0"/>
    <xf numFmtId="0" fontId="43" fillId="6" borderId="0" applyNumberFormat="0" applyBorder="0" applyAlignment="0" applyProtection="0"/>
    <xf numFmtId="0" fontId="43" fillId="62" borderId="0" applyNumberFormat="0" applyBorder="0" applyAlignment="0" applyProtection="0"/>
    <xf numFmtId="0" fontId="43" fillId="7" borderId="0" applyNumberFormat="0" applyBorder="0" applyAlignment="0" applyProtection="0"/>
    <xf numFmtId="0" fontId="43" fillId="63" borderId="0" applyNumberFormat="0" applyBorder="0" applyAlignment="0" applyProtection="0"/>
    <xf numFmtId="0" fontId="43" fillId="8" borderId="0" applyNumberFormat="0" applyBorder="0" applyAlignment="0" applyProtection="0"/>
    <xf numFmtId="0" fontId="43" fillId="64" borderId="0" applyNumberFormat="0" applyBorder="0" applyAlignment="0" applyProtection="0"/>
    <xf numFmtId="0" fontId="43" fillId="9" borderId="0" applyNumberFormat="0" applyBorder="0" applyAlignment="0" applyProtection="0"/>
    <xf numFmtId="0" fontId="43" fillId="65" borderId="0" applyNumberFormat="0" applyBorder="0" applyAlignment="0" applyProtection="0"/>
    <xf numFmtId="0" fontId="43" fillId="10" borderId="0" applyNumberFormat="0" applyBorder="0" applyAlignment="0" applyProtection="0"/>
    <xf numFmtId="0" fontId="43" fillId="66" borderId="0" applyNumberFormat="0" applyBorder="0" applyAlignment="0" applyProtection="0"/>
    <xf numFmtId="0" fontId="43" fillId="11" borderId="0" applyNumberFormat="0" applyBorder="0" applyAlignment="0" applyProtection="0"/>
    <xf numFmtId="0" fontId="43" fillId="61" borderId="0" applyNumberFormat="0" applyBorder="0" applyAlignment="0" applyProtection="0"/>
    <xf numFmtId="0" fontId="43" fillId="6" borderId="0" applyNumberFormat="0" applyBorder="0" applyAlignment="0" applyProtection="0"/>
    <xf numFmtId="0" fontId="43" fillId="64" borderId="0" applyNumberFormat="0" applyBorder="0" applyAlignment="0" applyProtection="0"/>
    <xf numFmtId="0" fontId="43" fillId="9" borderId="0" applyNumberFormat="0" applyBorder="0" applyAlignment="0" applyProtection="0"/>
    <xf numFmtId="0" fontId="43" fillId="67" borderId="0" applyNumberFormat="0" applyBorder="0" applyAlignment="0" applyProtection="0"/>
    <xf numFmtId="0" fontId="43" fillId="12" borderId="0" applyNumberFormat="0" applyBorder="0" applyAlignment="0" applyProtection="0"/>
    <xf numFmtId="0" fontId="45" fillId="68" borderId="0" applyNumberFormat="0" applyBorder="0" applyAlignment="0" applyProtection="0"/>
    <xf numFmtId="0" fontId="45" fillId="13" borderId="0" applyNumberFormat="0" applyBorder="0" applyAlignment="0" applyProtection="0"/>
    <xf numFmtId="0" fontId="45" fillId="65" borderId="0" applyNumberFormat="0" applyBorder="0" applyAlignment="0" applyProtection="0"/>
    <xf numFmtId="0" fontId="45" fillId="10" borderId="0" applyNumberFormat="0" applyBorder="0" applyAlignment="0" applyProtection="0"/>
    <xf numFmtId="0" fontId="45" fillId="66" borderId="0" applyNumberFormat="0" applyBorder="0" applyAlignment="0" applyProtection="0"/>
    <xf numFmtId="0" fontId="45" fillId="11" borderId="0" applyNumberFormat="0" applyBorder="0" applyAlignment="0" applyProtection="0"/>
    <xf numFmtId="0" fontId="45" fillId="69" borderId="0" applyNumberFormat="0" applyBorder="0" applyAlignment="0" applyProtection="0"/>
    <xf numFmtId="0" fontId="45" fillId="14" borderId="0" applyNumberFormat="0" applyBorder="0" applyAlignment="0" applyProtection="0"/>
    <xf numFmtId="0" fontId="45" fillId="70" borderId="0" applyNumberFormat="0" applyBorder="0" applyAlignment="0" applyProtection="0"/>
    <xf numFmtId="0" fontId="45" fillId="15" borderId="0" applyNumberFormat="0" applyBorder="0" applyAlignment="0" applyProtection="0"/>
    <xf numFmtId="0" fontId="45" fillId="71" borderId="0" applyNumberFormat="0" applyBorder="0" applyAlignment="0" applyProtection="0"/>
    <xf numFmtId="0" fontId="45" fillId="16" borderId="0" applyNumberFormat="0" applyBorder="0" applyAlignment="0" applyProtection="0"/>
    <xf numFmtId="0" fontId="45" fillId="72" borderId="0" applyNumberFormat="0" applyBorder="0" applyAlignment="0" applyProtection="0"/>
    <xf numFmtId="0" fontId="45" fillId="17" borderId="0" applyNumberFormat="0" applyBorder="0" applyAlignment="0" applyProtection="0"/>
    <xf numFmtId="0" fontId="45" fillId="73" borderId="0" applyNumberFormat="0" applyBorder="0" applyAlignment="0" applyProtection="0"/>
    <xf numFmtId="0" fontId="45" fillId="18" borderId="0" applyNumberFormat="0" applyBorder="0" applyAlignment="0" applyProtection="0"/>
    <xf numFmtId="0" fontId="45" fillId="74" borderId="0" applyNumberFormat="0" applyBorder="0" applyAlignment="0" applyProtection="0"/>
    <xf numFmtId="0" fontId="45" fillId="19" borderId="0" applyNumberFormat="0" applyBorder="0" applyAlignment="0" applyProtection="0"/>
    <xf numFmtId="0" fontId="45" fillId="69" borderId="0" applyNumberFormat="0" applyBorder="0" applyAlignment="0" applyProtection="0"/>
    <xf numFmtId="0" fontId="45" fillId="14" borderId="0" applyNumberFormat="0" applyBorder="0" applyAlignment="0" applyProtection="0"/>
    <xf numFmtId="0" fontId="45" fillId="70" borderId="0" applyNumberFormat="0" applyBorder="0" applyAlignment="0" applyProtection="0"/>
    <xf numFmtId="0" fontId="45" fillId="15" borderId="0" applyNumberFormat="0" applyBorder="0" applyAlignment="0" applyProtection="0"/>
    <xf numFmtId="0" fontId="45" fillId="75" borderId="0" applyNumberFormat="0" applyBorder="0" applyAlignment="0" applyProtection="0"/>
    <xf numFmtId="0" fontId="45" fillId="20" borderId="0" applyNumberFormat="0" applyBorder="0" applyAlignment="0" applyProtection="0"/>
    <xf numFmtId="0" fontId="47" fillId="59" borderId="0" applyNumberFormat="0" applyBorder="0" applyAlignment="0" applyProtection="0"/>
    <xf numFmtId="0" fontId="47" fillId="4" borderId="0" applyNumberFormat="0" applyBorder="0" applyAlignment="0" applyProtection="0"/>
    <xf numFmtId="0" fontId="49" fillId="76" borderId="4" applyNumberFormat="0" applyAlignment="0" applyProtection="0"/>
    <xf numFmtId="0" fontId="50" fillId="77" borderId="5" applyNumberFormat="0" applyAlignment="0" applyProtection="0"/>
    <xf numFmtId="0" fontId="50" fillId="21" borderId="5" applyNumberFormat="0" applyAlignment="0" applyProtection="0"/>
    <xf numFmtId="165" fontId="32" fillId="0" borderId="0" applyFont="0" applyFill="0" applyBorder="0" applyAlignment="0" applyProtection="0"/>
    <xf numFmtId="165" fontId="32" fillId="0" borderId="0" applyFont="0" applyFill="0" applyBorder="0" applyAlignment="0" applyProtection="0"/>
    <xf numFmtId="0" fontId="52" fillId="60" borderId="0" applyNumberFormat="0" applyBorder="0" applyAlignment="0" applyProtection="0"/>
    <xf numFmtId="0" fontId="52" fillId="5" borderId="0" applyNumberFormat="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center"/>
    </xf>
    <xf numFmtId="0" fontId="59" fillId="63" borderId="4" applyNumberFormat="0" applyAlignment="0" applyProtection="0"/>
    <xf numFmtId="0" fontId="61" fillId="78" borderId="0" applyNumberFormat="0" applyBorder="0" applyAlignment="0" applyProtection="0"/>
    <xf numFmtId="0" fontId="61" fillId="22" borderId="0" applyNumberFormat="0" applyBorder="0" applyAlignment="0" applyProtection="0"/>
    <xf numFmtId="0" fontId="28"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3" fillId="79" borderId="15" applyNumberFormat="0" applyFont="0" applyAlignment="0" applyProtection="0"/>
    <xf numFmtId="0" fontId="62" fillId="76" borderId="16" applyNumberFormat="0" applyAlignment="0" applyProtection="0"/>
    <xf numFmtId="9" fontId="3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33" borderId="25" applyNumberFormat="0" applyFont="0" applyAlignment="0" applyProtection="0"/>
    <xf numFmtId="43" fontId="28" fillId="0" borderId="0" applyFont="0" applyFill="0" applyBorder="0" applyAlignment="0" applyProtection="0"/>
    <xf numFmtId="0" fontId="28" fillId="33" borderId="25" applyNumberFormat="0" applyFont="0" applyAlignment="0" applyProtection="0"/>
    <xf numFmtId="0" fontId="27" fillId="0" borderId="0"/>
    <xf numFmtId="0" fontId="27" fillId="0" borderId="0"/>
    <xf numFmtId="0" fontId="98" fillId="0" borderId="0"/>
    <xf numFmtId="0" fontId="63" fillId="58" borderId="0" applyNumberFormat="0" applyBorder="0" applyAlignment="0" applyProtection="0"/>
    <xf numFmtId="0" fontId="111" fillId="58" borderId="0" applyNumberFormat="0" applyBorder="0" applyAlignment="0" applyProtection="0"/>
    <xf numFmtId="0" fontId="63" fillId="59" borderId="0" applyNumberFormat="0" applyBorder="0" applyAlignment="0" applyProtection="0"/>
    <xf numFmtId="0" fontId="111" fillId="59" borderId="0" applyNumberFormat="0" applyBorder="0" applyAlignment="0" applyProtection="0"/>
    <xf numFmtId="0" fontId="63" fillId="60" borderId="0" applyNumberFormat="0" applyBorder="0" applyAlignment="0" applyProtection="0"/>
    <xf numFmtId="0" fontId="111" fillId="60" borderId="0" applyNumberFormat="0" applyBorder="0" applyAlignment="0" applyProtection="0"/>
    <xf numFmtId="0" fontId="63" fillId="61" borderId="0" applyNumberFormat="0" applyBorder="0" applyAlignment="0" applyProtection="0"/>
    <xf numFmtId="0" fontId="111" fillId="61" borderId="0" applyNumberFormat="0" applyBorder="0" applyAlignment="0" applyProtection="0"/>
    <xf numFmtId="0" fontId="63" fillId="62" borderId="0" applyNumberFormat="0" applyBorder="0" applyAlignment="0" applyProtection="0"/>
    <xf numFmtId="0" fontId="111" fillId="62" borderId="0" applyNumberFormat="0" applyBorder="0" applyAlignment="0" applyProtection="0"/>
    <xf numFmtId="0" fontId="63" fillId="63" borderId="0" applyNumberFormat="0" applyBorder="0" applyAlignment="0" applyProtection="0"/>
    <xf numFmtId="0" fontId="111" fillId="63" borderId="0" applyNumberFormat="0" applyBorder="0" applyAlignment="0" applyProtection="0"/>
    <xf numFmtId="0" fontId="63" fillId="64" borderId="0" applyNumberFormat="0" applyBorder="0" applyAlignment="0" applyProtection="0"/>
    <xf numFmtId="0" fontId="111" fillId="64" borderId="0" applyNumberFormat="0" applyBorder="0" applyAlignment="0" applyProtection="0"/>
    <xf numFmtId="0" fontId="63" fillId="65" borderId="0" applyNumberFormat="0" applyBorder="0" applyAlignment="0" applyProtection="0"/>
    <xf numFmtId="0" fontId="111" fillId="65" borderId="0" applyNumberFormat="0" applyBorder="0" applyAlignment="0" applyProtection="0"/>
    <xf numFmtId="0" fontId="63" fillId="66" borderId="0" applyNumberFormat="0" applyBorder="0" applyAlignment="0" applyProtection="0"/>
    <xf numFmtId="0" fontId="111" fillId="66" borderId="0" applyNumberFormat="0" applyBorder="0" applyAlignment="0" applyProtection="0"/>
    <xf numFmtId="0" fontId="63" fillId="61" borderId="0" applyNumberFormat="0" applyBorder="0" applyAlignment="0" applyProtection="0"/>
    <xf numFmtId="0" fontId="111" fillId="61" borderId="0" applyNumberFormat="0" applyBorder="0" applyAlignment="0" applyProtection="0"/>
    <xf numFmtId="0" fontId="63" fillId="64" borderId="0" applyNumberFormat="0" applyBorder="0" applyAlignment="0" applyProtection="0"/>
    <xf numFmtId="0" fontId="111" fillId="64" borderId="0" applyNumberFormat="0" applyBorder="0" applyAlignment="0" applyProtection="0"/>
    <xf numFmtId="0" fontId="63" fillId="67" borderId="0" applyNumberFormat="0" applyBorder="0" applyAlignment="0" applyProtection="0"/>
    <xf numFmtId="0" fontId="111" fillId="67" borderId="0" applyNumberFormat="0" applyBorder="0" applyAlignment="0" applyProtection="0"/>
    <xf numFmtId="0" fontId="109" fillId="68" borderId="0" applyNumberFormat="0" applyBorder="0" applyAlignment="0" applyProtection="0"/>
    <xf numFmtId="0" fontId="112" fillId="68" borderId="0" applyNumberFormat="0" applyBorder="0" applyAlignment="0" applyProtection="0"/>
    <xf numFmtId="0" fontId="109" fillId="65" borderId="0" applyNumberFormat="0" applyBorder="0" applyAlignment="0" applyProtection="0"/>
    <xf numFmtId="0" fontId="112" fillId="65" borderId="0" applyNumberFormat="0" applyBorder="0" applyAlignment="0" applyProtection="0"/>
    <xf numFmtId="0" fontId="109" fillId="66" borderId="0" applyNumberFormat="0" applyBorder="0" applyAlignment="0" applyProtection="0"/>
    <xf numFmtId="0" fontId="112" fillId="66" borderId="0" applyNumberFormat="0" applyBorder="0" applyAlignment="0" applyProtection="0"/>
    <xf numFmtId="0" fontId="109" fillId="69" borderId="0" applyNumberFormat="0" applyBorder="0" applyAlignment="0" applyProtection="0"/>
    <xf numFmtId="0" fontId="112" fillId="69" borderId="0" applyNumberFormat="0" applyBorder="0" applyAlignment="0" applyProtection="0"/>
    <xf numFmtId="0" fontId="109" fillId="70" borderId="0" applyNumberFormat="0" applyBorder="0" applyAlignment="0" applyProtection="0"/>
    <xf numFmtId="0" fontId="112" fillId="70" borderId="0" applyNumberFormat="0" applyBorder="0" applyAlignment="0" applyProtection="0"/>
    <xf numFmtId="0" fontId="109" fillId="71" borderId="0" applyNumberFormat="0" applyBorder="0" applyAlignment="0" applyProtection="0"/>
    <xf numFmtId="0" fontId="112" fillId="71" borderId="0" applyNumberFormat="0" applyBorder="0" applyAlignment="0" applyProtection="0"/>
    <xf numFmtId="0" fontId="109" fillId="72" borderId="0" applyNumberFormat="0" applyBorder="0" applyAlignment="0" applyProtection="0"/>
    <xf numFmtId="0" fontId="112" fillId="72" borderId="0" applyNumberFormat="0" applyBorder="0" applyAlignment="0" applyProtection="0"/>
    <xf numFmtId="0" fontId="109" fillId="73" borderId="0" applyNumberFormat="0" applyBorder="0" applyAlignment="0" applyProtection="0"/>
    <xf numFmtId="0" fontId="112" fillId="73" borderId="0" applyNumberFormat="0" applyBorder="0" applyAlignment="0" applyProtection="0"/>
    <xf numFmtId="0" fontId="109" fillId="74" borderId="0" applyNumberFormat="0" applyBorder="0" applyAlignment="0" applyProtection="0"/>
    <xf numFmtId="0" fontId="112" fillId="74" borderId="0" applyNumberFormat="0" applyBorder="0" applyAlignment="0" applyProtection="0"/>
    <xf numFmtId="0" fontId="109" fillId="69" borderId="0" applyNumberFormat="0" applyBorder="0" applyAlignment="0" applyProtection="0"/>
    <xf numFmtId="0" fontId="112" fillId="69" borderId="0" applyNumberFormat="0" applyBorder="0" applyAlignment="0" applyProtection="0"/>
    <xf numFmtId="0" fontId="109" fillId="70" borderId="0" applyNumberFormat="0" applyBorder="0" applyAlignment="0" applyProtection="0"/>
    <xf numFmtId="0" fontId="112" fillId="70" borderId="0" applyNumberFormat="0" applyBorder="0" applyAlignment="0" applyProtection="0"/>
    <xf numFmtId="0" fontId="109" fillId="75" borderId="0" applyNumberFormat="0" applyBorder="0" applyAlignment="0" applyProtection="0"/>
    <xf numFmtId="0" fontId="112" fillId="75" borderId="0" applyNumberFormat="0" applyBorder="0" applyAlignment="0" applyProtection="0"/>
    <xf numFmtId="0" fontId="100" fillId="59" borderId="0" applyNumberFormat="0" applyBorder="0" applyAlignment="0" applyProtection="0"/>
    <xf numFmtId="0" fontId="113" fillId="59" borderId="0" applyNumberFormat="0" applyBorder="0" applyAlignment="0" applyProtection="0"/>
    <xf numFmtId="0" fontId="104" fillId="76" borderId="4" applyNumberFormat="0" applyAlignment="0" applyProtection="0"/>
    <xf numFmtId="0" fontId="114" fillId="76" borderId="4" applyNumberFormat="0" applyAlignment="0" applyProtection="0"/>
    <xf numFmtId="0" fontId="110" fillId="77" borderId="5" applyNumberFormat="0" applyAlignment="0" applyProtection="0"/>
    <xf numFmtId="0" fontId="115" fillId="77" borderId="5" applyNumberFormat="0" applyAlignment="0" applyProtection="0"/>
    <xf numFmtId="0" fontId="106" fillId="0" borderId="0" applyNumberFormat="0" applyFill="0" applyBorder="0" applyAlignment="0" applyProtection="0"/>
    <xf numFmtId="0" fontId="116" fillId="0" borderId="0" applyNumberFormat="0" applyFill="0" applyBorder="0" applyAlignment="0" applyProtection="0"/>
    <xf numFmtId="0" fontId="99" fillId="60" borderId="0" applyNumberFormat="0" applyBorder="0" applyAlignment="0" applyProtection="0"/>
    <xf numFmtId="0" fontId="117" fillId="60" borderId="0" applyNumberFormat="0" applyBorder="0" applyAlignment="0" applyProtection="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102" fillId="63" borderId="4" applyNumberFormat="0" applyAlignment="0" applyProtection="0"/>
    <xf numFmtId="0" fontId="121" fillId="63" borderId="4" applyNumberFormat="0" applyAlignment="0" applyProtection="0"/>
    <xf numFmtId="0" fontId="105" fillId="0" borderId="10" applyNumberFormat="0" applyFill="0" applyAlignment="0" applyProtection="0"/>
    <xf numFmtId="0" fontId="122" fillId="0" borderId="10" applyNumberFormat="0" applyFill="0" applyAlignment="0" applyProtection="0"/>
    <xf numFmtId="0" fontId="101" fillId="78" borderId="0" applyNumberFormat="0" applyBorder="0" applyAlignment="0" applyProtection="0"/>
    <xf numFmtId="0" fontId="123" fillId="78" borderId="0" applyNumberFormat="0" applyBorder="0" applyAlignment="0" applyProtection="0"/>
    <xf numFmtId="0" fontId="98" fillId="0" borderId="0"/>
    <xf numFmtId="0" fontId="32" fillId="0" borderId="0"/>
    <xf numFmtId="0" fontId="26" fillId="0" borderId="0"/>
    <xf numFmtId="0" fontId="26" fillId="0" borderId="0"/>
    <xf numFmtId="0" fontId="98" fillId="0" borderId="0"/>
    <xf numFmtId="0" fontId="26" fillId="0" borderId="0"/>
    <xf numFmtId="0" fontId="98" fillId="79" borderId="15" applyNumberFormat="0" applyFont="0" applyAlignment="0" applyProtection="0"/>
    <xf numFmtId="0" fontId="98"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103" fillId="76" borderId="16" applyNumberFormat="0" applyAlignment="0" applyProtection="0"/>
    <xf numFmtId="0" fontId="124" fillId="76" borderId="16" applyNumberFormat="0" applyAlignment="0" applyProtection="0"/>
    <xf numFmtId="9" fontId="98" fillId="0" borderId="0" applyFont="0" applyFill="0" applyBorder="0" applyAlignment="0" applyProtection="0"/>
    <xf numFmtId="9" fontId="98" fillId="0" borderId="0" applyFont="0" applyFill="0" applyBorder="0" applyAlignment="0" applyProtection="0"/>
    <xf numFmtId="9" fontId="32" fillId="0" borderId="0" applyFont="0" applyFill="0" applyBorder="0" applyAlignment="0" applyProtection="0"/>
    <xf numFmtId="0" fontId="98" fillId="0" borderId="0"/>
    <xf numFmtId="9" fontId="98" fillId="0" borderId="0" applyFont="0" applyFill="0" applyBorder="0" applyAlignment="0" applyProtection="0"/>
    <xf numFmtId="9" fontId="32" fillId="0" borderId="0" applyFont="0" applyFill="0" applyBorder="0" applyAlignment="0" applyProtection="0"/>
    <xf numFmtId="9" fontId="98" fillId="0" borderId="0" applyFont="0" applyFill="0" applyBorder="0" applyAlignment="0" applyProtection="0"/>
    <xf numFmtId="9" fontId="32"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6" fillId="0" borderId="0" applyFont="0" applyFill="0" applyBorder="0" applyAlignment="0" applyProtection="0"/>
    <xf numFmtId="0" fontId="107" fillId="0" borderId="17" applyNumberFormat="0" applyFill="0" applyAlignment="0" applyProtection="0"/>
    <xf numFmtId="0" fontId="125" fillId="0" borderId="17" applyNumberFormat="0" applyFill="0" applyAlignment="0" applyProtection="0"/>
    <xf numFmtId="0" fontId="108" fillId="0" borderId="0" applyNumberFormat="0" applyFill="0" applyBorder="0" applyAlignment="0" applyProtection="0"/>
    <xf numFmtId="0" fontId="126" fillId="0" borderId="0" applyNumberForma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43" fontId="41" fillId="0" borderId="0" applyFont="0" applyFill="0" applyBorder="0" applyAlignment="0" applyProtection="0"/>
    <xf numFmtId="0" fontId="132" fillId="0" borderId="0"/>
    <xf numFmtId="0" fontId="132" fillId="0" borderId="0"/>
    <xf numFmtId="0" fontId="132" fillId="0" borderId="0"/>
    <xf numFmtId="0" fontId="132" fillId="0" borderId="0"/>
    <xf numFmtId="0" fontId="34" fillId="0" borderId="0" applyNumberFormat="0" applyFill="0" applyBorder="0" applyAlignment="0" applyProtection="0"/>
    <xf numFmtId="0" fontId="135" fillId="32" borderId="24" applyNumberFormat="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46" fillId="21" borderId="13"/>
    <xf numFmtId="0" fontId="46" fillId="21" borderId="13"/>
    <xf numFmtId="0" fontId="46" fillId="21" borderId="13"/>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0" borderId="0"/>
    <xf numFmtId="0" fontId="24" fillId="33" borderId="25"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33" borderId="25" applyNumberFormat="0" applyFont="0" applyAlignment="0" applyProtection="0"/>
    <xf numFmtId="43" fontId="24" fillId="0" borderId="0" applyFont="0" applyFill="0" applyBorder="0" applyAlignment="0" applyProtection="0"/>
    <xf numFmtId="0" fontId="24" fillId="33" borderId="25" applyNumberFormat="0" applyFont="0" applyAlignment="0" applyProtection="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24" fillId="0" borderId="0"/>
    <xf numFmtId="0" fontId="32" fillId="79" borderId="15" applyNumberFormat="0" applyFont="0" applyAlignment="0" applyProtection="0"/>
    <xf numFmtId="0" fontId="32" fillId="79" borderId="15"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9" fontId="23" fillId="0" borderId="0" applyFont="0" applyFill="0" applyBorder="0" applyAlignment="0" applyProtection="0"/>
    <xf numFmtId="0" fontId="23" fillId="0" borderId="0"/>
    <xf numFmtId="44" fontId="23" fillId="0" borderId="0" applyFont="0" applyFill="0" applyBorder="0" applyAlignment="0" applyProtection="0"/>
    <xf numFmtId="0" fontId="58"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138" fillId="29" borderId="0" applyNumberFormat="0" applyBorder="0" applyAlignment="0" applyProtection="0"/>
    <xf numFmtId="9" fontId="23" fillId="0" borderId="0" applyFont="0" applyFill="0" applyBorder="0" applyAlignment="0" applyProtection="0"/>
    <xf numFmtId="0" fontId="23" fillId="56" borderId="0" applyNumberFormat="0" applyBorder="0" applyAlignment="0" applyProtection="0"/>
    <xf numFmtId="0" fontId="23" fillId="55"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52"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3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6"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136" fillId="27" borderId="0" applyNumberFormat="0" applyBorder="0" applyAlignment="0" applyProtection="0"/>
    <xf numFmtId="0" fontId="137" fillId="28" borderId="0" applyNumberFormat="0" applyBorder="0" applyAlignment="0" applyProtection="0"/>
    <xf numFmtId="9" fontId="23" fillId="0" borderId="0" applyFont="0" applyFill="0" applyBorder="0" applyAlignment="0" applyProtection="0"/>
    <xf numFmtId="0" fontId="23" fillId="52" borderId="0" applyNumberFormat="0" applyBorder="0" applyAlignment="0" applyProtection="0"/>
    <xf numFmtId="0" fontId="23" fillId="48" borderId="0" applyNumberFormat="0" applyBorder="0" applyAlignment="0" applyProtection="0"/>
    <xf numFmtId="0" fontId="23" fillId="36" borderId="0" applyNumberFormat="0" applyBorder="0" applyAlignment="0" applyProtection="0"/>
    <xf numFmtId="0" fontId="23" fillId="33" borderId="25" applyNumberFormat="0" applyFont="0" applyAlignment="0" applyProtection="0"/>
    <xf numFmtId="0" fontId="23" fillId="0" borderId="0"/>
    <xf numFmtId="0" fontId="23" fillId="56" borderId="0" applyNumberFormat="0" applyBorder="0" applyAlignment="0" applyProtection="0"/>
    <xf numFmtId="0" fontId="23" fillId="47" borderId="0" applyNumberFormat="0" applyBorder="0" applyAlignment="0" applyProtection="0"/>
    <xf numFmtId="0" fontId="23" fillId="4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135" fillId="32" borderId="24" applyNumberFormat="0" applyAlignment="0" applyProtection="0"/>
    <xf numFmtId="0" fontId="23" fillId="33" borderId="25" applyNumberFormat="0" applyFont="0" applyAlignment="0" applyProtection="0"/>
    <xf numFmtId="9" fontId="23" fillId="0" borderId="0" applyFont="0" applyFill="0" applyBorder="0" applyAlignment="0" applyProtection="0"/>
    <xf numFmtId="0" fontId="23" fillId="0" borderId="0"/>
    <xf numFmtId="0" fontId="23" fillId="51" borderId="0" applyNumberFormat="0" applyBorder="0" applyAlignment="0" applyProtection="0"/>
    <xf numFmtId="0" fontId="23" fillId="47" borderId="0" applyNumberFormat="0" applyBorder="0" applyAlignment="0" applyProtection="0"/>
    <xf numFmtId="0" fontId="23" fillId="35" borderId="0" applyNumberFormat="0" applyBorder="0" applyAlignment="0" applyProtection="0"/>
    <xf numFmtId="0" fontId="23" fillId="0" borderId="0"/>
    <xf numFmtId="0" fontId="23" fillId="55" borderId="0" applyNumberFormat="0" applyBorder="0" applyAlignment="0" applyProtection="0"/>
    <xf numFmtId="0" fontId="23" fillId="48"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52" borderId="0" applyNumberFormat="0" applyBorder="0" applyAlignment="0" applyProtection="0"/>
    <xf numFmtId="0" fontId="23" fillId="51"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55" borderId="0" applyNumberFormat="0" applyBorder="0" applyAlignment="0" applyProtection="0"/>
    <xf numFmtId="0" fontId="23" fillId="39" borderId="0" applyNumberFormat="0" applyBorder="0" applyAlignment="0" applyProtection="0"/>
    <xf numFmtId="0" fontId="23" fillId="36"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48" borderId="0" applyNumberFormat="0" applyBorder="0" applyAlignment="0" applyProtection="0"/>
    <xf numFmtId="0" fontId="23" fillId="56" borderId="0" applyNumberFormat="0" applyBorder="0" applyAlignment="0" applyProtection="0"/>
    <xf numFmtId="0" fontId="23" fillId="47"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56" borderId="0" applyNumberFormat="0" applyBorder="0" applyAlignment="0" applyProtection="0"/>
    <xf numFmtId="0" fontId="22" fillId="55"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0" borderId="0"/>
    <xf numFmtId="0" fontId="22" fillId="0" borderId="0"/>
    <xf numFmtId="0" fontId="22" fillId="52" borderId="0" applyNumberFormat="0" applyBorder="0" applyAlignment="0" applyProtection="0"/>
    <xf numFmtId="0" fontId="22" fillId="51"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3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6"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9" fontId="22" fillId="0" borderId="0" applyFont="0" applyFill="0" applyBorder="0" applyAlignment="0" applyProtection="0"/>
    <xf numFmtId="0" fontId="22" fillId="52"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3" borderId="25" applyNumberFormat="0" applyFont="0" applyAlignment="0" applyProtection="0"/>
    <xf numFmtId="0" fontId="22" fillId="0" borderId="0"/>
    <xf numFmtId="0" fontId="22" fillId="56" borderId="0" applyNumberFormat="0" applyBorder="0" applyAlignment="0" applyProtection="0"/>
    <xf numFmtId="0" fontId="22" fillId="47" borderId="0" applyNumberFormat="0" applyBorder="0" applyAlignment="0" applyProtection="0"/>
    <xf numFmtId="0" fontId="22" fillId="4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33" borderId="25" applyNumberFormat="0" applyFont="0" applyAlignment="0" applyProtection="0"/>
    <xf numFmtId="9" fontId="22" fillId="0" borderId="0" applyFont="0" applyFill="0" applyBorder="0" applyAlignment="0" applyProtection="0"/>
    <xf numFmtId="0" fontId="22" fillId="0" borderId="0"/>
    <xf numFmtId="0" fontId="22" fillId="51" borderId="0" applyNumberFormat="0" applyBorder="0" applyAlignment="0" applyProtection="0"/>
    <xf numFmtId="0" fontId="22" fillId="47" borderId="0" applyNumberFormat="0" applyBorder="0" applyAlignment="0" applyProtection="0"/>
    <xf numFmtId="0" fontId="22" fillId="35" borderId="0" applyNumberFormat="0" applyBorder="0" applyAlignment="0" applyProtection="0"/>
    <xf numFmtId="0" fontId="22" fillId="0" borderId="0"/>
    <xf numFmtId="0" fontId="22" fillId="55" borderId="0" applyNumberFormat="0" applyBorder="0" applyAlignment="0" applyProtection="0"/>
    <xf numFmtId="0" fontId="22" fillId="48" borderId="0" applyNumberFormat="0" applyBorder="0" applyAlignment="0" applyProtection="0"/>
    <xf numFmtId="0" fontId="22" fillId="39"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55" borderId="0" applyNumberFormat="0" applyBorder="0" applyAlignment="0" applyProtection="0"/>
    <xf numFmtId="0" fontId="22" fillId="39"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48" borderId="0" applyNumberFormat="0" applyBorder="0" applyAlignment="0" applyProtection="0"/>
    <xf numFmtId="0" fontId="22" fillId="5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44" fontId="22" fillId="0" borderId="0" applyFont="0" applyFill="0" applyBorder="0" applyAlignment="0" applyProtection="0"/>
    <xf numFmtId="0" fontId="21" fillId="0" borderId="0"/>
    <xf numFmtId="9" fontId="21" fillId="0" borderId="0" applyFont="0" applyFill="0" applyBorder="0" applyAlignment="0" applyProtection="0"/>
    <xf numFmtId="0" fontId="143" fillId="0" borderId="0" applyNumberFormat="0" applyFill="0" applyBorder="0" applyAlignment="0" applyProtection="0"/>
    <xf numFmtId="0" fontId="129" fillId="0" borderId="0"/>
    <xf numFmtId="0" fontId="1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56" borderId="0" applyNumberFormat="0" applyBorder="0" applyAlignment="0" applyProtection="0"/>
    <xf numFmtId="0" fontId="19" fillId="55"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52" borderId="0" applyNumberFormat="0" applyBorder="0" applyAlignment="0" applyProtection="0"/>
    <xf numFmtId="0" fontId="19" fillId="5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52" borderId="0" applyNumberFormat="0" applyBorder="0" applyAlignment="0" applyProtection="0"/>
    <xf numFmtId="0" fontId="19" fillId="48" borderId="0" applyNumberFormat="0" applyBorder="0" applyAlignment="0" applyProtection="0"/>
    <xf numFmtId="0" fontId="19" fillId="36" borderId="0" applyNumberFormat="0" applyBorder="0" applyAlignment="0" applyProtection="0"/>
    <xf numFmtId="0" fontId="19" fillId="33" borderId="25" applyNumberFormat="0" applyFont="0" applyAlignment="0" applyProtection="0"/>
    <xf numFmtId="0" fontId="19" fillId="0" borderId="0"/>
    <xf numFmtId="0" fontId="19" fillId="56"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0" borderId="0"/>
    <xf numFmtId="0" fontId="19" fillId="51" borderId="0" applyNumberFormat="0" applyBorder="0" applyAlignment="0" applyProtection="0"/>
    <xf numFmtId="0" fontId="19" fillId="47" borderId="0" applyNumberFormat="0" applyBorder="0" applyAlignment="0" applyProtection="0"/>
    <xf numFmtId="0" fontId="19" fillId="35" borderId="0" applyNumberFormat="0" applyBorder="0" applyAlignment="0" applyProtection="0"/>
    <xf numFmtId="0" fontId="19" fillId="0" borderId="0"/>
    <xf numFmtId="0" fontId="19" fillId="55" borderId="0" applyNumberFormat="0" applyBorder="0" applyAlignment="0" applyProtection="0"/>
    <xf numFmtId="0" fontId="19" fillId="48"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52" borderId="0" applyNumberFormat="0" applyBorder="0" applyAlignment="0" applyProtection="0"/>
    <xf numFmtId="0" fontId="19" fillId="51"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55" borderId="0" applyNumberFormat="0" applyBorder="0" applyAlignment="0" applyProtection="0"/>
    <xf numFmtId="0" fontId="19" fillId="39"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48" borderId="0" applyNumberFormat="0" applyBorder="0" applyAlignment="0" applyProtection="0"/>
    <xf numFmtId="0" fontId="19" fillId="56" borderId="0" applyNumberFormat="0" applyBorder="0" applyAlignment="0" applyProtection="0"/>
    <xf numFmtId="0" fontId="19" fillId="4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56" borderId="0" applyNumberFormat="0" applyBorder="0" applyAlignment="0" applyProtection="0"/>
    <xf numFmtId="0" fontId="19" fillId="55"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52" borderId="0" applyNumberFormat="0" applyBorder="0" applyAlignment="0" applyProtection="0"/>
    <xf numFmtId="0" fontId="19" fillId="5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52" borderId="0" applyNumberFormat="0" applyBorder="0" applyAlignment="0" applyProtection="0"/>
    <xf numFmtId="0" fontId="19" fillId="48" borderId="0" applyNumberFormat="0" applyBorder="0" applyAlignment="0" applyProtection="0"/>
    <xf numFmtId="0" fontId="19" fillId="36" borderId="0" applyNumberFormat="0" applyBorder="0" applyAlignment="0" applyProtection="0"/>
    <xf numFmtId="0" fontId="19" fillId="33" borderId="25" applyNumberFormat="0" applyFont="0" applyAlignment="0" applyProtection="0"/>
    <xf numFmtId="0" fontId="19" fillId="0" borderId="0"/>
    <xf numFmtId="0" fontId="19" fillId="56"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0" borderId="0"/>
    <xf numFmtId="0" fontId="19" fillId="51" borderId="0" applyNumberFormat="0" applyBorder="0" applyAlignment="0" applyProtection="0"/>
    <xf numFmtId="0" fontId="19" fillId="47" borderId="0" applyNumberFormat="0" applyBorder="0" applyAlignment="0" applyProtection="0"/>
    <xf numFmtId="0" fontId="19" fillId="35" borderId="0" applyNumberFormat="0" applyBorder="0" applyAlignment="0" applyProtection="0"/>
    <xf numFmtId="0" fontId="19" fillId="0" borderId="0"/>
    <xf numFmtId="0" fontId="19" fillId="55" borderId="0" applyNumberFormat="0" applyBorder="0" applyAlignment="0" applyProtection="0"/>
    <xf numFmtId="0" fontId="19" fillId="48"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52" borderId="0" applyNumberFormat="0" applyBorder="0" applyAlignment="0" applyProtection="0"/>
    <xf numFmtId="0" fontId="19" fillId="51"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55" borderId="0" applyNumberFormat="0" applyBorder="0" applyAlignment="0" applyProtection="0"/>
    <xf numFmtId="0" fontId="19" fillId="39"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48" borderId="0" applyNumberFormat="0" applyBorder="0" applyAlignment="0" applyProtection="0"/>
    <xf numFmtId="0" fontId="19" fillId="56" borderId="0" applyNumberFormat="0" applyBorder="0" applyAlignment="0" applyProtection="0"/>
    <xf numFmtId="0" fontId="19" fillId="4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71" fillId="0" borderId="0"/>
    <xf numFmtId="0" fontId="171" fillId="0" borderId="0"/>
    <xf numFmtId="0" fontId="171" fillId="0" borderId="0"/>
    <xf numFmtId="0" fontId="171" fillId="0" borderId="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6" fillId="21" borderId="83"/>
    <xf numFmtId="0" fontId="46" fillId="21" borderId="83"/>
    <xf numFmtId="0" fontId="46" fillId="21" borderId="83"/>
    <xf numFmtId="0" fontId="72" fillId="0" borderId="84" applyNumberFormat="0" applyFill="0" applyAlignment="0" applyProtection="0"/>
    <xf numFmtId="0" fontId="72" fillId="0" borderId="84" applyNumberFormat="0" applyFill="0" applyAlignment="0" applyProtection="0"/>
    <xf numFmtId="0" fontId="8"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72" fillId="0" borderId="84" applyNumberFormat="0" applyFill="0" applyAlignment="0" applyProtection="0"/>
    <xf numFmtId="0" fontId="72" fillId="0" borderId="84" applyNumberFormat="0" applyFill="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49" fillId="76" borderId="80" applyNumberFormat="0" applyAlignment="0" applyProtection="0"/>
    <xf numFmtId="0" fontId="59" fillId="63" borderId="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79" borderId="81" applyNumberFormat="0" applyFont="0" applyAlignment="0" applyProtection="0"/>
    <xf numFmtId="0" fontId="62" fillId="76" borderId="8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104" fillId="76" borderId="80" applyNumberFormat="0" applyAlignment="0" applyProtection="0"/>
    <xf numFmtId="0" fontId="114" fillId="76" borderId="80" applyNumberFormat="0" applyAlignment="0" applyProtection="0"/>
    <xf numFmtId="0" fontId="102" fillId="63" borderId="80" applyNumberFormat="0" applyAlignment="0" applyProtection="0"/>
    <xf numFmtId="0" fontId="121" fillId="63" borderId="80" applyNumberFormat="0" applyAlignment="0" applyProtection="0"/>
    <xf numFmtId="0" fontId="8" fillId="0" borderId="0"/>
    <xf numFmtId="0" fontId="8" fillId="0" borderId="0"/>
    <xf numFmtId="0" fontId="8" fillId="0" borderId="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103" fillId="76" borderId="82" applyNumberFormat="0" applyAlignment="0" applyProtection="0"/>
    <xf numFmtId="0" fontId="124" fillId="76" borderId="82" applyNumberFormat="0" applyAlignment="0" applyProtection="0"/>
    <xf numFmtId="9" fontId="8" fillId="0" borderId="0" applyFont="0" applyFill="0" applyBorder="0" applyAlignment="0" applyProtection="0"/>
    <xf numFmtId="0" fontId="107" fillId="0" borderId="84" applyNumberFormat="0" applyFill="0" applyAlignment="0" applyProtection="0"/>
    <xf numFmtId="0" fontId="125" fillId="0" borderId="84"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46" fillId="21" borderId="83"/>
    <xf numFmtId="0" fontId="46" fillId="21" borderId="83"/>
    <xf numFmtId="0" fontId="46" fillId="21" borderId="83"/>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32" fillId="79" borderId="81" applyNumberFormat="0" applyFont="0" applyAlignment="0" applyProtection="0"/>
    <xf numFmtId="0" fontId="32" fillId="79" borderId="8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32" fillId="0" borderId="0"/>
    <xf numFmtId="0" fontId="32" fillId="0" borderId="0"/>
    <xf numFmtId="0" fontId="32" fillId="0" borderId="0"/>
    <xf numFmtId="0" fontId="32"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82" fillId="28" borderId="0" applyNumberFormat="0" applyBorder="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76" borderId="4" applyNumberFormat="0" applyAlignment="0" applyProtection="0"/>
    <xf numFmtId="0" fontId="104" fillId="76" borderId="4" applyNumberFormat="0" applyAlignment="0" applyProtection="0"/>
    <xf numFmtId="0" fontId="114" fillId="76" borderId="4" applyNumberFormat="0" applyAlignment="0" applyProtection="0"/>
    <xf numFmtId="0" fontId="86" fillId="31" borderId="21" applyNumberFormat="0" applyAlignment="0" applyProtection="0"/>
    <xf numFmtId="0" fontId="88" fillId="32" borderId="2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0" fillId="0" borderId="0" applyNumberFormat="0" applyFill="0" applyBorder="0" applyAlignment="0" applyProtection="0"/>
    <xf numFmtId="0" fontId="81" fillId="27" borderId="0" applyNumberFormat="0" applyBorder="0" applyAlignment="0" applyProtection="0"/>
    <xf numFmtId="0" fontId="78" fillId="0" borderId="18" applyNumberFormat="0" applyFill="0" applyAlignment="0" applyProtection="0"/>
    <xf numFmtId="0" fontId="79" fillId="0" borderId="19" applyNumberFormat="0" applyFill="0" applyAlignment="0" applyProtection="0"/>
    <xf numFmtId="0" fontId="80" fillId="0" borderId="20" applyNumberFormat="0" applyFill="0" applyAlignment="0" applyProtection="0"/>
    <xf numFmtId="0" fontId="80" fillId="0" borderId="0" applyNumberFormat="0" applyFill="0" applyBorder="0" applyAlignment="0" applyProtection="0"/>
    <xf numFmtId="0" fontId="201" fillId="0" borderId="0" applyNumberFormat="0" applyFill="0" applyBorder="0" applyAlignment="0" applyProtection="0">
      <alignment vertical="top"/>
      <protection locked="0"/>
    </xf>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63" borderId="4" applyNumberFormat="0" applyAlignment="0" applyProtection="0"/>
    <xf numFmtId="0" fontId="102" fillId="63" borderId="4" applyNumberFormat="0" applyAlignment="0" applyProtection="0"/>
    <xf numFmtId="0" fontId="121" fillId="63" borderId="4" applyNumberFormat="0" applyAlignment="0" applyProtection="0"/>
    <xf numFmtId="0" fontId="84" fillId="30" borderId="21" applyNumberFormat="0" applyAlignment="0" applyProtection="0"/>
    <xf numFmtId="0" fontId="87" fillId="0" borderId="23" applyNumberFormat="0" applyFill="0" applyAlignment="0" applyProtection="0"/>
    <xf numFmtId="0" fontId="83" fillId="2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32" fillId="0" borderId="0"/>
    <xf numFmtId="0" fontId="41"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43"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8" fillId="33" borderId="25" applyNumberFormat="0" applyFont="0" applyAlignment="0" applyProtection="0"/>
    <xf numFmtId="0" fontId="32" fillId="79" borderId="1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76" borderId="82" applyNumberFormat="0" applyAlignment="0" applyProtection="0"/>
    <xf numFmtId="0" fontId="103" fillId="76" borderId="82" applyNumberFormat="0" applyAlignment="0" applyProtection="0"/>
    <xf numFmtId="0" fontId="124" fillId="76" borderId="82" applyNumberFormat="0" applyAlignment="0" applyProtection="0"/>
    <xf numFmtId="0" fontId="85" fillId="31"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107" fillId="0" borderId="17" applyNumberFormat="0" applyFill="0" applyAlignment="0" applyProtection="0"/>
    <xf numFmtId="0" fontId="125" fillId="0" borderId="17" applyNumberFormat="0" applyFill="0" applyAlignment="0" applyProtection="0"/>
    <xf numFmtId="0" fontId="37" fillId="0" borderId="26" applyNumberFormat="0" applyFill="0" applyAlignment="0" applyProtection="0"/>
    <xf numFmtId="0" fontId="89" fillId="0" borderId="0" applyNumberFormat="0" applyFill="0" applyBorder="0" applyAlignment="0" applyProtection="0"/>
    <xf numFmtId="0" fontId="6" fillId="0" borderId="0"/>
    <xf numFmtId="0" fontId="6" fillId="0" borderId="0"/>
    <xf numFmtId="0" fontId="31" fillId="0" borderId="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32" fillId="0" borderId="0"/>
    <xf numFmtId="0" fontId="32" fillId="0" borderId="0"/>
    <xf numFmtId="0" fontId="3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32" fillId="0" borderId="0"/>
    <xf numFmtId="0" fontId="32" fillId="0" borderId="0"/>
    <xf numFmtId="0" fontId="32" fillId="0" borderId="0"/>
    <xf numFmtId="0" fontId="32"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216" fillId="0" borderId="0"/>
    <xf numFmtId="0" fontId="32" fillId="0" borderId="0"/>
    <xf numFmtId="0" fontId="32" fillId="0" borderId="0"/>
    <xf numFmtId="183" fontId="217" fillId="0" borderId="0" applyFont="0" applyFill="0" applyBorder="0" applyAlignment="0" applyProtection="0"/>
    <xf numFmtId="183" fontId="218" fillId="0" borderId="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184" fontId="216" fillId="0" borderId="1" applyFont="0" applyFill="0" applyBorder="0" applyAlignment="0" applyProtection="0"/>
    <xf numFmtId="184" fontId="216" fillId="0" borderId="1" applyFont="0" applyFill="0" applyBorder="0" applyAlignment="0" applyProtection="0"/>
    <xf numFmtId="185" fontId="64" fillId="0" borderId="0" applyFont="0" applyFill="0" applyBorder="0" applyAlignment="0" applyProtection="0"/>
    <xf numFmtId="186" fontId="219" fillId="0" borderId="0" applyFont="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32" fillId="0" borderId="0" applyFont="0" applyFill="0" applyBorder="0" applyAlignment="0" applyProtection="0"/>
    <xf numFmtId="187"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16"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0"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1" fillId="0" borderId="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90" fontId="22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1" fillId="0" borderId="0"/>
    <xf numFmtId="0" fontId="216" fillId="0" borderId="0"/>
    <xf numFmtId="0" fontId="223" fillId="0" borderId="0"/>
    <xf numFmtId="0" fontId="220" fillId="0" borderId="0"/>
    <xf numFmtId="0" fontId="220" fillId="0" borderId="0"/>
    <xf numFmtId="0" fontId="220" fillId="0" borderId="0"/>
    <xf numFmtId="0" fontId="220" fillId="0" borderId="0"/>
    <xf numFmtId="0" fontId="224" fillId="0" borderId="0"/>
    <xf numFmtId="0" fontId="224" fillId="0" borderId="0"/>
    <xf numFmtId="0" fontId="221" fillId="0" borderId="0"/>
    <xf numFmtId="191" fontId="32" fillId="0" borderId="0" applyFont="0" applyFill="0" applyBorder="0" applyAlignment="0" applyProtection="0"/>
    <xf numFmtId="191"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2" fontId="22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22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0" fontId="225" fillId="0" borderId="0"/>
    <xf numFmtId="0" fontId="225" fillId="0" borderId="0"/>
    <xf numFmtId="0" fontId="32" fillId="0" borderId="0" applyFont="0" applyFill="0" applyBorder="0" applyAlignment="0" applyProtection="0"/>
    <xf numFmtId="0"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5" fillId="0" borderId="0"/>
    <xf numFmtId="0" fontId="220" fillId="0" borderId="0"/>
    <xf numFmtId="0" fontId="220" fillId="0" borderId="0"/>
    <xf numFmtId="195" fontId="32" fillId="0" borderId="0" applyFont="0" applyFill="0" applyBorder="0" applyAlignment="0" applyProtection="0"/>
    <xf numFmtId="19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221"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1" fillId="0" borderId="0"/>
    <xf numFmtId="0" fontId="221" fillId="0" borderId="0"/>
    <xf numFmtId="0" fontId="221" fillId="0" borderId="0"/>
    <xf numFmtId="0" fontId="221" fillId="0" borderId="0" applyNumberFormat="0" applyFont="0" applyBorder="0" applyAlignment="0"/>
    <xf numFmtId="0" fontId="216" fillId="0" borderId="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32" fillId="78" borderId="0" applyNumberFormat="0" applyFont="0" applyAlignment="0" applyProtection="0"/>
    <xf numFmtId="0" fontId="32" fillId="78" borderId="0"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1" fillId="0" borderId="0"/>
    <xf numFmtId="0" fontId="220" fillId="0" borderId="0"/>
    <xf numFmtId="0" fontId="220" fillId="0" borderId="0"/>
    <xf numFmtId="0" fontId="2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96" fontId="32" fillId="0" borderId="0">
      <alignment horizontal="left" wrapText="1"/>
    </xf>
    <xf numFmtId="196" fontId="32"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1" fillId="0" borderId="0"/>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1" fillId="0" borderId="0"/>
    <xf numFmtId="0" fontId="221" fillId="0" borderId="0"/>
    <xf numFmtId="0" fontId="223" fillId="0" borderId="0"/>
    <xf numFmtId="189" fontId="32" fillId="0" borderId="0">
      <alignment horizontal="left" wrapText="1"/>
    </xf>
    <xf numFmtId="189" fontId="32" fillId="0" borderId="0">
      <alignment horizontal="left" wrapText="1"/>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197" fontId="22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1" fontId="32" fillId="0" borderId="0" applyFont="0" applyFill="0" applyBorder="0" applyProtection="0">
      <alignment horizontal="right"/>
    </xf>
    <xf numFmtId="201" fontId="32" fillId="0" borderId="0" applyFont="0" applyFill="0" applyBorder="0" applyProtection="0">
      <alignment horizontal="right"/>
    </xf>
    <xf numFmtId="189" fontId="32" fillId="0" borderId="0" applyFont="0" applyFill="0" applyBorder="0" applyAlignment="0" applyProtection="0"/>
    <xf numFmtId="189" fontId="32" fillId="0" borderId="0" applyFont="0" applyFill="0" applyBorder="0" applyAlignment="0" applyProtection="0"/>
    <xf numFmtId="200" fontId="222" fillId="0" borderId="0" applyFont="0" applyFill="0" applyBorder="0" applyProtection="0">
      <alignment horizontal="right"/>
    </xf>
    <xf numFmtId="189" fontId="32" fillId="0" borderId="0" applyFont="0" applyFill="0" applyBorder="0" applyAlignment="0" applyProtection="0"/>
    <xf numFmtId="189" fontId="32" fillId="0" borderId="0" applyFont="0" applyFill="0" applyBorder="0" applyAlignment="0" applyProtection="0"/>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3" fillId="0" borderId="0"/>
    <xf numFmtId="189" fontId="32" fillId="0" borderId="0" applyFont="0" applyFill="0" applyBorder="0" applyAlignment="0" applyProtection="0"/>
    <xf numFmtId="189" fontId="32" fillId="0" borderId="0" applyFont="0" applyFill="0" applyBorder="0" applyAlignment="0" applyProtection="0"/>
    <xf numFmtId="202" fontId="32" fillId="0" borderId="0" applyFont="0" applyFill="0" applyBorder="0" applyAlignment="0" applyProtection="0"/>
    <xf numFmtId="202"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16" fillId="0" borderId="0"/>
    <xf numFmtId="0" fontId="221"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0" fillId="0" borderId="0"/>
    <xf numFmtId="0" fontId="220" fillId="0" borderId="0"/>
    <xf numFmtId="0" fontId="224" fillId="0" borderId="0"/>
    <xf numFmtId="0" fontId="223" fillId="0" borderId="0"/>
    <xf numFmtId="0" fontId="32" fillId="0" borderId="0" applyFill="0" applyBorder="0" applyAlignment="0" applyProtection="0"/>
    <xf numFmtId="0" fontId="32" fillId="0" borderId="0" applyFill="0" applyBorder="0" applyAlignment="0" applyProtection="0"/>
    <xf numFmtId="0" fontId="220" fillId="0" borderId="0"/>
    <xf numFmtId="0" fontId="220" fillId="0" borderId="0"/>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222" fillId="0" borderId="100" applyNumberFormat="0" applyFont="0" applyFill="0" applyAlignment="0" applyProtection="0"/>
    <xf numFmtId="0" fontId="222" fillId="0" borderId="100" applyNumberFormat="0" applyFont="0" applyFill="0" applyAlignment="0" applyProtection="0"/>
    <xf numFmtId="0" fontId="222" fillId="0" borderId="100" applyNumberFormat="0" applyFont="0" applyFill="0" applyAlignment="0" applyProtection="0"/>
    <xf numFmtId="0" fontId="222" fillId="0" borderId="100" applyNumberFormat="0" applyFont="0" applyFill="0" applyAlignment="0" applyProtection="0"/>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0" fillId="0" borderId="0"/>
    <xf numFmtId="0" fontId="220" fillId="0" borderId="0"/>
    <xf numFmtId="0" fontId="216" fillId="0" borderId="0"/>
    <xf numFmtId="177" fontId="32" fillId="0" borderId="0" applyFont="0" applyFill="0" applyBorder="0" applyAlignment="0" applyProtection="0"/>
    <xf numFmtId="203" fontId="32" fillId="0" borderId="0" applyFont="0" applyFill="0" applyBorder="0" applyAlignment="0" applyProtection="0"/>
    <xf numFmtId="0" fontId="32" fillId="0" borderId="0"/>
    <xf numFmtId="0" fontId="216" fillId="0" borderId="0"/>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0" fontId="220" fillId="111" borderId="0" applyNumberFormat="0" applyBorder="0" applyAlignment="0" applyProtection="0"/>
    <xf numFmtId="0" fontId="41" fillId="112" borderId="0" applyNumberFormat="0" applyBorder="0" applyAlignment="0" applyProtection="0"/>
    <xf numFmtId="0" fontId="220" fillId="1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20" fillId="58" borderId="0" applyNumberFormat="0" applyBorder="0" applyAlignment="0" applyProtection="0"/>
    <xf numFmtId="0" fontId="220" fillId="113" borderId="0" applyNumberFormat="0" applyBorder="0" applyAlignment="0" applyProtection="0"/>
    <xf numFmtId="0" fontId="41" fillId="63" borderId="0" applyNumberFormat="0" applyBorder="0" applyAlignment="0" applyProtection="0"/>
    <xf numFmtId="0" fontId="220" fillId="11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20" fillId="59" borderId="0" applyNumberFormat="0" applyBorder="0" applyAlignment="0" applyProtection="0"/>
    <xf numFmtId="0" fontId="220" fillId="114" borderId="0" applyNumberFormat="0" applyBorder="0" applyAlignment="0" applyProtection="0"/>
    <xf numFmtId="0" fontId="41" fillId="78" borderId="0" applyNumberFormat="0" applyBorder="0" applyAlignment="0" applyProtection="0"/>
    <xf numFmtId="0" fontId="220" fillId="11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20" fillId="60" borderId="0" applyNumberFormat="0" applyBorder="0" applyAlignment="0" applyProtection="0"/>
    <xf numFmtId="0" fontId="220" fillId="115" borderId="0" applyNumberFormat="0" applyBorder="0" applyAlignment="0" applyProtection="0"/>
    <xf numFmtId="0" fontId="41" fillId="112" borderId="0" applyNumberFormat="0" applyBorder="0" applyAlignment="0" applyProtection="0"/>
    <xf numFmtId="0" fontId="220" fillId="11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20" fillId="61" borderId="0" applyNumberFormat="0" applyBorder="0" applyAlignment="0" applyProtection="0"/>
    <xf numFmtId="0" fontId="220" fillId="111" borderId="0" applyNumberFormat="0" applyBorder="0" applyAlignment="0" applyProtection="0"/>
    <xf numFmtId="0" fontId="41" fillId="111" borderId="0" applyNumberFormat="0" applyBorder="0" applyAlignment="0" applyProtection="0"/>
    <xf numFmtId="0" fontId="220" fillId="1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220" fillId="62" borderId="0" applyNumberFormat="0" applyBorder="0" applyAlignment="0" applyProtection="0"/>
    <xf numFmtId="0" fontId="220" fillId="63" borderId="0" applyNumberFormat="0" applyBorder="0" applyAlignment="0" applyProtection="0"/>
    <xf numFmtId="0" fontId="41"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220" fillId="63" borderId="0" applyNumberFormat="0" applyBorder="0" applyAlignment="0" applyProtection="0"/>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0" fontId="230" fillId="0" borderId="0"/>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0" fontId="220" fillId="76" borderId="0" applyNumberFormat="0" applyBorder="0" applyAlignment="0" applyProtection="0"/>
    <xf numFmtId="0" fontId="41" fillId="76" borderId="0" applyNumberFormat="0" applyBorder="0" applyAlignment="0" applyProtection="0"/>
    <xf numFmtId="0" fontId="220" fillId="7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20" fillId="64" borderId="0" applyNumberFormat="0" applyBorder="0" applyAlignment="0" applyProtection="0"/>
    <xf numFmtId="0" fontId="220" fillId="113" borderId="0" applyNumberFormat="0" applyBorder="0" applyAlignment="0" applyProtection="0"/>
    <xf numFmtId="0" fontId="41" fillId="115" borderId="0" applyNumberFormat="0" applyBorder="0" applyAlignment="0" applyProtection="0"/>
    <xf numFmtId="0" fontId="220" fillId="11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20" fillId="65" borderId="0" applyNumberFormat="0" applyBorder="0" applyAlignment="0" applyProtection="0"/>
    <xf numFmtId="0" fontId="220" fillId="74" borderId="0" applyNumberFormat="0" applyBorder="0" applyAlignment="0" applyProtection="0"/>
    <xf numFmtId="0" fontId="41" fillId="115" borderId="0" applyNumberFormat="0" applyBorder="0" applyAlignment="0" applyProtection="0"/>
    <xf numFmtId="0" fontId="220" fillId="7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20" fillId="66" borderId="0" applyNumberFormat="0" applyBorder="0" applyAlignment="0" applyProtection="0"/>
    <xf numFmtId="0" fontId="220" fillId="116" borderId="0" applyNumberFormat="0" applyBorder="0" applyAlignment="0" applyProtection="0"/>
    <xf numFmtId="0" fontId="41" fillId="76" borderId="0" applyNumberFormat="0" applyBorder="0" applyAlignment="0" applyProtection="0"/>
    <xf numFmtId="0" fontId="220" fillId="116"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20" fillId="61" borderId="0" applyNumberFormat="0" applyBorder="0" applyAlignment="0" applyProtection="0"/>
    <xf numFmtId="0" fontId="220" fillId="117" borderId="0" applyNumberFormat="0" applyBorder="0" applyAlignment="0" applyProtection="0"/>
    <xf numFmtId="0" fontId="41" fillId="52" borderId="0" applyNumberFormat="0" applyBorder="0" applyAlignment="0" applyProtection="0"/>
    <xf numFmtId="0" fontId="220" fillId="117"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220" fillId="64" borderId="0" applyNumberFormat="0" applyBorder="0" applyAlignment="0" applyProtection="0"/>
    <xf numFmtId="0" fontId="220" fillId="63" borderId="0" applyNumberFormat="0" applyBorder="0" applyAlignment="0" applyProtection="0"/>
    <xf numFmtId="0" fontId="41" fillId="63" borderId="0" applyNumberFormat="0" applyBorder="0" applyAlignment="0" applyProtection="0"/>
    <xf numFmtId="0" fontId="220"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220" fillId="67" borderId="0" applyNumberFormat="0" applyBorder="0" applyAlignment="0" applyProtection="0"/>
    <xf numFmtId="2" fontId="67" fillId="0" borderId="87" applyBorder="0">
      <alignment horizontal="right" vertical="center" wrapText="1"/>
      <protection locked="0"/>
    </xf>
    <xf numFmtId="2" fontId="67" fillId="0" borderId="87" applyBorder="0">
      <alignment horizontal="right" vertical="center" wrapText="1"/>
      <protection locked="0"/>
    </xf>
    <xf numFmtId="2" fontId="67" fillId="0" borderId="87" applyBorder="0">
      <alignment horizontal="right" vertical="center" wrapText="1"/>
      <protection locked="0"/>
    </xf>
    <xf numFmtId="2" fontId="67" fillId="0" borderId="87" applyBorder="0">
      <alignment horizontal="right" vertical="center" wrapText="1"/>
      <protection locked="0"/>
    </xf>
    <xf numFmtId="0" fontId="231" fillId="118" borderId="0" applyNumberFormat="0" applyBorder="0" applyAlignment="0" applyProtection="0"/>
    <xf numFmtId="0" fontId="154" fillId="119" borderId="0" applyNumberFormat="0" applyBorder="0" applyAlignment="0" applyProtection="0"/>
    <xf numFmtId="0" fontId="231" fillId="118" borderId="0" applyNumberFormat="0" applyBorder="0" applyAlignment="0" applyProtection="0"/>
    <xf numFmtId="0" fontId="91" fillId="37" borderId="0" applyNumberFormat="0" applyBorder="0" applyAlignment="0" applyProtection="0"/>
    <xf numFmtId="0" fontId="231" fillId="68" borderId="0" applyNumberFormat="0" applyBorder="0" applyAlignment="0" applyProtection="0"/>
    <xf numFmtId="0" fontId="231" fillId="113" borderId="0" applyNumberFormat="0" applyBorder="0" applyAlignment="0" applyProtection="0"/>
    <xf numFmtId="0" fontId="154" fillId="115" borderId="0" applyNumberFormat="0" applyBorder="0" applyAlignment="0" applyProtection="0"/>
    <xf numFmtId="0" fontId="231" fillId="113" borderId="0" applyNumberFormat="0" applyBorder="0" applyAlignment="0" applyProtection="0"/>
    <xf numFmtId="0" fontId="91" fillId="41" borderId="0" applyNumberFormat="0" applyBorder="0" applyAlignment="0" applyProtection="0"/>
    <xf numFmtId="0" fontId="231" fillId="65" borderId="0" applyNumberFormat="0" applyBorder="0" applyAlignment="0" applyProtection="0"/>
    <xf numFmtId="0" fontId="231" fillId="74" borderId="0" applyNumberFormat="0" applyBorder="0" applyAlignment="0" applyProtection="0"/>
    <xf numFmtId="0" fontId="154" fillId="115" borderId="0" applyNumberFormat="0" applyBorder="0" applyAlignment="0" applyProtection="0"/>
    <xf numFmtId="0" fontId="231" fillId="74" borderId="0" applyNumberFormat="0" applyBorder="0" applyAlignment="0" applyProtection="0"/>
    <xf numFmtId="0" fontId="91" fillId="45" borderId="0" applyNumberFormat="0" applyBorder="0" applyAlignment="0" applyProtection="0"/>
    <xf numFmtId="0" fontId="231" fillId="66" borderId="0" applyNumberFormat="0" applyBorder="0" applyAlignment="0" applyProtection="0"/>
    <xf numFmtId="0" fontId="231" fillId="116" borderId="0" applyNumberFormat="0" applyBorder="0" applyAlignment="0" applyProtection="0"/>
    <xf numFmtId="0" fontId="154" fillId="76" borderId="0" applyNumberFormat="0" applyBorder="0" applyAlignment="0" applyProtection="0"/>
    <xf numFmtId="0" fontId="231" fillId="116" borderId="0" applyNumberFormat="0" applyBorder="0" applyAlignment="0" applyProtection="0"/>
    <xf numFmtId="0" fontId="91" fillId="49" borderId="0" applyNumberFormat="0" applyBorder="0" applyAlignment="0" applyProtection="0"/>
    <xf numFmtId="0" fontId="231" fillId="69" borderId="0" applyNumberFormat="0" applyBorder="0" applyAlignment="0" applyProtection="0"/>
    <xf numFmtId="0" fontId="231" fillId="118" borderId="0" applyNumberFormat="0" applyBorder="0" applyAlignment="0" applyProtection="0"/>
    <xf numFmtId="0" fontId="154" fillId="53" borderId="0" applyNumberFormat="0" applyBorder="0" applyAlignment="0" applyProtection="0"/>
    <xf numFmtId="0" fontId="231" fillId="118" borderId="0" applyNumberFormat="0" applyBorder="0" applyAlignment="0" applyProtection="0"/>
    <xf numFmtId="0" fontId="91" fillId="53" borderId="0" applyNumberFormat="0" applyBorder="0" applyAlignment="0" applyProtection="0"/>
    <xf numFmtId="0" fontId="231" fillId="70" borderId="0" applyNumberFormat="0" applyBorder="0" applyAlignment="0" applyProtection="0"/>
    <xf numFmtId="0" fontId="231" fillId="67" borderId="0" applyNumberFormat="0" applyBorder="0" applyAlignment="0" applyProtection="0"/>
    <xf numFmtId="0" fontId="154" fillId="63" borderId="0" applyNumberFormat="0" applyBorder="0" applyAlignment="0" applyProtection="0"/>
    <xf numFmtId="0" fontId="231" fillId="67" borderId="0" applyNumberFormat="0" applyBorder="0" applyAlignment="0" applyProtection="0"/>
    <xf numFmtId="0" fontId="91" fillId="57" borderId="0" applyNumberFormat="0" applyBorder="0" applyAlignment="0" applyProtection="0"/>
    <xf numFmtId="0" fontId="231" fillId="71" borderId="0" applyNumberFormat="0" applyBorder="0" applyAlignment="0" applyProtection="0"/>
    <xf numFmtId="0" fontId="111" fillId="120" borderId="0" applyNumberFormat="0" applyBorder="0" applyAlignment="0" applyProtection="0"/>
    <xf numFmtId="0" fontId="111" fillId="121" borderId="0" applyNumberFormat="0" applyBorder="0" applyAlignment="0" applyProtection="0"/>
    <xf numFmtId="0" fontId="112" fillId="122"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231" fillId="72" borderId="0" applyNumberFormat="0" applyBorder="0" applyAlignment="0" applyProtection="0"/>
    <xf numFmtId="0" fontId="154" fillId="119"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1" fillId="124" borderId="0" applyNumberFormat="0" applyBorder="0" applyAlignment="0" applyProtection="0"/>
    <xf numFmtId="0" fontId="111" fillId="125" borderId="0" applyNumberFormat="0" applyBorder="0" applyAlignment="0" applyProtection="0"/>
    <xf numFmtId="0" fontId="112" fillId="126"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231" fillId="73" borderId="0" applyNumberFormat="0" applyBorder="0" applyAlignment="0" applyProtection="0"/>
    <xf numFmtId="0" fontId="154" fillId="115"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1" fillId="128" borderId="0" applyNumberFormat="0" applyBorder="0" applyAlignment="0" applyProtection="0"/>
    <xf numFmtId="0" fontId="111" fillId="129" borderId="0" applyNumberFormat="0" applyBorder="0" applyAlignment="0" applyProtection="0"/>
    <xf numFmtId="0" fontId="112" fillId="13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231" fillId="74" borderId="0" applyNumberFormat="0" applyBorder="0" applyAlignment="0" applyProtection="0"/>
    <xf numFmtId="0" fontId="154" fillId="69"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1" fillId="124" borderId="0" applyNumberFormat="0" applyBorder="0" applyAlignment="0" applyProtection="0"/>
    <xf numFmtId="0" fontId="111" fillId="132" borderId="0" applyNumberFormat="0" applyBorder="0" applyAlignment="0" applyProtection="0"/>
    <xf numFmtId="0" fontId="112" fillId="125"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231" fillId="69" borderId="0" applyNumberFormat="0" applyBorder="0" applyAlignment="0" applyProtection="0"/>
    <xf numFmtId="0" fontId="154" fillId="117"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1" fillId="134" borderId="0" applyNumberFormat="0" applyBorder="0" applyAlignment="0" applyProtection="0"/>
    <xf numFmtId="0" fontId="111" fillId="135" borderId="0" applyNumberFormat="0" applyBorder="0" applyAlignment="0" applyProtection="0"/>
    <xf numFmtId="0" fontId="112" fillId="122"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31" fillId="70" borderId="0" applyNumberFormat="0" applyBorder="0" applyAlignment="0" applyProtection="0"/>
    <xf numFmtId="0" fontId="154" fillId="50"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1" fillId="136" borderId="0" applyNumberFormat="0" applyBorder="0" applyAlignment="0" applyProtection="0"/>
    <xf numFmtId="0" fontId="111" fillId="137" borderId="0" applyNumberFormat="0" applyBorder="0" applyAlignment="0" applyProtection="0"/>
    <xf numFmtId="0" fontId="112" fillId="138"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31" fillId="75" borderId="0" applyNumberFormat="0" applyBorder="0" applyAlignment="0" applyProtection="0"/>
    <xf numFmtId="0" fontId="154" fillId="139"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33" fillId="141" borderId="83" applyNumberFormat="0" applyAlignment="0">
      <alignment horizontal="right"/>
    </xf>
    <xf numFmtId="0" fontId="33" fillId="141" borderId="83" applyNumberFormat="0" applyAlignment="0">
      <alignment horizontal="right"/>
    </xf>
    <xf numFmtId="0" fontId="33" fillId="141" borderId="83" applyNumberFormat="0" applyAlignment="0">
      <alignment horizontal="right"/>
    </xf>
    <xf numFmtId="0" fontId="33" fillId="141" borderId="83" applyNumberFormat="0" applyAlignment="0">
      <alignment horizontal="right"/>
    </xf>
    <xf numFmtId="204" fontId="33" fillId="9" borderId="101">
      <alignment horizontal="center" vertical="center"/>
    </xf>
    <xf numFmtId="204" fontId="33" fillId="9" borderId="101">
      <alignment horizontal="center" vertical="center"/>
    </xf>
    <xf numFmtId="204" fontId="33" fillId="9" borderId="101">
      <alignment horizontal="center" vertical="center"/>
    </xf>
    <xf numFmtId="204" fontId="33" fillId="9" borderId="101">
      <alignment horizontal="center" vertical="center"/>
    </xf>
    <xf numFmtId="0" fontId="33" fillId="141" borderId="83" applyNumberFormat="0" applyAlignment="0">
      <alignment horizontal="right"/>
    </xf>
    <xf numFmtId="0" fontId="232" fillId="0" borderId="0" applyNumberFormat="0" applyFill="0" applyBorder="0" applyAlignment="0">
      <protection locked="0"/>
    </xf>
    <xf numFmtId="205" fontId="233" fillId="0" borderId="0"/>
    <xf numFmtId="37" fontId="212" fillId="0" borderId="0" applyFont="0" applyAlignment="0">
      <alignment horizontal="centerContinuous" vertical="top"/>
    </xf>
    <xf numFmtId="0" fontId="32" fillId="0" borderId="0" applyNumberFormat="0" applyFill="0" applyBorder="0" applyAlignment="0" applyProtection="0"/>
    <xf numFmtId="0" fontId="32" fillId="0" borderId="0" applyNumberFormat="0" applyFill="0" applyBorder="0" applyAlignment="0" applyProtection="0"/>
    <xf numFmtId="0" fontId="145" fillId="0" borderId="0" applyNumberFormat="0" applyFill="0" applyBorder="0" applyAlignment="0" applyProtection="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0" fontId="216" fillId="0" borderId="0"/>
    <xf numFmtId="3" fontId="235" fillId="22" borderId="83">
      <alignment horizontal="center"/>
      <protection locked="0"/>
    </xf>
    <xf numFmtId="3" fontId="235" fillId="22" borderId="83">
      <alignment horizontal="center"/>
      <protection locked="0"/>
    </xf>
    <xf numFmtId="3" fontId="235" fillId="22" borderId="0">
      <alignment horizontal="center"/>
      <protection locked="0"/>
    </xf>
    <xf numFmtId="17" fontId="232" fillId="22" borderId="83">
      <alignment horizontal="center"/>
      <protection locked="0"/>
    </xf>
    <xf numFmtId="17" fontId="232" fillId="22" borderId="83">
      <alignment horizontal="center"/>
      <protection locked="0"/>
    </xf>
    <xf numFmtId="0" fontId="64" fillId="0" borderId="0" applyNumberFormat="0" applyFill="0" applyBorder="0" applyAlignment="0" applyProtection="0"/>
    <xf numFmtId="165" fontId="236" fillId="0" borderId="0" applyFont="0" applyFill="0" applyBorder="0" applyAlignment="0" applyProtection="0"/>
    <xf numFmtId="0" fontId="237" fillId="0" borderId="0" applyNumberFormat="0" applyFill="0" applyBorder="0" applyAlignment="0" applyProtection="0">
      <alignment horizontal="centerContinuous"/>
    </xf>
    <xf numFmtId="0" fontId="137" fillId="28" borderId="0" applyNumberFormat="0" applyBorder="0" applyAlignment="0" applyProtection="0"/>
    <xf numFmtId="0" fontId="238" fillId="136" borderId="0" applyNumberFormat="0" applyBorder="0" applyAlignment="0" applyProtection="0"/>
    <xf numFmtId="0" fontId="82" fillId="28" borderId="0" applyNumberFormat="0" applyBorder="0" applyAlignment="0" applyProtection="0"/>
    <xf numFmtId="0" fontId="239" fillId="59" borderId="0" applyNumberFormat="0" applyBorder="0" applyAlignment="0" applyProtection="0"/>
    <xf numFmtId="0" fontId="240" fillId="5" borderId="81"/>
    <xf numFmtId="0" fontId="241" fillId="0" borderId="0" applyNumberFormat="0" applyBorder="0" applyAlignment="0"/>
    <xf numFmtId="207" fontId="66" fillId="0" borderId="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0" fontId="242" fillId="0" borderId="0" applyNumberFormat="0" applyFill="0" applyBorder="0" applyAlignment="0" applyProtection="0"/>
    <xf numFmtId="0" fontId="243" fillId="142" borderId="102">
      <alignment horizontal="center" vertical="center"/>
    </xf>
    <xf numFmtId="9" fontId="244" fillId="0" borderId="0">
      <alignment horizontal="center"/>
    </xf>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245" fillId="0" borderId="0"/>
    <xf numFmtId="0" fontId="245" fillId="0" borderId="0" applyNumberFormat="0" applyFill="0" applyBorder="0" applyAlignment="0" applyProtection="0"/>
    <xf numFmtId="208" fontId="246" fillId="0" borderId="0"/>
    <xf numFmtId="0" fontId="32" fillId="143" borderId="103" applyNumberFormat="0" applyFont="0" applyAlignment="0" applyProtection="0"/>
    <xf numFmtId="0" fontId="32" fillId="143" borderId="103" applyNumberFormat="0" applyFont="0" applyAlignment="0" applyProtection="0"/>
    <xf numFmtId="0" fontId="247" fillId="0" borderId="0" applyNumberFormat="0" applyFill="0" applyBorder="0" applyAlignment="0" applyProtection="0"/>
    <xf numFmtId="0" fontId="64" fillId="0" borderId="0"/>
    <xf numFmtId="0" fontId="33" fillId="2" borderId="104" applyNumberFormat="0" applyFont="0" applyFill="0" applyAlignment="0" applyProtection="0">
      <alignment horizontal="left" vertical="top"/>
    </xf>
    <xf numFmtId="0" fontId="33" fillId="2" borderId="104" applyNumberFormat="0" applyFont="0" applyFill="0" applyAlignment="0" applyProtection="0">
      <alignment horizontal="left" vertical="top"/>
    </xf>
    <xf numFmtId="0" fontId="220" fillId="0" borderId="0" applyNumberFormat="0" applyFont="0" applyBorder="0" applyAlignment="0" applyProtection="0">
      <alignment vertical="top"/>
    </xf>
    <xf numFmtId="0" fontId="220" fillId="0" borderId="0" applyNumberFormat="0" applyFont="0" applyBorder="0" applyAlignment="0" applyProtection="0">
      <alignment vertical="top"/>
    </xf>
    <xf numFmtId="0" fontId="220" fillId="0" borderId="105" applyNumberFormat="0" applyFont="0" applyFill="0" applyAlignment="0" applyProtection="0"/>
    <xf numFmtId="0" fontId="220" fillId="0" borderId="105" applyNumberFormat="0" applyFont="0" applyFill="0" applyAlignment="0" applyProtection="0"/>
    <xf numFmtId="0" fontId="220" fillId="0" borderId="105" applyNumberFormat="0" applyFont="0" applyFill="0" applyAlignment="0" applyProtection="0"/>
    <xf numFmtId="0" fontId="32" fillId="0" borderId="106" applyNumberFormat="0" applyFont="0" applyFill="0" applyAlignment="0" applyProtection="0"/>
    <xf numFmtId="0" fontId="32" fillId="0" borderId="106" applyNumberFormat="0" applyFont="0" applyFill="0" applyAlignment="0" applyProtection="0"/>
    <xf numFmtId="0" fontId="220" fillId="0" borderId="105" applyNumberFormat="0" applyFont="0" applyFill="0" applyAlignment="0" applyProtection="0"/>
    <xf numFmtId="0" fontId="233" fillId="0" borderId="33" applyNumberFormat="0" applyFont="0" applyFill="0" applyAlignment="0" applyProtection="0"/>
    <xf numFmtId="0" fontId="32" fillId="0" borderId="107" applyNumberFormat="0" applyFont="0" applyFill="0" applyAlignment="0" applyProtection="0">
      <alignment horizontal="left" vertical="top"/>
    </xf>
    <xf numFmtId="0" fontId="32" fillId="0" borderId="107" applyNumberFormat="0" applyFont="0" applyFill="0" applyAlignment="0" applyProtection="0">
      <alignment horizontal="left" vertical="top"/>
    </xf>
    <xf numFmtId="0" fontId="233" fillId="0" borderId="108" applyNumberFormat="0" applyFont="0" applyFill="0" applyAlignment="0" applyProtection="0"/>
    <xf numFmtId="0" fontId="233" fillId="0" borderId="108" applyNumberFormat="0" applyFont="0" applyFill="0" applyAlignment="0" applyProtection="0"/>
    <xf numFmtId="0" fontId="220" fillId="0" borderId="109" applyNumberFormat="0" applyFont="0" applyFill="0" applyAlignment="0" applyProtection="0"/>
    <xf numFmtId="0" fontId="220" fillId="0" borderId="109" applyNumberFormat="0" applyFont="0" applyFill="0" applyAlignment="0" applyProtection="0"/>
    <xf numFmtId="209" fontId="248" fillId="0" borderId="0" applyFont="0" applyFill="0" applyBorder="0" applyAlignment="0" applyProtection="0"/>
    <xf numFmtId="0" fontId="249" fillId="0" borderId="0" applyNumberFormat="0" applyFont="0" applyFill="0" applyBorder="0" applyProtection="0">
      <alignment horizontal="centerContinuous"/>
    </xf>
    <xf numFmtId="0"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3" fontId="32" fillId="0" borderId="83">
      <alignment horizontal="center"/>
    </xf>
    <xf numFmtId="37" fontId="32" fillId="0" borderId="0" applyFill="0" applyBorder="0"/>
    <xf numFmtId="37" fontId="32" fillId="0" borderId="0" applyFill="0" applyBorder="0"/>
    <xf numFmtId="0" fontId="252" fillId="112" borderId="21" applyNumberFormat="0" applyAlignment="0" applyProtection="0"/>
    <xf numFmtId="0" fontId="253" fillId="144" borderId="110" applyNumberFormat="0" applyAlignment="0" applyProtection="0"/>
    <xf numFmtId="0" fontId="254" fillId="76" borderId="80" applyNumberFormat="0" applyAlignment="0" applyProtection="0"/>
    <xf numFmtId="14" fontId="32" fillId="0" borderId="0" applyFill="0" applyBorder="0"/>
    <xf numFmtId="14" fontId="32" fillId="0" borderId="0" applyFill="0" applyBorder="0"/>
    <xf numFmtId="214" fontId="233" fillId="145" borderId="0" applyNumberFormat="0" applyFont="0" applyBorder="0" applyAlignment="0"/>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0" fontId="135" fillId="32" borderId="24" applyNumberFormat="0" applyAlignment="0" applyProtection="0"/>
    <xf numFmtId="0" fontId="115" fillId="133" borderId="5" applyNumberFormat="0" applyAlignment="0" applyProtection="0"/>
    <xf numFmtId="0" fontId="88" fillId="32" borderId="24" applyNumberFormat="0" applyAlignment="0" applyProtection="0"/>
    <xf numFmtId="0" fontId="243" fillId="77" borderId="5" applyNumberFormat="0" applyAlignment="0" applyProtection="0"/>
    <xf numFmtId="215" fontId="243" fillId="19" borderId="111"/>
    <xf numFmtId="0" fontId="67" fillId="0" borderId="0" applyNumberFormat="0" applyFill="0" applyBorder="0" applyAlignment="0" applyProtection="0"/>
    <xf numFmtId="0" fontId="25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57"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7" fontId="220" fillId="0" borderId="0" applyFont="0" applyFill="0" applyBorder="0" applyAlignment="0" applyProtection="0"/>
    <xf numFmtId="217" fontId="220"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2" fontId="250" fillId="0" borderId="0" applyFont="0" applyFill="0" applyBorder="0" applyAlignment="0" applyProtection="0"/>
    <xf numFmtId="219" fontId="260" fillId="0" borderId="0" applyFont="0" applyFill="0" applyBorder="0" applyAlignment="0" applyProtection="0"/>
    <xf numFmtId="40" fontId="32" fillId="0" borderId="0" applyBorder="0" applyProtection="0"/>
    <xf numFmtId="40" fontId="32" fillId="0" borderId="0" applyBorder="0" applyProtection="0"/>
    <xf numFmtId="0" fontId="219" fillId="0" borderId="0" applyFont="0" applyFill="0" applyBorder="0" applyAlignment="0" applyProtection="0">
      <alignment horizontal="right"/>
    </xf>
    <xf numFmtId="37" fontId="220" fillId="0" borderId="0"/>
    <xf numFmtId="37" fontId="220" fillId="0" borderId="0"/>
    <xf numFmtId="0" fontId="219" fillId="0" borderId="0" applyFont="0" applyFill="0" applyBorder="0" applyAlignment="0" applyProtection="0"/>
    <xf numFmtId="0" fontId="219"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Protection="0">
      <alignment horizontal="right"/>
    </xf>
    <xf numFmtId="0" fontId="219" fillId="0" borderId="0" applyFont="0" applyFill="0" applyBorder="0" applyAlignment="0" applyProtection="0"/>
    <xf numFmtId="0" fontId="219"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9"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220" fontId="261" fillId="0" borderId="0" applyFont="0" applyFill="0" applyBorder="0" applyAlignment="0" applyProtection="0"/>
    <xf numFmtId="221" fontId="261" fillId="0" borderId="0" applyFont="0" applyFill="0" applyBorder="0" applyAlignment="0" applyProtection="0"/>
    <xf numFmtId="222" fontId="32" fillId="0" borderId="0" applyFont="0" applyFill="0" applyBorder="0" applyAlignment="0" applyProtection="0"/>
    <xf numFmtId="222" fontId="32" fillId="0" borderId="0" applyFont="0" applyFill="0" applyBorder="0" applyAlignment="0" applyProtection="0"/>
    <xf numFmtId="223" fontId="32" fillId="0" borderId="0" applyFont="0" applyFill="0" applyBorder="0" applyAlignment="0" applyProtection="0"/>
    <xf numFmtId="223" fontId="32" fillId="0" borderId="0" applyFont="0" applyFill="0" applyBorder="0" applyAlignment="0" applyProtection="0"/>
    <xf numFmtId="224" fontId="262" fillId="0" borderId="0">
      <alignment horizontal="center"/>
    </xf>
    <xf numFmtId="215" fontId="32" fillId="23" borderId="112"/>
    <xf numFmtId="215" fontId="32" fillId="23" borderId="112"/>
    <xf numFmtId="215" fontId="32" fillId="23" borderId="112"/>
    <xf numFmtId="215" fontId="32" fillId="23" borderId="112"/>
    <xf numFmtId="215" fontId="32" fillId="23" borderId="112"/>
    <xf numFmtId="215" fontId="32" fillId="23" borderId="112"/>
    <xf numFmtId="0" fontId="263" fillId="0" borderId="0">
      <alignment horizontal="left"/>
    </xf>
    <xf numFmtId="0" fontId="264" fillId="0" borderId="0"/>
    <xf numFmtId="0" fontId="265" fillId="0" borderId="0">
      <alignment horizontal="lef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0" fontId="266" fillId="0" borderId="0">
      <alignment horizontal="center"/>
    </xf>
    <xf numFmtId="0" fontId="266" fillId="0" borderId="0">
      <alignment horizontal="center"/>
    </xf>
    <xf numFmtId="0" fontId="266" fillId="0" borderId="0">
      <alignment horizontal="center"/>
    </xf>
    <xf numFmtId="0" fontId="266" fillId="0" borderId="0">
      <alignment horizontal="center"/>
    </xf>
    <xf numFmtId="0" fontId="266" fillId="0" borderId="0">
      <alignment horizontal="center"/>
    </xf>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25" fontId="32" fillId="147" borderId="0">
      <alignment horizontal="right"/>
    </xf>
    <xf numFmtId="225" fontId="32" fillId="147" borderId="0">
      <alignment horizontal="right"/>
    </xf>
    <xf numFmtId="225" fontId="32" fillId="147" borderId="0">
      <alignment horizontal="right"/>
    </xf>
    <xf numFmtId="225" fontId="32" fillId="147" borderId="0">
      <alignment horizontal="right"/>
    </xf>
    <xf numFmtId="0" fontId="32" fillId="0" borderId="0"/>
    <xf numFmtId="0" fontId="32" fillId="0" borderId="0"/>
    <xf numFmtId="0" fontId="32" fillId="0" borderId="0"/>
    <xf numFmtId="0" fontId="32" fillId="0" borderId="0"/>
    <xf numFmtId="225" fontId="32" fillId="147" borderId="0">
      <alignment horizontal="right"/>
    </xf>
    <xf numFmtId="227" fontId="222" fillId="0" borderId="0">
      <alignment horizontal="center"/>
    </xf>
    <xf numFmtId="1" fontId="228" fillId="0" borderId="0">
      <alignment horizontal="center"/>
    </xf>
    <xf numFmtId="1" fontId="228" fillId="0" borderId="0">
      <alignment horizontal="center"/>
    </xf>
    <xf numFmtId="227" fontId="222" fillId="0" borderId="0">
      <alignment horizontal="center"/>
    </xf>
    <xf numFmtId="227" fontId="222" fillId="0" borderId="0">
      <alignment horizontal="center"/>
    </xf>
    <xf numFmtId="227" fontId="222" fillId="0" borderId="0">
      <alignment horizontal="center"/>
    </xf>
    <xf numFmtId="227" fontId="222" fillId="0" borderId="0">
      <alignment horizontal="center"/>
    </xf>
    <xf numFmtId="0" fontId="33" fillId="2" borderId="0">
      <alignment horizontal="left"/>
    </xf>
    <xf numFmtId="0" fontId="33" fillId="2" borderId="0"/>
    <xf numFmtId="0" fontId="33" fillId="2" borderId="0">
      <alignment horizontal="left"/>
    </xf>
    <xf numFmtId="0" fontId="33" fillId="2" borderId="0"/>
    <xf numFmtId="0" fontId="33" fillId="2" borderId="0">
      <alignment horizontal="left"/>
    </xf>
    <xf numFmtId="0" fontId="33" fillId="2" borderId="0">
      <alignment horizontal="left"/>
    </xf>
    <xf numFmtId="175" fontId="33" fillId="0" borderId="0">
      <alignment horizontal="left"/>
    </xf>
    <xf numFmtId="175" fontId="33" fillId="0" borderId="0"/>
    <xf numFmtId="175" fontId="33" fillId="0" borderId="0"/>
    <xf numFmtId="175" fontId="33" fillId="0" borderId="0">
      <alignment horizontal="left"/>
    </xf>
    <xf numFmtId="175" fontId="33" fillId="0" borderId="0">
      <alignment horizontal="left"/>
    </xf>
    <xf numFmtId="175" fontId="33" fillId="0" borderId="0">
      <alignment horizontal="left"/>
    </xf>
    <xf numFmtId="175" fontId="33"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225" fontId="33" fillId="0" borderId="85">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225" fontId="33" fillId="0" borderId="114">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229" fontId="233" fillId="0" borderId="0" applyFont="0" applyFill="0" applyBorder="0" applyAlignment="0" applyProtection="0">
      <protection locked="0"/>
    </xf>
    <xf numFmtId="230" fontId="233" fillId="0" borderId="0" applyFont="0" applyFill="0" applyBorder="0" applyAlignment="0" applyProtection="0">
      <protection locked="0"/>
    </xf>
    <xf numFmtId="184" fontId="268" fillId="0" borderId="0" applyFill="0" applyBorder="0">
      <protection locked="0"/>
    </xf>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31" fontId="269" fillId="0" borderId="0" applyFont="0" applyFill="0" applyBorder="0" applyAlignment="0" applyProtection="0"/>
    <xf numFmtId="232" fontId="270" fillId="0" borderId="115">
      <protection locked="0"/>
    </xf>
    <xf numFmtId="233" fontId="32" fillId="0" borderId="0" applyFill="0" applyBorder="0">
      <protection locked="0"/>
    </xf>
    <xf numFmtId="233" fontId="32" fillId="0" borderId="0" applyFill="0" applyBorder="0">
      <protection locked="0"/>
    </xf>
    <xf numFmtId="232" fontId="270" fillId="0" borderId="115">
      <protection locked="0"/>
    </xf>
    <xf numFmtId="0" fontId="219" fillId="0" borderId="0" applyFont="0" applyFill="0" applyBorder="0" applyAlignment="0" applyProtection="0">
      <alignment horizontal="right"/>
    </xf>
    <xf numFmtId="0" fontId="219" fillId="0" borderId="0" applyFont="0" applyFill="0" applyBorder="0" applyAlignment="0" applyProtection="0">
      <alignment horizontal="right"/>
    </xf>
    <xf numFmtId="234" fontId="219" fillId="0" borderId="0" applyFont="0" applyFill="0" applyBorder="0" applyAlignment="0" applyProtection="0"/>
    <xf numFmtId="235" fontId="219" fillId="0" borderId="0" applyFont="0" applyFill="0" applyBorder="0" applyAlignment="0" applyProtection="0">
      <alignment horizontal="right"/>
    </xf>
    <xf numFmtId="44" fontId="32" fillId="0" borderId="0" applyFont="0" applyFill="0" applyBorder="0" applyAlignment="0" applyProtection="0"/>
    <xf numFmtId="44" fontId="32" fillId="0" borderId="0" applyFont="0" applyFill="0" applyBorder="0" applyAlignment="0" applyProtection="0"/>
    <xf numFmtId="236" fontId="21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19"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9" fontId="145" fillId="0" borderId="35"/>
    <xf numFmtId="239" fontId="145" fillId="0" borderId="35"/>
    <xf numFmtId="0" fontId="271" fillId="0" borderId="0"/>
    <xf numFmtId="240" fontId="32" fillId="12" borderId="0" applyNumberFormat="0"/>
    <xf numFmtId="240" fontId="32" fillId="12" borderId="0" applyNumberFormat="0"/>
    <xf numFmtId="241" fontId="243" fillId="2" borderId="116">
      <alignment horizontal="center"/>
    </xf>
    <xf numFmtId="214" fontId="233" fillId="0" borderId="0" applyFont="0" applyFill="0" applyBorder="0" applyProtection="0">
      <alignment horizontal="right"/>
    </xf>
    <xf numFmtId="0" fontId="219" fillId="0" borderId="0" applyFont="0" applyFill="0" applyBorder="0" applyAlignment="0" applyProtection="0"/>
    <xf numFmtId="0" fontId="219" fillId="0" borderId="0" applyFont="0" applyFill="0" applyBorder="0" applyAlignment="0" applyProtection="0"/>
    <xf numFmtId="242" fontId="32" fillId="0" borderId="0" applyFont="0" applyFill="0" applyBorder="0" applyAlignment="0" applyProtection="0"/>
    <xf numFmtId="14" fontId="220" fillId="0" borderId="0" applyFill="0" applyBorder="0" applyAlignment="0"/>
    <xf numFmtId="14" fontId="220" fillId="0" borderId="0" applyFill="0" applyBorder="0" applyAlignment="0"/>
    <xf numFmtId="15" fontId="268" fillId="0" borderId="0" applyFill="0" applyBorder="0">
      <protection locked="0"/>
    </xf>
    <xf numFmtId="0" fontId="32" fillId="0" borderId="0" applyFont="0" applyFill="0" applyBorder="0" applyAlignment="0" applyProtection="0"/>
    <xf numFmtId="0" fontId="67" fillId="148" borderId="0" applyNumberFormat="0" applyFont="0" applyFill="0" applyBorder="0"/>
    <xf numFmtId="0" fontId="67" fillId="148" borderId="0" applyNumberFormat="0" applyFont="0" applyFill="0" applyBorder="0"/>
    <xf numFmtId="0" fontId="67" fillId="148" borderId="0" applyNumberFormat="0" applyFont="0" applyFill="0" applyBorder="0"/>
    <xf numFmtId="0" fontId="67" fillId="148" borderId="0" applyNumberFormat="0" applyFont="0" applyFill="0" applyBorder="0"/>
    <xf numFmtId="4" fontId="33" fillId="1" borderId="117">
      <alignment horizontal="right"/>
    </xf>
    <xf numFmtId="4" fontId="33" fillId="1" borderId="117">
      <alignment horizontal="right"/>
    </xf>
    <xf numFmtId="0" fontId="70" fillId="0" borderId="0">
      <alignment horizontal="right"/>
    </xf>
    <xf numFmtId="243" fontId="232" fillId="0" borderId="0" applyFont="0" applyFill="0" applyBorder="0" applyAlignment="0" applyProtection="0">
      <alignment vertical="top"/>
    </xf>
    <xf numFmtId="244" fontId="163" fillId="0" borderId="0" applyFont="0" applyFill="0" applyBorder="0" applyAlignment="0" applyProtection="0"/>
    <xf numFmtId="244" fontId="163" fillId="0" borderId="0" applyFont="0" applyFill="0" applyBorder="0" applyAlignment="0" applyProtection="0"/>
    <xf numFmtId="245" fontId="32" fillId="0" borderId="0" applyFont="0" applyFill="0" applyBorder="0" applyAlignment="0" applyProtection="0">
      <alignment horizontal="right"/>
    </xf>
    <xf numFmtId="245" fontId="32" fillId="0" borderId="0" applyFont="0" applyFill="0" applyBorder="0" applyAlignment="0" applyProtection="0">
      <alignment horizontal="right"/>
    </xf>
    <xf numFmtId="1" fontId="64" fillId="0" borderId="0" applyFont="0" applyFill="0" applyBorder="0" applyAlignment="0" applyProtection="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68" fillId="0" borderId="0" applyFill="0" applyBorder="0">
      <protection locked="0"/>
    </xf>
    <xf numFmtId="2"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68" fillId="0" borderId="0" applyFill="0" applyBorder="0">
      <protection locked="0"/>
    </xf>
    <xf numFmtId="180" fontId="234" fillId="0" borderId="0" applyFill="0" applyBorder="0">
      <alignment horizontal="right"/>
    </xf>
    <xf numFmtId="37" fontId="32" fillId="0" borderId="0"/>
    <xf numFmtId="215" fontId="32" fillId="23" borderId="118"/>
    <xf numFmtId="215" fontId="32" fillId="23" borderId="118"/>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3" fillId="0" borderId="0"/>
    <xf numFmtId="0" fontId="216" fillId="149" borderId="0" applyNumberFormat="0" applyBorder="0" applyAlignment="0"/>
    <xf numFmtId="0" fontId="274" fillId="23" borderId="83">
      <alignment vertical="top" wrapText="1"/>
      <protection locked="0"/>
    </xf>
    <xf numFmtId="0" fontId="274" fillId="23" borderId="83">
      <alignment vertical="top" wrapText="1"/>
      <protection locked="0"/>
    </xf>
    <xf numFmtId="41" fontId="217" fillId="0" borderId="0" applyFont="0" applyFill="0" applyBorder="0" applyAlignment="0" applyProtection="0"/>
    <xf numFmtId="43" fontId="217" fillId="0" borderId="0" applyFont="0" applyFill="0" applyBorder="0" applyAlignment="0" applyProtection="0"/>
    <xf numFmtId="49" fontId="275" fillId="0" borderId="0"/>
    <xf numFmtId="0" fontId="32" fillId="0" borderId="0"/>
    <xf numFmtId="0" fontId="32" fillId="0" borderId="0"/>
    <xf numFmtId="246" fontId="32" fillId="0" borderId="0"/>
    <xf numFmtId="214" fontId="276" fillId="0" borderId="0" applyFont="0" applyFill="0" applyBorder="0" applyAlignment="0" applyProtection="0"/>
    <xf numFmtId="0" fontId="219" fillId="0" borderId="119" applyNumberFormat="0" applyFont="0" applyFill="0" applyAlignment="0" applyProtection="0"/>
    <xf numFmtId="247" fontId="277" fillId="0" borderId="0" applyFill="0" applyBorder="0" applyAlignment="0" applyProtection="0"/>
    <xf numFmtId="248" fontId="278" fillId="0" borderId="85" applyNumberFormat="0" applyBorder="0"/>
    <xf numFmtId="0" fontId="279" fillId="23" borderId="120">
      <alignment horizontal="center"/>
    </xf>
    <xf numFmtId="0" fontId="279" fillId="79" borderId="120" applyNumberFormat="0">
      <alignment horizontal="center"/>
    </xf>
    <xf numFmtId="0" fontId="279" fillId="23" borderId="120" applyNumberFormat="0">
      <alignment horizontal="center"/>
      <protection locked="0"/>
    </xf>
    <xf numFmtId="0" fontId="279" fillId="23" borderId="120">
      <alignment horizontal="center"/>
      <protection locked="0"/>
    </xf>
    <xf numFmtId="0" fontId="125" fillId="150" borderId="0" applyNumberFormat="0" applyBorder="0" applyAlignment="0" applyProtection="0"/>
    <xf numFmtId="0" fontId="125" fillId="151" borderId="0" applyNumberFormat="0" applyBorder="0" applyAlignment="0" applyProtection="0"/>
    <xf numFmtId="0" fontId="125" fillId="152" borderId="0" applyNumberFormat="0" applyBorder="0" applyAlignment="0" applyProtection="0"/>
    <xf numFmtId="212"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0" fontId="233" fillId="153" borderId="121" applyNumberFormat="0" applyFont="0" applyAlignment="0">
      <protection locked="0"/>
    </xf>
    <xf numFmtId="0" fontId="163" fillId="2" borderId="122">
      <alignment vertical="top"/>
      <protection locked="0"/>
    </xf>
    <xf numFmtId="0" fontId="163" fillId="2" borderId="122">
      <alignment vertical="top"/>
      <protection locked="0"/>
    </xf>
    <xf numFmtId="0" fontId="163" fillId="2" borderId="122">
      <alignment vertical="top"/>
      <protection locked="0"/>
    </xf>
    <xf numFmtId="249" fontId="217"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49" fontId="218" fillId="0" borderId="0" applyFont="0" applyFill="0" applyBorder="0" applyAlignment="0" applyProtection="0"/>
    <xf numFmtId="172" fontId="64" fillId="0" borderId="0" applyFon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0" fontId="216" fillId="0" borderId="0" applyNumberFormat="0" applyFill="0" applyBorder="0" applyAlignment="0" applyProtection="0"/>
    <xf numFmtId="251" fontId="32" fillId="0" borderId="0" applyFont="0" applyFill="0" applyBorder="0">
      <alignment horizontal="left"/>
    </xf>
    <xf numFmtId="251" fontId="32" fillId="0" borderId="0" applyFont="0" applyFill="0" applyBorder="0">
      <alignment horizontal="left"/>
    </xf>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185" fontId="64" fillId="0" borderId="0" applyFont="0" applyFill="0" applyBorder="0" applyAlignment="0" applyProtection="0">
      <alignment horizontal="right"/>
    </xf>
    <xf numFmtId="224" fontId="262" fillId="0" borderId="0">
      <alignment horizontal="center"/>
    </xf>
    <xf numFmtId="252" fontId="64" fillId="0" borderId="0">
      <protection locked="0"/>
    </xf>
    <xf numFmtId="0" fontId="283" fillId="0" borderId="0">
      <alignment horizontal="left"/>
    </xf>
    <xf numFmtId="0" fontId="284" fillId="0" borderId="0">
      <alignment horizontal="left"/>
    </xf>
    <xf numFmtId="0" fontId="285" fillId="0" borderId="0" applyFill="0" applyBorder="0" applyProtection="0">
      <alignment horizontal="left"/>
    </xf>
    <xf numFmtId="0" fontId="285" fillId="0" borderId="0" applyNumberFormat="0" applyFill="0" applyBorder="0" applyProtection="0">
      <alignment horizontal="left"/>
    </xf>
    <xf numFmtId="0" fontId="233" fillId="0" borderId="0" applyFill="0" applyBorder="0" applyProtection="0">
      <alignment horizontal="left"/>
    </xf>
    <xf numFmtId="0" fontId="286" fillId="0" borderId="0" applyNumberFormat="0" applyFill="0" applyBorder="0" applyAlignment="0" applyProtection="0"/>
    <xf numFmtId="0" fontId="287" fillId="2" borderId="0"/>
    <xf numFmtId="37" fontId="235" fillId="2" borderId="0" applyNumberFormat="0" applyBorder="0" applyAlignment="0" applyProtection="0"/>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53" fontId="32" fillId="0" borderId="0"/>
    <xf numFmtId="253" fontId="232" fillId="0" borderId="83"/>
    <xf numFmtId="0" fontId="67" fillId="0" borderId="0"/>
    <xf numFmtId="0" fontId="216" fillId="0" borderId="0" applyFont="0" applyFill="0" applyBorder="0" applyAlignment="0" applyProtection="0"/>
    <xf numFmtId="0" fontId="216" fillId="0" borderId="0" applyFont="0" applyFill="0" applyBorder="0" applyAlignment="0" applyProtection="0"/>
    <xf numFmtId="0" fontId="67" fillId="0" borderId="0"/>
    <xf numFmtId="240" fontId="32" fillId="0" borderId="116" applyNumberFormat="0">
      <alignment horizontal="right"/>
    </xf>
    <xf numFmtId="240" fontId="32" fillId="0" borderId="116" applyNumberFormat="0">
      <alignment horizontal="right"/>
    </xf>
    <xf numFmtId="0" fontId="67" fillId="0" borderId="0"/>
    <xf numFmtId="0" fontId="136" fillId="27" borderId="0" applyNumberFormat="0" applyBorder="0" applyAlignment="0" applyProtection="0"/>
    <xf numFmtId="0" fontId="111" fillId="129" borderId="0" applyNumberFormat="0" applyBorder="0" applyAlignment="0" applyProtection="0"/>
    <xf numFmtId="0" fontId="81" fillId="27" borderId="0" applyNumberFormat="0" applyBorder="0" applyAlignment="0" applyProtection="0"/>
    <xf numFmtId="0" fontId="279" fillId="60" borderId="0" applyNumberFormat="0" applyBorder="0" applyAlignment="0" applyProtection="0"/>
    <xf numFmtId="37" fontId="288" fillId="0" borderId="0" applyNumberFormat="0" applyFill="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234" fontId="222" fillId="148" borderId="0" applyNumberFormat="0" applyFill="0" applyBorder="0"/>
    <xf numFmtId="0" fontId="272" fillId="0" borderId="0" applyNumberFormat="0" applyFill="0" applyBorder="0">
      <alignment horizontal="right"/>
    </xf>
    <xf numFmtId="0" fontId="272" fillId="0" borderId="0" applyNumberFormat="0" applyFill="0" applyBorder="0">
      <alignment horizontal="right"/>
    </xf>
    <xf numFmtId="0" fontId="272" fillId="0" borderId="0" applyNumberFormat="0" applyFill="0" applyBorder="0">
      <alignment horizontal="right"/>
    </xf>
    <xf numFmtId="0" fontId="272" fillId="0" borderId="0" applyNumberFormat="0" applyFill="0" applyBorder="0">
      <alignment horizontal="right"/>
    </xf>
    <xf numFmtId="9" fontId="232" fillId="22" borderId="0">
      <alignment horizontal="right"/>
      <protection locked="0"/>
    </xf>
    <xf numFmtId="254" fontId="175" fillId="23" borderId="83" applyNumberFormat="0" applyFont="0" applyAlignment="0"/>
    <xf numFmtId="254" fontId="175" fillId="23" borderId="83" applyNumberFormat="0" applyFont="0" applyAlignment="0"/>
    <xf numFmtId="0" fontId="219" fillId="0" borderId="0" applyFont="0" applyFill="0" applyBorder="0" applyAlignment="0" applyProtection="0">
      <alignment horizontal="right"/>
    </xf>
    <xf numFmtId="0" fontId="32" fillId="155" borderId="0"/>
    <xf numFmtId="0" fontId="32" fillId="155" borderId="0"/>
    <xf numFmtId="0" fontId="289" fillId="0" borderId="0" applyProtection="0">
      <alignment horizontal="right"/>
    </xf>
    <xf numFmtId="0" fontId="33" fillId="5" borderId="89">
      <alignment vertical="center"/>
    </xf>
    <xf numFmtId="0" fontId="33" fillId="5" borderId="89">
      <alignment vertical="center"/>
    </xf>
    <xf numFmtId="0" fontId="290" fillId="0" borderId="0">
      <alignment horizontal="left"/>
    </xf>
    <xf numFmtId="0" fontId="291" fillId="156" borderId="0" applyNumberFormat="0" applyProtection="0"/>
    <xf numFmtId="0" fontId="289" fillId="0" borderId="0" applyProtection="0">
      <alignment horizontal="right"/>
    </xf>
    <xf numFmtId="0" fontId="292" fillId="0" borderId="123" applyNumberFormat="0" applyAlignment="0" applyProtection="0">
      <alignment horizontal="left" vertical="center"/>
    </xf>
    <xf numFmtId="0" fontId="292" fillId="0" borderId="89">
      <alignment horizontal="left" vertical="center"/>
    </xf>
    <xf numFmtId="0" fontId="293" fillId="0" borderId="1">
      <alignment horizontal="center"/>
    </xf>
    <xf numFmtId="0" fontId="294" fillId="0" borderId="124" applyNumberFormat="0" applyFill="0" applyAlignment="0" applyProtection="0"/>
    <xf numFmtId="0" fontId="294" fillId="0" borderId="124" applyNumberFormat="0" applyFill="0" applyAlignment="0" applyProtection="0"/>
    <xf numFmtId="0" fontId="294" fillId="0" borderId="125" applyNumberFormat="0" applyFill="0" applyAlignment="0" applyProtection="0"/>
    <xf numFmtId="0" fontId="54" fillId="0" borderId="6" applyNumberFormat="0" applyFill="0" applyAlignment="0" applyProtection="0"/>
    <xf numFmtId="0" fontId="295" fillId="0" borderId="0">
      <alignment horizontal="left"/>
    </xf>
    <xf numFmtId="0" fontId="296" fillId="0" borderId="35">
      <alignment horizontal="left" vertical="top"/>
    </xf>
    <xf numFmtId="0" fontId="296" fillId="0" borderId="35">
      <alignment horizontal="left" vertical="top"/>
    </xf>
    <xf numFmtId="0" fontId="297" fillId="0" borderId="19" applyNumberFormat="0" applyFill="0" applyAlignment="0" applyProtection="0"/>
    <xf numFmtId="0" fontId="298" fillId="0" borderId="126" applyNumberFormat="0" applyFill="0" applyAlignment="0" applyProtection="0"/>
    <xf numFmtId="0" fontId="55" fillId="0" borderId="7" applyNumberFormat="0" applyFill="0" applyAlignment="0" applyProtection="0"/>
    <xf numFmtId="0" fontId="299" fillId="0" borderId="0">
      <alignment horizontal="left"/>
    </xf>
    <xf numFmtId="0" fontId="300" fillId="0" borderId="35">
      <alignment horizontal="left" vertical="top"/>
    </xf>
    <xf numFmtId="0" fontId="300" fillId="0" borderId="35">
      <alignment horizontal="left" vertical="top"/>
    </xf>
    <xf numFmtId="0" fontId="301" fillId="0" borderId="127" applyNumberFormat="0" applyFill="0" applyAlignment="0" applyProtection="0"/>
    <xf numFmtId="0" fontId="301" fillId="0" borderId="127" applyNumberFormat="0" applyFill="0" applyAlignment="0" applyProtection="0"/>
    <xf numFmtId="0" fontId="301" fillId="0" borderId="128" applyNumberFormat="0" applyFill="0" applyAlignment="0" applyProtection="0"/>
    <xf numFmtId="0" fontId="301" fillId="0" borderId="129" applyNumberFormat="0" applyFill="0" applyAlignment="0" applyProtection="0"/>
    <xf numFmtId="0" fontId="56" fillId="0" borderId="8" applyNumberFormat="0" applyFill="0" applyAlignment="0" applyProtection="0"/>
    <xf numFmtId="0" fontId="302" fillId="0" borderId="0">
      <alignment horizontal="left"/>
    </xf>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56" fillId="0" borderId="0" applyNumberFormat="0" applyFill="0" applyBorder="0" applyAlignment="0" applyProtection="0"/>
    <xf numFmtId="0" fontId="293" fillId="0" borderId="1">
      <alignment horizontal="center"/>
    </xf>
    <xf numFmtId="0" fontId="212" fillId="0" borderId="0" applyNumberFormat="0" applyFill="0" applyBorder="0" applyAlignment="0" applyProtection="0">
      <alignment horizontal="left"/>
    </xf>
    <xf numFmtId="0" fontId="32" fillId="0" borderId="0">
      <protection locked="0"/>
    </xf>
    <xf numFmtId="0" fontId="32" fillId="0" borderId="0">
      <protection locked="0"/>
    </xf>
    <xf numFmtId="0" fontId="72" fillId="0" borderId="0"/>
    <xf numFmtId="0" fontId="162" fillId="0" borderId="0">
      <alignment horizontal="left"/>
    </xf>
    <xf numFmtId="0" fontId="303" fillId="0" borderId="0" applyNumberFormat="0" applyFill="0" applyBorder="0" applyAlignment="0" applyProtection="0">
      <alignment horizontal="center"/>
    </xf>
    <xf numFmtId="0" fontId="304" fillId="0" borderId="0" applyNumberFormat="0" applyFill="0" applyBorder="0" applyAlignment="0" applyProtection="0">
      <alignment horizontal="center"/>
    </xf>
    <xf numFmtId="0" fontId="305" fillId="0" borderId="0"/>
    <xf numFmtId="0" fontId="66" fillId="0" borderId="0" applyNumberFormat="0" applyFill="0" applyBorder="0" applyAlignment="0" applyProtection="0"/>
    <xf numFmtId="255" fontId="32" fillId="0" borderId="0">
      <alignment horizontal="left"/>
    </xf>
    <xf numFmtId="255" fontId="32" fillId="0" borderId="0">
      <alignment horizontal="left"/>
    </xf>
    <xf numFmtId="256" fontId="231" fillId="0" borderId="0" applyAlignment="0">
      <alignment horizontal="right"/>
      <protection hidden="1"/>
    </xf>
    <xf numFmtId="0" fontId="306" fillId="0" borderId="0">
      <alignment vertical="center" wrapText="1"/>
      <protection hidden="1"/>
    </xf>
    <xf numFmtId="256" fontId="231" fillId="0" borderId="0" applyAlignment="0">
      <alignment horizontal="right"/>
      <protection hidden="1"/>
    </xf>
    <xf numFmtId="256" fontId="231" fillId="0" borderId="0" applyAlignment="0">
      <alignment horizontal="right"/>
      <protection hidden="1"/>
    </xf>
    <xf numFmtId="0" fontId="232" fillId="0" borderId="130" applyNumberFormat="0" applyFill="0" applyAlignment="0" applyProtection="0"/>
    <xf numFmtId="186" fontId="307" fillId="5" borderId="0" applyNumberFormat="0" applyFont="0" applyBorder="0" applyAlignment="0" applyProtection="0"/>
    <xf numFmtId="37" fontId="235" fillId="0" borderId="0" applyNumberFormat="0" applyBorder="0" applyAlignment="0" applyProtection="0"/>
    <xf numFmtId="0" fontId="308" fillId="0" borderId="0"/>
    <xf numFmtId="0" fontId="57"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310" fillId="0" borderId="0" applyNumberFormat="0" applyFill="0" applyBorder="0" applyAlignment="0" applyProtection="0">
      <alignment horizontal="left"/>
    </xf>
    <xf numFmtId="37" fontId="232" fillId="0" borderId="0" applyFill="0" applyBorder="0">
      <protection locked="0"/>
    </xf>
    <xf numFmtId="14" fontId="232" fillId="0" borderId="0" applyFill="0" applyBorder="0">
      <protection locked="0"/>
    </xf>
    <xf numFmtId="9" fontId="232" fillId="0" borderId="0" applyFill="0" applyBorder="0">
      <protection locked="0"/>
    </xf>
    <xf numFmtId="177" fontId="232" fillId="0" borderId="0" applyFill="0" applyBorder="0">
      <protection locked="0"/>
    </xf>
    <xf numFmtId="257" fontId="32" fillId="0" borderId="0"/>
    <xf numFmtId="257" fontId="32" fillId="0" borderId="0"/>
    <xf numFmtId="15" fontId="235" fillId="8" borderId="131"/>
    <xf numFmtId="258" fontId="32" fillId="22" borderId="131"/>
    <xf numFmtId="258" fontId="32" fillId="22" borderId="131"/>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311" fillId="63" borderId="80" applyNumberFormat="0" applyAlignment="0" applyProtection="0"/>
    <xf numFmtId="0" fontId="312" fillId="30" borderId="21"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0" fontId="314" fillId="157" borderId="132" applyNumberFormat="0" applyBorder="0" applyAlignment="0" applyProtection="0"/>
    <xf numFmtId="0" fontId="315" fillId="158" borderId="0" applyNumberFormat="0"/>
    <xf numFmtId="1" fontId="67" fillId="0" borderId="0"/>
    <xf numFmtId="1" fontId="67" fillId="0" borderId="0"/>
    <xf numFmtId="1" fontId="67" fillId="0" borderId="0"/>
    <xf numFmtId="1" fontId="67" fillId="0" borderId="0"/>
    <xf numFmtId="1" fontId="67" fillId="0" borderId="0"/>
    <xf numFmtId="1" fontId="67" fillId="0" borderId="0"/>
    <xf numFmtId="262" fontId="316" fillId="159" borderId="83" applyNumberFormat="0" applyFont="0" applyBorder="0" applyAlignment="0">
      <alignment horizontal="right"/>
    </xf>
    <xf numFmtId="262" fontId="316" fillId="159" borderId="83" applyNumberFormat="0" applyFont="0" applyBorder="0" applyAlignment="0">
      <alignment horizontal="right"/>
    </xf>
    <xf numFmtId="262" fontId="317" fillId="159" borderId="83" applyNumberFormat="0" applyAlignment="0">
      <alignment horizontal="right"/>
    </xf>
    <xf numFmtId="262" fontId="317" fillId="159" borderId="83" applyNumberFormat="0" applyAlignment="0">
      <alignment horizontal="right"/>
    </xf>
    <xf numFmtId="262" fontId="316" fillId="159" borderId="83" applyNumberFormat="0" applyAlignment="0">
      <alignment horizontal="right"/>
    </xf>
    <xf numFmtId="262" fontId="316" fillId="159" borderId="83" applyNumberFormat="0" applyAlignment="0">
      <alignment horizontal="right"/>
    </xf>
    <xf numFmtId="38" fontId="318" fillId="0" borderId="0"/>
    <xf numFmtId="38" fontId="319" fillId="0" borderId="0"/>
    <xf numFmtId="38" fontId="320" fillId="0" borderId="0"/>
    <xf numFmtId="38" fontId="65" fillId="0" borderId="0"/>
    <xf numFmtId="0" fontId="321" fillId="0" borderId="0"/>
    <xf numFmtId="0" fontId="321" fillId="0" borderId="0"/>
    <xf numFmtId="0" fontId="245" fillId="0" borderId="0"/>
    <xf numFmtId="0" fontId="245" fillId="0" borderId="0"/>
    <xf numFmtId="0" fontId="322" fillId="0" borderId="0">
      <alignment horizontal="center"/>
    </xf>
    <xf numFmtId="0" fontId="323" fillId="0" borderId="0" applyNumberFormat="0">
      <alignment horizontal="left"/>
    </xf>
    <xf numFmtId="0" fontId="324" fillId="160" borderId="29" applyNumberFormat="0" applyBorder="0" applyAlignment="0">
      <alignment wrapText="1"/>
    </xf>
    <xf numFmtId="0" fontId="324" fillId="160" borderId="29" applyNumberFormat="0" applyBorder="0" applyAlignment="0">
      <alignment wrapText="1"/>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212"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0" fontId="325" fillId="0" borderId="133" applyNumberFormat="0" applyFill="0" applyAlignment="0" applyProtection="0"/>
    <xf numFmtId="0" fontId="117" fillId="0" borderId="134" applyNumberFormat="0" applyFill="0" applyAlignment="0" applyProtection="0"/>
    <xf numFmtId="0" fontId="326" fillId="0" borderId="10" applyNumberFormat="0" applyFill="0" applyAlignment="0" applyProtection="0"/>
    <xf numFmtId="3" fontId="327" fillId="0" borderId="33"/>
    <xf numFmtId="0" fontId="32" fillId="0" borderId="0" applyNumberFormat="0" applyFill="0" applyBorder="0" applyAlignment="0" applyProtection="0"/>
    <xf numFmtId="0" fontId="32" fillId="0" borderId="0" applyNumberFormat="0" applyFill="0" applyBorder="0" applyAlignment="0" applyProtection="0"/>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263" fontId="43" fillId="0" borderId="0" applyFont="0" applyFill="0" applyBorder="0" applyAlignment="0" applyProtection="0"/>
    <xf numFmtId="264" fontId="32" fillId="0" borderId="0" applyFont="0" applyFill="0" applyBorder="0" applyAlignment="0" applyProtection="0"/>
    <xf numFmtId="265"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7" fontId="216" fillId="0" borderId="0"/>
    <xf numFmtId="37" fontId="32" fillId="0" borderId="0" applyFont="0" applyFill="0" applyBorder="0" applyAlignment="0" applyProtection="0"/>
    <xf numFmtId="37" fontId="32" fillId="0" borderId="0" applyFont="0" applyFill="0" applyBorder="0" applyAlignment="0" applyProtection="0"/>
    <xf numFmtId="268" fontId="32" fillId="0" borderId="0" applyFont="0" applyFill="0" applyBorder="0" applyAlignment="0" applyProtection="0">
      <alignment horizontal="left" wrapText="1"/>
    </xf>
    <xf numFmtId="268" fontId="32" fillId="0" borderId="0" applyFont="0" applyFill="0" applyBorder="0" applyAlignment="0" applyProtection="0">
      <alignment horizontal="left" wrapText="1"/>
    </xf>
    <xf numFmtId="0" fontId="32" fillId="0" borderId="0" applyFont="0" applyFill="0" applyBorder="0" applyAlignment="0" applyProtection="0"/>
    <xf numFmtId="0" fontId="32" fillId="0" borderId="0" applyFont="0" applyFill="0" applyBorder="0" applyAlignment="0" applyProtection="0"/>
    <xf numFmtId="269" fontId="328" fillId="0" borderId="0" applyFill="0" applyBorder="0" applyProtection="0">
      <alignment horizontal="right" vertical="center"/>
      <protection locked="0"/>
    </xf>
    <xf numFmtId="270" fontId="329" fillId="0" borderId="0" applyFont="0" applyFill="0" applyBorder="0" applyAlignment="0" applyProtection="0"/>
    <xf numFmtId="271" fontId="32" fillId="0" borderId="0">
      <alignment horizontal="right"/>
    </xf>
    <xf numFmtId="271" fontId="32" fillId="0" borderId="0">
      <alignment horizontal="right"/>
    </xf>
    <xf numFmtId="0" fontId="219" fillId="0" borderId="0" applyFont="0" applyFill="0" applyBorder="0" applyAlignment="0" applyProtection="0">
      <alignment horizontal="right"/>
    </xf>
    <xf numFmtId="272" fontId="219" fillId="0" borderId="0" applyFont="0" applyFill="0" applyBorder="0" applyAlignment="0" applyProtection="0"/>
    <xf numFmtId="214" fontId="269" fillId="0" borderId="0" applyFont="0" applyFill="0" applyBorder="0" applyAlignment="0" applyProtection="0"/>
    <xf numFmtId="0" fontId="219" fillId="0" borderId="0" applyFont="0" applyFill="0" applyBorder="0" applyAlignment="0" applyProtection="0">
      <alignment horizontal="right"/>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0" fontId="219" fillId="0" borderId="0" applyFont="0" applyFill="0" applyBorder="0" applyAlignment="0" applyProtection="0">
      <alignment horizontal="right"/>
    </xf>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273" fontId="32" fillId="0" borderId="0" applyFont="0" applyFill="0" applyBorder="0" applyAlignment="0" applyProtection="0"/>
    <xf numFmtId="0" fontId="138" fillId="29" borderId="0" applyNumberFormat="0" applyBorder="0" applyAlignment="0" applyProtection="0"/>
    <xf numFmtId="0" fontId="117" fillId="137" borderId="0" applyNumberFormat="0" applyBorder="0" applyAlignment="0" applyProtection="0"/>
    <xf numFmtId="0" fontId="83" fillId="29" borderId="0" applyNumberFormat="0" applyBorder="0" applyAlignment="0" applyProtection="0"/>
    <xf numFmtId="0" fontId="330" fillId="78" borderId="0" applyNumberFormat="0" applyBorder="0" applyAlignment="0" applyProtection="0"/>
    <xf numFmtId="0" fontId="331" fillId="0" borderId="0"/>
    <xf numFmtId="37" fontId="332" fillId="0" borderId="0"/>
    <xf numFmtId="274" fontId="32" fillId="0" borderId="0" applyFill="0" applyBorder="0" applyAlignment="0" applyProtection="0"/>
    <xf numFmtId="274" fontId="32" fillId="0" borderId="0" applyFill="0" applyBorder="0" applyAlignment="0" applyProtection="0"/>
    <xf numFmtId="275" fontId="32" fillId="0" borderId="85" applyFont="0" applyFill="0" applyBorder="0" applyAlignment="0" applyProtection="0"/>
    <xf numFmtId="275" fontId="32" fillId="0" borderId="85" applyFont="0" applyFill="0" applyBorder="0" applyAlignment="0" applyProtection="0"/>
    <xf numFmtId="0" fontId="224" fillId="0" borderId="0"/>
    <xf numFmtId="276" fontId="219" fillId="0" borderId="0"/>
    <xf numFmtId="251" fontId="333" fillId="0" borderId="0"/>
    <xf numFmtId="257" fontId="32" fillId="0" borderId="0"/>
    <xf numFmtId="257" fontId="32" fillId="0" borderId="0"/>
    <xf numFmtId="0" fontId="299" fillId="0" borderId="0"/>
    <xf numFmtId="277" fontId="299" fillId="0" borderId="0"/>
    <xf numFmtId="0" fontId="64" fillId="0" borderId="0">
      <alignment horizontal="right"/>
    </xf>
    <xf numFmtId="189" fontId="32" fillId="0" borderId="0">
      <alignment horizontal="left" wrapText="1"/>
    </xf>
    <xf numFmtId="0" fontId="32" fillId="0" borderId="0"/>
    <xf numFmtId="0" fontId="32" fillId="0" borderId="0"/>
    <xf numFmtId="189" fontId="32" fillId="0" borderId="0">
      <alignment horizontal="left" wrapText="1"/>
    </xf>
    <xf numFmtId="0" fontId="6" fillId="0" borderId="0"/>
    <xf numFmtId="0" fontId="6" fillId="0" borderId="0"/>
    <xf numFmtId="0" fontId="32" fillId="0" borderId="0">
      <alignment vertical="center"/>
    </xf>
    <xf numFmtId="0" fontId="6" fillId="0" borderId="0"/>
    <xf numFmtId="0" fontId="32" fillId="0" borderId="0"/>
    <xf numFmtId="0" fontId="32" fillId="0" borderId="0"/>
    <xf numFmtId="0" fontId="32" fillId="0" borderId="0"/>
    <xf numFmtId="0" fontId="6" fillId="0" borderId="0"/>
    <xf numFmtId="0" fontId="6" fillId="0" borderId="0"/>
    <xf numFmtId="0" fontId="6" fillId="0" borderId="0"/>
    <xf numFmtId="189" fontId="32" fillId="0" borderId="0">
      <alignment horizontal="left" wrapText="1"/>
    </xf>
    <xf numFmtId="0" fontId="32" fillId="0" borderId="0"/>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162" borderId="0"/>
    <xf numFmtId="0" fontId="32" fillId="0" borderId="0"/>
    <xf numFmtId="0" fontId="6" fillId="0" borderId="0"/>
    <xf numFmtId="0" fontId="6" fillId="0" borderId="0"/>
    <xf numFmtId="0" fontId="6" fillId="0" borderId="0"/>
    <xf numFmtId="0" fontId="67" fillId="162"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0" fillId="0" borderId="0"/>
    <xf numFmtId="0" fontId="220" fillId="0" borderId="0"/>
    <xf numFmtId="189" fontId="32" fillId="0" borderId="0">
      <alignment horizontal="left" wrapText="1"/>
    </xf>
    <xf numFmtId="189" fontId="32" fillId="0" borderId="0">
      <alignment horizontal="left" wrapText="1"/>
    </xf>
    <xf numFmtId="0" fontId="334" fillId="0" borderId="0"/>
    <xf numFmtId="0" fontId="67" fillId="162" borderId="0"/>
    <xf numFmtId="0" fontId="67" fillId="162" borderId="0"/>
    <xf numFmtId="0" fontId="67" fillId="162" borderId="0"/>
    <xf numFmtId="0" fontId="67" fillId="162" borderId="0"/>
    <xf numFmtId="0" fontId="334" fillId="0" borderId="0"/>
    <xf numFmtId="0" fontId="67" fillId="162"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220" fillId="0" borderId="0">
      <alignment horizontal="left" wrapText="1"/>
    </xf>
    <xf numFmtId="189" fontId="220" fillId="0" borderId="0">
      <alignment horizontal="left" wrapText="1"/>
    </xf>
    <xf numFmtId="0" fontId="220"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189" fontId="32" fillId="0" borderId="0">
      <alignment horizontal="left" wrapText="1"/>
    </xf>
    <xf numFmtId="0" fontId="32" fillId="0" borderId="0"/>
    <xf numFmtId="0" fontId="32" fillId="0" borderId="0"/>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0" fontId="32" fillId="0" borderId="0"/>
    <xf numFmtId="0" fontId="32" fillId="0" borderId="0"/>
    <xf numFmtId="189" fontId="32"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0" fontId="32" fillId="0" borderId="0"/>
    <xf numFmtId="0" fontId="32" fillId="0" borderId="0"/>
    <xf numFmtId="189" fontId="32" fillId="0" borderId="0">
      <alignment horizontal="left" wrapText="1"/>
    </xf>
    <xf numFmtId="0" fontId="32" fillId="0" borderId="0"/>
    <xf numFmtId="0" fontId="6" fillId="0" borderId="0"/>
    <xf numFmtId="0" fontId="6" fillId="0" borderId="0"/>
    <xf numFmtId="0" fontId="6" fillId="0" borderId="0"/>
    <xf numFmtId="0" fontId="6" fillId="0" borderId="0"/>
    <xf numFmtId="0" fontId="32" fillId="0" borderId="0">
      <alignment vertical="center"/>
    </xf>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9" fillId="0" borderId="135"/>
    <xf numFmtId="0" fontId="335" fillId="0" borderId="0"/>
    <xf numFmtId="0" fontId="336" fillId="0" borderId="0"/>
    <xf numFmtId="0" fontId="329" fillId="0" borderId="136"/>
    <xf numFmtId="0" fontId="268" fillId="0" borderId="0" applyFill="0" applyBorder="0">
      <protection locked="0"/>
    </xf>
    <xf numFmtId="0" fontId="329" fillId="0" borderId="137"/>
    <xf numFmtId="0" fontId="329" fillId="0" borderId="137"/>
    <xf numFmtId="0" fontId="175" fillId="0" borderId="0">
      <alignment horizontal="center" vertical="top" wrapText="1" shrinkToFit="1"/>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2" fontId="33" fillId="0" borderId="0" applyFont="0" applyFill="0" applyBorder="0">
      <alignment horizontal="center" vertical="top" wrapText="1" shrinkToFit="1"/>
    </xf>
    <xf numFmtId="2" fontId="33" fillId="0" borderId="0" applyFont="0" applyFill="0" applyBorder="0">
      <alignment horizontal="center" vertical="top" wrapText="1" shrinkToFit="1"/>
    </xf>
    <xf numFmtId="0" fontId="337" fillId="0" borderId="0"/>
    <xf numFmtId="0" fontId="67" fillId="136" borderId="110" applyNumberFormat="0" applyFont="0" applyAlignment="0" applyProtection="0"/>
    <xf numFmtId="0" fontId="67" fillId="136" borderId="110"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32" fillId="79" borderId="81" applyNumberFormat="0" applyFont="0" applyAlignment="0" applyProtection="0"/>
    <xf numFmtId="0" fontId="111" fillId="78" borderId="25" applyNumberFormat="0" applyFont="0" applyAlignment="0" applyProtection="0"/>
    <xf numFmtId="0" fontId="111" fillId="78" borderId="25" applyNumberFormat="0" applyFont="0" applyAlignment="0" applyProtection="0"/>
    <xf numFmtId="0" fontId="111" fillId="78" borderId="25" applyNumberFormat="0" applyFont="0" applyAlignment="0" applyProtection="0"/>
    <xf numFmtId="0" fontId="67" fillId="136" borderId="110"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278" fontId="338" fillId="0" borderId="0" applyFont="0" applyFill="0" applyBorder="0" applyAlignment="0" applyProtection="0"/>
    <xf numFmtId="0" fontId="339" fillId="0" borderId="38"/>
    <xf numFmtId="0" fontId="339" fillId="0" borderId="38"/>
    <xf numFmtId="165" fontId="59" fillId="0" borderId="0"/>
    <xf numFmtId="279" fontId="340" fillId="0" borderId="0" applyFont="0" applyFill="0" applyBorder="0" applyProtection="0">
      <alignment horizontal="right"/>
    </xf>
    <xf numFmtId="280" fontId="219" fillId="0" borderId="0" applyNumberFormat="0" applyFill="0" applyBorder="0" applyAlignment="0" applyProtection="0"/>
    <xf numFmtId="0" fontId="32" fillId="0" borderId="0" applyNumberFormat="0" applyFill="0" applyBorder="0" applyAlignment="0" applyProtection="0"/>
    <xf numFmtId="280" fontId="21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281" fontId="341" fillId="0" borderId="0"/>
    <xf numFmtId="0" fontId="342" fillId="0" borderId="0">
      <alignment horizontal="left"/>
    </xf>
    <xf numFmtId="175" fontId="343" fillId="0" borderId="0"/>
    <xf numFmtId="282" fontId="32" fillId="0" borderId="0" applyAlignment="0" applyProtection="0"/>
    <xf numFmtId="282" fontId="32" fillId="0" borderId="0" applyAlignment="0" applyProtection="0"/>
    <xf numFmtId="0" fontId="344" fillId="0" borderId="0"/>
    <xf numFmtId="0" fontId="345" fillId="0" borderId="0"/>
    <xf numFmtId="0" fontId="346" fillId="112" borderId="22" applyNumberFormat="0" applyAlignment="0" applyProtection="0"/>
    <xf numFmtId="0" fontId="124" fillId="144" borderId="82" applyNumberFormat="0" applyAlignment="0" applyProtection="0"/>
    <xf numFmtId="0" fontId="347" fillId="76" borderId="82" applyNumberFormat="0" applyAlignment="0" applyProtection="0"/>
    <xf numFmtId="40" fontId="348" fillId="163" borderId="0">
      <alignment horizontal="right"/>
    </xf>
    <xf numFmtId="0" fontId="349" fillId="163" borderId="0">
      <alignment horizontal="right"/>
    </xf>
    <xf numFmtId="0" fontId="350" fillId="163" borderId="28"/>
    <xf numFmtId="0" fontId="350" fillId="0" borderId="0" applyBorder="0">
      <alignment horizontal="centerContinuous"/>
    </xf>
    <xf numFmtId="0" fontId="351" fillId="0" borderId="0" applyBorder="0">
      <alignment horizontal="centerContinuous"/>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177" fontId="352" fillId="0" borderId="0" applyFont="0" applyFill="0" applyBorder="0" applyAlignment="0" applyProtection="0"/>
    <xf numFmtId="0" fontId="353" fillId="0" borderId="0" applyProtection="0">
      <alignment horizontal="left"/>
    </xf>
    <xf numFmtId="0" fontId="353" fillId="0" borderId="0" applyFill="0" applyBorder="0" applyProtection="0">
      <alignment horizontal="left"/>
    </xf>
    <xf numFmtId="0" fontId="354" fillId="0" borderId="0" applyFill="0" applyBorder="0" applyProtection="0">
      <alignment horizontal="left"/>
    </xf>
    <xf numFmtId="1" fontId="355" fillId="0" borderId="0" applyProtection="0">
      <alignment horizontal="right" vertical="center"/>
    </xf>
    <xf numFmtId="224" fontId="357" fillId="0" borderId="0">
      <alignment horizontal="right"/>
    </xf>
    <xf numFmtId="224" fontId="357" fillId="0" borderId="0">
      <alignment horizontal="right"/>
    </xf>
    <xf numFmtId="9" fontId="216"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177" fontId="216"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283" fontId="358" fillId="0" borderId="0" applyFont="0" applyFill="0" applyBorder="0" applyAlignment="0" applyProtection="0"/>
    <xf numFmtId="0" fontId="32" fillId="0" borderId="0"/>
    <xf numFmtId="0" fontId="32" fillId="0" borderId="0"/>
    <xf numFmtId="0" fontId="32" fillId="0" borderId="0"/>
    <xf numFmtId="0" fontId="32" fillId="0" borderId="0"/>
    <xf numFmtId="254" fontId="268" fillId="0" borderId="0" applyFill="0" applyBorder="0">
      <protection locked="0"/>
    </xf>
    <xf numFmtId="0" fontId="32" fillId="0" borderId="0"/>
    <xf numFmtId="0" fontId="32" fillId="0" borderId="0"/>
    <xf numFmtId="0" fontId="32" fillId="0" borderId="0"/>
    <xf numFmtId="0" fontId="32" fillId="0" borderId="0"/>
    <xf numFmtId="0" fontId="32" fillId="0" borderId="0"/>
    <xf numFmtId="177" fontId="35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251" fontId="233" fillId="0" borderId="0" applyFont="0" applyFill="0" applyBorder="0" applyProtection="0">
      <alignment horizontal="right"/>
    </xf>
    <xf numFmtId="0" fontId="32" fillId="0" borderId="0"/>
    <xf numFmtId="0" fontId="32" fillId="0" borderId="0"/>
    <xf numFmtId="0" fontId="32" fillId="0" borderId="0"/>
    <xf numFmtId="0" fontId="32" fillId="0" borderId="0"/>
    <xf numFmtId="0" fontId="21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189" fontId="261" fillId="0" borderId="0" applyFont="0" applyFill="0" applyBorder="0" applyAlignment="0" applyProtection="0"/>
    <xf numFmtId="0" fontId="32" fillId="0" borderId="0"/>
    <xf numFmtId="0" fontId="32" fillId="0" borderId="0"/>
    <xf numFmtId="0" fontId="32" fillId="0" borderId="0"/>
    <xf numFmtId="0" fontId="32" fillId="0" borderId="0"/>
    <xf numFmtId="0" fontId="3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4"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5" fontId="32" fillId="0" borderId="46" applyFill="0" applyBorder="0" applyAlignment="0" applyProtection="0"/>
    <xf numFmtId="0" fontId="32" fillId="0" borderId="0"/>
    <xf numFmtId="0" fontId="32" fillId="0" borderId="0"/>
    <xf numFmtId="0" fontId="32" fillId="0" borderId="0"/>
    <xf numFmtId="0" fontId="32" fillId="0" borderId="0"/>
    <xf numFmtId="286" fontId="360" fillId="0" borderId="0" applyFont="0" applyFill="0" applyBorder="0" applyAlignment="0" applyProtection="0"/>
    <xf numFmtId="0" fontId="32" fillId="0" borderId="0"/>
    <xf numFmtId="0" fontId="32" fillId="0" borderId="0"/>
    <xf numFmtId="0" fontId="32" fillId="0" borderId="0"/>
    <xf numFmtId="0" fontId="32" fillId="0" borderId="0"/>
    <xf numFmtId="0" fontId="361" fillId="164" borderId="0" applyNumberFormat="0" applyFont="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23" borderId="0" applyNumberFormat="0" applyFont="0" applyAlignment="0" applyProtection="0"/>
    <xf numFmtId="0" fontId="32" fillId="0" borderId="0"/>
    <xf numFmtId="0" fontId="32" fillId="0" borderId="0"/>
    <xf numFmtId="0" fontId="32" fillId="0" borderId="0"/>
    <xf numFmtId="0" fontId="32" fillId="0" borderId="0"/>
    <xf numFmtId="0" fontId="32" fillId="0" borderId="0"/>
    <xf numFmtId="209" fontId="362" fillId="0" borderId="0"/>
    <xf numFmtId="0" fontId="32" fillId="0" borderId="0"/>
    <xf numFmtId="0" fontId="32" fillId="0" borderId="0"/>
    <xf numFmtId="0" fontId="3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0" fontId="32" fillId="0" borderId="0"/>
    <xf numFmtId="0" fontId="32" fillId="0" borderId="0"/>
    <xf numFmtId="0" fontId="32" fillId="0" borderId="0"/>
    <xf numFmtId="0" fontId="32" fillId="0" borderId="0"/>
    <xf numFmtId="0" fontId="32" fillId="0" borderId="0"/>
    <xf numFmtId="0" fontId="32" fillId="0" borderId="0"/>
    <xf numFmtId="287" fontId="362" fillId="0" borderId="0"/>
    <xf numFmtId="0" fontId="32" fillId="0" borderId="0"/>
    <xf numFmtId="0" fontId="3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0" fontId="32" fillId="0" borderId="0"/>
    <xf numFmtId="0" fontId="32" fillId="0" borderId="0"/>
    <xf numFmtId="212" fontId="25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212" fontId="25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61" fillId="165" borderId="0" applyNumberFormat="0" applyFont="0" applyBorder="0" applyAlignment="0"/>
    <xf numFmtId="0" fontId="32" fillId="0" borderId="0"/>
    <xf numFmtId="0" fontId="32" fillId="0" borderId="0"/>
    <xf numFmtId="0" fontId="32" fillId="0" borderId="0"/>
    <xf numFmtId="0" fontId="32" fillId="0" borderId="0"/>
    <xf numFmtId="0" fontId="32" fillId="0" borderId="0"/>
    <xf numFmtId="0" fontId="34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32"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288" fontId="316" fillId="166" borderId="83">
      <alignment horizontal="right"/>
    </xf>
    <xf numFmtId="0" fontId="32" fillId="0" borderId="0"/>
    <xf numFmtId="0" fontId="32" fillId="0" borderId="0"/>
    <xf numFmtId="0" fontId="32" fillId="0" borderId="0"/>
    <xf numFmtId="288" fontId="316" fillId="166"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NumberFormat="0" applyFont="0" applyFill="0" applyBorder="0" applyAlignment="0" applyProtection="0">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NumberFormat="0" applyFont="0" applyFill="0" applyBorder="0" applyAlignment="0" applyProtection="0">
      <alignment horizontal="left"/>
    </xf>
    <xf numFmtId="0" fontId="32" fillId="0" borderId="0"/>
    <xf numFmtId="0" fontId="32" fillId="0" borderId="0"/>
    <xf numFmtId="0" fontId="32" fillId="0" borderId="0"/>
    <xf numFmtId="0" fontId="32" fillId="0" borderId="0"/>
    <xf numFmtId="28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240" fontId="275" fillId="0" borderId="138" applyNumberFormat="0">
      <alignment horizontal="right"/>
    </xf>
    <xf numFmtId="0" fontId="32" fillId="0" borderId="0"/>
    <xf numFmtId="0" fontId="32" fillId="0" borderId="0"/>
    <xf numFmtId="0" fontId="32" fillId="0" borderId="0"/>
    <xf numFmtId="0" fontId="32" fillId="0" borderId="0"/>
    <xf numFmtId="2" fontId="363" fillId="0" borderId="0" applyNumberFormat="0" applyFill="0" applyBorder="0" applyAlignment="0" applyProtection="0"/>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0" fontId="32" fillId="0" borderId="0"/>
    <xf numFmtId="0" fontId="32" fillId="0" borderId="0"/>
    <xf numFmtId="0" fontId="32" fillId="0" borderId="0"/>
    <xf numFmtId="0" fontId="32" fillId="0" borderId="0"/>
    <xf numFmtId="0" fontId="32" fillId="0" borderId="0"/>
    <xf numFmtId="2" fontId="310" fillId="0" borderId="0" applyNumberFormat="0" applyFill="0" applyBorder="0" applyAlignment="0" applyProtection="0"/>
    <xf numFmtId="0" fontId="32" fillId="0" borderId="0"/>
    <xf numFmtId="0" fontId="32" fillId="0" borderId="0"/>
    <xf numFmtId="0" fontId="32" fillId="0" borderId="0"/>
    <xf numFmtId="0" fontId="32" fillId="0" borderId="0"/>
    <xf numFmtId="37" fontId="364"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62" fillId="0" borderId="0" applyNumberFormat="0" applyFill="0" applyBorder="0" applyProtection="0">
      <alignment horizontal="left"/>
    </xf>
    <xf numFmtId="0" fontId="32" fillId="0" borderId="0"/>
    <xf numFmtId="0" fontId="32" fillId="0" borderId="0"/>
    <xf numFmtId="0" fontId="32" fillId="0" borderId="0"/>
    <xf numFmtId="0" fontId="32" fillId="0" borderId="0"/>
    <xf numFmtId="0" fontId="284" fillId="0" borderId="139">
      <alignment vertical="center"/>
    </xf>
    <xf numFmtId="0" fontId="32" fillId="0" borderId="0"/>
    <xf numFmtId="0" fontId="32" fillId="0" borderId="0"/>
    <xf numFmtId="0" fontId="32" fillId="0" borderId="0"/>
    <xf numFmtId="0" fontId="32" fillId="0" borderId="0"/>
    <xf numFmtId="4" fontId="73" fillId="78"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67" fillId="22" borderId="141" applyNumberFormat="0" applyProtection="0">
      <alignment vertical="center"/>
    </xf>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67" fillId="22" borderId="141" applyNumberFormat="0" applyProtection="0">
      <alignment vertical="center"/>
    </xf>
    <xf numFmtId="0" fontId="32" fillId="0" borderId="0"/>
    <xf numFmtId="0" fontId="32" fillId="0" borderId="0"/>
    <xf numFmtId="0" fontId="32" fillId="0" borderId="0"/>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0" fontId="32" fillId="0" borderId="0"/>
    <xf numFmtId="0" fontId="32" fillId="0" borderId="0"/>
    <xf numFmtId="4" fontId="365" fillId="22" borderId="110" applyNumberFormat="0" applyProtection="0">
      <alignment vertical="center"/>
    </xf>
    <xf numFmtId="0" fontId="32" fillId="0" borderId="0"/>
    <xf numFmtId="0" fontId="32" fillId="0" borderId="0"/>
    <xf numFmtId="0" fontId="32" fillId="0" borderId="0"/>
    <xf numFmtId="4" fontId="366" fillId="22"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4" fontId="73" fillId="22"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22" borderId="141" applyNumberFormat="0" applyProtection="0">
      <alignment horizontal="left" vertical="center" indent="1"/>
    </xf>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22" borderId="141"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67" fillId="78" borderId="140" applyNumberFormat="0" applyProtection="0">
      <alignment horizontal="left" vertical="top" indent="1"/>
    </xf>
    <xf numFmtId="0" fontId="32" fillId="0" borderId="0"/>
    <xf numFmtId="0" fontId="32" fillId="0" borderId="0"/>
    <xf numFmtId="0" fontId="32" fillId="0" borderId="0"/>
    <xf numFmtId="0" fontId="73" fillId="22" borderId="140" applyNumberFormat="0" applyProtection="0">
      <alignment horizontal="left" vertical="top" indent="1"/>
    </xf>
    <xf numFmtId="0" fontId="32" fillId="0" borderId="0"/>
    <xf numFmtId="0" fontId="32" fillId="0" borderId="0"/>
    <xf numFmtId="0" fontId="32" fillId="0" borderId="0"/>
    <xf numFmtId="0" fontId="32" fillId="0" borderId="0"/>
    <xf numFmtId="4" fontId="73"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4" fontId="73" fillId="168" borderId="0" applyNumberFormat="0" applyProtection="0">
      <alignment horizontal="left" vertical="center" indent="1"/>
    </xf>
    <xf numFmtId="4" fontId="73" fillId="168" borderId="0" applyNumberFormat="0" applyProtection="0">
      <alignment horizontal="left" vertical="center" indent="1"/>
    </xf>
    <xf numFmtId="4" fontId="73" fillId="168" borderId="0" applyNumberFormat="0" applyProtection="0">
      <alignment horizontal="left" vertical="center" indent="1"/>
    </xf>
    <xf numFmtId="4" fontId="73" fillId="168" borderId="0" applyNumberFormat="0" applyProtection="0">
      <alignment horizontal="left" vertical="center" indent="1"/>
    </xf>
    <xf numFmtId="0" fontId="32" fillId="0" borderId="0"/>
    <xf numFmtId="0" fontId="32" fillId="0" borderId="0"/>
    <xf numFmtId="4" fontId="220" fillId="59"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8" borderId="141" applyNumberFormat="0" applyProtection="0">
      <alignment horizontal="right" vertical="center"/>
    </xf>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8" borderId="141" applyNumberFormat="0" applyProtection="0">
      <alignment horizontal="right" vertical="center"/>
    </xf>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4" fontId="220" fillId="59" borderId="140" applyNumberFormat="0" applyProtection="0">
      <alignment horizontal="right" vertical="center"/>
    </xf>
    <xf numFmtId="4" fontId="220" fillId="59" borderId="140" applyNumberFormat="0" applyProtection="0">
      <alignment horizontal="right" vertical="center"/>
    </xf>
    <xf numFmtId="4" fontId="220" fillId="59" borderId="140" applyNumberFormat="0" applyProtection="0">
      <alignment horizontal="right" vertical="center"/>
    </xf>
    <xf numFmtId="4" fontId="220" fillId="59" borderId="140" applyNumberFormat="0" applyProtection="0">
      <alignment horizontal="right" vertical="center"/>
    </xf>
    <xf numFmtId="0" fontId="32" fillId="0" borderId="0"/>
    <xf numFmtId="0" fontId="32" fillId="0" borderId="0"/>
    <xf numFmtId="4" fontId="220" fillId="65"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0" fontId="32" fillId="0" borderId="0"/>
    <xf numFmtId="0" fontId="32" fillId="0" borderId="0"/>
    <xf numFmtId="4" fontId="220" fillId="73"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0" fontId="32" fillId="0" borderId="0"/>
    <xf numFmtId="0" fontId="32" fillId="0" borderId="0"/>
    <xf numFmtId="4" fontId="220" fillId="67"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0" fontId="32" fillId="0" borderId="0"/>
    <xf numFmtId="0" fontId="32" fillId="0" borderId="0"/>
    <xf numFmtId="4" fontId="220" fillId="7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0" fontId="32" fillId="0" borderId="0"/>
    <xf numFmtId="0" fontId="32" fillId="0" borderId="0"/>
    <xf numFmtId="4" fontId="220" fillId="75"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0" fontId="32" fillId="0" borderId="0"/>
    <xf numFmtId="0" fontId="32" fillId="0" borderId="0"/>
    <xf numFmtId="4" fontId="220" fillId="74"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0" fontId="32" fillId="0" borderId="0"/>
    <xf numFmtId="0" fontId="32" fillId="0" borderId="0"/>
    <xf numFmtId="4" fontId="220" fillId="114"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0" fontId="32" fillId="0" borderId="0"/>
    <xf numFmtId="0" fontId="32" fillId="0" borderId="0"/>
    <xf numFmtId="4" fontId="220" fillId="66"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0" fontId="32" fillId="0" borderId="0"/>
    <xf numFmtId="0" fontId="32" fillId="0" borderId="0"/>
    <xf numFmtId="4" fontId="73" fillId="170" borderId="142"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0" fontId="32" fillId="0" borderId="0"/>
    <xf numFmtId="4" fontId="72" fillId="171" borderId="0" applyNumberFormat="0" applyProtection="0">
      <alignment horizontal="left" vertical="center" indent="1"/>
    </xf>
    <xf numFmtId="0" fontId="32" fillId="0" borderId="0"/>
    <xf numFmtId="0" fontId="32" fillId="0" borderId="0"/>
    <xf numFmtId="0" fontId="32" fillId="0" borderId="0"/>
    <xf numFmtId="4" fontId="72" fillId="17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3"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172" borderId="141" applyNumberFormat="0" applyProtection="0">
      <alignment horizontal="right" vertical="center"/>
    </xf>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4" fontId="220" fillId="113" borderId="140" applyNumberFormat="0" applyProtection="0">
      <alignment horizontal="right" vertical="center"/>
    </xf>
    <xf numFmtId="4" fontId="220" fillId="113" borderId="140" applyNumberFormat="0" applyProtection="0">
      <alignment horizontal="right" vertical="center"/>
    </xf>
    <xf numFmtId="4" fontId="220" fillId="113" borderId="140" applyNumberFormat="0" applyProtection="0">
      <alignment horizontal="right" vertical="center"/>
    </xf>
    <xf numFmtId="4" fontId="220" fillId="113" borderId="140" applyNumberFormat="0" applyProtection="0">
      <alignment horizontal="right" vertical="center"/>
    </xf>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171" borderId="140" applyNumberFormat="0" applyProtection="0">
      <alignment horizontal="left" vertical="center" indent="1"/>
    </xf>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171" borderId="140" applyNumberFormat="0" applyProtection="0">
      <alignment horizontal="left" vertical="top" indent="1"/>
    </xf>
    <xf numFmtId="0" fontId="32" fillId="171" borderId="140" applyNumberFormat="0" applyProtection="0">
      <alignment horizontal="left" vertical="top" indent="1"/>
    </xf>
    <xf numFmtId="0" fontId="32" fillId="171" borderId="140" applyNumberFormat="0" applyProtection="0">
      <alignment horizontal="left" vertical="top" indent="1"/>
    </xf>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168" borderId="140" applyNumberFormat="0" applyProtection="0">
      <alignment horizontal="left" vertical="center" indent="1"/>
    </xf>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168" borderId="140" applyNumberFormat="0" applyProtection="0">
      <alignment horizontal="left" vertical="top" indent="1"/>
    </xf>
    <xf numFmtId="0" fontId="32" fillId="168" borderId="140" applyNumberFormat="0" applyProtection="0">
      <alignment horizontal="left" vertical="top" indent="1"/>
    </xf>
    <xf numFmtId="0" fontId="32" fillId="168" borderId="140" applyNumberFormat="0" applyProtection="0">
      <alignment horizontal="left" vertical="top" indent="1"/>
    </xf>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9" borderId="140" applyNumberFormat="0" applyProtection="0">
      <alignment horizontal="left" vertical="center" indent="1"/>
    </xf>
    <xf numFmtId="0" fontId="32" fillId="9" borderId="140" applyNumberFormat="0" applyProtection="0">
      <alignment horizontal="left" vertical="center" indent="1"/>
    </xf>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9" borderId="140" applyNumberFormat="0" applyProtection="0">
      <alignment horizontal="left" vertical="top" indent="1"/>
    </xf>
    <xf numFmtId="0" fontId="32" fillId="9" borderId="140" applyNumberFormat="0" applyProtection="0">
      <alignment horizontal="left" vertical="top" indent="1"/>
    </xf>
    <xf numFmtId="0" fontId="32" fillId="9" borderId="140" applyNumberFormat="0" applyProtection="0">
      <alignment horizontal="left" vertical="top" indent="1"/>
    </xf>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154" borderId="140" applyNumberFormat="0" applyProtection="0">
      <alignment horizontal="left" vertical="center" indent="1"/>
    </xf>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154" borderId="140" applyNumberFormat="0" applyProtection="0">
      <alignment horizontal="left" vertical="top" indent="1"/>
    </xf>
    <xf numFmtId="0" fontId="32" fillId="154" borderId="140" applyNumberFormat="0" applyProtection="0">
      <alignment horizontal="left" vertical="top" indent="1"/>
    </xf>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12" borderId="8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12" borderId="83" applyNumberFormat="0">
      <protection locked="0"/>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175" fillId="174" borderId="0" applyBorder="0"/>
    <xf numFmtId="0" fontId="32" fillId="0" borderId="0"/>
    <xf numFmtId="0" fontId="32" fillId="0" borderId="0"/>
    <xf numFmtId="0" fontId="32" fillId="0" borderId="0"/>
    <xf numFmtId="0" fontId="175" fillId="117" borderId="144" applyBorder="0"/>
    <xf numFmtId="0" fontId="32" fillId="0" borderId="0"/>
    <xf numFmtId="0" fontId="32" fillId="0" borderId="0"/>
    <xf numFmtId="0" fontId="32" fillId="0" borderId="0"/>
    <xf numFmtId="0" fontId="32" fillId="0" borderId="0"/>
    <xf numFmtId="0" fontId="32" fillId="0" borderId="0"/>
    <xf numFmtId="4" fontId="274" fillId="79" borderId="140" applyNumberFormat="0" applyProtection="0">
      <alignment vertical="center"/>
    </xf>
    <xf numFmtId="0" fontId="32" fillId="0" borderId="0"/>
    <xf numFmtId="0" fontId="32" fillId="0" borderId="0"/>
    <xf numFmtId="0" fontId="32" fillId="0" borderId="0"/>
    <xf numFmtId="4" fontId="220" fillId="23"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365" fillId="23" borderId="83" applyNumberFormat="0" applyProtection="0">
      <alignment vertical="center"/>
    </xf>
    <xf numFmtId="0" fontId="32" fillId="0" borderId="0"/>
    <xf numFmtId="0" fontId="32" fillId="0" borderId="0"/>
    <xf numFmtId="0" fontId="32" fillId="0" borderId="0"/>
    <xf numFmtId="0" fontId="32" fillId="0" borderId="0"/>
    <xf numFmtId="4" fontId="365" fillId="23" borderId="83" applyNumberFormat="0" applyProtection="0">
      <alignment vertical="center"/>
    </xf>
    <xf numFmtId="0" fontId="32" fillId="0" borderId="0"/>
    <xf numFmtId="0" fontId="32" fillId="0" borderId="0"/>
    <xf numFmtId="0" fontId="32" fillId="0" borderId="0"/>
    <xf numFmtId="4" fontId="368" fillId="23"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274" fillId="76" borderId="140" applyNumberFormat="0" applyProtection="0">
      <alignment horizontal="left" vertical="center" indent="1"/>
    </xf>
    <xf numFmtId="0" fontId="32" fillId="0" borderId="0"/>
    <xf numFmtId="0" fontId="32" fillId="0" borderId="0"/>
    <xf numFmtId="0" fontId="32" fillId="0" borderId="0"/>
    <xf numFmtId="4" fontId="220" fillId="23"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274" fillId="79" borderId="140" applyNumberFormat="0" applyProtection="0">
      <alignment horizontal="left" vertical="top" indent="1"/>
    </xf>
    <xf numFmtId="0" fontId="32" fillId="0" borderId="0"/>
    <xf numFmtId="0" fontId="32" fillId="0" borderId="0"/>
    <xf numFmtId="0" fontId="32" fillId="0" borderId="0"/>
    <xf numFmtId="0" fontId="220" fillId="23" borderId="140" applyNumberFormat="0" applyProtection="0">
      <alignment horizontal="left" vertical="top" indent="1"/>
    </xf>
    <xf numFmtId="0" fontId="32" fillId="0" borderId="0"/>
    <xf numFmtId="0" fontId="32" fillId="0" borderId="0"/>
    <xf numFmtId="0" fontId="32" fillId="0" borderId="0"/>
    <xf numFmtId="0" fontId="32" fillId="0" borderId="0"/>
    <xf numFmtId="4" fontId="220" fillId="11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0" borderId="141" applyNumberFormat="0" applyProtection="0">
      <alignment horizontal="right" vertical="center"/>
    </xf>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67" fillId="0" borderId="141" applyNumberFormat="0" applyProtection="0">
      <alignment horizontal="right" vertical="center"/>
    </xf>
    <xf numFmtId="0" fontId="32" fillId="0" borderId="0"/>
    <xf numFmtId="0" fontId="32" fillId="0" borderId="0"/>
    <xf numFmtId="0" fontId="32" fillId="0" borderId="0"/>
    <xf numFmtId="4" fontId="220" fillId="111" borderId="140" applyNumberFormat="0" applyProtection="0">
      <alignment horizontal="right" vertical="center"/>
    </xf>
    <xf numFmtId="4" fontId="220" fillId="111" borderId="140" applyNumberFormat="0" applyProtection="0">
      <alignment horizontal="right" vertical="center"/>
    </xf>
    <xf numFmtId="0" fontId="32" fillId="0" borderId="0"/>
    <xf numFmtId="4" fontId="220" fillId="111" borderId="140" applyNumberFormat="0" applyProtection="0">
      <alignment horizontal="right" vertical="center"/>
    </xf>
    <xf numFmtId="0" fontId="32" fillId="0" borderId="0"/>
    <xf numFmtId="0" fontId="32" fillId="0" borderId="0"/>
    <xf numFmtId="0" fontId="32" fillId="0" borderId="0"/>
    <xf numFmtId="4" fontId="220" fillId="111" borderId="140" applyNumberFormat="0" applyProtection="0">
      <alignment horizontal="right" vertical="center"/>
    </xf>
    <xf numFmtId="4" fontId="220" fillId="111" borderId="140" applyNumberFormat="0" applyProtection="0">
      <alignment horizontal="right" vertical="center"/>
    </xf>
    <xf numFmtId="0" fontId="32" fillId="0" borderId="0"/>
    <xf numFmtId="0" fontId="32" fillId="0" borderId="0"/>
    <xf numFmtId="4" fontId="365" fillId="163" borderId="110" applyNumberFormat="0" applyProtection="0">
      <alignment horizontal="right" vertical="center"/>
    </xf>
    <xf numFmtId="0" fontId="32" fillId="0" borderId="0"/>
    <xf numFmtId="0" fontId="32" fillId="0" borderId="0"/>
    <xf numFmtId="0" fontId="32" fillId="0" borderId="0"/>
    <xf numFmtId="4" fontId="368" fillId="111" borderId="140" applyNumberFormat="0" applyProtection="0">
      <alignment horizontal="right" vertical="center"/>
    </xf>
    <xf numFmtId="0" fontId="32" fillId="0" borderId="0"/>
    <xf numFmtId="0" fontId="32" fillId="0" borderId="0"/>
    <xf numFmtId="0" fontId="32" fillId="0" borderId="0"/>
    <xf numFmtId="0" fontId="32" fillId="0" borderId="0"/>
    <xf numFmtId="4" fontId="220" fillId="113"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0" fontId="32" fillId="0" borderId="0"/>
    <xf numFmtId="0" fontId="32" fillId="0" borderId="0"/>
    <xf numFmtId="0" fontId="274" fillId="113" borderId="140" applyNumberFormat="0" applyProtection="0">
      <alignment horizontal="left" vertical="top" indent="1"/>
    </xf>
    <xf numFmtId="0" fontId="32" fillId="0" borderId="0"/>
    <xf numFmtId="0" fontId="32" fillId="0" borderId="0"/>
    <xf numFmtId="0" fontId="32" fillId="0" borderId="0"/>
    <xf numFmtId="0" fontId="220"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4" fontId="369" fillId="175"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70" fillId="175" borderId="0" applyNumberFormat="0" applyProtection="0">
      <alignment horizontal="left" vertical="center" indent="1"/>
    </xf>
    <xf numFmtId="0" fontId="32" fillId="0" borderId="0"/>
    <xf numFmtId="0" fontId="32" fillId="0" borderId="0"/>
    <xf numFmtId="0" fontId="32" fillId="0" borderId="0"/>
    <xf numFmtId="4" fontId="370" fillId="175"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32" fillId="0" borderId="0"/>
    <xf numFmtId="0" fontId="32" fillId="0" borderId="0"/>
    <xf numFmtId="4" fontId="371" fillId="112" borderId="110" applyNumberFormat="0" applyProtection="0">
      <alignment horizontal="right" vertical="center"/>
    </xf>
    <xf numFmtId="0" fontId="32" fillId="0" borderId="0"/>
    <xf numFmtId="0" fontId="32" fillId="0" borderId="0"/>
    <xf numFmtId="0" fontId="32" fillId="0" borderId="0"/>
    <xf numFmtId="4" fontId="163" fillId="11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72" fillId="142" borderId="0"/>
    <xf numFmtId="0" fontId="32" fillId="0" borderId="0"/>
    <xf numFmtId="0" fontId="32" fillId="0" borderId="0"/>
    <xf numFmtId="0" fontId="32" fillId="0" borderId="0"/>
    <xf numFmtId="0" fontId="32" fillId="0" borderId="0"/>
    <xf numFmtId="0" fontId="32" fillId="0" borderId="0"/>
    <xf numFmtId="292" fontId="373" fillId="0" borderId="0">
      <alignment horizontal="right" vertical="center"/>
      <protection locked="0"/>
    </xf>
    <xf numFmtId="0" fontId="32" fillId="0" borderId="0"/>
    <xf numFmtId="0" fontId="32" fillId="0" borderId="0"/>
    <xf numFmtId="0" fontId="32" fillId="0" borderId="0"/>
    <xf numFmtId="292" fontId="329" fillId="0" borderId="0">
      <alignment horizontal="right" vertical="center"/>
      <protection locked="0"/>
    </xf>
    <xf numFmtId="0" fontId="32" fillId="0" borderId="0"/>
    <xf numFmtId="0" fontId="32" fillId="0" borderId="0"/>
    <xf numFmtId="0" fontId="32" fillId="0" borderId="0"/>
    <xf numFmtId="0" fontId="32" fillId="0" borderId="0"/>
    <xf numFmtId="262" fontId="303" fillId="1" borderId="0" applyNumberFormat="0" applyBorder="0" applyAlignment="0" applyProtection="0"/>
    <xf numFmtId="0" fontId="32" fillId="0" borderId="0"/>
    <xf numFmtId="0" fontId="32" fillId="0" borderId="0"/>
    <xf numFmtId="0" fontId="32" fillId="0" borderId="0"/>
    <xf numFmtId="0" fontId="32" fillId="0" borderId="0"/>
    <xf numFmtId="0" fontId="64" fillId="177" borderId="0" applyNumberFormat="0" applyFont="0" applyBorder="0" applyAlignment="0" applyProtection="0"/>
    <xf numFmtId="0" fontId="32" fillId="0" borderId="0"/>
    <xf numFmtId="0" fontId="32" fillId="0" borderId="0"/>
    <xf numFmtId="0" fontId="32" fillId="0" borderId="0"/>
    <xf numFmtId="0" fontId="32" fillId="0" borderId="0"/>
    <xf numFmtId="0" fontId="374" fillId="5" borderId="0" applyNumberFormat="0" applyFont="0" applyBorder="0" applyAlignment="0" applyProtection="0">
      <alignment horizontal="center"/>
    </xf>
    <xf numFmtId="0" fontId="32" fillId="0" borderId="0"/>
    <xf numFmtId="0" fontId="32" fillId="0" borderId="0"/>
    <xf numFmtId="0" fontId="32" fillId="0" borderId="0"/>
    <xf numFmtId="0" fontId="32" fillId="0" borderId="0"/>
    <xf numFmtId="0" fontId="32" fillId="0" borderId="0"/>
    <xf numFmtId="288" fontId="64" fillId="0" borderId="1" applyFont="0" applyFill="0" applyBorder="0" applyAlignment="0" applyProtection="0">
      <alignment horizontal="right"/>
    </xf>
    <xf numFmtId="0" fontId="32" fillId="0" borderId="0"/>
    <xf numFmtId="0" fontId="32" fillId="0" borderId="0"/>
    <xf numFmtId="0" fontId="32" fillId="0" borderId="0"/>
    <xf numFmtId="288" fontId="64" fillId="0" borderId="1" applyFont="0" applyFill="0" applyBorder="0" applyAlignment="0" applyProtection="0">
      <alignment horizontal="right"/>
    </xf>
    <xf numFmtId="0" fontId="32" fillId="0" borderId="0"/>
    <xf numFmtId="0" fontId="32" fillId="0" borderId="0"/>
    <xf numFmtId="0" fontId="32" fillId="0" borderId="0"/>
    <xf numFmtId="0" fontId="32" fillId="0" borderId="0"/>
    <xf numFmtId="0" fontId="354" fillId="0" borderId="0" applyNumberFormat="0" applyFill="0" applyBorder="0" applyAlignment="0" applyProtection="0">
      <alignment horizontal="left"/>
    </xf>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247" fontId="248" fillId="0" borderId="0" applyFill="0" applyBorder="0" applyAlignment="0" applyProtection="0"/>
    <xf numFmtId="0" fontId="32" fillId="0" borderId="0"/>
    <xf numFmtId="0" fontId="32" fillId="0" borderId="0"/>
    <xf numFmtId="0" fontId="32" fillId="0" borderId="0"/>
    <xf numFmtId="0" fontId="32" fillId="0" borderId="0"/>
    <xf numFmtId="0" fontId="376" fillId="0" borderId="0"/>
    <xf numFmtId="0" fontId="32" fillId="0" borderId="0"/>
    <xf numFmtId="0" fontId="32" fillId="0" borderId="0"/>
    <xf numFmtId="0" fontId="32" fillId="0" borderId="0"/>
    <xf numFmtId="0" fontId="32" fillId="0" borderId="0"/>
    <xf numFmtId="0" fontId="377" fillId="0" borderId="0" applyNumberFormat="0">
      <alignment horizontal="left"/>
    </xf>
    <xf numFmtId="0" fontId="32" fillId="0" borderId="0"/>
    <xf numFmtId="0" fontId="32" fillId="0" borderId="0"/>
    <xf numFmtId="0" fontId="32" fillId="0" borderId="0"/>
    <xf numFmtId="0" fontId="32" fillId="0" borderId="0"/>
    <xf numFmtId="0" fontId="378"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24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2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3" fontId="32" fillId="0" borderId="0"/>
    <xf numFmtId="0" fontId="32" fillId="0" borderId="0"/>
    <xf numFmtId="0" fontId="32" fillId="0" borderId="0"/>
    <xf numFmtId="0" fontId="32" fillId="0" borderId="0"/>
    <xf numFmtId="0" fontId="32" fillId="0" borderId="0"/>
    <xf numFmtId="0" fontId="379" fillId="0" borderId="0"/>
    <xf numFmtId="0" fontId="32" fillId="0" borderId="0"/>
    <xf numFmtId="0" fontId="32" fillId="0" borderId="0"/>
    <xf numFmtId="0" fontId="32" fillId="0" borderId="0"/>
    <xf numFmtId="0" fontId="32" fillId="0" borderId="0"/>
    <xf numFmtId="0" fontId="380" fillId="0" borderId="0"/>
    <xf numFmtId="0" fontId="32" fillId="0" borderId="0"/>
    <xf numFmtId="0" fontId="32" fillId="0" borderId="0"/>
    <xf numFmtId="0" fontId="32" fillId="0" borderId="0"/>
    <xf numFmtId="0" fontId="32" fillId="0" borderId="0"/>
    <xf numFmtId="0" fontId="381" fillId="0" borderId="0" applyNumberFormat="0" applyFill="0" applyBorder="0" applyAlignment="0" applyProtection="0">
      <alignment horizontal="left"/>
    </xf>
    <xf numFmtId="0" fontId="32" fillId="0" borderId="0"/>
    <xf numFmtId="0" fontId="32" fillId="0" borderId="0"/>
    <xf numFmtId="0" fontId="32" fillId="0" borderId="0"/>
    <xf numFmtId="0" fontId="32" fillId="0" borderId="0"/>
    <xf numFmtId="185" fontId="338" fillId="0" borderId="0">
      <alignment horizontal="centerContinuous"/>
    </xf>
    <xf numFmtId="0" fontId="32" fillId="0" borderId="0"/>
    <xf numFmtId="0" fontId="32" fillId="0" borderId="0"/>
    <xf numFmtId="0" fontId="32" fillId="0" borderId="0"/>
    <xf numFmtId="0" fontId="32" fillId="0" borderId="0"/>
    <xf numFmtId="239" fontId="235" fillId="22" borderId="0">
      <alignment horizontal="center"/>
      <protection locked="0"/>
    </xf>
    <xf numFmtId="0" fontId="32" fillId="0" borderId="0"/>
    <xf numFmtId="0" fontId="32" fillId="0" borderId="0"/>
    <xf numFmtId="0" fontId="32" fillId="0" borderId="0"/>
    <xf numFmtId="0" fontId="32" fillId="0" borderId="0"/>
    <xf numFmtId="0" fontId="362" fillId="0" borderId="0" applyFill="0" applyBorder="0" applyProtection="0">
      <alignment horizontal="center" vertical="center"/>
    </xf>
    <xf numFmtId="0" fontId="32" fillId="0" borderId="0"/>
    <xf numFmtId="0" fontId="32" fillId="0" borderId="0"/>
    <xf numFmtId="0" fontId="32" fillId="0" borderId="0"/>
    <xf numFmtId="0" fontId="32" fillId="0" borderId="0"/>
    <xf numFmtId="0" fontId="32" fillId="0" borderId="0"/>
    <xf numFmtId="0" fontId="33" fillId="178" borderId="145">
      <alignment vertical="top" wrapText="1"/>
    </xf>
    <xf numFmtId="0" fontId="32" fillId="0" borderId="0"/>
    <xf numFmtId="0" fontId="32" fillId="0" borderId="0"/>
    <xf numFmtId="0" fontId="32" fillId="0" borderId="0"/>
    <xf numFmtId="0" fontId="32" fillId="0" borderId="0"/>
    <xf numFmtId="0" fontId="33" fillId="178" borderId="145">
      <alignment vertical="top" wrapText="1"/>
    </xf>
    <xf numFmtId="0" fontId="32" fillId="0" borderId="0"/>
    <xf numFmtId="0" fontId="32" fillId="0" borderId="0"/>
    <xf numFmtId="0" fontId="32" fillId="0" borderId="0"/>
    <xf numFmtId="0" fontId="382" fillId="0" borderId="0" applyBorder="0" applyProtection="0">
      <alignment vertical="center"/>
    </xf>
    <xf numFmtId="0" fontId="32" fillId="0" borderId="0"/>
    <xf numFmtId="0" fontId="32" fillId="0" borderId="0"/>
    <xf numFmtId="0" fontId="32" fillId="0" borderId="0"/>
    <xf numFmtId="0" fontId="32" fillId="0" borderId="0"/>
    <xf numFmtId="0" fontId="32" fillId="0" borderId="0"/>
    <xf numFmtId="0" fontId="382" fillId="0" borderId="1" applyBorder="0" applyProtection="0">
      <alignment horizontal="right" vertical="center"/>
    </xf>
    <xf numFmtId="0" fontId="32" fillId="0" borderId="0"/>
    <xf numFmtId="0" fontId="32" fillId="0" borderId="0"/>
    <xf numFmtId="0" fontId="32" fillId="0" borderId="0"/>
    <xf numFmtId="0" fontId="382" fillId="0" borderId="1" applyBorder="0" applyProtection="0">
      <alignment horizontal="right" vertical="center"/>
    </xf>
    <xf numFmtId="0" fontId="32" fillId="0" borderId="0"/>
    <xf numFmtId="0" fontId="32" fillId="0" borderId="0"/>
    <xf numFmtId="0" fontId="32" fillId="0" borderId="0"/>
    <xf numFmtId="0" fontId="32" fillId="0" borderId="0"/>
    <xf numFmtId="0" fontId="383" fillId="179" borderId="0" applyBorder="0" applyProtection="0">
      <alignment horizontal="centerContinuous" vertical="center"/>
    </xf>
    <xf numFmtId="0" fontId="32" fillId="0" borderId="0"/>
    <xf numFmtId="0" fontId="32" fillId="0" borderId="0"/>
    <xf numFmtId="0" fontId="32" fillId="0" borderId="0"/>
    <xf numFmtId="0" fontId="32" fillId="0" borderId="0"/>
    <xf numFmtId="0" fontId="32" fillId="0" borderId="0"/>
    <xf numFmtId="0" fontId="383" fillId="156" borderId="1" applyBorder="0" applyProtection="0">
      <alignment horizontal="centerContinuous" vertical="center"/>
    </xf>
    <xf numFmtId="0" fontId="32" fillId="0" borderId="0"/>
    <xf numFmtId="0" fontId="32" fillId="0" borderId="0"/>
    <xf numFmtId="0" fontId="32" fillId="0" borderId="0"/>
    <xf numFmtId="0" fontId="383" fillId="156" borderId="1" applyBorder="0" applyProtection="0">
      <alignment horizontal="centerContinuous" vertical="center"/>
    </xf>
    <xf numFmtId="0" fontId="32" fillId="0" borderId="0"/>
    <xf numFmtId="0" fontId="32" fillId="0" borderId="0"/>
    <xf numFmtId="0" fontId="32" fillId="0" borderId="0"/>
    <xf numFmtId="0" fontId="32" fillId="0" borderId="0"/>
    <xf numFmtId="0" fontId="32" fillId="0" borderId="0"/>
    <xf numFmtId="0" fontId="175" fillId="0" borderId="0" applyBorder="0" applyProtection="0">
      <alignment horizontal="left"/>
    </xf>
    <xf numFmtId="0" fontId="32" fillId="0" borderId="0"/>
    <xf numFmtId="0" fontId="32" fillId="0" borderId="0"/>
    <xf numFmtId="0" fontId="32" fillId="0" borderId="0"/>
    <xf numFmtId="0" fontId="32" fillId="0" borderId="0"/>
    <xf numFmtId="0" fontId="285" fillId="0" borderId="0" applyNumberFormat="0" applyFill="0" applyBorder="0" applyProtection="0">
      <alignment horizontal="left"/>
    </xf>
    <xf numFmtId="0" fontId="32" fillId="0" borderId="0"/>
    <xf numFmtId="0" fontId="32" fillId="0" borderId="0"/>
    <xf numFmtId="0" fontId="32" fillId="0" borderId="0"/>
    <xf numFmtId="0" fontId="32" fillId="0" borderId="0"/>
    <xf numFmtId="0" fontId="362" fillId="0" borderId="0" applyFill="0" applyBorder="0" applyProtection="0"/>
    <xf numFmtId="0" fontId="32" fillId="0" borderId="0"/>
    <xf numFmtId="0" fontId="32" fillId="0" borderId="0"/>
    <xf numFmtId="0" fontId="32" fillId="0" borderId="0"/>
    <xf numFmtId="0" fontId="32" fillId="0" borderId="0"/>
    <xf numFmtId="0" fontId="384" fillId="0" borderId="0" applyNumberFormat="0">
      <alignment horizontal="left"/>
    </xf>
    <xf numFmtId="0" fontId="32" fillId="0" borderId="0"/>
    <xf numFmtId="0" fontId="32" fillId="0" borderId="0"/>
    <xf numFmtId="0" fontId="32" fillId="0" borderId="0"/>
    <xf numFmtId="0" fontId="32" fillId="0" borderId="0"/>
    <xf numFmtId="0" fontId="337" fillId="0" borderId="0"/>
    <xf numFmtId="0" fontId="32" fillId="0" borderId="0"/>
    <xf numFmtId="0" fontId="32" fillId="0" borderId="0"/>
    <xf numFmtId="0" fontId="32" fillId="0" borderId="0"/>
    <xf numFmtId="0" fontId="32" fillId="0" borderId="0"/>
    <xf numFmtId="0" fontId="385" fillId="0" borderId="0" applyFill="0" applyBorder="0" applyProtection="0">
      <alignment horizontal="left"/>
    </xf>
    <xf numFmtId="0" fontId="32" fillId="0" borderId="0"/>
    <xf numFmtId="0" fontId="32" fillId="0" borderId="0"/>
    <xf numFmtId="0" fontId="32" fillId="0" borderId="0"/>
    <xf numFmtId="0" fontId="32" fillId="0" borderId="0"/>
    <xf numFmtId="0" fontId="32" fillId="0" borderId="0"/>
    <xf numFmtId="0" fontId="285" fillId="0" borderId="35" applyFill="0" applyBorder="0" applyProtection="0">
      <alignment horizontal="left" vertical="top"/>
    </xf>
    <xf numFmtId="0" fontId="32" fillId="0" borderId="0"/>
    <xf numFmtId="0" fontId="32" fillId="0" borderId="0"/>
    <xf numFmtId="0" fontId="32" fillId="0" borderId="0"/>
    <xf numFmtId="0" fontId="285" fillId="0" borderId="35" applyFill="0" applyBorder="0" applyProtection="0">
      <alignment horizontal="left" vertical="top"/>
    </xf>
    <xf numFmtId="0" fontId="32" fillId="0" borderId="0"/>
    <xf numFmtId="0" fontId="32" fillId="0" borderId="0"/>
    <xf numFmtId="0" fontId="32" fillId="0" borderId="0"/>
    <xf numFmtId="0" fontId="32" fillId="0" borderId="0"/>
    <xf numFmtId="0" fontId="32" fillId="0" borderId="0"/>
    <xf numFmtId="0" fontId="32" fillId="0" borderId="0"/>
    <xf numFmtId="49" fontId="386" fillId="0" borderId="1">
      <alignment vertical="center"/>
    </xf>
    <xf numFmtId="0" fontId="32" fillId="0" borderId="0"/>
    <xf numFmtId="0" fontId="32" fillId="0" borderId="0"/>
    <xf numFmtId="0" fontId="32" fillId="0" borderId="0"/>
    <xf numFmtId="49" fontId="386" fillId="0" borderId="1">
      <alignment vertical="center"/>
    </xf>
    <xf numFmtId="0" fontId="32" fillId="0" borderId="0"/>
    <xf numFmtId="0" fontId="32" fillId="0" borderId="0"/>
    <xf numFmtId="0" fontId="32" fillId="0" borderId="0"/>
    <xf numFmtId="0" fontId="32" fillId="0" borderId="0"/>
    <xf numFmtId="0" fontId="32" fillId="0" borderId="0"/>
    <xf numFmtId="0" fontId="387" fillId="0" borderId="0"/>
    <xf numFmtId="0" fontId="32" fillId="0" borderId="0"/>
    <xf numFmtId="0" fontId="32" fillId="0" borderId="0"/>
    <xf numFmtId="0" fontId="32" fillId="0" borderId="0"/>
    <xf numFmtId="0" fontId="32" fillId="0" borderId="0"/>
    <xf numFmtId="0" fontId="388" fillId="0" borderId="0" applyNumberFormat="0" applyFill="0" applyBorder="0" applyProtection="0"/>
    <xf numFmtId="0" fontId="32" fillId="0" borderId="0"/>
    <xf numFmtId="0" fontId="32" fillId="0" borderId="0"/>
    <xf numFmtId="0" fontId="32" fillId="0" borderId="0"/>
    <xf numFmtId="0" fontId="32" fillId="0" borderId="0"/>
    <xf numFmtId="49" fontId="216" fillId="0" borderId="0" applyFont="0" applyFill="0" applyBorder="0" applyAlignment="0" applyProtection="0"/>
    <xf numFmtId="0" fontId="32" fillId="0" borderId="0"/>
    <xf numFmtId="0" fontId="32" fillId="0" borderId="0"/>
    <xf numFmtId="0" fontId="32" fillId="0" borderId="0"/>
    <xf numFmtId="0" fontId="32" fillId="0" borderId="0"/>
    <xf numFmtId="49" fontId="216" fillId="0" borderId="0" applyFont="0" applyFill="0" applyBorder="0" applyAlignment="0" applyProtection="0"/>
    <xf numFmtId="0" fontId="32" fillId="0" borderId="0"/>
    <xf numFmtId="0" fontId="32" fillId="0" borderId="0"/>
    <xf numFmtId="0" fontId="32" fillId="0" borderId="0"/>
    <xf numFmtId="0" fontId="32" fillId="0" borderId="0"/>
    <xf numFmtId="0" fontId="387" fillId="0" borderId="35" applyFill="0" applyBorder="0" applyProtection="0"/>
    <xf numFmtId="0" fontId="32" fillId="0" borderId="0"/>
    <xf numFmtId="0" fontId="32" fillId="0" borderId="0"/>
    <xf numFmtId="0" fontId="32" fillId="0" borderId="0"/>
    <xf numFmtId="0" fontId="387" fillId="0" borderId="35" applyFill="0" applyBorder="0" applyProtection="0"/>
    <xf numFmtId="0" fontId="32" fillId="0" borderId="0"/>
    <xf numFmtId="0" fontId="32" fillId="0" borderId="0"/>
    <xf numFmtId="0" fontId="32" fillId="0" borderId="0"/>
    <xf numFmtId="0" fontId="32" fillId="0" borderId="0"/>
    <xf numFmtId="0" fontId="32" fillId="0" borderId="0"/>
    <xf numFmtId="0" fontId="389" fillId="0" borderId="0"/>
    <xf numFmtId="0" fontId="32" fillId="0" borderId="0"/>
    <xf numFmtId="0" fontId="32" fillId="0" borderId="0"/>
    <xf numFmtId="0" fontId="32" fillId="0" borderId="0"/>
    <xf numFmtId="0" fontId="32" fillId="0" borderId="0"/>
    <xf numFmtId="0" fontId="390" fillId="0" borderId="0" applyNumberFormat="0" applyFill="0" applyBorder="0" applyProtection="0"/>
    <xf numFmtId="0" fontId="32" fillId="0" borderId="0"/>
    <xf numFmtId="0" fontId="32" fillId="0" borderId="0"/>
    <xf numFmtId="0" fontId="32" fillId="0" borderId="0"/>
    <xf numFmtId="0" fontId="390" fillId="0" borderId="0" applyFill="0" applyBorder="0" applyProtection="0"/>
    <xf numFmtId="0" fontId="32" fillId="0" borderId="0"/>
    <xf numFmtId="0" fontId="32" fillId="0" borderId="0"/>
    <xf numFmtId="0" fontId="32" fillId="0" borderId="0"/>
    <xf numFmtId="0" fontId="32" fillId="0" borderId="0"/>
    <xf numFmtId="0" fontId="388" fillId="0" borderId="0" applyNumberFormat="0" applyFill="0" applyBorder="0" applyProtection="0"/>
    <xf numFmtId="0" fontId="32" fillId="0" borderId="0"/>
    <xf numFmtId="0" fontId="32" fillId="0" borderId="0"/>
    <xf numFmtId="0" fontId="32" fillId="0" borderId="0"/>
    <xf numFmtId="0" fontId="32" fillId="0" borderId="0"/>
    <xf numFmtId="0" fontId="388" fillId="0" borderId="0"/>
    <xf numFmtId="0" fontId="32" fillId="0" borderId="0"/>
    <xf numFmtId="0" fontId="32" fillId="0" borderId="0"/>
    <xf numFmtId="0" fontId="32" fillId="0" borderId="0"/>
    <xf numFmtId="0" fontId="32" fillId="0" borderId="0"/>
    <xf numFmtId="0" fontId="32" fillId="0" borderId="0"/>
    <xf numFmtId="49" fontId="220" fillId="0" borderId="0" applyFill="0" applyBorder="0" applyAlignment="0"/>
    <xf numFmtId="0" fontId="32" fillId="0" borderId="0"/>
    <xf numFmtId="0" fontId="32" fillId="0" borderId="0"/>
    <xf numFmtId="0" fontId="32" fillId="0" borderId="0"/>
    <xf numFmtId="49" fontId="22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4" fontId="32" fillId="0" borderId="0" applyFont="0" applyFill="0" applyBorder="0" applyProtection="0"/>
    <xf numFmtId="0" fontId="32" fillId="0" borderId="0"/>
    <xf numFmtId="0" fontId="32" fillId="0" borderId="0"/>
    <xf numFmtId="0" fontId="32" fillId="0" borderId="0"/>
    <xf numFmtId="0" fontId="32" fillId="0" borderId="0"/>
    <xf numFmtId="0" fontId="286" fillId="0" borderId="0">
      <alignment horizontal="center"/>
    </xf>
    <xf numFmtId="0" fontId="32" fillId="0" borderId="0"/>
    <xf numFmtId="0" fontId="32" fillId="0" borderId="0"/>
    <xf numFmtId="0" fontId="32" fillId="0" borderId="0"/>
    <xf numFmtId="0" fontId="32" fillId="0" borderId="0"/>
    <xf numFmtId="15" fontId="286" fillId="0" borderId="0">
      <alignment horizontal="center"/>
    </xf>
    <xf numFmtId="0" fontId="32" fillId="0" borderId="0"/>
    <xf numFmtId="0" fontId="32" fillId="0" borderId="0"/>
    <xf numFmtId="0" fontId="32" fillId="0" borderId="0"/>
    <xf numFmtId="0" fontId="32" fillId="0" borderId="0"/>
    <xf numFmtId="0" fontId="64" fillId="0" borderId="0" applyNumberFormat="0" applyFill="0" applyBorder="0" applyAlignment="0" applyProtection="0"/>
    <xf numFmtId="0" fontId="32" fillId="0" borderId="0"/>
    <xf numFmtId="0" fontId="32" fillId="0" borderId="0"/>
    <xf numFmtId="0" fontId="32" fillId="0" borderId="0"/>
    <xf numFmtId="0" fontId="32" fillId="0" borderId="0"/>
    <xf numFmtId="0" fontId="216"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7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2" fillId="0" borderId="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91" fillId="142"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32" fillId="0" borderId="0"/>
    <xf numFmtId="0" fontId="362" fillId="0" borderId="0" applyNumberFormat="0" applyFill="0" applyBorder="0" applyAlignment="0" applyProtection="0"/>
    <xf numFmtId="0" fontId="32" fillId="0" borderId="0"/>
    <xf numFmtId="0" fontId="32" fillId="0" borderId="0"/>
    <xf numFmtId="0" fontId="32" fillId="0" borderId="0"/>
    <xf numFmtId="0" fontId="32" fillId="0" borderId="0"/>
    <xf numFmtId="0" fontId="390" fillId="0" borderId="0"/>
    <xf numFmtId="0" fontId="32" fillId="0" borderId="0"/>
    <xf numFmtId="0" fontId="32" fillId="0" borderId="0"/>
    <xf numFmtId="0" fontId="32" fillId="0" borderId="0"/>
    <xf numFmtId="0" fontId="32" fillId="0" borderId="0"/>
    <xf numFmtId="0" fontId="38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32" fillId="0" borderId="85" applyNumberFormat="0" applyFont="0" applyFill="0" applyAlignment="0"/>
    <xf numFmtId="0" fontId="32" fillId="0" borderId="0"/>
    <xf numFmtId="0" fontId="32" fillId="0" borderId="0"/>
    <xf numFmtId="0" fontId="32" fillId="0" borderId="0"/>
    <xf numFmtId="0" fontId="32" fillId="0" borderId="0"/>
    <xf numFmtId="184" fontId="392" fillId="0" borderId="89" applyFill="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73" fillId="0" borderId="84" applyNumberFormat="0" applyFill="0" applyAlignment="0" applyProtection="0"/>
    <xf numFmtId="0" fontId="32" fillId="0" borderId="0"/>
    <xf numFmtId="0" fontId="32" fillId="0" borderId="0"/>
    <xf numFmtId="0" fontId="37" fillId="0" borderId="26" applyNumberFormat="0" applyFill="0" applyAlignment="0" applyProtection="0"/>
    <xf numFmtId="0" fontId="32" fillId="0" borderId="0"/>
    <xf numFmtId="0" fontId="32" fillId="0" borderId="0"/>
    <xf numFmtId="0" fontId="32" fillId="0" borderId="0"/>
    <xf numFmtId="184" fontId="392" fillId="0" borderId="85" applyFill="0"/>
    <xf numFmtId="0" fontId="32" fillId="0" borderId="0"/>
    <xf numFmtId="0" fontId="32" fillId="0" borderId="0"/>
    <xf numFmtId="0" fontId="32" fillId="0" borderId="0"/>
    <xf numFmtId="0" fontId="125" fillId="0" borderId="147"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130" fillId="0" borderId="148"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5" fontId="32" fillId="0" borderId="85"/>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0" fontId="32" fillId="0" borderId="0"/>
    <xf numFmtId="214" fontId="393" fillId="0" borderId="0">
      <alignment horizontal="left"/>
      <protection locked="0"/>
    </xf>
    <xf numFmtId="0" fontId="32" fillId="0" borderId="0"/>
    <xf numFmtId="0" fontId="32" fillId="0" borderId="0"/>
    <xf numFmtId="0" fontId="32" fillId="0" borderId="0"/>
    <xf numFmtId="0" fontId="32" fillId="0" borderId="0"/>
    <xf numFmtId="0" fontId="32" fillId="0" borderId="0"/>
    <xf numFmtId="37" fontId="64" fillId="180" borderId="83" applyNumberFormat="0" applyAlignment="0" applyProtection="0"/>
    <xf numFmtId="0" fontId="32" fillId="0" borderId="0"/>
    <xf numFmtId="0" fontId="32" fillId="0" borderId="0"/>
    <xf numFmtId="0" fontId="32" fillId="0" borderId="0"/>
    <xf numFmtId="37" fontId="64" fillId="180" borderId="83"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5"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5" borderId="83">
      <alignment horizontal="right"/>
    </xf>
    <xf numFmtId="0" fontId="32" fillId="0" borderId="0"/>
    <xf numFmtId="0" fontId="32" fillId="0" borderId="0"/>
    <xf numFmtId="0" fontId="32" fillId="0" borderId="0"/>
    <xf numFmtId="0" fontId="32" fillId="0" borderId="0"/>
    <xf numFmtId="0" fontId="32" fillId="0" borderId="0"/>
    <xf numFmtId="0" fontId="344" fillId="0" borderId="0"/>
    <xf numFmtId="0" fontId="32" fillId="0" borderId="0"/>
    <xf numFmtId="0" fontId="32" fillId="0" borderId="0"/>
    <xf numFmtId="0" fontId="32" fillId="0" borderId="0"/>
    <xf numFmtId="0" fontId="32" fillId="0" borderId="0"/>
    <xf numFmtId="0" fontId="67" fillId="0" borderId="0">
      <alignment horizontal="right"/>
    </xf>
    <xf numFmtId="0" fontId="32" fillId="0" borderId="0"/>
    <xf numFmtId="0" fontId="32" fillId="0" borderId="0"/>
    <xf numFmtId="0" fontId="32" fillId="0" borderId="0"/>
    <xf numFmtId="0" fontId="67" fillId="0" borderId="0">
      <alignment horizontal="right"/>
    </xf>
    <xf numFmtId="0" fontId="32" fillId="0" borderId="0"/>
    <xf numFmtId="0" fontId="32" fillId="0" borderId="0"/>
    <xf numFmtId="0" fontId="32" fillId="0" borderId="0"/>
    <xf numFmtId="0" fontId="32" fillId="0" borderId="0"/>
    <xf numFmtId="0" fontId="32" fillId="0" borderId="0"/>
    <xf numFmtId="0" fontId="394" fillId="0" borderId="0" applyNumberFormat="0" applyFont="0" applyFill="0"/>
    <xf numFmtId="0" fontId="32" fillId="0" borderId="0"/>
    <xf numFmtId="0" fontId="32" fillId="0" borderId="0"/>
    <xf numFmtId="0" fontId="32" fillId="0" borderId="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0" fontId="32" fillId="0" borderId="0"/>
    <xf numFmtId="0" fontId="32" fillId="0" borderId="0"/>
    <xf numFmtId="0" fontId="32" fillId="0" borderId="0"/>
    <xf numFmtId="3" fontId="341" fillId="0" borderId="130" applyProtection="0"/>
    <xf numFmtId="0" fontId="32" fillId="0" borderId="0"/>
    <xf numFmtId="0" fontId="32" fillId="0" borderId="0"/>
    <xf numFmtId="0" fontId="32" fillId="0" borderId="0"/>
    <xf numFmtId="0" fontId="32" fillId="0" borderId="0"/>
    <xf numFmtId="14" fontId="374" fillId="0" borderId="0" applyNumberFormat="0" applyFont="0" applyBorder="0" applyAlignment="0" applyProtection="0">
      <alignment horizontal="center"/>
    </xf>
    <xf numFmtId="0" fontId="32" fillId="0" borderId="0"/>
    <xf numFmtId="0" fontId="32" fillId="0" borderId="0"/>
    <xf numFmtId="0" fontId="32" fillId="0" borderId="0"/>
    <xf numFmtId="0" fontId="32" fillId="0" borderId="0"/>
    <xf numFmtId="0" fontId="395" fillId="0" borderId="0">
      <alignment vertical="top"/>
    </xf>
    <xf numFmtId="0" fontId="32" fillId="0" borderId="0"/>
    <xf numFmtId="0" fontId="32" fillId="0" borderId="0"/>
    <xf numFmtId="0" fontId="32" fillId="0" borderId="0"/>
    <xf numFmtId="0" fontId="32" fillId="0" borderId="0"/>
    <xf numFmtId="248" fontId="396" fillId="0" borderId="0" applyNumberForma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2" fillId="7" borderId="149">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2" fillId="7" borderId="149">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7" fillId="0" borderId="0" applyNumberFormat="0" applyFill="0" applyBorder="0"/>
    <xf numFmtId="0" fontId="32" fillId="0" borderId="0"/>
    <xf numFmtId="0" fontId="32" fillId="0" borderId="0"/>
    <xf numFmtId="0" fontId="32" fillId="0" borderId="0"/>
    <xf numFmtId="0" fontId="32" fillId="0" borderId="0"/>
    <xf numFmtId="0" fontId="398" fillId="0" borderId="0" applyNumberFormat="0" applyFill="0" applyBorder="0" applyAlignment="0" applyProtection="0"/>
    <xf numFmtId="0" fontId="32" fillId="0" borderId="0"/>
    <xf numFmtId="0" fontId="32" fillId="0" borderId="0"/>
    <xf numFmtId="0" fontId="32" fillId="0" borderId="0"/>
    <xf numFmtId="0" fontId="126" fillId="0" borderId="0" applyNumberFormat="0" applyFill="0" applyBorder="0" applyAlignment="0" applyProtection="0"/>
    <xf numFmtId="0" fontId="32" fillId="0" borderId="0"/>
    <xf numFmtId="0" fontId="399" fillId="0" borderId="0" applyNumberFormat="0" applyFill="0" applyBorder="0" applyAlignment="0" applyProtection="0"/>
    <xf numFmtId="0" fontId="32" fillId="0" borderId="0"/>
    <xf numFmtId="0" fontId="32" fillId="0" borderId="0"/>
    <xf numFmtId="0" fontId="32" fillId="0" borderId="0"/>
    <xf numFmtId="0" fontId="163" fillId="0" borderId="0" applyNumberFormat="0" applyFill="0" applyBorder="0" applyAlignment="0" applyProtection="0"/>
    <xf numFmtId="0" fontId="32" fillId="0" borderId="0"/>
    <xf numFmtId="0" fontId="32" fillId="0" borderId="0"/>
    <xf numFmtId="0" fontId="89" fillId="0" borderId="0" applyNumberFormat="0" applyFill="0" applyBorder="0" applyAlignment="0" applyProtection="0"/>
    <xf numFmtId="0" fontId="32" fillId="0" borderId="0"/>
    <xf numFmtId="0" fontId="32" fillId="0" borderId="0"/>
    <xf numFmtId="0" fontId="32" fillId="0" borderId="0"/>
    <xf numFmtId="0" fontId="32" fillId="0" borderId="0"/>
    <xf numFmtId="0" fontId="293" fillId="0" borderId="1" applyBorder="0" applyProtection="0">
      <alignment horizontal="right"/>
    </xf>
    <xf numFmtId="0" fontId="32" fillId="0" borderId="0"/>
    <xf numFmtId="0" fontId="32" fillId="0" borderId="0"/>
    <xf numFmtId="0" fontId="32" fillId="0" borderId="0"/>
    <xf numFmtId="0" fontId="293" fillId="0" borderId="1" applyBorder="0" applyProtection="0">
      <alignment horizontal="right"/>
    </xf>
    <xf numFmtId="0" fontId="32" fillId="0" borderId="0"/>
    <xf numFmtId="0" fontId="32" fillId="0" borderId="0"/>
    <xf numFmtId="0" fontId="32" fillId="0" borderId="0"/>
    <xf numFmtId="0" fontId="32" fillId="0" borderId="0"/>
    <xf numFmtId="0" fontId="400" fillId="181" borderId="0" applyNumberFormat="0" applyProtection="0">
      <alignment horizontal="left"/>
    </xf>
    <xf numFmtId="0" fontId="32" fillId="0" borderId="0"/>
    <xf numFmtId="0" fontId="32" fillId="0" borderId="0"/>
    <xf numFmtId="0" fontId="32" fillId="0" borderId="0"/>
    <xf numFmtId="0" fontId="32" fillId="0" borderId="0"/>
    <xf numFmtId="0" fontId="32" fillId="0" borderId="0"/>
    <xf numFmtId="262" fontId="317" fillId="182" borderId="83" applyNumberFormat="0" applyAlignment="0">
      <alignment horizontal="right"/>
    </xf>
    <xf numFmtId="0" fontId="32" fillId="0" borderId="0"/>
    <xf numFmtId="0" fontId="32" fillId="0" borderId="0"/>
    <xf numFmtId="0" fontId="32" fillId="0" borderId="0"/>
    <xf numFmtId="262" fontId="317" fillId="182" borderId="83" applyNumberFormat="0" applyAlignment="0">
      <alignment horizontal="right"/>
    </xf>
    <xf numFmtId="0" fontId="32" fillId="0" borderId="0"/>
    <xf numFmtId="0" fontId="32" fillId="0" borderId="0"/>
    <xf numFmtId="0" fontId="32" fillId="0" borderId="0"/>
    <xf numFmtId="0" fontId="32" fillId="0" borderId="0"/>
    <xf numFmtId="0" fontId="32" fillId="0" borderId="0"/>
    <xf numFmtId="262" fontId="316" fillId="182" borderId="83" applyNumberFormat="0" applyAlignment="0">
      <alignment horizontal="right"/>
    </xf>
    <xf numFmtId="0" fontId="32" fillId="0" borderId="0"/>
    <xf numFmtId="0" fontId="32" fillId="0" borderId="0"/>
    <xf numFmtId="0" fontId="32" fillId="0" borderId="0"/>
    <xf numFmtId="262" fontId="316" fillId="182" borderId="83" applyNumberFormat="0" applyAlignment="0">
      <alignment horizontal="right"/>
    </xf>
    <xf numFmtId="0" fontId="32" fillId="0" borderId="0"/>
    <xf numFmtId="0" fontId="32" fillId="0" borderId="0"/>
    <xf numFmtId="0" fontId="32" fillId="0" borderId="0"/>
    <xf numFmtId="0" fontId="32" fillId="0" borderId="0"/>
    <xf numFmtId="296" fontId="248"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24" fontId="32" fillId="0" borderId="0">
      <alignment horizontal="left"/>
    </xf>
    <xf numFmtId="0" fontId="32" fillId="0" borderId="0"/>
    <xf numFmtId="0" fontId="32" fillId="0" borderId="0"/>
    <xf numFmtId="0" fontId="32" fillId="0" borderId="0"/>
    <xf numFmtId="0" fontId="32" fillId="0" borderId="0"/>
    <xf numFmtId="0" fontId="32" fillId="0" borderId="0">
      <alignment vertical="center"/>
    </xf>
    <xf numFmtId="0" fontId="6" fillId="0" borderId="0"/>
    <xf numFmtId="0" fontId="6" fillId="0" borderId="0"/>
    <xf numFmtId="0" fontId="32" fillId="0" borderId="0"/>
    <xf numFmtId="0" fontId="32" fillId="0" borderId="0"/>
    <xf numFmtId="0" fontId="220" fillId="0" borderId="0">
      <alignment vertical="top"/>
    </xf>
    <xf numFmtId="0" fontId="32" fillId="0" borderId="0"/>
    <xf numFmtId="0" fontId="32"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44" fontId="3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32"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178" fontId="401" fillId="2" borderId="83" applyNumberFormat="0" applyFont="0" applyAlignment="0">
      <alignment horizontal="center"/>
    </xf>
    <xf numFmtId="305" fontId="402" fillId="5" borderId="83" applyNumberFormat="0" applyFont="0" applyAlignment="0">
      <alignment horizontal="center"/>
    </xf>
    <xf numFmtId="306" fontId="403" fillId="183" borderId="83" applyNumberFormat="0" applyFont="0" applyAlignment="0">
      <protection locked="0"/>
    </xf>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307" fontId="404" fillId="3" borderId="0" applyBorder="0"/>
    <xf numFmtId="0" fontId="113" fillId="59" borderId="0" applyNumberFormat="0" applyBorder="0" applyAlignment="0" applyProtection="0"/>
    <xf numFmtId="3" fontId="32" fillId="154" borderId="89" applyProtection="0">
      <alignment horizontal="right" vertical="center"/>
    </xf>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0" fontId="114" fillId="76" borderId="80" applyNumberFormat="0" applyAlignment="0" applyProtection="0"/>
    <xf numFmtId="0" fontId="115" fillId="77" borderId="5" applyNumberFormat="0" applyAlignment="0" applyProtection="0"/>
    <xf numFmtId="0" fontId="250" fillId="0" borderId="0"/>
    <xf numFmtId="0" fontId="214" fillId="22" borderId="0"/>
    <xf numFmtId="0" fontId="214" fillId="22" borderId="150">
      <alignment horizontal="center" vertical="center"/>
    </xf>
    <xf numFmtId="3" fontId="214" fillId="22" borderId="150">
      <alignment horizontal="right" vertical="center"/>
    </xf>
    <xf numFmtId="4" fontId="214" fillId="22" borderId="150"/>
    <xf numFmtId="0" fontId="111" fillId="64" borderId="0" applyNumberFormat="0" applyBorder="0" applyAlignment="0" applyProtection="0"/>
    <xf numFmtId="0" fontId="116" fillId="0" borderId="0" applyNumberFormat="0" applyFill="0" applyBorder="0" applyAlignment="0" applyProtection="0"/>
    <xf numFmtId="3" fontId="405" fillId="184" borderId="0" applyNumberFormat="0" applyBorder="0" applyAlignment="0">
      <alignment horizontal="left"/>
      <protection locked="0"/>
    </xf>
    <xf numFmtId="184" fontId="406" fillId="0" borderId="45" applyBorder="0"/>
    <xf numFmtId="0" fontId="403" fillId="5" borderId="0"/>
    <xf numFmtId="304" fontId="403" fillId="11" borderId="83" applyNumberFormat="0" applyFont="0" applyBorder="0" applyAlignment="0"/>
    <xf numFmtId="40" fontId="232" fillId="23" borderId="0" applyNumberFormat="0" applyBorder="0" applyAlignment="0" applyProtection="0"/>
    <xf numFmtId="0" fontId="117" fillId="60" borderId="0" applyNumberFormat="0" applyBorder="0" applyAlignment="0" applyProtection="0"/>
    <xf numFmtId="3" fontId="214" fillId="8" borderId="151">
      <alignment horizontal="right" vertical="center"/>
    </xf>
    <xf numFmtId="2" fontId="214" fillId="8" borderId="151"/>
    <xf numFmtId="307" fontId="401" fillId="2" borderId="0" applyBorder="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401" fillId="0" borderId="0">
      <alignment horizontal="right"/>
    </xf>
    <xf numFmtId="0" fontId="162" fillId="0" borderId="0">
      <alignment horizontal="right"/>
    </xf>
    <xf numFmtId="0" fontId="67" fillId="0" borderId="0">
      <alignment horizontal="right"/>
    </xf>
    <xf numFmtId="0" fontId="32" fillId="0" borderId="0">
      <alignment horizontal="right"/>
    </xf>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304" fontId="403" fillId="10" borderId="83" applyNumberFormat="0" applyFont="0" applyBorder="0" applyAlignment="0"/>
    <xf numFmtId="0" fontId="111" fillId="61" borderId="0" applyNumberFormat="0" applyBorder="0" applyAlignment="0" applyProtection="0"/>
    <xf numFmtId="0" fontId="111" fillId="66" borderId="0" applyNumberFormat="0" applyBorder="0" applyAlignment="0" applyProtection="0"/>
    <xf numFmtId="0" fontId="111" fillId="65" borderId="0" applyNumberFormat="0" applyBorder="0" applyAlignment="0" applyProtection="0"/>
    <xf numFmtId="0" fontId="111" fillId="64" borderId="0" applyNumberFormat="0" applyBorder="0" applyAlignment="0" applyProtection="0"/>
    <xf numFmtId="0" fontId="111" fillId="63" borderId="0" applyNumberFormat="0" applyBorder="0" applyAlignment="0" applyProtection="0"/>
    <xf numFmtId="0" fontId="111" fillId="62" borderId="0" applyNumberFormat="0" applyBorder="0" applyAlignment="0" applyProtection="0"/>
    <xf numFmtId="0" fontId="407" fillId="0" borderId="0" applyFill="0" applyBorder="0">
      <alignment vertical="center"/>
    </xf>
    <xf numFmtId="0" fontId="122" fillId="0" borderId="10" applyNumberFormat="0" applyFill="0" applyAlignment="0" applyProtection="0"/>
    <xf numFmtId="300" fontId="403" fillId="0" borderId="0" applyNumberFormat="0" applyFont="0" applyBorder="0" applyAlignment="0"/>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301" fontId="408" fillId="0" borderId="0" applyFill="0" applyBorder="0">
      <alignment vertical="center"/>
    </xf>
    <xf numFmtId="2" fontId="401" fillId="22" borderId="83">
      <alignment horizontal="center"/>
      <protection locked="0"/>
    </xf>
    <xf numFmtId="9" fontId="401" fillId="22" borderId="83">
      <alignment horizontal="center"/>
      <protection locked="0"/>
    </xf>
    <xf numFmtId="10" fontId="401" fillId="22" borderId="83">
      <alignment horizontal="center"/>
      <protection locked="0"/>
    </xf>
    <xf numFmtId="0" fontId="123" fillId="78" borderId="0" applyNumberFormat="0" applyBorder="0" applyAlignment="0" applyProtection="0"/>
    <xf numFmtId="0" fontId="111" fillId="61" borderId="0" applyNumberFormat="0" applyBorder="0" applyAlignment="0" applyProtection="0"/>
    <xf numFmtId="0" fontId="32" fillId="0" borderId="0"/>
    <xf numFmtId="0" fontId="111" fillId="79" borderId="81" applyNumberFormat="0" applyFont="0" applyAlignment="0" applyProtection="0"/>
    <xf numFmtId="307" fontId="406" fillId="163" borderId="0" applyBorder="0">
      <protection locked="0"/>
    </xf>
    <xf numFmtId="301" fontId="409" fillId="0" borderId="0" applyFill="0" applyBorder="0">
      <alignment vertical="center"/>
    </xf>
    <xf numFmtId="0" fontId="124" fillId="76" borderId="82" applyNumberFormat="0" applyAlignment="0" applyProtection="0"/>
    <xf numFmtId="0" fontId="111" fillId="60" borderId="0" applyNumberFormat="0" applyBorder="0" applyAlignment="0" applyProtection="0"/>
    <xf numFmtId="0" fontId="111" fillId="59" borderId="0" applyNumberFormat="0" applyBorder="0" applyAlignment="0" applyProtection="0"/>
    <xf numFmtId="0" fontId="111" fillId="58" borderId="0" applyNumberFormat="0" applyBorder="0" applyAlignment="0" applyProtection="0"/>
    <xf numFmtId="0" fontId="32" fillId="0" borderId="0"/>
    <xf numFmtId="9" fontId="32" fillId="0" borderId="0" applyFont="0" applyFill="0" applyBorder="0" applyAlignment="0" applyProtection="0"/>
    <xf numFmtId="0" fontId="410" fillId="0" borderId="152"/>
    <xf numFmtId="307" fontId="411" fillId="7" borderId="0" applyBorder="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220" fillId="0" borderId="0" applyNumberForma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53" fillId="0" borderId="0" applyNumberFormat="0" applyFill="0" applyBorder="0" applyAlignment="0" applyProtection="0"/>
    <xf numFmtId="0" fontId="272" fillId="0" borderId="0" applyNumberFormat="0" applyFill="0" applyBorder="0" applyAlignment="0" applyProtection="0"/>
    <xf numFmtId="0" fontId="32" fillId="112" borderId="0" applyNumberFormat="0" applyFont="0" applyBorder="0" applyAlignment="0" applyProtection="0"/>
    <xf numFmtId="0" fontId="412" fillId="0" borderId="0" applyNumberFormat="0" applyFill="0" applyBorder="0" applyAlignment="0" applyProtection="0"/>
    <xf numFmtId="0" fontId="220" fillId="0" borderId="0" applyNumberFormat="0" applyFill="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224" fillId="0" borderId="0"/>
    <xf numFmtId="0" fontId="413" fillId="185" borderId="167" applyNumberFormat="0" applyProtection="0">
      <alignment horizontal="center"/>
    </xf>
    <xf numFmtId="0" fontId="413" fillId="185" borderId="167" applyNumberFormat="0" applyProtection="0">
      <alignment horizontal="left"/>
    </xf>
    <xf numFmtId="0" fontId="414" fillId="177" borderId="168" applyNumberFormat="0" applyAlignment="0" applyProtection="0"/>
    <xf numFmtId="0" fontId="415" fillId="186" borderId="168" applyNumberFormat="0" applyAlignment="0" applyProtection="0"/>
    <xf numFmtId="0" fontId="415" fillId="187" borderId="168" applyNumberFormat="0" applyAlignment="0" applyProtection="0"/>
    <xf numFmtId="184" fontId="403" fillId="7" borderId="0"/>
    <xf numFmtId="184" fontId="403" fillId="10" borderId="0"/>
    <xf numFmtId="0" fontId="403" fillId="5" borderId="0"/>
    <xf numFmtId="0" fontId="68" fillId="0" borderId="0" applyNumberFormat="0" applyFill="0" applyBorder="0" applyAlignment="0" applyProtection="0"/>
    <xf numFmtId="0" fontId="125" fillId="0" borderId="84" applyNumberFormat="0" applyFill="0" applyAlignment="0" applyProtection="0"/>
    <xf numFmtId="3" fontId="32" fillId="9" borderId="89">
      <alignment horizontal="right" vertical="center"/>
    </xf>
    <xf numFmtId="0" fontId="126" fillId="0" borderId="0" applyNumberFormat="0" applyFill="0" applyBorder="0" applyAlignment="0" applyProtection="0"/>
    <xf numFmtId="0" fontId="214" fillId="6" borderId="0"/>
    <xf numFmtId="0" fontId="214" fillId="6" borderId="89"/>
    <xf numFmtId="4" fontId="214" fillId="6" borderId="89"/>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7" fillId="60"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123" fillId="78" borderId="0" applyNumberFormat="0" applyBorder="0" applyAlignment="0" applyProtection="0"/>
    <xf numFmtId="0" fontId="111" fillId="79" borderId="81" applyNumberFormat="0" applyFont="0" applyAlignment="0" applyProtection="0"/>
    <xf numFmtId="0" fontId="124" fillId="76" borderId="82" applyNumberFormat="0" applyAlignment="0" applyProtection="0"/>
    <xf numFmtId="9" fontId="32" fillId="0" borderId="0" applyFont="0" applyFill="0" applyBorder="0" applyAlignment="0" applyProtection="0"/>
    <xf numFmtId="0" fontId="68" fillId="0" borderId="0" applyNumberFormat="0" applyFill="0" applyBorder="0" applyAlignment="0" applyProtection="0"/>
    <xf numFmtId="0" fontId="126" fillId="0" borderId="0" applyNumberFormat="0" applyFill="0" applyBorder="0" applyAlignment="0" applyProtection="0"/>
    <xf numFmtId="0" fontId="32"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9" fontId="32" fillId="0" borderId="0" applyFont="0" applyFill="0" applyBorder="0" applyAlignment="0" applyProtection="0"/>
    <xf numFmtId="0" fontId="124" fillId="76" borderId="82" applyNumberFormat="0" applyAlignment="0" applyProtection="0"/>
    <xf numFmtId="0" fontId="111" fillId="79" borderId="81" applyNumberFormat="0" applyFont="0" applyAlignment="0" applyProtection="0"/>
    <xf numFmtId="0" fontId="117" fillId="60" borderId="0" applyNumberFormat="0" applyBorder="0" applyAlignment="0" applyProtection="0"/>
    <xf numFmtId="0" fontId="123" fillId="78"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403" fillId="23" borderId="83" applyNumberFormat="0" applyFont="0" applyBorder="0" applyAlignment="0">
      <protection locked="0"/>
    </xf>
    <xf numFmtId="0" fontId="120" fillId="0" borderId="8" applyNumberFormat="0" applyFill="0" applyAlignment="0" applyProtection="0"/>
    <xf numFmtId="0" fontId="123" fillId="78" borderId="0" applyNumberFormat="0" applyBorder="0" applyAlignment="0" applyProtection="0"/>
    <xf numFmtId="0" fontId="118" fillId="0" borderId="6" applyNumberFormat="0" applyFill="0" applyAlignment="0" applyProtection="0"/>
    <xf numFmtId="0" fontId="111" fillId="79" borderId="81" applyNumberFormat="0" applyFont="0" applyAlignment="0" applyProtection="0"/>
    <xf numFmtId="0" fontId="124" fillId="76" borderId="82" applyNumberFormat="0" applyAlignment="0" applyProtection="0"/>
    <xf numFmtId="0" fontId="117" fillId="60" borderId="0" applyNumberFormat="0" applyBorder="0" applyAlignment="0" applyProtection="0"/>
    <xf numFmtId="9" fontId="32" fillId="0" borderId="0" applyFont="0" applyFill="0" applyBorder="0" applyAlignment="0" applyProtection="0"/>
    <xf numFmtId="0" fontId="115" fillId="77" borderId="5" applyNumberFormat="0" applyAlignment="0" applyProtection="0"/>
    <xf numFmtId="0" fontId="114" fillId="76" borderId="80" applyNumberFormat="0" applyAlignment="0" applyProtection="0"/>
    <xf numFmtId="0" fontId="113" fillId="59" borderId="0" applyNumberFormat="0" applyBorder="0" applyAlignment="0" applyProtection="0"/>
    <xf numFmtId="0" fontId="112" fillId="75"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112" fillId="74" borderId="0" applyNumberFormat="0" applyBorder="0" applyAlignment="0" applyProtection="0"/>
    <xf numFmtId="0" fontId="112" fillId="73" borderId="0" applyNumberFormat="0" applyBorder="0" applyAlignment="0" applyProtection="0"/>
    <xf numFmtId="0" fontId="112" fillId="72" borderId="0" applyNumberFormat="0" applyBorder="0" applyAlignment="0" applyProtection="0"/>
    <xf numFmtId="0" fontId="112" fillId="71"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112" fillId="66" borderId="0" applyNumberFormat="0" applyBorder="0" applyAlignment="0" applyProtection="0"/>
    <xf numFmtId="0" fontId="112" fillId="65" borderId="0" applyNumberFormat="0" applyBorder="0" applyAlignment="0" applyProtection="0"/>
    <xf numFmtId="0" fontId="112" fillId="68" borderId="0" applyNumberFormat="0" applyBorder="0" applyAlignment="0" applyProtection="0"/>
    <xf numFmtId="0" fontId="111" fillId="63" borderId="0" applyNumberFormat="0" applyBorder="0" applyAlignment="0" applyProtection="0"/>
    <xf numFmtId="0" fontId="68" fillId="0" borderId="0" applyNumberFormat="0" applyFill="0" applyBorder="0" applyAlignment="0" applyProtection="0"/>
    <xf numFmtId="0" fontId="32" fillId="0" borderId="0"/>
    <xf numFmtId="0" fontId="68" fillId="0" borderId="0" applyNumberFormat="0" applyFill="0" applyBorder="0" applyAlignment="0" applyProtection="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7" fillId="60"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123" fillId="78" borderId="0" applyNumberFormat="0" applyBorder="0" applyAlignment="0" applyProtection="0"/>
    <xf numFmtId="0" fontId="124" fillId="76" borderId="82" applyNumberFormat="0" applyAlignment="0" applyProtection="0"/>
    <xf numFmtId="9" fontId="32" fillId="0" borderId="0" applyFont="0" applyFill="0" applyBorder="0" applyAlignment="0" applyProtection="0"/>
    <xf numFmtId="0" fontId="68" fillId="0" borderId="0" applyNumberFormat="0" applyFill="0" applyBorder="0" applyAlignment="0" applyProtection="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164" fontId="32" fillId="0" borderId="0" applyFont="0" applyFill="0" applyBorder="0" applyAlignment="0" applyProtection="0"/>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9" fontId="32" fillId="0" borderId="0" applyFont="0" applyFill="0" applyBorder="0" applyAlignment="0" applyProtection="0"/>
    <xf numFmtId="9" fontId="32" fillId="0" borderId="0" applyFont="0" applyFill="0" applyBorder="0" applyAlignment="0" applyProtection="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32" fillId="112" borderId="0" applyNumberFormat="0" applyFont="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68" fillId="0" borderId="0" applyNumberFormat="0" applyFill="0" applyBorder="0" applyAlignment="0" applyProtection="0"/>
    <xf numFmtId="0" fontId="32" fillId="0" borderId="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403" fillId="23" borderId="83" applyNumberFormat="0" applyFont="0" applyBorder="0" applyAlignment="0">
      <protection locked="0"/>
    </xf>
    <xf numFmtId="9" fontId="32" fillId="0" borderId="0" applyFont="0" applyFill="0" applyBorder="0" applyAlignment="0" applyProtection="0"/>
    <xf numFmtId="0" fontId="68" fillId="0" borderId="0" applyNumberFormat="0" applyFill="0" applyBorder="0" applyAlignment="0" applyProtection="0"/>
    <xf numFmtId="0" fontId="32" fillId="0" borderId="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164" fontId="32" fillId="0" borderId="0" applyFont="0" applyFill="0" applyBorder="0" applyAlignment="0" applyProtection="0"/>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9" fontId="32" fillId="0" borderId="0" applyFont="0" applyFill="0" applyBorder="0" applyAlignment="0" applyProtection="0"/>
    <xf numFmtId="9" fontId="32" fillId="0" borderId="0" applyFont="0" applyFill="0" applyBorder="0" applyAlignment="0" applyProtection="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32" fillId="112" borderId="0" applyNumberFormat="0" applyFont="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68" fillId="0" borderId="0" applyNumberFormat="0" applyFill="0" applyBorder="0" applyAlignment="0" applyProtection="0"/>
    <xf numFmtId="0" fontId="32" fillId="0" borderId="0"/>
    <xf numFmtId="0" fontId="41" fillId="0" borderId="0"/>
    <xf numFmtId="0" fontId="38" fillId="0" borderId="0">
      <alignment horizontal="justify"/>
    </xf>
    <xf numFmtId="0" fontId="41" fillId="0" borderId="0"/>
    <xf numFmtId="0" fontId="41" fillId="0" borderId="0"/>
    <xf numFmtId="9" fontId="41" fillId="0" borderId="0" applyFont="0" applyFill="0" applyBorder="0" applyAlignment="0" applyProtection="0"/>
    <xf numFmtId="0" fontId="75" fillId="22" borderId="0">
      <alignment horizontal="left" vertical="center" indent="1"/>
    </xf>
    <xf numFmtId="166" fontId="53" fillId="0" borderId="0">
      <alignment horizontal="left" vertical="center"/>
    </xf>
    <xf numFmtId="43" fontId="32" fillId="0" borderId="0" applyFont="0" applyFill="0" applyBorder="0" applyAlignment="0" applyProtection="0"/>
    <xf numFmtId="43" fontId="41" fillId="0" borderId="0" applyFont="0" applyFill="0" applyBorder="0" applyAlignment="0" applyProtection="0"/>
    <xf numFmtId="164" fontId="32" fillId="0" borderId="0" applyFont="0" applyFill="0" applyBorder="0" applyAlignment="0" applyProtection="0"/>
    <xf numFmtId="0" fontId="51" fillId="0" borderId="0" applyNumberFormat="0" applyFill="0" applyBorder="0" applyAlignment="0" applyProtection="0"/>
    <xf numFmtId="166" fontId="53" fillId="0" borderId="0">
      <alignment horizontal="left" vertical="center"/>
    </xf>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8" fillId="0" borderId="0" applyNumberFormat="0" applyFill="0" applyBorder="0" applyAlignment="0" applyProtection="0">
      <alignment vertical="top"/>
      <protection locked="0"/>
    </xf>
    <xf numFmtId="0" fontId="60" fillId="0" borderId="10"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3" fontId="32" fillId="0" borderId="0" applyFont="0" applyFill="0" applyProtection="0"/>
    <xf numFmtId="9" fontId="6" fillId="0" borderId="0" applyFont="0" applyFill="0" applyBorder="0" applyAlignment="0" applyProtection="0"/>
    <xf numFmtId="0" fontId="65" fillId="0" borderId="0"/>
    <xf numFmtId="9" fontId="41" fillId="0" borderId="0" applyFont="0" applyFill="0" applyBorder="0" applyAlignment="0" applyProtection="0"/>
    <xf numFmtId="0" fontId="68" fillId="0" borderId="0" applyNumberFormat="0" applyFill="0" applyBorder="0" applyAlignment="0" applyProtection="0"/>
    <xf numFmtId="0" fontId="72" fillId="0" borderId="84" applyNumberFormat="0" applyFill="0" applyAlignment="0" applyProtection="0"/>
    <xf numFmtId="0" fontId="72" fillId="0" borderId="84" applyNumberFormat="0" applyFill="0" applyAlignment="0" applyProtection="0"/>
    <xf numFmtId="0" fontId="74" fillId="0" borderId="0" applyNumberFormat="0" applyFill="0" applyBorder="0" applyAlignment="0" applyProtection="0"/>
    <xf numFmtId="0" fontId="75" fillId="22" borderId="0">
      <alignment horizontal="left" vertical="center" indent="1"/>
    </xf>
    <xf numFmtId="0" fontId="34" fillId="0" borderId="0" applyNumberFormat="0" applyFill="0" applyBorder="0" applyAlignment="0" applyProtection="0"/>
    <xf numFmtId="0" fontId="6" fillId="0" borderId="0"/>
    <xf numFmtId="0" fontId="34" fillId="0" borderId="0" applyNumberFormat="0" applyFill="0" applyBorder="0" applyAlignment="0" applyProtection="0"/>
    <xf numFmtId="0" fontId="43" fillId="23" borderId="81" applyNumberFormat="0" applyFont="0" applyAlignment="0" applyProtection="0"/>
    <xf numFmtId="0" fontId="46" fillId="21" borderId="83"/>
    <xf numFmtId="0" fontId="46" fillId="21" borderId="83"/>
    <xf numFmtId="0" fontId="6" fillId="0" borderId="0"/>
    <xf numFmtId="0" fontId="6" fillId="33" borderId="25" applyNumberFormat="0" applyFont="0" applyAlignment="0" applyProtection="0"/>
    <xf numFmtId="0" fontId="32" fillId="0" borderId="0">
      <alignment vertical="center"/>
    </xf>
    <xf numFmtId="165" fontId="32" fillId="0" borderId="0" applyFont="0" applyFill="0" applyBorder="0" applyAlignment="0" applyProtection="0"/>
    <xf numFmtId="165" fontId="32" fillId="0" borderId="0" applyFont="0" applyFill="0" applyBorder="0" applyAlignment="0" applyProtection="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6" fillId="0" borderId="0" applyNumberFormat="0" applyFill="0" applyBorder="0" applyAlignment="0" applyProtection="0"/>
    <xf numFmtId="0" fontId="117" fillId="60" borderId="0" applyNumberFormat="0" applyBorder="0" applyAlignment="0" applyProtection="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121" fillId="63" borderId="80" applyNumberFormat="0" applyAlignment="0" applyProtection="0"/>
    <xf numFmtId="0" fontId="122" fillId="0" borderId="10" applyNumberFormat="0" applyFill="0" applyAlignment="0" applyProtection="0"/>
    <xf numFmtId="0" fontId="123" fillId="78" borderId="0" applyNumberFormat="0" applyBorder="0" applyAlignment="0" applyProtection="0"/>
    <xf numFmtId="0" fontId="6" fillId="0" borderId="0"/>
    <xf numFmtId="0" fontId="6" fillId="0" borderId="0"/>
    <xf numFmtId="0" fontId="6" fillId="0" borderId="0"/>
    <xf numFmtId="0" fontId="32" fillId="79" borderId="8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0" fontId="107" fillId="0" borderId="84" applyNumberFormat="0" applyFill="0" applyAlignment="0" applyProtection="0"/>
    <xf numFmtId="0" fontId="125" fillId="0" borderId="84" applyNumberFormat="0" applyFill="0" applyAlignment="0" applyProtection="0"/>
    <xf numFmtId="0" fontId="108" fillId="0" borderId="0" applyNumberFormat="0" applyFill="0" applyBorder="0" applyAlignment="0" applyProtection="0"/>
    <xf numFmtId="0" fontId="126" fillId="0" borderId="0" applyNumberForma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41" fillId="0" borderId="0" applyFont="0" applyFill="0" applyBorder="0" applyAlignment="0" applyProtection="0"/>
    <xf numFmtId="0" fontId="32" fillId="0" borderId="0"/>
    <xf numFmtId="0" fontId="34" fillId="0" borderId="0" applyNumberFormat="0" applyFill="0" applyBorder="0" applyAlignment="0" applyProtection="0"/>
    <xf numFmtId="0" fontId="135" fillId="32" borderId="24" applyNumberFormat="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32" fillId="0" borderId="0" applyFont="0" applyFill="0" applyBorder="0" applyAlignment="0" applyProtection="0"/>
    <xf numFmtId="9" fontId="6" fillId="0" borderId="0" applyFont="0" applyFill="0" applyBorder="0" applyAlignment="0" applyProtection="0"/>
    <xf numFmtId="0" fontId="32"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41"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41" fillId="0" borderId="0" applyFont="0" applyFill="0" applyBorder="0" applyAlignment="0" applyProtection="0"/>
    <xf numFmtId="0" fontId="41" fillId="0" borderId="0"/>
    <xf numFmtId="0" fontId="125" fillId="0" borderId="84" applyNumberFormat="0" applyFill="0" applyAlignment="0" applyProtection="0"/>
    <xf numFmtId="43" fontId="41" fillId="0" borderId="0" applyFont="0" applyFill="0" applyBorder="0" applyAlignment="0" applyProtection="0"/>
    <xf numFmtId="9" fontId="41" fillId="0" borderId="0" applyFont="0" applyFill="0" applyBorder="0" applyAlignment="0" applyProtection="0"/>
    <xf numFmtId="166" fontId="53" fillId="0" borderId="0">
      <alignment horizontal="left" vertical="center"/>
    </xf>
    <xf numFmtId="43" fontId="41" fillId="0" borderId="0" applyFont="0" applyFill="0" applyBorder="0" applyAlignment="0" applyProtection="0"/>
    <xf numFmtId="0" fontId="125" fillId="0" borderId="84" applyNumberFormat="0" applyFill="0" applyAlignment="0" applyProtection="0"/>
    <xf numFmtId="0" fontId="75" fillId="22" borderId="0">
      <alignment horizontal="left" vertical="center" indent="1"/>
    </xf>
    <xf numFmtId="0" fontId="75" fillId="22" borderId="0">
      <alignment horizontal="left" vertical="center" indent="1"/>
    </xf>
    <xf numFmtId="166" fontId="53" fillId="0" borderId="0">
      <alignment horizontal="left" vertical="center"/>
    </xf>
    <xf numFmtId="0" fontId="41" fillId="0" borderId="0"/>
    <xf numFmtId="0" fontId="31" fillId="0" borderId="0"/>
    <xf numFmtId="164" fontId="32" fillId="0" borderId="0"/>
    <xf numFmtId="164" fontId="32" fillId="0" borderId="0"/>
    <xf numFmtId="44" fontId="32" fillId="0" borderId="0" applyFont="0" applyFill="0" applyBorder="0" applyAlignment="0" applyProtection="0"/>
    <xf numFmtId="164" fontId="32" fillId="0" borderId="0"/>
    <xf numFmtId="0" fontId="201" fillId="0" borderId="0" applyNumberFormat="0" applyFill="0" applyBorder="0" applyAlignment="0" applyProtection="0">
      <alignment vertical="top"/>
      <protection locked="0"/>
    </xf>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43" fontId="6" fillId="0" borderId="0" applyFont="0" applyFill="0" applyBorder="0" applyAlignment="0" applyProtection="0"/>
    <xf numFmtId="0" fontId="6" fillId="0" borderId="0"/>
    <xf numFmtId="0" fontId="49" fillId="2" borderId="80" applyNumberForma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43"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83" fillId="29"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46" fillId="21" borderId="83"/>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189" fontId="32" fillId="0" borderId="0">
      <alignment horizontal="left" wrapText="1"/>
    </xf>
    <xf numFmtId="0" fontId="32"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6" fillId="21" borderId="83"/>
    <xf numFmtId="0" fontId="6" fillId="56" borderId="0" applyNumberFormat="0" applyBorder="0" applyAlignment="0" applyProtection="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51"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0" borderId="0"/>
    <xf numFmtId="0" fontId="111" fillId="78" borderId="25" applyNumberFormat="0" applyFont="0" applyAlignment="0" applyProtection="0"/>
    <xf numFmtId="0" fontId="32" fillId="0" borderId="0"/>
    <xf numFmtId="0" fontId="32" fillId="0" borderId="0"/>
    <xf numFmtId="0" fontId="32" fillId="0" borderId="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8"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2" borderId="0" applyNumberFormat="0" applyBorder="0" applyAlignment="0" applyProtection="0"/>
    <xf numFmtId="0" fontId="117" fillId="137" borderId="0" applyNumberFormat="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0" borderId="0"/>
    <xf numFmtId="0" fontId="46" fillId="21" borderId="83"/>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89" fontId="32" fillId="0" borderId="0">
      <alignment horizontal="left" wrapText="1"/>
    </xf>
    <xf numFmtId="0" fontId="6" fillId="40" borderId="0" applyNumberFormat="0" applyBorder="0" applyAlignment="0" applyProtection="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89" fontId="32" fillId="0" borderId="0">
      <alignment horizontal="left" wrapText="1"/>
    </xf>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32" fillId="0" borderId="0" applyFont="0" applyFill="0" applyBorder="0" applyAlignment="0" applyProtection="0"/>
    <xf numFmtId="0" fontId="32" fillId="0" borderId="0"/>
    <xf numFmtId="0" fontId="6" fillId="44"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33" borderId="25" applyNumberFormat="0" applyFont="0" applyAlignment="0" applyProtection="0"/>
    <xf numFmtId="0" fontId="46" fillId="21" borderId="83"/>
    <xf numFmtId="0" fontId="6" fillId="0" borderId="0"/>
    <xf numFmtId="0" fontId="6" fillId="3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39" borderId="0" applyNumberFormat="0" applyBorder="0" applyAlignment="0" applyProtection="0"/>
    <xf numFmtId="0" fontId="6" fillId="35"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46" fillId="21" borderId="83"/>
    <xf numFmtId="9" fontId="6" fillId="0" borderId="0" applyFont="0" applyFill="0" applyBorder="0" applyAlignment="0" applyProtection="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6" fillId="35"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32" fillId="0" borderId="0"/>
    <xf numFmtId="0" fontId="6" fillId="33" borderId="25" applyNumberFormat="0" applyFont="0" applyAlignment="0" applyProtection="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67" fillId="136" borderId="110" applyNumberFormat="0" applyFont="0" applyAlignment="0" applyProtection="0"/>
    <xf numFmtId="189" fontId="32" fillId="0" borderId="0">
      <alignment horizontal="left" wrapText="1"/>
    </xf>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0" fontId="6" fillId="0" borderId="0"/>
    <xf numFmtId="0" fontId="32" fillId="0" borderId="0"/>
    <xf numFmtId="0" fontId="6" fillId="52" borderId="0" applyNumberFormat="0" applyBorder="0" applyAlignment="0" applyProtection="0"/>
    <xf numFmtId="0" fontId="6" fillId="0" borderId="0"/>
    <xf numFmtId="0" fontId="6" fillId="47" borderId="0" applyNumberFormat="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55" borderId="0" applyNumberFormat="0" applyBorder="0" applyAlignment="0" applyProtection="0"/>
    <xf numFmtId="0" fontId="6" fillId="0" borderId="0"/>
    <xf numFmtId="0" fontId="46" fillId="21" borderId="83"/>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3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43"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9" fontId="6" fillId="0" borderId="0" applyFont="0" applyFill="0" applyBorder="0" applyAlignment="0" applyProtection="0"/>
    <xf numFmtId="0" fontId="46" fillId="21" borderId="83"/>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3"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24" fillId="144" borderId="82" applyNumberFormat="0" applyAlignment="0" applyProtection="0"/>
    <xf numFmtId="0" fontId="32" fillId="0" borderId="0"/>
    <xf numFmtId="0" fontId="6" fillId="0" borderId="0"/>
    <xf numFmtId="0" fontId="111" fillId="78" borderId="25" applyNumberFormat="0" applyFont="0" applyAlignment="0" applyProtection="0"/>
    <xf numFmtId="0" fontId="32" fillId="0" borderId="0"/>
    <xf numFmtId="0" fontId="67" fillId="136" borderId="110" applyNumberFormat="0" applyFont="0" applyAlignment="0" applyProtection="0"/>
    <xf numFmtId="0" fontId="32"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43" fillId="23" borderId="81" applyNumberFormat="0" applyFont="0" applyAlignment="0" applyProtection="0"/>
    <xf numFmtId="9" fontId="6" fillId="0" borderId="0" applyFont="0" applyFill="0" applyBorder="0" applyAlignment="0" applyProtection="0"/>
    <xf numFmtId="0" fontId="6" fillId="0" borderId="0"/>
    <xf numFmtId="189" fontId="32" fillId="0" borderId="0">
      <alignment horizontal="left" wrapText="1"/>
    </xf>
    <xf numFmtId="189" fontId="220" fillId="0" borderId="0">
      <alignment horizontal="left" wrapText="1"/>
    </xf>
    <xf numFmtId="0" fontId="32" fillId="0" borderId="0"/>
    <xf numFmtId="0" fontId="6" fillId="51"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3" borderId="25" applyNumberFormat="0" applyFont="0" applyAlignment="0" applyProtection="0"/>
    <xf numFmtId="0" fontId="46" fillId="21" borderId="83"/>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47"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43" fontId="6" fillId="0" borderId="0" applyFont="0" applyFill="0" applyBorder="0" applyAlignment="0" applyProtection="0"/>
    <xf numFmtId="0" fontId="46" fillId="21" borderId="83"/>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36"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6" fillId="21" borderId="83"/>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32" fillId="0" borderId="0"/>
    <xf numFmtId="0" fontId="6" fillId="0" borderId="0"/>
    <xf numFmtId="0" fontId="6" fillId="44"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1" fillId="63" borderId="0" applyNumberFormat="0" applyBorder="0" applyAlignment="0" applyProtection="0"/>
    <xf numFmtId="0" fontId="220" fillId="114" borderId="0" applyNumberFormat="0" applyBorder="0" applyAlignment="0" applyProtection="0"/>
    <xf numFmtId="0" fontId="279" fillId="60" borderId="0" applyNumberFormat="0" applyBorder="0" applyAlignment="0" applyProtection="0"/>
    <xf numFmtId="0" fontId="32" fillId="0" borderId="0"/>
    <xf numFmtId="0" fontId="32" fillId="0" borderId="0"/>
    <xf numFmtId="0" fontId="6" fillId="0" borderId="0"/>
    <xf numFmtId="0" fontId="6" fillId="0" borderId="0"/>
    <xf numFmtId="0" fontId="6" fillId="0" borderId="0"/>
    <xf numFmtId="9" fontId="6" fillId="0" borderId="0" applyFont="0" applyFill="0" applyBorder="0" applyAlignment="0" applyProtection="0"/>
    <xf numFmtId="0" fontId="32"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48"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20" fillId="59" borderId="0" applyNumberFormat="0" applyBorder="0" applyAlignment="0" applyProtection="0"/>
    <xf numFmtId="0" fontId="41" fillId="55" borderId="0" applyNumberFormat="0" applyBorder="0" applyAlignment="0" applyProtection="0"/>
    <xf numFmtId="0" fontId="6" fillId="0" borderId="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35" borderId="0" applyNumberFormat="0" applyBorder="0" applyAlignment="0" applyProtection="0"/>
    <xf numFmtId="0" fontId="6" fillId="33" borderId="25" applyNumberFormat="0" applyFont="0" applyAlignment="0" applyProtection="0"/>
    <xf numFmtId="0" fontId="220" fillId="115" borderId="0" applyNumberFormat="0" applyBorder="0" applyAlignment="0" applyProtection="0"/>
    <xf numFmtId="43" fontId="6" fillId="0" borderId="0" applyFont="0" applyFill="0" applyBorder="0" applyAlignment="0" applyProtection="0"/>
    <xf numFmtId="0" fontId="280" fillId="0" borderId="0" applyNumberFormat="0" applyFill="0" applyBorder="0" applyAlignment="0" applyProtection="0"/>
    <xf numFmtId="0" fontId="6" fillId="36" borderId="0" applyNumberFormat="0" applyBorder="0" applyAlignment="0" applyProtection="0"/>
    <xf numFmtId="0" fontId="6" fillId="33" borderId="25" applyNumberFormat="0" applyFont="0" applyAlignment="0" applyProtection="0"/>
    <xf numFmtId="0" fontId="41" fillId="112" borderId="0" applyNumberFormat="0" applyBorder="0" applyAlignment="0" applyProtection="0"/>
    <xf numFmtId="0" fontId="6" fillId="0" borderId="0"/>
    <xf numFmtId="0" fontId="6" fillId="0" borderId="0"/>
    <xf numFmtId="0" fontId="281" fillId="0" borderId="0" applyNumberForma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0" borderId="0"/>
    <xf numFmtId="0" fontId="32" fillId="0" borderId="0"/>
    <xf numFmtId="0" fontId="67" fillId="136" borderId="110" applyNumberFormat="0" applyFont="0" applyAlignment="0" applyProtection="0"/>
    <xf numFmtId="0" fontId="6" fillId="39"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32" fillId="0" borderId="0"/>
    <xf numFmtId="0" fontId="32" fillId="0" borderId="0"/>
    <xf numFmtId="0" fontId="220" fillId="111" borderId="0" applyNumberFormat="0" applyBorder="0" applyAlignment="0" applyProtection="0"/>
    <xf numFmtId="0" fontId="32" fillId="0" borderId="0"/>
    <xf numFmtId="0" fontId="32" fillId="79" borderId="81" applyNumberFormat="0" applyFont="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3" borderId="81" applyNumberFormat="0" applyFont="0" applyAlignment="0" applyProtection="0"/>
    <xf numFmtId="0" fontId="43" fillId="23" borderId="81" applyNumberFormat="0" applyFont="0" applyAlignment="0" applyProtection="0"/>
    <xf numFmtId="0" fontId="43"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30" fillId="78" borderId="0" applyNumberFormat="0" applyBorder="0" applyAlignment="0" applyProtection="0"/>
    <xf numFmtId="0" fontId="220" fillId="0" borderId="0"/>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09" fillId="0" borderId="0" applyNumberFormat="0" applyFill="0" applyBorder="0" applyAlignment="0" applyProtection="0">
      <alignment vertical="top"/>
      <protection locked="0"/>
    </xf>
    <xf numFmtId="0" fontId="312" fillId="30" borderId="21" applyNumberFormat="0" applyAlignment="0" applyProtection="0"/>
    <xf numFmtId="0" fontId="325" fillId="0" borderId="133" applyNumberFormat="0" applyFill="0" applyAlignment="0" applyProtection="0"/>
    <xf numFmtId="0" fontId="117" fillId="0" borderId="134" applyNumberFormat="0" applyFill="0" applyAlignment="0" applyProtection="0"/>
    <xf numFmtId="189" fontId="32" fillId="0" borderId="0">
      <alignment horizontal="left" wrapText="1"/>
    </xf>
    <xf numFmtId="0" fontId="32" fillId="0" borderId="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3" borderId="0" applyNumberFormat="0" applyBorder="0" applyAlignment="0" applyProtection="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59" fillId="8" borderId="80" applyNumberFormat="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48"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0" borderId="0"/>
    <xf numFmtId="0" fontId="6" fillId="44"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40" borderId="0" applyNumberFormat="0" applyBorder="0" applyAlignment="0" applyProtection="0"/>
    <xf numFmtId="0" fontId="6" fillId="0" borderId="0"/>
    <xf numFmtId="0" fontId="6" fillId="48" borderId="0" applyNumberFormat="0" applyBorder="0" applyAlignment="0" applyProtection="0"/>
    <xf numFmtId="0" fontId="6" fillId="52"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33" borderId="25" applyNumberFormat="0" applyFont="0" applyAlignment="0" applyProtection="0"/>
    <xf numFmtId="0" fontId="6" fillId="39"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0" borderId="0"/>
    <xf numFmtId="0" fontId="6" fillId="56" borderId="0" applyNumberFormat="0" applyBorder="0" applyAlignment="0" applyProtection="0"/>
    <xf numFmtId="0" fontId="6" fillId="43" borderId="0" applyNumberFormat="0" applyBorder="0" applyAlignment="0" applyProtection="0"/>
    <xf numFmtId="0" fontId="6" fillId="0" borderId="0"/>
    <xf numFmtId="0" fontId="6" fillId="56" borderId="0" applyNumberFormat="0" applyBorder="0" applyAlignment="0" applyProtection="0"/>
    <xf numFmtId="0" fontId="6" fillId="36" borderId="0" applyNumberFormat="0" applyBorder="0" applyAlignment="0" applyProtection="0"/>
    <xf numFmtId="0" fontId="6" fillId="0" borderId="0"/>
    <xf numFmtId="0" fontId="6" fillId="36"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0" borderId="0"/>
    <xf numFmtId="0" fontId="6" fillId="47"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51"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55"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0" borderId="0"/>
    <xf numFmtId="0" fontId="6" fillId="44" borderId="0" applyNumberFormat="0" applyBorder="0" applyAlignment="0" applyProtection="0"/>
    <xf numFmtId="0" fontId="6" fillId="43" borderId="0" applyNumberFormat="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0" borderId="0"/>
    <xf numFmtId="0" fontId="6" fillId="48" borderId="0" applyNumberFormat="0" applyBorder="0" applyAlignment="0" applyProtection="0"/>
    <xf numFmtId="0" fontId="6" fillId="39" borderId="0" applyNumberFormat="0" applyBorder="0" applyAlignment="0" applyProtection="0"/>
    <xf numFmtId="0" fontId="6" fillId="0" borderId="0"/>
    <xf numFmtId="0" fontId="6" fillId="43"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33" borderId="25" applyNumberFormat="0" applyFont="0" applyAlignment="0" applyProtection="0"/>
    <xf numFmtId="0" fontId="6" fillId="0" borderId="0"/>
    <xf numFmtId="0" fontId="6" fillId="33" borderId="25" applyNumberFormat="0" applyFont="0" applyAlignment="0" applyProtection="0"/>
    <xf numFmtId="0" fontId="6" fillId="0" borderId="0"/>
    <xf numFmtId="0" fontId="6" fillId="44" borderId="0" applyNumberFormat="0" applyBorder="0" applyAlignment="0" applyProtection="0"/>
    <xf numFmtId="0" fontId="6" fillId="47"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0" borderId="0"/>
    <xf numFmtId="0" fontId="6" fillId="44" borderId="0" applyNumberFormat="0" applyBorder="0" applyAlignment="0" applyProtection="0"/>
    <xf numFmtId="0" fontId="6" fillId="40" borderId="0" applyNumberFormat="0" applyBorder="0" applyAlignment="0" applyProtection="0"/>
    <xf numFmtId="0" fontId="6" fillId="0" borderId="0"/>
    <xf numFmtId="0" fontId="6" fillId="43"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44" borderId="0" applyNumberFormat="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49" fillId="76" borderId="80" applyNumberForma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51" borderId="0" applyNumberFormat="0" applyBorder="0" applyAlignment="0" applyProtection="0"/>
    <xf numFmtId="0" fontId="6" fillId="0" borderId="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9" fillId="8" borderId="80" applyNumberFormat="0" applyAlignment="0" applyProtection="0"/>
    <xf numFmtId="0" fontId="6" fillId="43"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102" fillId="63" borderId="80" applyNumberFormat="0" applyAlignment="0" applyProtection="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79" borderId="81" applyNumberFormat="0" applyFont="0" applyAlignment="0" applyProtection="0"/>
    <xf numFmtId="0" fontId="32"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52" borderId="0" applyNumberFormat="0" applyBorder="0" applyAlignment="0" applyProtection="0"/>
    <xf numFmtId="0" fontId="6" fillId="0" borderId="0"/>
    <xf numFmtId="0" fontId="6" fillId="0" borderId="0"/>
    <xf numFmtId="0" fontId="6" fillId="5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6" fillId="0" borderId="0"/>
    <xf numFmtId="0" fontId="6" fillId="0" borderId="0"/>
    <xf numFmtId="0" fontId="43" fillId="79" borderId="81" applyNumberFormat="0" applyFont="0" applyAlignment="0" applyProtection="0"/>
    <xf numFmtId="0" fontId="62" fillId="76" borderId="8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124" fillId="76" borderId="82" applyNumberFormat="0" applyAlignment="0" applyProtection="0"/>
    <xf numFmtId="9" fontId="6" fillId="0" borderId="0" applyFont="0" applyFill="0" applyBorder="0" applyAlignment="0" applyProtection="0"/>
    <xf numFmtId="0" fontId="107" fillId="0" borderId="84" applyNumberFormat="0" applyFill="0" applyAlignment="0" applyProtection="0"/>
    <xf numFmtId="0" fontId="6" fillId="0" borderId="0"/>
    <xf numFmtId="0" fontId="46" fillId="21" borderId="83"/>
    <xf numFmtId="0" fontId="46" fillId="21" borderId="83"/>
    <xf numFmtId="0" fontId="6" fillId="36"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0" borderId="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44" borderId="0" applyNumberFormat="0" applyBorder="0" applyAlignment="0" applyProtection="0"/>
    <xf numFmtId="0" fontId="6" fillId="43" borderId="0" applyNumberFormat="0" applyBorder="0" applyAlignment="0" applyProtection="0"/>
    <xf numFmtId="0" fontId="6" fillId="0" borderId="0"/>
    <xf numFmtId="0" fontId="6" fillId="56"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79" borderId="81" applyNumberFormat="0" applyFont="0" applyAlignment="0" applyProtection="0"/>
    <xf numFmtId="0" fontId="32"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84" applyNumberFormat="0" applyFill="0" applyAlignment="0" applyProtection="0"/>
    <xf numFmtId="0" fontId="220" fillId="111" borderId="0" applyNumberFormat="0" applyBorder="0" applyAlignment="0" applyProtection="0"/>
    <xf numFmtId="0" fontId="41" fillId="112" borderId="0" applyNumberFormat="0" applyBorder="0" applyAlignment="0" applyProtection="0"/>
    <xf numFmtId="0" fontId="220" fillId="58" borderId="0" applyNumberFormat="0" applyBorder="0" applyAlignment="0" applyProtection="0"/>
    <xf numFmtId="0" fontId="220" fillId="113" borderId="0" applyNumberFormat="0" applyBorder="0" applyAlignment="0" applyProtection="0"/>
    <xf numFmtId="0" fontId="220" fillId="113" borderId="0" applyNumberFormat="0" applyBorder="0" applyAlignment="0" applyProtection="0"/>
    <xf numFmtId="0" fontId="41" fillId="78" borderId="0" applyNumberFormat="0" applyBorder="0" applyAlignment="0" applyProtection="0"/>
    <xf numFmtId="0" fontId="220" fillId="60" borderId="0" applyNumberFormat="0" applyBorder="0" applyAlignment="0" applyProtection="0"/>
    <xf numFmtId="0" fontId="220" fillId="115" borderId="0" applyNumberFormat="0" applyBorder="0" applyAlignment="0" applyProtection="0"/>
    <xf numFmtId="0" fontId="220" fillId="61" borderId="0" applyNumberFormat="0" applyBorder="0" applyAlignment="0" applyProtection="0"/>
    <xf numFmtId="0" fontId="220" fillId="111" borderId="0" applyNumberFormat="0" applyBorder="0" applyAlignment="0" applyProtection="0"/>
    <xf numFmtId="0" fontId="41" fillId="111" borderId="0" applyNumberFormat="0" applyBorder="0" applyAlignment="0" applyProtection="0"/>
    <xf numFmtId="0" fontId="220" fillId="111" borderId="0" applyNumberFormat="0" applyBorder="0" applyAlignment="0" applyProtection="0"/>
    <xf numFmtId="0" fontId="220" fillId="62" borderId="0" applyNumberFormat="0" applyBorder="0" applyAlignment="0" applyProtection="0"/>
    <xf numFmtId="0" fontId="220" fillId="63" borderId="0" applyNumberFormat="0" applyBorder="0" applyAlignment="0" applyProtection="0"/>
    <xf numFmtId="0" fontId="220" fillId="63" borderId="0" applyNumberFormat="0" applyBorder="0" applyAlignment="0" applyProtection="0"/>
    <xf numFmtId="0" fontId="220" fillId="76" borderId="0" applyNumberFormat="0" applyBorder="0" applyAlignment="0" applyProtection="0"/>
    <xf numFmtId="0" fontId="41" fillId="76" borderId="0" applyNumberFormat="0" applyBorder="0" applyAlignment="0" applyProtection="0"/>
    <xf numFmtId="0" fontId="220" fillId="76" borderId="0" applyNumberFormat="0" applyBorder="0" applyAlignment="0" applyProtection="0"/>
    <xf numFmtId="0" fontId="220" fillId="64" borderId="0" applyNumberFormat="0" applyBorder="0" applyAlignment="0" applyProtection="0"/>
    <xf numFmtId="0" fontId="220" fillId="113" borderId="0" applyNumberFormat="0" applyBorder="0" applyAlignment="0" applyProtection="0"/>
    <xf numFmtId="0" fontId="41" fillId="115" borderId="0" applyNumberFormat="0" applyBorder="0" applyAlignment="0" applyProtection="0"/>
    <xf numFmtId="0" fontId="220" fillId="113" borderId="0" applyNumberFormat="0" applyBorder="0" applyAlignment="0" applyProtection="0"/>
    <xf numFmtId="0" fontId="220" fillId="65" borderId="0" applyNumberFormat="0" applyBorder="0" applyAlignment="0" applyProtection="0"/>
    <xf numFmtId="0" fontId="220" fillId="74" borderId="0" applyNumberFormat="0" applyBorder="0" applyAlignment="0" applyProtection="0"/>
    <xf numFmtId="0" fontId="41" fillId="115" borderId="0" applyNumberFormat="0" applyBorder="0" applyAlignment="0" applyProtection="0"/>
    <xf numFmtId="0" fontId="220" fillId="74" borderId="0" applyNumberFormat="0" applyBorder="0" applyAlignment="0" applyProtection="0"/>
    <xf numFmtId="0" fontId="220" fillId="66" borderId="0" applyNumberFormat="0" applyBorder="0" applyAlignment="0" applyProtection="0"/>
    <xf numFmtId="0" fontId="220" fillId="116" borderId="0" applyNumberFormat="0" applyBorder="0" applyAlignment="0" applyProtection="0"/>
    <xf numFmtId="0" fontId="41" fillId="76" borderId="0" applyNumberFormat="0" applyBorder="0" applyAlignment="0" applyProtection="0"/>
    <xf numFmtId="0" fontId="220" fillId="116" borderId="0" applyNumberFormat="0" applyBorder="0" applyAlignment="0" applyProtection="0"/>
    <xf numFmtId="0" fontId="220" fillId="61" borderId="0" applyNumberFormat="0" applyBorder="0" applyAlignment="0" applyProtection="0"/>
    <xf numFmtId="0" fontId="220" fillId="117" borderId="0" applyNumberFormat="0" applyBorder="0" applyAlignment="0" applyProtection="0"/>
    <xf numFmtId="0" fontId="41" fillId="52" borderId="0" applyNumberFormat="0" applyBorder="0" applyAlignment="0" applyProtection="0"/>
    <xf numFmtId="0" fontId="220" fillId="117" borderId="0" applyNumberFormat="0" applyBorder="0" applyAlignment="0" applyProtection="0"/>
    <xf numFmtId="0" fontId="220" fillId="64" borderId="0" applyNumberFormat="0" applyBorder="0" applyAlignment="0" applyProtection="0"/>
    <xf numFmtId="0" fontId="220" fillId="63" borderId="0" applyNumberFormat="0" applyBorder="0" applyAlignment="0" applyProtection="0"/>
    <xf numFmtId="0" fontId="41" fillId="63" borderId="0" applyNumberFormat="0" applyBorder="0" applyAlignment="0" applyProtection="0"/>
    <xf numFmtId="0" fontId="220" fillId="63" borderId="0" applyNumberFormat="0" applyBorder="0" applyAlignment="0" applyProtection="0"/>
    <xf numFmtId="0" fontId="220" fillId="67" borderId="0" applyNumberFormat="0" applyBorder="0" applyAlignment="0" applyProtection="0"/>
    <xf numFmtId="0" fontId="231" fillId="118" borderId="0" applyNumberFormat="0" applyBorder="0" applyAlignment="0" applyProtection="0"/>
    <xf numFmtId="0" fontId="154" fillId="119" borderId="0" applyNumberFormat="0" applyBorder="0" applyAlignment="0" applyProtection="0"/>
    <xf numFmtId="0" fontId="231" fillId="118" borderId="0" applyNumberFormat="0" applyBorder="0" applyAlignment="0" applyProtection="0"/>
    <xf numFmtId="0" fontId="231" fillId="113" borderId="0" applyNumberFormat="0" applyBorder="0" applyAlignment="0" applyProtection="0"/>
    <xf numFmtId="0" fontId="154" fillId="115" borderId="0" applyNumberFormat="0" applyBorder="0" applyAlignment="0" applyProtection="0"/>
    <xf numFmtId="0" fontId="231" fillId="113" borderId="0" applyNumberFormat="0" applyBorder="0" applyAlignment="0" applyProtection="0"/>
    <xf numFmtId="0" fontId="231" fillId="74" borderId="0" applyNumberFormat="0" applyBorder="0" applyAlignment="0" applyProtection="0"/>
    <xf numFmtId="0" fontId="154" fillId="115" borderId="0" applyNumberFormat="0" applyBorder="0" applyAlignment="0" applyProtection="0"/>
    <xf numFmtId="0" fontId="231" fillId="74" borderId="0" applyNumberFormat="0" applyBorder="0" applyAlignment="0" applyProtection="0"/>
    <xf numFmtId="0" fontId="231" fillId="116" borderId="0" applyNumberFormat="0" applyBorder="0" applyAlignment="0" applyProtection="0"/>
    <xf numFmtId="0" fontId="154" fillId="76" borderId="0" applyNumberFormat="0" applyBorder="0" applyAlignment="0" applyProtection="0"/>
    <xf numFmtId="0" fontId="231" fillId="116" borderId="0" applyNumberFormat="0" applyBorder="0" applyAlignment="0" applyProtection="0"/>
    <xf numFmtId="0" fontId="231" fillId="118" borderId="0" applyNumberFormat="0" applyBorder="0" applyAlignment="0" applyProtection="0"/>
    <xf numFmtId="0" fontId="154" fillId="53" borderId="0" applyNumberFormat="0" applyBorder="0" applyAlignment="0" applyProtection="0"/>
    <xf numFmtId="0" fontId="231" fillId="118" borderId="0" applyNumberFormat="0" applyBorder="0" applyAlignment="0" applyProtection="0"/>
    <xf numFmtId="0" fontId="231" fillId="67" borderId="0" applyNumberFormat="0" applyBorder="0" applyAlignment="0" applyProtection="0"/>
    <xf numFmtId="0" fontId="154" fillId="63" borderId="0" applyNumberFormat="0" applyBorder="0" applyAlignment="0" applyProtection="0"/>
    <xf numFmtId="0" fontId="231" fillId="67" borderId="0" applyNumberFormat="0" applyBorder="0" applyAlignment="0" applyProtection="0"/>
    <xf numFmtId="0" fontId="154" fillId="119"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54" fillId="115"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54" fillId="69"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54" fillId="117"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54" fillId="139"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37" fillId="28" borderId="0" applyNumberFormat="0" applyBorder="0" applyAlignment="0" applyProtection="0"/>
    <xf numFmtId="0" fontId="238" fillId="136" borderId="0" applyNumberFormat="0" applyBorder="0" applyAlignment="0" applyProtection="0"/>
    <xf numFmtId="0" fontId="82" fillId="28" borderId="0" applyNumberFormat="0" applyBorder="0" applyAlignment="0" applyProtection="0"/>
    <xf numFmtId="0" fontId="239" fillId="59" borderId="0" applyNumberFormat="0" applyBorder="0" applyAlignment="0" applyProtection="0"/>
    <xf numFmtId="0" fontId="252" fillId="112" borderId="21" applyNumberFormat="0" applyAlignment="0" applyProtection="0"/>
    <xf numFmtId="0" fontId="253" fillId="144" borderId="110" applyNumberFormat="0" applyAlignment="0" applyProtection="0"/>
    <xf numFmtId="0" fontId="135" fillId="32" borderId="24" applyNumberFormat="0" applyAlignment="0" applyProtection="0"/>
    <xf numFmtId="0" fontId="115" fillId="133" borderId="5" applyNumberFormat="0" applyAlignment="0" applyProtection="0"/>
    <xf numFmtId="0" fontId="88" fillId="32" borderId="24" applyNumberFormat="0" applyAlignment="0" applyProtection="0"/>
    <xf numFmtId="0" fontId="243" fillId="77" borderId="5" applyNumberFormat="0" applyAlignment="0" applyProtection="0"/>
    <xf numFmtId="0" fontId="32" fillId="0" borderId="0" applyFont="0" applyFill="0" applyBorder="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3" fillId="0" borderId="0" applyFont="0" applyFill="0" applyBorder="0" applyAlignment="0" applyProtection="0"/>
    <xf numFmtId="0" fontId="219" fillId="0" borderId="0" applyFont="0" applyFill="0" applyBorder="0" applyAlignment="0" applyProtection="0">
      <alignment horizontal="right"/>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49" fontId="217" fillId="0" borderId="0" applyFont="0" applyFill="0" applyBorder="0" applyAlignment="0" applyProtection="0"/>
    <xf numFmtId="250" fontId="32" fillId="0" borderId="0" applyFont="0" applyFill="0" applyBorder="0" applyAlignment="0" applyProtection="0"/>
    <xf numFmtId="0" fontId="136" fillId="27" borderId="0" applyNumberFormat="0" applyBorder="0" applyAlignment="0" applyProtection="0"/>
    <xf numFmtId="0" fontId="111" fillId="129" borderId="0" applyNumberFormat="0" applyBorder="0" applyAlignment="0" applyProtection="0"/>
    <xf numFmtId="0" fontId="81" fillId="27" borderId="0" applyNumberFormat="0" applyBorder="0" applyAlignment="0" applyProtection="0"/>
    <xf numFmtId="0" fontId="297" fillId="0" borderId="19" applyNumberFormat="0" applyFill="0" applyAlignment="0" applyProtection="0"/>
    <xf numFmtId="0" fontId="298" fillId="0" borderId="126" applyNumberFormat="0" applyFill="0" applyAlignment="0" applyProtection="0"/>
    <xf numFmtId="0" fontId="301" fillId="0" borderId="127" applyNumberFormat="0" applyFill="0" applyAlignment="0" applyProtection="0"/>
    <xf numFmtId="0" fontId="301" fillId="0" borderId="0" applyNumberFormat="0" applyFill="0" applyBorder="0" applyAlignment="0" applyProtection="0"/>
    <xf numFmtId="0" fontId="212" fillId="0" borderId="0" applyNumberFormat="0" applyFill="0" applyBorder="0" applyAlignment="0" applyProtection="0">
      <alignment horizontal="left"/>
    </xf>
    <xf numFmtId="0" fontId="138" fillId="29" borderId="0" applyNumberFormat="0" applyBorder="0" applyAlignment="0" applyProtection="0"/>
    <xf numFmtId="0" fontId="32" fillId="0" borderId="0"/>
    <xf numFmtId="189" fontId="32" fillId="0" borderId="0">
      <alignment horizontal="left" wrapText="1"/>
    </xf>
    <xf numFmtId="189" fontId="32" fillId="0" borderId="0">
      <alignment horizontal="left" wrapText="1"/>
    </xf>
    <xf numFmtId="0" fontId="220" fillId="0" borderId="0"/>
    <xf numFmtId="0" fontId="334" fillId="0" borderId="0"/>
    <xf numFmtId="0" fontId="67" fillId="162" borderId="0"/>
    <xf numFmtId="189" fontId="220"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1" borderId="0" applyNumberFormat="0" applyBorder="0" applyAlignment="0" applyProtection="0"/>
    <xf numFmtId="0" fontId="294" fillId="0" borderId="124" applyNumberFormat="0" applyFill="0" applyAlignment="0" applyProtection="0"/>
    <xf numFmtId="0" fontId="301" fillId="0" borderId="0" applyNumberFormat="0" applyFill="0" applyBorder="0" applyAlignment="0" applyProtection="0"/>
    <xf numFmtId="0" fontId="32" fillId="0" borderId="0"/>
    <xf numFmtId="0" fontId="32" fillId="0" borderId="0"/>
    <xf numFmtId="0" fontId="49" fillId="2" borderId="80" applyNumberFormat="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43"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301" fillId="0" borderId="129" applyNumberFormat="0" applyFill="0" applyAlignment="0" applyProtection="0"/>
    <xf numFmtId="0" fontId="6" fillId="55"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32" fillId="0" borderId="0"/>
    <xf numFmtId="0" fontId="32"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40" borderId="0" applyNumberFormat="0" applyBorder="0" applyAlignment="0" applyProtection="0"/>
    <xf numFmtId="0" fontId="3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6" fillId="0" borderId="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7"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52"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55" borderId="0" applyNumberFormat="0" applyBorder="0" applyAlignment="0" applyProtection="0"/>
    <xf numFmtId="0" fontId="293" fillId="0" borderId="1">
      <alignment horizontal="center"/>
    </xf>
    <xf numFmtId="0" fontId="294" fillId="0" borderId="125" applyNumberFormat="0" applyFill="0" applyAlignment="0" applyProtection="0"/>
    <xf numFmtId="0" fontId="313" fillId="137" borderId="110" applyNumberFormat="0" applyAlignment="0" applyProtection="0"/>
    <xf numFmtId="0" fontId="313" fillId="137" borderId="110" applyNumberFormat="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3" borderId="0" applyNumberFormat="0" applyBorder="0" applyAlignment="0" applyProtection="0"/>
    <xf numFmtId="0" fontId="6" fillId="0" borderId="0"/>
    <xf numFmtId="0" fontId="6" fillId="51"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56" borderId="0" applyNumberFormat="0" applyBorder="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189" fontId="32" fillId="0" borderId="0">
      <alignment horizontal="left" wrapText="1"/>
    </xf>
    <xf numFmtId="0" fontId="6" fillId="33" borderId="25" applyNumberFormat="0" applyFont="0" applyAlignment="0" applyProtection="0"/>
    <xf numFmtId="0" fontId="6" fillId="0" borderId="0"/>
    <xf numFmtId="0" fontId="59" fillId="63" borderId="80" applyNumberFormat="0" applyAlignment="0" applyProtection="0"/>
    <xf numFmtId="0" fontId="6" fillId="40"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0" fontId="6" fillId="40"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56" borderId="0" applyNumberFormat="0" applyBorder="0" applyAlignment="0" applyProtection="0"/>
    <xf numFmtId="0" fontId="32"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49" fillId="76" borderId="80" applyNumberForma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56" borderId="0" applyNumberFormat="0" applyBorder="0" applyAlignment="0" applyProtection="0"/>
    <xf numFmtId="0" fontId="6" fillId="0" borderId="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48" borderId="0" applyNumberFormat="0" applyBorder="0" applyAlignment="0" applyProtection="0"/>
    <xf numFmtId="0" fontId="6" fillId="0" borderId="0"/>
    <xf numFmtId="0" fontId="6" fillId="55" borderId="0" applyNumberFormat="0" applyBorder="0" applyAlignment="0" applyProtection="0"/>
    <xf numFmtId="0" fontId="32" fillId="0" borderId="0"/>
    <xf numFmtId="0" fontId="6" fillId="35"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39"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3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49" fillId="2" borderId="80" applyNumberFormat="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2"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47" borderId="0" applyNumberFormat="0" applyBorder="0" applyAlignment="0" applyProtection="0"/>
    <xf numFmtId="0" fontId="32" fillId="0" borderId="0"/>
    <xf numFmtId="9" fontId="32"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1"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59" fillId="8" borderId="80" applyNumberFormat="0" applyAlignment="0" applyProtection="0"/>
    <xf numFmtId="0" fontId="6" fillId="43"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0" borderId="0"/>
    <xf numFmtId="0" fontId="6" fillId="40"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3" borderId="0" applyNumberFormat="0" applyBorder="0" applyAlignment="0" applyProtection="0"/>
    <xf numFmtId="0" fontId="6" fillId="0" borderId="0"/>
    <xf numFmtId="0" fontId="6" fillId="55" borderId="0" applyNumberFormat="0" applyBorder="0" applyAlignment="0" applyProtection="0"/>
    <xf numFmtId="0" fontId="6" fillId="39"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8"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56"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51" borderId="0" applyNumberFormat="0" applyBorder="0" applyAlignment="0" applyProtection="0"/>
    <xf numFmtId="0" fontId="59" fillId="63" borderId="80" applyNumberFormat="0" applyAlignment="0" applyProtection="0"/>
    <xf numFmtId="0" fontId="6" fillId="0" borderId="0"/>
    <xf numFmtId="0" fontId="6" fillId="0" borderId="0"/>
    <xf numFmtId="0" fontId="6" fillId="33" borderId="25" applyNumberFormat="0" applyFont="0" applyAlignment="0" applyProtection="0"/>
    <xf numFmtId="0" fontId="6" fillId="43"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0" borderId="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51" borderId="0" applyNumberFormat="0" applyBorder="0" applyAlignment="0" applyProtection="0"/>
    <xf numFmtId="0" fontId="6" fillId="0" borderId="0"/>
    <xf numFmtId="0" fontId="6" fillId="39"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0" borderId="0"/>
    <xf numFmtId="44" fontId="6" fillId="0" borderId="0" applyFont="0" applyFill="0" applyBorder="0" applyAlignment="0" applyProtection="0"/>
    <xf numFmtId="0" fontId="6" fillId="56" borderId="0" applyNumberFormat="0" applyBorder="0" applyAlignment="0" applyProtection="0"/>
    <xf numFmtId="0" fontId="6" fillId="0" borderId="0"/>
    <xf numFmtId="0" fontId="6" fillId="5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44" borderId="0" applyNumberFormat="0" applyBorder="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0" fontId="49" fillId="2" borderId="80" applyNumberFormat="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3" borderId="0" applyNumberFormat="0" applyBorder="0" applyAlignment="0" applyProtection="0"/>
    <xf numFmtId="0" fontId="6" fillId="44" borderId="0" applyNumberFormat="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49" fillId="2" borderId="80" applyNumberFormat="0" applyAlignment="0" applyProtection="0"/>
    <xf numFmtId="0" fontId="6" fillId="0" borderId="0"/>
    <xf numFmtId="0" fontId="6" fillId="52" borderId="0" applyNumberFormat="0" applyBorder="0" applyAlignment="0" applyProtection="0"/>
    <xf numFmtId="0" fontId="6" fillId="33" borderId="25" applyNumberFormat="0" applyFont="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55" borderId="0" applyNumberFormat="0" applyBorder="0" applyAlignment="0" applyProtection="0"/>
    <xf numFmtId="0" fontId="6" fillId="0" borderId="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44" borderId="0" applyNumberFormat="0" applyBorder="0" applyAlignment="0" applyProtection="0"/>
    <xf numFmtId="0" fontId="6" fillId="55"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3"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51"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33" borderId="25" applyNumberFormat="0" applyFont="0" applyAlignment="0" applyProtection="0"/>
    <xf numFmtId="0" fontId="6" fillId="0" borderId="0"/>
    <xf numFmtId="0" fontId="6" fillId="43" borderId="0" applyNumberFormat="0" applyBorder="0" applyAlignment="0" applyProtection="0"/>
    <xf numFmtId="0" fontId="59" fillId="8" borderId="80" applyNumberFormat="0" applyAlignment="0" applyProtection="0"/>
    <xf numFmtId="0" fontId="6" fillId="56"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44"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104" fillId="76" borderId="80" applyNumberFormat="0" applyAlignment="0" applyProtection="0"/>
    <xf numFmtId="0" fontId="6" fillId="0" borderId="0"/>
    <xf numFmtId="0" fontId="6" fillId="56"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55"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0" fontId="6" fillId="40"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0" borderId="0"/>
    <xf numFmtId="0" fontId="59" fillId="8" borderId="80" applyNumberFormat="0" applyAlignment="0" applyProtection="0"/>
    <xf numFmtId="0" fontId="6" fillId="0" borderId="0"/>
    <xf numFmtId="0" fontId="6" fillId="48" borderId="0" applyNumberFormat="0" applyBorder="0" applyAlignment="0" applyProtection="0"/>
    <xf numFmtId="0" fontId="6" fillId="0" borderId="0"/>
    <xf numFmtId="0" fontId="6" fillId="48"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33" borderId="25" applyNumberFormat="0" applyFont="0" applyAlignment="0" applyProtection="0"/>
    <xf numFmtId="0" fontId="6" fillId="43" borderId="0" applyNumberFormat="0" applyBorder="0" applyAlignment="0" applyProtection="0"/>
    <xf numFmtId="44"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6"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4" borderId="0" applyNumberFormat="0" applyBorder="0" applyAlignment="0" applyProtection="0"/>
    <xf numFmtId="0" fontId="6" fillId="35" borderId="0" applyNumberFormat="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0" fontId="49" fillId="2" borderId="80" applyNumberFormat="0" applyAlignment="0" applyProtection="0"/>
    <xf numFmtId="0" fontId="6" fillId="0" borderId="0"/>
    <xf numFmtId="0" fontId="6" fillId="51" borderId="0" applyNumberFormat="0" applyBorder="0" applyAlignment="0" applyProtection="0"/>
    <xf numFmtId="43" fontId="6" fillId="0" borderId="0" applyFont="0" applyFill="0" applyBorder="0" applyAlignment="0" applyProtection="0"/>
    <xf numFmtId="0" fontId="6" fillId="0" borderId="0"/>
    <xf numFmtId="0" fontId="6" fillId="36" borderId="0" applyNumberFormat="0" applyBorder="0" applyAlignment="0" applyProtection="0"/>
    <xf numFmtId="0" fontId="6" fillId="0" borderId="0"/>
    <xf numFmtId="0" fontId="6" fillId="36"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0" borderId="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43"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3" borderId="25" applyNumberFormat="0" applyFont="0" applyAlignment="0" applyProtection="0"/>
    <xf numFmtId="0" fontId="6" fillId="51" borderId="0" applyNumberFormat="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0" fontId="6" fillId="0" borderId="0"/>
    <xf numFmtId="0" fontId="6" fillId="36"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51" borderId="0" applyNumberFormat="0" applyBorder="0" applyAlignment="0" applyProtection="0"/>
    <xf numFmtId="0" fontId="59" fillId="8" borderId="80" applyNumberFormat="0" applyAlignment="0" applyProtection="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4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35" borderId="0" applyNumberFormat="0" applyBorder="0" applyAlignment="0" applyProtection="0"/>
    <xf numFmtId="0" fontId="6" fillId="33" borderId="25" applyNumberFormat="0" applyFont="0" applyAlignment="0" applyProtection="0"/>
    <xf numFmtId="0" fontId="6" fillId="43" borderId="0" applyNumberFormat="0" applyBorder="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43" borderId="0" applyNumberFormat="0" applyBorder="0" applyAlignment="0" applyProtection="0"/>
    <xf numFmtId="0" fontId="49" fillId="2" borderId="80" applyNumberFormat="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56"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0" fontId="6" fillId="35" borderId="0" applyNumberFormat="0" applyBorder="0" applyAlignment="0" applyProtection="0"/>
    <xf numFmtId="43" fontId="6" fillId="0" borderId="0" applyFont="0" applyFill="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0" borderId="0"/>
    <xf numFmtId="0" fontId="6" fillId="43"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33" borderId="25" applyNumberFormat="0" applyFont="0" applyAlignment="0" applyProtection="0"/>
    <xf numFmtId="0" fontId="6" fillId="35"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0" borderId="0"/>
    <xf numFmtId="0" fontId="6" fillId="48" borderId="0" applyNumberFormat="0" applyBorder="0" applyAlignment="0" applyProtection="0"/>
    <xf numFmtId="0" fontId="6" fillId="35" borderId="0" applyNumberFormat="0" applyBorder="0" applyAlignment="0" applyProtection="0"/>
    <xf numFmtId="0" fontId="49" fillId="2" borderId="80" applyNumberFormat="0" applyAlignment="0" applyProtection="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43"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59" fillId="8" borderId="80" applyNumberFormat="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346" fillId="112" borderId="22" applyNumberFormat="0" applyAlignment="0" applyProtection="0"/>
    <xf numFmtId="0" fontId="32" fillId="0" borderId="0"/>
    <xf numFmtId="0" fontId="32" fillId="0" borderId="0"/>
    <xf numFmtId="0" fontId="6" fillId="39" borderId="0" applyNumberFormat="0" applyBorder="0" applyAlignment="0" applyProtection="0"/>
    <xf numFmtId="0" fontId="220" fillId="114"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0" fontId="6" fillId="0" borderId="0"/>
    <xf numFmtId="0" fontId="6" fillId="0" borderId="0"/>
    <xf numFmtId="0" fontId="6" fillId="51" borderId="0" applyNumberFormat="0" applyBorder="0" applyAlignment="0" applyProtection="0"/>
    <xf numFmtId="0" fontId="6" fillId="0" borderId="0"/>
    <xf numFmtId="43" fontId="6" fillId="0" borderId="0" applyFont="0" applyFill="0" applyBorder="0" applyAlignment="0" applyProtection="0"/>
    <xf numFmtId="0" fontId="6" fillId="48"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47" borderId="0" applyNumberFormat="0" applyBorder="0" applyAlignment="0" applyProtection="0"/>
    <xf numFmtId="0" fontId="6" fillId="48"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44" borderId="0" applyNumberFormat="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0" fontId="6" fillId="55"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39"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59" fillId="8" borderId="80" applyNumberFormat="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59" fillId="8" borderId="80" applyNumberFormat="0" applyAlignment="0" applyProtection="0"/>
    <xf numFmtId="0" fontId="6" fillId="0" borderId="0"/>
    <xf numFmtId="0" fontId="62" fillId="2" borderId="82" applyNumberFormat="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55" borderId="0" applyNumberFormat="0" applyBorder="0" applyAlignment="0" applyProtection="0"/>
    <xf numFmtId="0" fontId="6" fillId="0" borderId="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51" borderId="0" applyNumberFormat="0" applyBorder="0" applyAlignment="0" applyProtection="0"/>
    <xf numFmtId="0" fontId="6" fillId="0" borderId="0"/>
    <xf numFmtId="0" fontId="6" fillId="0" borderId="0"/>
    <xf numFmtId="0" fontId="46" fillId="21" borderId="83"/>
    <xf numFmtId="0" fontId="6" fillId="35"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0" borderId="0"/>
    <xf numFmtId="0" fontId="6" fillId="52" borderId="0" applyNumberFormat="0" applyBorder="0" applyAlignment="0" applyProtection="0"/>
    <xf numFmtId="0" fontId="6" fillId="43"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48" borderId="0" applyNumberFormat="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43" fontId="6" fillId="0" borderId="0" applyFont="0" applyFill="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59" fillId="8" borderId="80" applyNumberFormat="0" applyAlignment="0" applyProtection="0"/>
    <xf numFmtId="0" fontId="6" fillId="0" borderId="0"/>
    <xf numFmtId="0" fontId="6" fillId="47" borderId="0" applyNumberFormat="0" applyBorder="0" applyAlignment="0" applyProtection="0"/>
    <xf numFmtId="0" fontId="6" fillId="55" borderId="0" applyNumberFormat="0" applyBorder="0" applyAlignment="0" applyProtection="0"/>
    <xf numFmtId="0" fontId="6" fillId="0" borderId="0"/>
    <xf numFmtId="0" fontId="6" fillId="55" borderId="0" applyNumberFormat="0" applyBorder="0" applyAlignment="0" applyProtection="0"/>
    <xf numFmtId="0" fontId="6" fillId="40" borderId="0" applyNumberFormat="0" applyBorder="0" applyAlignment="0" applyProtection="0"/>
    <xf numFmtId="0" fontId="6" fillId="33" borderId="25" applyNumberFormat="0" applyFont="0" applyAlignment="0" applyProtection="0"/>
    <xf numFmtId="0" fontId="6" fillId="0" borderId="0"/>
    <xf numFmtId="0" fontId="59" fillId="8" borderId="80" applyNumberFormat="0" applyAlignment="0" applyProtection="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0"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0" borderId="0"/>
    <xf numFmtId="0" fontId="6" fillId="56"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40"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0" fontId="6" fillId="33" borderId="25" applyNumberFormat="0" applyFont="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59" fillId="8" borderId="80" applyNumberFormat="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35"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43" fillId="23" borderId="81" applyNumberFormat="0" applyFont="0" applyAlignment="0" applyProtection="0"/>
    <xf numFmtId="0" fontId="103" fillId="76" borderId="82" applyNumberFormat="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59" fillId="8" borderId="80" applyNumberFormat="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0" fontId="6" fillId="52" borderId="0" applyNumberFormat="0" applyBorder="0" applyAlignment="0" applyProtection="0"/>
    <xf numFmtId="0" fontId="6" fillId="43"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9"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3"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40"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9"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0" borderId="0"/>
    <xf numFmtId="0" fontId="6" fillId="36"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9" fillId="2" borderId="80" applyNumberFormat="0" applyAlignment="0" applyProtection="0"/>
    <xf numFmtId="0" fontId="59" fillId="8" borderId="80"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46" fillId="21" borderId="83"/>
    <xf numFmtId="0" fontId="6" fillId="0" borderId="0"/>
    <xf numFmtId="0" fontId="6" fillId="43"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36" borderId="0" applyNumberFormat="0" applyBorder="0" applyAlignment="0" applyProtection="0"/>
    <xf numFmtId="0" fontId="59" fillId="8" borderId="80" applyNumberForma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32" fillId="79" borderId="81" applyNumberFormat="0" applyFont="0" applyAlignment="0" applyProtection="0"/>
    <xf numFmtId="9" fontId="6" fillId="0" borderId="0" applyFont="0" applyFill="0" applyBorder="0" applyAlignment="0" applyProtection="0"/>
    <xf numFmtId="0" fontId="49" fillId="2" borderId="80" applyNumberFormat="0" applyAlignment="0" applyProtection="0"/>
    <xf numFmtId="0" fontId="6" fillId="55" borderId="0" applyNumberFormat="0" applyBorder="0" applyAlignment="0" applyProtection="0"/>
    <xf numFmtId="0" fontId="6" fillId="0" borderId="0"/>
    <xf numFmtId="0" fontId="43" fillId="23" borderId="81" applyNumberFormat="0" applyFont="0" applyAlignment="0" applyProtection="0"/>
    <xf numFmtId="0" fontId="32" fillId="79" borderId="81" applyNumberFormat="0" applyFont="0" applyAlignment="0" applyProtection="0"/>
    <xf numFmtId="0" fontId="6" fillId="52"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47"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72" fillId="0" borderId="84" applyNumberFormat="0" applyFill="0" applyAlignment="0" applyProtection="0"/>
    <xf numFmtId="0" fontId="62" fillId="2" borderId="82" applyNumberFormat="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59" fillId="8" borderId="80" applyNumberFormat="0" applyAlignment="0" applyProtection="0"/>
    <xf numFmtId="0" fontId="43" fillId="23" borderId="81" applyNumberFormat="0" applyFont="0" applyAlignment="0" applyProtection="0"/>
    <xf numFmtId="0" fontId="6" fillId="52" borderId="0" applyNumberFormat="0" applyBorder="0" applyAlignment="0" applyProtection="0"/>
    <xf numFmtId="0" fontId="6" fillId="36" borderId="0" applyNumberFormat="0" applyBorder="0" applyAlignment="0" applyProtection="0"/>
    <xf numFmtId="0" fontId="6" fillId="0" borderId="0"/>
    <xf numFmtId="0" fontId="43" fillId="23" borderId="81" applyNumberFormat="0" applyFont="0" applyAlignment="0" applyProtection="0"/>
    <xf numFmtId="0" fontId="6" fillId="56" borderId="0" applyNumberFormat="0" applyBorder="0" applyAlignment="0" applyProtection="0"/>
    <xf numFmtId="0" fontId="6" fillId="44"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0" fontId="62" fillId="2" borderId="82" applyNumberForma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49" fillId="2" borderId="80" applyNumberFormat="0" applyAlignment="0" applyProtection="0"/>
    <xf numFmtId="0" fontId="49" fillId="2" borderId="80" applyNumberFormat="0" applyAlignment="0" applyProtection="0"/>
    <xf numFmtId="0" fontId="46" fillId="21" borderId="83"/>
    <xf numFmtId="0" fontId="6" fillId="0" borderId="0"/>
    <xf numFmtId="0" fontId="6" fillId="40"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40" borderId="0" applyNumberFormat="0" applyBorder="0" applyAlignment="0" applyProtection="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0" borderId="0"/>
    <xf numFmtId="0" fontId="59" fillId="8" borderId="80" applyNumberFormat="0" applyAlignment="0" applyProtection="0"/>
    <xf numFmtId="0" fontId="6" fillId="0" borderId="0"/>
    <xf numFmtId="0" fontId="6" fillId="0" borderId="0"/>
    <xf numFmtId="0" fontId="6" fillId="55" borderId="0" applyNumberFormat="0" applyBorder="0" applyAlignment="0" applyProtection="0"/>
    <xf numFmtId="0" fontId="6" fillId="52"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56" borderId="0" applyNumberFormat="0" applyBorder="0" applyAlignment="0" applyProtection="0"/>
    <xf numFmtId="0" fontId="6" fillId="52"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0" borderId="0"/>
    <xf numFmtId="0" fontId="43" fillId="23" borderId="81" applyNumberFormat="0" applyFont="0" applyAlignment="0" applyProtection="0"/>
    <xf numFmtId="0" fontId="32" fillId="79" borderId="81" applyNumberFormat="0" applyFont="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6" borderId="0" applyNumberFormat="0" applyBorder="0" applyAlignment="0" applyProtection="0"/>
    <xf numFmtId="0" fontId="6" fillId="52" borderId="0" applyNumberFormat="0" applyBorder="0" applyAlignment="0" applyProtection="0"/>
    <xf numFmtId="0" fontId="6" fillId="0" borderId="0"/>
    <xf numFmtId="0" fontId="6" fillId="48"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2" fillId="2" borderId="8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59" fillId="8" borderId="80" applyNumberFormat="0" applyAlignment="0" applyProtection="0"/>
    <xf numFmtId="0" fontId="6" fillId="4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43" fillId="23" borderId="81" applyNumberFormat="0" applyFont="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2" fillId="2" borderId="82" applyNumberForma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7" borderId="0" applyNumberFormat="0" applyBorder="0" applyAlignment="0" applyProtection="0"/>
    <xf numFmtId="0" fontId="72" fillId="0" borderId="84" applyNumberFormat="0" applyFill="0" applyAlignment="0" applyProtection="0"/>
    <xf numFmtId="0" fontId="32" fillId="0" borderId="0"/>
    <xf numFmtId="9" fontId="6" fillId="0" borderId="0" applyFont="0" applyFill="0" applyBorder="0" applyAlignment="0" applyProtection="0"/>
    <xf numFmtId="0" fontId="6" fillId="35" borderId="0" applyNumberFormat="0" applyBorder="0" applyAlignment="0" applyProtection="0"/>
    <xf numFmtId="0" fontId="6" fillId="48"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0" fontId="6" fillId="35" borderId="0" applyNumberFormat="0" applyBorder="0" applyAlignment="0" applyProtection="0"/>
    <xf numFmtId="9" fontId="6" fillId="0" borderId="0" applyFont="0" applyFill="0" applyBorder="0" applyAlignment="0" applyProtection="0"/>
    <xf numFmtId="0" fontId="6" fillId="0" borderId="0"/>
    <xf numFmtId="0" fontId="59" fillId="8" borderId="80" applyNumberFormat="0" applyAlignment="0" applyProtection="0"/>
    <xf numFmtId="9" fontId="6" fillId="0" borderId="0" applyFont="0" applyFill="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39" borderId="0" applyNumberFormat="0" applyBorder="0" applyAlignment="0" applyProtection="0"/>
    <xf numFmtId="0" fontId="6" fillId="56" borderId="0" applyNumberFormat="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0" fontId="6" fillId="55"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46" fillId="21" borderId="83"/>
    <xf numFmtId="0" fontId="6" fillId="0" borderId="0"/>
    <xf numFmtId="9" fontId="6" fillId="0" borderId="0" applyFont="0" applyFill="0" applyBorder="0" applyAlignment="0" applyProtection="0"/>
    <xf numFmtId="0" fontId="6" fillId="40" borderId="0" applyNumberFormat="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39" borderId="0" applyNumberFormat="0" applyBorder="0" applyAlignment="0" applyProtection="0"/>
    <xf numFmtId="0" fontId="216" fillId="0" borderId="0"/>
    <xf numFmtId="0" fontId="43" fillId="23" borderId="81" applyNumberFormat="0" applyFont="0" applyAlignment="0" applyProtection="0"/>
    <xf numFmtId="0" fontId="6" fillId="0" borderId="0"/>
    <xf numFmtId="0" fontId="6" fillId="55"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36" borderId="0" applyNumberFormat="0" applyBorder="0" applyAlignment="0" applyProtection="0"/>
    <xf numFmtId="0" fontId="6" fillId="0" borderId="0"/>
    <xf numFmtId="0" fontId="6" fillId="55" borderId="0" applyNumberFormat="0" applyBorder="0" applyAlignment="0" applyProtection="0"/>
    <xf numFmtId="0" fontId="6" fillId="56" borderId="0" applyNumberFormat="0" applyBorder="0" applyAlignment="0" applyProtection="0"/>
    <xf numFmtId="0" fontId="62" fillId="2" borderId="82" applyNumberForma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215" fontId="32" fillId="23" borderId="112"/>
    <xf numFmtId="0" fontId="6" fillId="44" borderId="0" applyNumberFormat="0" applyBorder="0" applyAlignment="0" applyProtection="0"/>
    <xf numFmtId="0" fontId="49" fillId="2" borderId="80" applyNumberFormat="0" applyAlignment="0" applyProtection="0"/>
    <xf numFmtId="0" fontId="6" fillId="0" borderId="0"/>
    <xf numFmtId="0" fontId="43" fillId="23" borderId="81" applyNumberFormat="0" applyFont="0" applyAlignment="0" applyProtection="0"/>
    <xf numFmtId="0" fontId="32" fillId="79" borderId="81" applyNumberFormat="0" applyFont="0" applyAlignment="0" applyProtection="0"/>
    <xf numFmtId="0" fontId="6" fillId="0" borderId="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44" borderId="0" applyNumberFormat="0" applyBorder="0" applyAlignment="0" applyProtection="0"/>
    <xf numFmtId="0" fontId="6" fillId="55" borderId="0" applyNumberFormat="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35"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35"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0" fontId="6" fillId="33" borderId="25"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2" fillId="2" borderId="82" applyNumberFormat="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5" borderId="0" applyNumberFormat="0" applyBorder="0" applyAlignment="0" applyProtection="0"/>
    <xf numFmtId="0" fontId="6" fillId="0" borderId="0"/>
    <xf numFmtId="0" fontId="59" fillId="8" borderId="80" applyNumberFormat="0" applyAlignment="0" applyProtection="0"/>
    <xf numFmtId="0" fontId="43" fillId="23" borderId="81" applyNumberFormat="0" applyFont="0" applyAlignment="0" applyProtection="0"/>
    <xf numFmtId="0" fontId="6" fillId="5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0" borderId="0"/>
    <xf numFmtId="0" fontId="43" fillId="23" borderId="81" applyNumberFormat="0" applyFont="0" applyAlignment="0" applyProtection="0"/>
    <xf numFmtId="0" fontId="6" fillId="0" borderId="0"/>
    <xf numFmtId="0" fontId="6" fillId="0" borderId="0"/>
    <xf numFmtId="0" fontId="6" fillId="51"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49" fillId="2" borderId="80" applyNumberFormat="0" applyAlignment="0" applyProtection="0"/>
    <xf numFmtId="0" fontId="114" fillId="76" borderId="80" applyNumberFormat="0" applyAlignment="0" applyProtection="0"/>
    <xf numFmtId="0" fontId="6" fillId="0" borderId="0"/>
    <xf numFmtId="0" fontId="121" fillId="63" borderId="80" applyNumberFormat="0" applyAlignment="0" applyProtection="0"/>
    <xf numFmtId="0" fontId="6" fillId="0" borderId="0"/>
    <xf numFmtId="0" fontId="6" fillId="39" borderId="0" applyNumberFormat="0" applyBorder="0" applyAlignment="0" applyProtection="0"/>
    <xf numFmtId="0" fontId="6" fillId="52"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55"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0" borderId="0"/>
    <xf numFmtId="0" fontId="6" fillId="51" borderId="0" applyNumberFormat="0" applyBorder="0" applyAlignment="0" applyProtection="0"/>
    <xf numFmtId="0" fontId="72" fillId="0" borderId="84" applyNumberFormat="0" applyFill="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0" fontId="59" fillId="8" borderId="80" applyNumberFormat="0" applyAlignment="0" applyProtection="0"/>
    <xf numFmtId="0" fontId="6" fillId="56" borderId="0" applyNumberFormat="0" applyBorder="0" applyAlignment="0" applyProtection="0"/>
    <xf numFmtId="0" fontId="59" fillId="8" borderId="80" applyNumberFormat="0" applyAlignment="0" applyProtection="0"/>
    <xf numFmtId="0" fontId="6" fillId="51" borderId="0" applyNumberFormat="0" applyBorder="0" applyAlignment="0" applyProtection="0"/>
    <xf numFmtId="0" fontId="6" fillId="43"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0" borderId="0"/>
    <xf numFmtId="0" fontId="6" fillId="48"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0" borderId="0"/>
    <xf numFmtId="0" fontId="6" fillId="56"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9"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0" fontId="62" fillId="2" borderId="82" applyNumberForma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0" borderId="0"/>
    <xf numFmtId="0" fontId="49" fillId="2" borderId="80" applyNumberFormat="0" applyAlignment="0" applyProtection="0"/>
    <xf numFmtId="0" fontId="6" fillId="0" borderId="0"/>
    <xf numFmtId="0" fontId="43" fillId="23" borderId="81" applyNumberFormat="0" applyFont="0" applyAlignment="0" applyProtection="0"/>
    <xf numFmtId="0" fontId="6" fillId="0" borderId="0"/>
    <xf numFmtId="0" fontId="6" fillId="0" borderId="0"/>
    <xf numFmtId="0" fontId="6" fillId="48"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52" borderId="0" applyNumberFormat="0" applyBorder="0" applyAlignment="0" applyProtection="0"/>
    <xf numFmtId="0" fontId="6" fillId="51"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104" fillId="76" borderId="80" applyNumberFormat="0" applyAlignment="0" applyProtection="0"/>
    <xf numFmtId="0" fontId="72" fillId="0" borderId="84" applyNumberFormat="0" applyFill="0" applyAlignment="0" applyProtection="0"/>
    <xf numFmtId="0" fontId="6" fillId="0" borderId="0"/>
    <xf numFmtId="0" fontId="102" fillId="63" borderId="80" applyNumberFormat="0" applyAlignment="0" applyProtection="0"/>
    <xf numFmtId="9" fontId="6" fillId="0" borderId="0" applyFont="0" applyFill="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51"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52" borderId="0" applyNumberFormat="0" applyBorder="0" applyAlignment="0" applyProtection="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0" borderId="0"/>
    <xf numFmtId="0" fontId="6" fillId="39" borderId="0" applyNumberFormat="0" applyBorder="0" applyAlignment="0" applyProtection="0"/>
    <xf numFmtId="0" fontId="59" fillId="8" borderId="80" applyNumberFormat="0" applyAlignment="0" applyProtection="0"/>
    <xf numFmtId="0" fontId="6" fillId="0" borderId="0"/>
    <xf numFmtId="0" fontId="6" fillId="52" borderId="0" applyNumberFormat="0" applyBorder="0" applyAlignment="0" applyProtection="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1" fillId="0" borderId="0"/>
    <xf numFmtId="9" fontId="41" fillId="0" borderId="0" applyFont="0" applyFill="0" applyBorder="0" applyAlignment="0" applyProtection="0"/>
    <xf numFmtId="166" fontId="53" fillId="0" borderId="0">
      <alignment horizontal="left" vertical="center"/>
    </xf>
    <xf numFmtId="0" fontId="75" fillId="22" borderId="0">
      <alignment horizontal="left" vertical="center" indent="1"/>
    </xf>
    <xf numFmtId="43" fontId="41" fillId="0" borderId="0" applyFont="0" applyFill="0" applyBorder="0" applyAlignment="0" applyProtection="0"/>
    <xf numFmtId="0" fontId="416"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3" fillId="23" borderId="81" applyNumberFormat="0" applyFont="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189" fontId="32" fillId="0" borderId="0">
      <alignment horizontal="left" wrapText="1"/>
    </xf>
    <xf numFmtId="0" fontId="32" fillId="0" borderId="0"/>
    <xf numFmtId="0" fontId="111" fillId="78" borderId="25" applyNumberFormat="0" applyFont="0" applyAlignment="0" applyProtection="0"/>
    <xf numFmtId="0" fontId="154" fillId="50"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59" fillId="8" borderId="80" applyNumberFormat="0" applyAlignment="0" applyProtection="0"/>
    <xf numFmtId="0" fontId="6" fillId="55"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32" fillId="0" borderId="0"/>
    <xf numFmtId="0" fontId="6" fillId="0" borderId="0"/>
    <xf numFmtId="43"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4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32" fillId="0" borderId="0"/>
    <xf numFmtId="0" fontId="32" fillId="0" borderId="0"/>
    <xf numFmtId="0" fontId="32" fillId="0" borderId="0"/>
    <xf numFmtId="0" fontId="32"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79" borderId="81" applyNumberFormat="0" applyFont="0" applyAlignment="0" applyProtection="0"/>
    <xf numFmtId="0" fontId="32" fillId="79"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46" fillId="21" borderId="83"/>
    <xf numFmtId="0" fontId="46" fillId="21" borderId="83"/>
    <xf numFmtId="0" fontId="46" fillId="21" borderId="83"/>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5" fillId="0" borderId="84" applyNumberFormat="0" applyFill="0" applyAlignment="0" applyProtection="0"/>
    <xf numFmtId="0" fontId="107" fillId="0" borderId="84" applyNumberFormat="0" applyFill="0" applyAlignment="0" applyProtection="0"/>
    <xf numFmtId="9" fontId="6" fillId="0" borderId="0" applyFont="0" applyFill="0" applyBorder="0" applyAlignment="0" applyProtection="0"/>
    <xf numFmtId="0" fontId="124" fillId="76" borderId="82" applyNumberFormat="0" applyAlignment="0" applyProtection="0"/>
    <xf numFmtId="0" fontId="103" fillId="76" borderId="82" applyNumberForma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6" fillId="0" borderId="0"/>
    <xf numFmtId="0" fontId="6" fillId="0" borderId="0"/>
    <xf numFmtId="0" fontId="6" fillId="0" borderId="0"/>
    <xf numFmtId="0" fontId="121" fillId="63" borderId="80" applyNumberFormat="0" applyAlignment="0" applyProtection="0"/>
    <xf numFmtId="0" fontId="102" fillId="63" borderId="80" applyNumberFormat="0" applyAlignment="0" applyProtection="0"/>
    <xf numFmtId="0" fontId="114" fillId="76" borderId="80" applyNumberFormat="0" applyAlignment="0" applyProtection="0"/>
    <xf numFmtId="0" fontId="104" fillId="76" borderId="80" applyNumberForma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2" fillId="76" borderId="82" applyNumberFormat="0" applyAlignment="0" applyProtection="0"/>
    <xf numFmtId="0" fontId="43" fillId="79"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63" borderId="80" applyNumberFormat="0" applyAlignment="0" applyProtection="0"/>
    <xf numFmtId="0" fontId="49" fillId="76" borderId="80" applyNumberFormat="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72" fillId="0" borderId="84" applyNumberFormat="0" applyFill="0" applyAlignment="0" applyProtection="0"/>
    <xf numFmtId="0" fontId="72" fillId="0" borderId="84" applyNumberFormat="0" applyFill="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 fillId="0" borderId="0"/>
    <xf numFmtId="0" fontId="72" fillId="0" borderId="84" applyNumberFormat="0" applyFill="0" applyAlignment="0" applyProtection="0"/>
    <xf numFmtId="0" fontId="72" fillId="0" borderId="84" applyNumberFormat="0" applyFill="0" applyAlignment="0" applyProtection="0"/>
    <xf numFmtId="0" fontId="46" fillId="21" borderId="83"/>
    <xf numFmtId="0" fontId="46" fillId="21" borderId="83"/>
    <xf numFmtId="0" fontId="46" fillId="21" borderId="83"/>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6" fillId="0" borderId="0"/>
    <xf numFmtId="0" fontId="32" fillId="0" borderId="0"/>
    <xf numFmtId="262" fontId="303" fillId="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184" fontId="392"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8" fillId="0" borderId="0" applyNumberFormat="0" applyFill="0" applyBorder="0" applyAlignment="0" applyProtection="0"/>
    <xf numFmtId="0" fontId="32" fillId="0" borderId="0"/>
    <xf numFmtId="0" fontId="163" fillId="0" borderId="0" applyNumberFormat="0" applyFill="0" applyBorder="0" applyAlignment="0" applyProtection="0"/>
    <xf numFmtId="0" fontId="32" fillId="0" borderId="0"/>
    <xf numFmtId="0" fontId="32" fillId="0" borderId="0">
      <alignment vertical="center"/>
    </xf>
    <xf numFmtId="0" fontId="6" fillId="33" borderId="25" applyNumberFormat="0" applyFont="0" applyAlignment="0" applyProtection="0"/>
    <xf numFmtId="0" fontId="6" fillId="33" borderId="25" applyNumberFormat="0" applyFont="0" applyAlignment="0" applyProtection="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1" fillId="64" borderId="0" applyNumberFormat="0" applyBorder="0" applyAlignment="0" applyProtection="0"/>
    <xf numFmtId="0" fontId="117" fillId="60" borderId="0" applyNumberFormat="0" applyBorder="0" applyAlignment="0" applyProtection="0"/>
    <xf numFmtId="0" fontId="111" fillId="61" borderId="0" applyNumberFormat="0" applyBorder="0" applyAlignment="0" applyProtection="0"/>
    <xf numFmtId="0" fontId="111" fillId="66" borderId="0" applyNumberFormat="0" applyBorder="0" applyAlignment="0" applyProtection="0"/>
    <xf numFmtId="0" fontId="111" fillId="65" borderId="0" applyNumberFormat="0" applyBorder="0" applyAlignment="0" applyProtection="0"/>
    <xf numFmtId="0" fontId="111" fillId="64" borderId="0" applyNumberFormat="0" applyBorder="0" applyAlignment="0" applyProtection="0"/>
    <xf numFmtId="0" fontId="111" fillId="63" borderId="0" applyNumberFormat="0" applyBorder="0" applyAlignment="0" applyProtection="0"/>
    <xf numFmtId="0" fontId="111" fillId="62" borderId="0" applyNumberFormat="0" applyBorder="0" applyAlignment="0" applyProtection="0"/>
    <xf numFmtId="0" fontId="123" fillId="78" borderId="0" applyNumberFormat="0" applyBorder="0" applyAlignment="0" applyProtection="0"/>
    <xf numFmtId="0" fontId="111" fillId="61" borderId="0" applyNumberFormat="0" applyBorder="0" applyAlignment="0" applyProtection="0"/>
    <xf numFmtId="0" fontId="111" fillId="79" borderId="81" applyNumberFormat="0" applyFont="0" applyAlignment="0" applyProtection="0"/>
    <xf numFmtId="0" fontId="111" fillId="60" borderId="0" applyNumberFormat="0" applyBorder="0" applyAlignment="0" applyProtection="0"/>
    <xf numFmtId="0" fontId="111" fillId="59" borderId="0" applyNumberFormat="0" applyBorder="0" applyAlignment="0" applyProtection="0"/>
    <xf numFmtId="0" fontId="111" fillId="58"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7" fillId="60" borderId="0" applyNumberFormat="0" applyBorder="0" applyAlignment="0" applyProtection="0"/>
    <xf numFmtId="0" fontId="123" fillId="78"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7" fillId="60" borderId="0" applyNumberFormat="0" applyBorder="0" applyAlignment="0" applyProtection="0"/>
    <xf numFmtId="0" fontId="123" fillId="78" borderId="0" applyNumberFormat="0" applyBorder="0" applyAlignment="0" applyProtection="0"/>
    <xf numFmtId="0" fontId="111" fillId="6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55" borderId="0" applyNumberFormat="0" applyBorder="0" applyAlignment="0" applyProtection="0"/>
    <xf numFmtId="0" fontId="6" fillId="48"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32" fillId="79" borderId="81" applyNumberFormat="0" applyFont="0" applyAlignment="0" applyProtection="0"/>
    <xf numFmtId="0" fontId="34" fillId="0" borderId="0" applyNumberFormat="0" applyFill="0" applyBorder="0" applyAlignment="0" applyProtection="0"/>
    <xf numFmtId="0" fontId="31" fillId="0" borderId="0"/>
    <xf numFmtId="0" fontId="293" fillId="0" borderId="1">
      <alignment horizontal="center"/>
    </xf>
    <xf numFmtId="0" fontId="293" fillId="0" borderId="1">
      <alignment horizontal="center"/>
    </xf>
    <xf numFmtId="0" fontId="293" fillId="0" borderId="1">
      <alignment horizontal="center"/>
    </xf>
    <xf numFmtId="0" fontId="416" fillId="0" borderId="0" applyNumberFormat="0" applyFill="0" applyBorder="0" applyAlignment="0" applyProtection="0">
      <alignment vertical="top"/>
      <protection locked="0"/>
    </xf>
    <xf numFmtId="0" fontId="41" fillId="0" borderId="0"/>
    <xf numFmtId="0" fontId="41" fillId="0" borderId="0"/>
    <xf numFmtId="9" fontId="41" fillId="0" borderId="0" applyFont="0" applyFill="0" applyBorder="0" applyAlignment="0" applyProtection="0"/>
    <xf numFmtId="166" fontId="53" fillId="0" borderId="0">
      <alignment horizontal="left" vertical="center"/>
    </xf>
    <xf numFmtId="43" fontId="41" fillId="0" borderId="0" applyFont="0" applyFill="0" applyBorder="0" applyAlignment="0" applyProtection="0"/>
    <xf numFmtId="0" fontId="84" fillId="30" borderId="21" applyNumberFormat="0" applyAlignment="0" applyProtection="0"/>
    <xf numFmtId="215" fontId="32" fillId="23" borderId="112"/>
    <xf numFmtId="0" fontId="91" fillId="38" borderId="0" applyNumberFormat="0" applyBorder="0" applyAlignment="0" applyProtection="0"/>
    <xf numFmtId="215" fontId="32" fillId="23" borderId="112"/>
    <xf numFmtId="0" fontId="125" fillId="0" borderId="84" applyNumberFormat="0" applyFill="0" applyAlignment="0" applyProtection="0"/>
    <xf numFmtId="0" fontId="125" fillId="0" borderId="84" applyNumberFormat="0" applyFill="0" applyAlignment="0" applyProtection="0"/>
    <xf numFmtId="0" fontId="91" fillId="42" borderId="0" applyNumberFormat="0" applyBorder="0" applyAlignment="0" applyProtection="0"/>
    <xf numFmtId="0" fontId="91" fillId="49" borderId="0" applyNumberFormat="0" applyBorder="0" applyAlignment="0" applyProtection="0"/>
    <xf numFmtId="215" fontId="32" fillId="23" borderId="112"/>
    <xf numFmtId="0" fontId="82" fillId="28" borderId="0" applyNumberFormat="0" applyBorder="0" applyAlignment="0" applyProtection="0"/>
    <xf numFmtId="0" fontId="91" fillId="37" borderId="0" applyNumberFormat="0" applyBorder="0" applyAlignment="0" applyProtection="0"/>
    <xf numFmtId="0" fontId="125" fillId="0" borderId="84" applyNumberFormat="0" applyFill="0" applyAlignment="0" applyProtection="0"/>
    <xf numFmtId="215" fontId="32" fillId="23" borderId="112"/>
    <xf numFmtId="9" fontId="6" fillId="0" borderId="0" applyFont="0" applyFill="0" applyBorder="0" applyAlignment="0" applyProtection="0"/>
    <xf numFmtId="0" fontId="6" fillId="0" borderId="0"/>
    <xf numFmtId="0" fontId="88" fillId="32" borderId="24" applyNumberFormat="0" applyAlignment="0" applyProtection="0"/>
    <xf numFmtId="0" fontId="83" fillId="29" borderId="0" applyNumberFormat="0" applyBorder="0" applyAlignment="0" applyProtection="0"/>
    <xf numFmtId="0" fontId="37" fillId="0" borderId="26" applyNumberFormat="0" applyFill="0" applyAlignment="0" applyProtection="0"/>
    <xf numFmtId="0" fontId="91" fillId="46" borderId="0" applyNumberFormat="0" applyBorder="0" applyAlignment="0" applyProtection="0"/>
    <xf numFmtId="9" fontId="6" fillId="0" borderId="0" applyFont="0" applyFill="0" applyBorder="0" applyAlignment="0" applyProtection="0"/>
    <xf numFmtId="0" fontId="91" fillId="5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91" fillId="41" borderId="0" applyNumberFormat="0" applyBorder="0" applyAlignment="0" applyProtection="0"/>
    <xf numFmtId="0" fontId="125" fillId="0" borderId="84" applyNumberFormat="0" applyFill="0" applyAlignment="0" applyProtection="0"/>
    <xf numFmtId="215" fontId="32" fillId="23" borderId="112"/>
    <xf numFmtId="9" fontId="6" fillId="0" borderId="0" applyFont="0" applyFill="0" applyBorder="0" applyAlignment="0" applyProtection="0"/>
    <xf numFmtId="0" fontId="89" fillId="0" borderId="0" applyNumberFormat="0" applyFill="0" applyBorder="0" applyAlignment="0" applyProtection="0"/>
    <xf numFmtId="0" fontId="91" fillId="5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5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82" fillId="28" borderId="0" applyNumberFormat="0" applyBorder="0" applyAlignment="0" applyProtection="0"/>
    <xf numFmtId="0" fontId="88" fillId="32" borderId="24" applyNumberFormat="0" applyAlignment="0" applyProtection="0"/>
    <xf numFmtId="215" fontId="32" fillId="23" borderId="112"/>
    <xf numFmtId="0" fontId="81" fillId="27" borderId="0" applyNumberFormat="0" applyBorder="0" applyAlignment="0" applyProtection="0"/>
    <xf numFmtId="0" fontId="201" fillId="0" borderId="0" applyNumberFormat="0" applyFill="0" applyBorder="0" applyAlignment="0" applyProtection="0">
      <alignment vertical="top"/>
      <protection locked="0"/>
    </xf>
    <xf numFmtId="0" fontId="84" fillId="30" borderId="21" applyNumberFormat="0" applyAlignment="0" applyProtection="0"/>
    <xf numFmtId="0" fontId="83" fillId="29" borderId="0" applyNumberFormat="0" applyBorder="0" applyAlignment="0" applyProtection="0"/>
    <xf numFmtId="0" fontId="6" fillId="0" borderId="0"/>
    <xf numFmtId="0" fontId="72" fillId="0" borderId="84" applyNumberFormat="0" applyFill="0" applyAlignment="0" applyProtection="0"/>
    <xf numFmtId="9" fontId="6" fillId="0" borderId="0" applyFont="0" applyFill="0" applyBorder="0" applyAlignment="0" applyProtection="0"/>
    <xf numFmtId="0" fontId="43" fillId="23" borderId="81" applyNumberFormat="0" applyFont="0" applyAlignment="0" applyProtection="0"/>
    <xf numFmtId="0" fontId="91" fillId="45" borderId="0" applyNumberFormat="0" applyBorder="0" applyAlignment="0" applyProtection="0"/>
    <xf numFmtId="0" fontId="201" fillId="0" borderId="0" applyNumberFormat="0" applyFill="0" applyBorder="0" applyAlignment="0" applyProtection="0">
      <alignment vertical="top"/>
      <protection locked="0"/>
    </xf>
    <xf numFmtId="0" fontId="81" fillId="27" borderId="0" applyNumberFormat="0" applyBorder="0" applyAlignment="0" applyProtection="0"/>
    <xf numFmtId="0" fontId="91" fillId="54" borderId="0" applyNumberFormat="0" applyBorder="0" applyAlignment="0" applyProtection="0"/>
    <xf numFmtId="0" fontId="91" fillId="34" borderId="0" applyNumberFormat="0" applyBorder="0" applyAlignment="0" applyProtection="0"/>
    <xf numFmtId="9"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84" applyNumberFormat="0" applyFill="0" applyAlignment="0" applyProtection="0"/>
    <xf numFmtId="0" fontId="125" fillId="0" borderId="84" applyNumberFormat="0" applyFill="0" applyAlignment="0" applyProtection="0"/>
    <xf numFmtId="0" fontId="37" fillId="0" borderId="26" applyNumberFormat="0" applyFill="0" applyAlignment="0" applyProtection="0"/>
    <xf numFmtId="0" fontId="89" fillId="0" borderId="0" applyNumberForma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215" fontId="32" fillId="23" borderId="112"/>
    <xf numFmtId="215" fontId="32" fillId="23" borderId="112"/>
    <xf numFmtId="215" fontId="32" fillId="23" borderId="112"/>
    <xf numFmtId="215" fontId="32" fillId="23" borderId="112"/>
    <xf numFmtId="215" fontId="32" fillId="23" borderId="112"/>
    <xf numFmtId="215" fontId="32" fillId="23" borderId="112"/>
    <xf numFmtId="0" fontId="292" fillId="0" borderId="52" applyNumberFormat="0" applyAlignment="0" applyProtection="0">
      <alignment horizontal="left" vertical="center"/>
    </xf>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125" fillId="0" borderId="84" applyNumberFormat="0" applyFill="0" applyAlignment="0" applyProtection="0"/>
    <xf numFmtId="0" fontId="32" fillId="0" borderId="0"/>
    <xf numFmtId="166" fontId="53" fillId="0" borderId="0">
      <alignment horizontal="left" vertical="center"/>
    </xf>
    <xf numFmtId="9" fontId="41" fillId="0" borderId="0" applyFont="0" applyFill="0" applyBorder="0" applyAlignment="0" applyProtection="0"/>
    <xf numFmtId="43" fontId="41" fillId="0" borderId="0" applyFont="0" applyFill="0" applyBorder="0" applyAlignment="0" applyProtection="0"/>
    <xf numFmtId="0" fontId="293" fillId="0" borderId="1" applyBorder="0" applyProtection="0">
      <alignment horizontal="right"/>
    </xf>
    <xf numFmtId="0" fontId="293" fillId="0" borderId="1" applyBorder="0" applyProtection="0">
      <alignment horizontal="right"/>
    </xf>
    <xf numFmtId="177" fontId="216" fillId="0" borderId="1" applyNumberFormat="0" applyFont="0" applyFill="0" applyAlignment="0" applyProtection="0"/>
    <xf numFmtId="0" fontId="382" fillId="0" borderId="1" applyBorder="0" applyProtection="0">
      <alignment horizontal="right" vertical="center"/>
    </xf>
    <xf numFmtId="288" fontId="64" fillId="0" borderId="1" applyFont="0" applyFill="0" applyBorder="0" applyAlignment="0" applyProtection="0">
      <alignment horizontal="right"/>
    </xf>
    <xf numFmtId="0" fontId="293" fillId="0" borderId="1">
      <alignment horizontal="center"/>
    </xf>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184" fontId="216" fillId="0" borderId="1" applyFont="0" applyFill="0" applyBorder="0" applyAlignment="0" applyProtection="0"/>
    <xf numFmtId="184" fontId="216" fillId="0" borderId="1" applyFont="0" applyFill="0" applyBorder="0" applyAlignment="0" applyProtection="0"/>
    <xf numFmtId="0" fontId="383" fillId="156" borderId="1" applyBorder="0" applyProtection="0">
      <alignment horizontal="centerContinuous" vertical="center"/>
    </xf>
    <xf numFmtId="288" fontId="64" fillId="0" borderId="1" applyFont="0" applyFill="0" applyBorder="0" applyAlignment="0" applyProtection="0">
      <alignment horizontal="right"/>
    </xf>
    <xf numFmtId="0" fontId="32" fillId="0" borderId="0"/>
    <xf numFmtId="177" fontId="216" fillId="0" borderId="1" applyNumberFormat="0" applyFont="0" applyFill="0" applyAlignment="0" applyProtection="0"/>
    <xf numFmtId="49" fontId="386" fillId="0" borderId="1">
      <alignment vertical="center"/>
    </xf>
    <xf numFmtId="49" fontId="386" fillId="0" borderId="1">
      <alignment vertical="center"/>
    </xf>
    <xf numFmtId="177" fontId="216" fillId="0" borderId="1" applyNumberFormat="0" applyFont="0" applyFill="0" applyAlignment="0" applyProtection="0"/>
    <xf numFmtId="0" fontId="382" fillId="0" borderId="1" applyBorder="0" applyProtection="0">
      <alignment horizontal="right" vertical="center"/>
    </xf>
    <xf numFmtId="0" fontId="383" fillId="156" borderId="1" applyBorder="0" applyProtection="0">
      <alignment horizontal="centerContinuous" vertical="center"/>
    </xf>
    <xf numFmtId="177" fontId="216" fillId="0" borderId="1" applyNumberFormat="0" applyFont="0" applyFill="0" applyAlignment="0" applyProtection="0"/>
    <xf numFmtId="0" fontId="293" fillId="0" borderId="1" applyBorder="0" applyProtection="0">
      <alignment horizontal="right"/>
    </xf>
    <xf numFmtId="0" fontId="293" fillId="0" borderId="1" applyBorder="0" applyProtection="0">
      <alignment horizontal="right"/>
    </xf>
    <xf numFmtId="177" fontId="216" fillId="0" borderId="1" applyNumberFormat="0" applyFont="0" applyFill="0" applyAlignment="0" applyProtection="0"/>
    <xf numFmtId="0" fontId="382" fillId="0" borderId="1" applyBorder="0" applyProtection="0">
      <alignment horizontal="right" vertical="center"/>
    </xf>
    <xf numFmtId="288" fontId="64" fillId="0" borderId="1" applyFont="0" applyFill="0" applyBorder="0" applyAlignment="0" applyProtection="0">
      <alignment horizontal="right"/>
    </xf>
    <xf numFmtId="0" fontId="293" fillId="0" borderId="1">
      <alignment horizontal="center"/>
    </xf>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184" fontId="216" fillId="0" borderId="1" applyFont="0" applyFill="0" applyBorder="0" applyAlignment="0" applyProtection="0"/>
    <xf numFmtId="184" fontId="216" fillId="0" borderId="1" applyFont="0" applyFill="0" applyBorder="0" applyAlignment="0" applyProtection="0"/>
    <xf numFmtId="0" fontId="383" fillId="156" borderId="1" applyBorder="0" applyProtection="0">
      <alignment horizontal="centerContinuous" vertical="center"/>
    </xf>
    <xf numFmtId="288" fontId="64" fillId="0" borderId="1" applyFont="0" applyFill="0" applyBorder="0" applyAlignment="0" applyProtection="0">
      <alignment horizontal="right"/>
    </xf>
    <xf numFmtId="0" fontId="32" fillId="0" borderId="0"/>
    <xf numFmtId="177" fontId="216" fillId="0" borderId="1" applyNumberFormat="0" applyFont="0" applyFill="0" applyAlignment="0" applyProtection="0"/>
    <xf numFmtId="49" fontId="386" fillId="0" borderId="1">
      <alignment vertical="center"/>
    </xf>
    <xf numFmtId="49" fontId="386" fillId="0" borderId="1">
      <alignment vertical="center"/>
    </xf>
    <xf numFmtId="177" fontId="216" fillId="0" borderId="1" applyNumberFormat="0" applyFont="0" applyFill="0" applyAlignment="0" applyProtection="0"/>
    <xf numFmtId="0" fontId="382" fillId="0" borderId="1" applyBorder="0" applyProtection="0">
      <alignment horizontal="right" vertical="center"/>
    </xf>
    <xf numFmtId="0" fontId="383" fillId="156" borderId="1" applyBorder="0" applyProtection="0">
      <alignment horizontal="centerContinuous" vertical="center"/>
    </xf>
    <xf numFmtId="177" fontId="216" fillId="0" borderId="1"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 fontId="46" fillId="7" borderId="83">
      <alignment horizontal="right" vertical="center"/>
    </xf>
    <xf numFmtId="0" fontId="2" fillId="0" borderId="0"/>
    <xf numFmtId="0" fontId="49" fillId="2" borderId="80" applyNumberFormat="0" applyAlignment="0" applyProtection="0"/>
    <xf numFmtId="0" fontId="59" fillId="8" borderId="80" applyNumberFormat="0" applyAlignment="0" applyProtection="0"/>
    <xf numFmtId="0" fontId="62" fillId="2" borderId="82" applyNumberFormat="0" applyAlignment="0" applyProtection="0"/>
    <xf numFmtId="2" fontId="67" fillId="0" borderId="171" applyBorder="0">
      <alignment horizontal="right" vertical="center" wrapText="1"/>
      <protection locked="0"/>
    </xf>
    <xf numFmtId="2" fontId="67" fillId="0" borderId="171" applyBorder="0">
      <alignment horizontal="right" vertical="center" wrapText="1"/>
      <protection locked="0"/>
    </xf>
    <xf numFmtId="0" fontId="294" fillId="0" borderId="181" applyNumberFormat="0" applyFill="0" applyAlignment="0" applyProtection="0"/>
    <xf numFmtId="214" fontId="356" fillId="0" borderId="175">
      <alignment vertical="center"/>
    </xf>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55" fillId="0" borderId="182"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982">
    <xf numFmtId="0" fontId="0" fillId="0" borderId="0" xfId="0"/>
    <xf numFmtId="0" fontId="146" fillId="90" borderId="83" xfId="0" applyFont="1" applyFill="1" applyBorder="1" applyAlignment="1">
      <alignment horizontal="center" vertical="center" wrapText="1"/>
    </xf>
    <xf numFmtId="10" fontId="29" fillId="0" borderId="0" xfId="3" applyNumberFormat="1" applyFont="1"/>
    <xf numFmtId="189" fontId="91" fillId="0" borderId="92" xfId="3" applyNumberFormat="1" applyFont="1" applyBorder="1"/>
    <xf numFmtId="189" fontId="91" fillId="0" borderId="97" xfId="3" applyNumberFormat="1" applyFont="1" applyBorder="1"/>
    <xf numFmtId="178" fontId="89" fillId="0" borderId="0" xfId="3" applyNumberFormat="1" applyFont="1"/>
    <xf numFmtId="0" fontId="3" fillId="84" borderId="171" xfId="4748" applyFont="1" applyFill="1" applyBorder="1" applyAlignment="1">
      <alignment horizontal="center" vertical="center"/>
    </xf>
    <xf numFmtId="189" fontId="91" fillId="0" borderId="0" xfId="3" applyNumberFormat="1" applyFont="1" applyBorder="1"/>
    <xf numFmtId="0" fontId="89" fillId="0" borderId="170" xfId="3" applyFont="1" applyBorder="1"/>
    <xf numFmtId="189" fontId="91" fillId="0" borderId="179" xfId="3" applyNumberFormat="1" applyFont="1" applyBorder="1"/>
    <xf numFmtId="189" fontId="91" fillId="0" borderId="94" xfId="3" applyNumberFormat="1" applyFont="1" applyBorder="1"/>
    <xf numFmtId="0" fontId="29" fillId="0" borderId="178" xfId="3" applyFont="1" applyBorder="1"/>
    <xf numFmtId="0" fontId="96" fillId="0" borderId="83" xfId="3" applyFont="1" applyBorder="1" applyAlignment="1">
      <alignment horizontal="center" vertical="center" wrapText="1"/>
    </xf>
    <xf numFmtId="189" fontId="91" fillId="0" borderId="96" xfId="3" applyNumberFormat="1" applyFont="1" applyBorder="1"/>
    <xf numFmtId="0" fontId="205" fillId="0" borderId="1" xfId="3" applyFont="1" applyBorder="1"/>
    <xf numFmtId="189" fontId="91" fillId="0" borderId="91" xfId="3" applyNumberFormat="1" applyFont="1" applyBorder="1"/>
    <xf numFmtId="0" fontId="37" fillId="0" borderId="0" xfId="3" applyFont="1"/>
    <xf numFmtId="0" fontId="37" fillId="0" borderId="0" xfId="3" applyFont="1" applyAlignment="1">
      <alignment wrapText="1"/>
    </xf>
    <xf numFmtId="0" fontId="76" fillId="0" borderId="0" xfId="3" applyFont="1"/>
    <xf numFmtId="0" fontId="29" fillId="0" borderId="0" xfId="3" applyFont="1"/>
    <xf numFmtId="0" fontId="37" fillId="0" borderId="0" xfId="0" applyFont="1" applyAlignment="1">
      <alignment horizontal="left"/>
    </xf>
    <xf numFmtId="0" fontId="27" fillId="0" borderId="0" xfId="3" applyFont="1"/>
    <xf numFmtId="0" fontId="27" fillId="0" borderId="0" xfId="0" applyFont="1" applyAlignment="1">
      <alignment horizontal="left" wrapText="1"/>
    </xf>
    <xf numFmtId="0" fontId="27" fillId="0" borderId="0" xfId="0" applyFont="1" applyAlignment="1">
      <alignment horizontal="left"/>
    </xf>
    <xf numFmtId="0" fontId="27" fillId="0" borderId="0" xfId="439" applyFont="1"/>
    <xf numFmtId="0" fontId="76" fillId="0" borderId="0" xfId="0" applyFont="1" applyAlignment="1">
      <alignment horizontal="left"/>
    </xf>
    <xf numFmtId="0" fontId="37" fillId="0" borderId="1" xfId="3" applyFont="1" applyBorder="1"/>
    <xf numFmtId="0" fontId="37" fillId="0" borderId="1" xfId="3" applyFont="1" applyBorder="1" applyAlignment="1">
      <alignment wrapText="1"/>
    </xf>
    <xf numFmtId="0" fontId="25" fillId="0" borderId="0" xfId="0" applyFont="1"/>
    <xf numFmtId="0" fontId="31" fillId="0" borderId="0" xfId="439" applyFont="1"/>
    <xf numFmtId="0" fontId="25" fillId="0" borderId="33" xfId="0" applyFont="1" applyBorder="1"/>
    <xf numFmtId="0" fontId="29" fillId="0" borderId="35" xfId="3" applyFont="1" applyBorder="1"/>
    <xf numFmtId="0" fontId="27" fillId="26" borderId="0" xfId="408" applyNumberFormat="1" applyFont="1" applyFill="1" applyProtection="1">
      <protection locked="0"/>
    </xf>
    <xf numFmtId="0" fontId="27" fillId="26" borderId="0" xfId="0" applyNumberFormat="1" applyFont="1" applyFill="1" applyProtection="1">
      <protection locked="0"/>
    </xf>
    <xf numFmtId="0" fontId="27" fillId="26" borderId="0" xfId="3" applyFont="1" applyFill="1" applyProtection="1">
      <protection locked="0"/>
    </xf>
    <xf numFmtId="0" fontId="27" fillId="26" borderId="0" xfId="0" applyNumberFormat="1" applyFont="1" applyFill="1" applyProtection="1"/>
    <xf numFmtId="0" fontId="37" fillId="0" borderId="13" xfId="3" applyFont="1" applyBorder="1" applyAlignment="1">
      <alignment wrapText="1"/>
    </xf>
    <xf numFmtId="0" fontId="29" fillId="0" borderId="37" xfId="3" applyFont="1" applyBorder="1"/>
    <xf numFmtId="0" fontId="29" fillId="0" borderId="38" xfId="3" applyFont="1" applyBorder="1"/>
    <xf numFmtId="0" fontId="130" fillId="0" borderId="13" xfId="0" applyFont="1" applyBorder="1"/>
    <xf numFmtId="0" fontId="29" fillId="86" borderId="0" xfId="3" applyFont="1" applyFill="1"/>
    <xf numFmtId="0" fontId="37" fillId="0" borderId="0" xfId="3" applyFont="1" applyBorder="1" applyAlignment="1">
      <alignment wrapText="1"/>
    </xf>
    <xf numFmtId="0" fontId="29" fillId="80" borderId="34" xfId="3" applyFont="1" applyFill="1" applyBorder="1"/>
    <xf numFmtId="0" fontId="29" fillId="80" borderId="35" xfId="3" applyFont="1" applyFill="1" applyBorder="1"/>
    <xf numFmtId="0" fontId="29" fillId="80" borderId="36" xfId="3" applyFont="1" applyFill="1" applyBorder="1"/>
    <xf numFmtId="0" fontId="29" fillId="81" borderId="34" xfId="3" applyFont="1" applyFill="1" applyBorder="1"/>
    <xf numFmtId="0" fontId="29" fillId="81" borderId="35" xfId="3" applyFont="1" applyFill="1" applyBorder="1"/>
    <xf numFmtId="0" fontId="29" fillId="83" borderId="34" xfId="3" applyFont="1" applyFill="1" applyBorder="1"/>
    <xf numFmtId="0" fontId="29" fillId="83" borderId="35" xfId="3" applyFont="1" applyFill="1" applyBorder="1"/>
    <xf numFmtId="0" fontId="29" fillId="83" borderId="36" xfId="3" applyFont="1" applyFill="1" applyBorder="1"/>
    <xf numFmtId="0" fontId="29" fillId="82" borderId="34" xfId="3" applyFont="1" applyFill="1" applyBorder="1"/>
    <xf numFmtId="0" fontId="29" fillId="82" borderId="35" xfId="3" applyFont="1" applyFill="1" applyBorder="1"/>
    <xf numFmtId="0" fontId="29" fillId="82" borderId="36" xfId="3" applyFont="1" applyFill="1" applyBorder="1"/>
    <xf numFmtId="0" fontId="29" fillId="85" borderId="34" xfId="3" applyFont="1" applyFill="1" applyBorder="1"/>
    <xf numFmtId="0" fontId="29" fillId="85" borderId="35" xfId="3" applyFont="1" applyFill="1" applyBorder="1"/>
    <xf numFmtId="0" fontId="29" fillId="85" borderId="36" xfId="3" applyFont="1" applyFill="1" applyBorder="1"/>
    <xf numFmtId="0" fontId="29" fillId="84" borderId="34" xfId="3" applyFont="1" applyFill="1" applyBorder="1"/>
    <xf numFmtId="0" fontId="29" fillId="84" borderId="35" xfId="3" applyFont="1" applyFill="1" applyBorder="1"/>
    <xf numFmtId="0" fontId="29" fillId="84" borderId="36" xfId="3" applyFont="1" applyFill="1" applyBorder="1"/>
    <xf numFmtId="0" fontId="34" fillId="0" borderId="0" xfId="545"/>
    <xf numFmtId="0" fontId="0" fillId="0" borderId="0" xfId="0"/>
    <xf numFmtId="0" fontId="139" fillId="0" borderId="0" xfId="0" applyFont="1" applyAlignment="1">
      <alignment vertical="center"/>
    </xf>
    <xf numFmtId="175" fontId="130" fillId="26" borderId="13" xfId="0" applyNumberFormat="1" applyFont="1" applyFill="1" applyBorder="1"/>
    <xf numFmtId="2" fontId="140" fillId="0" borderId="0" xfId="0" applyNumberFormat="1" applyFont="1" applyAlignment="1">
      <alignment horizontal="right"/>
    </xf>
    <xf numFmtId="0" fontId="0" fillId="88" borderId="0" xfId="0" applyFill="1"/>
    <xf numFmtId="0" fontId="27" fillId="0" borderId="0" xfId="0" applyFont="1" applyAlignment="1">
      <alignment horizontal="left" vertical="center" wrapText="1"/>
    </xf>
    <xf numFmtId="0" fontId="27" fillId="0" borderId="0" xfId="0" applyFont="1" applyAlignment="1">
      <alignment horizontal="left" vertical="center"/>
    </xf>
    <xf numFmtId="0" fontId="0" fillId="0" borderId="0" xfId="0" applyAlignment="1">
      <alignment vertical="center"/>
    </xf>
    <xf numFmtId="0" fontId="25" fillId="0" borderId="0" xfId="0" applyFont="1" applyFill="1"/>
    <xf numFmtId="0" fontId="0" fillId="0" borderId="0" xfId="0" applyAlignment="1">
      <alignment horizontal="center"/>
    </xf>
    <xf numFmtId="0" fontId="0" fillId="26" borderId="0" xfId="0" applyFill="1" applyAlignment="1">
      <alignment horizontal="center" vertical="center"/>
    </xf>
    <xf numFmtId="0" fontId="0" fillId="26" borderId="0" xfId="0" applyFill="1" applyAlignment="1"/>
    <xf numFmtId="0" fontId="0" fillId="0" borderId="0" xfId="0"/>
    <xf numFmtId="0" fontId="0" fillId="0" borderId="0" xfId="0" applyBorder="1"/>
    <xf numFmtId="0" fontId="0" fillId="0" borderId="0" xfId="0" applyBorder="1" applyAlignment="1">
      <alignment wrapText="1"/>
    </xf>
    <xf numFmtId="0" fontId="144" fillId="0" borderId="33" xfId="0" applyFont="1" applyFill="1" applyBorder="1" applyAlignment="1">
      <alignment horizontal="left" vertical="center"/>
    </xf>
    <xf numFmtId="0" fontId="0" fillId="0" borderId="33" xfId="0" applyBorder="1"/>
    <xf numFmtId="0" fontId="29" fillId="0" borderId="0" xfId="3" applyFont="1" applyAlignment="1">
      <alignment wrapText="1"/>
    </xf>
    <xf numFmtId="0" fontId="25" fillId="0" borderId="0" xfId="0" applyFont="1" applyBorder="1"/>
    <xf numFmtId="0" fontId="25" fillId="0" borderId="0" xfId="0" applyFont="1" applyFill="1" applyBorder="1"/>
    <xf numFmtId="0" fontId="145" fillId="0" borderId="0" xfId="0" applyFont="1" applyFill="1" applyBorder="1" applyAlignment="1">
      <alignment horizontal="left" vertical="center" wrapText="1"/>
    </xf>
    <xf numFmtId="17" fontId="146" fillId="0" borderId="0" xfId="0" applyNumberFormat="1" applyFont="1" applyFill="1" applyAlignment="1">
      <alignment horizontal="left" vertical="center" wrapText="1"/>
    </xf>
    <xf numFmtId="0" fontId="146" fillId="0" borderId="0" xfId="0" applyFont="1" applyFill="1" applyBorder="1" applyAlignment="1">
      <alignment horizontal="left" vertical="center" wrapText="1"/>
    </xf>
    <xf numFmtId="0" fontId="146" fillId="0" borderId="0" xfId="0" applyFont="1" applyFill="1" applyBorder="1" applyAlignment="1">
      <alignment horizontal="left" vertical="center"/>
    </xf>
    <xf numFmtId="0" fontId="148" fillId="0" borderId="0" xfId="0" applyFont="1" applyFill="1" applyBorder="1" applyAlignment="1">
      <alignment horizontal="left" vertical="center" wrapText="1"/>
    </xf>
    <xf numFmtId="0" fontId="149" fillId="0" borderId="0" xfId="0" applyFont="1" applyAlignment="1">
      <alignment horizontal="center" vertical="center"/>
    </xf>
    <xf numFmtId="0" fontId="146" fillId="0" borderId="0" xfId="0" applyFont="1"/>
    <xf numFmtId="0" fontId="147" fillId="0" borderId="0" xfId="0" applyFont="1"/>
    <xf numFmtId="0" fontId="147" fillId="0" borderId="0" xfId="0" applyFont="1" applyAlignment="1">
      <alignment wrapText="1"/>
    </xf>
    <xf numFmtId="0" fontId="146" fillId="0" borderId="0" xfId="0" applyFont="1" applyFill="1" applyAlignment="1">
      <alignment horizontal="left" vertical="center"/>
    </xf>
    <xf numFmtId="176" fontId="146" fillId="0" borderId="0" xfId="0" applyNumberFormat="1" applyFont="1" applyFill="1" applyBorder="1" applyAlignment="1">
      <alignment horizontal="center" vertical="center" wrapText="1"/>
    </xf>
    <xf numFmtId="0" fontId="146" fillId="0" borderId="0" xfId="0" applyFont="1" applyAlignment="1">
      <alignment wrapText="1"/>
    </xf>
    <xf numFmtId="0" fontId="148" fillId="0" borderId="0" xfId="0" applyFont="1"/>
    <xf numFmtId="0" fontId="148" fillId="0" borderId="33" xfId="0" applyFont="1" applyFill="1" applyBorder="1" applyAlignment="1">
      <alignment horizontal="left" vertical="center"/>
    </xf>
    <xf numFmtId="0" fontId="146" fillId="0" borderId="13" xfId="0" applyFont="1" applyBorder="1"/>
    <xf numFmtId="0" fontId="0" fillId="0" borderId="35" xfId="0" applyBorder="1" applyAlignment="1"/>
    <xf numFmtId="0" fontId="148" fillId="0" borderId="0" xfId="0" applyFont="1" applyAlignment="1">
      <alignment horizontal="center" vertical="center"/>
    </xf>
    <xf numFmtId="0" fontId="148" fillId="0" borderId="13" xfId="0" applyFont="1" applyBorder="1" applyAlignment="1">
      <alignment horizontal="center" vertical="center"/>
    </xf>
    <xf numFmtId="0" fontId="148" fillId="0" borderId="13" xfId="0" applyFont="1" applyBorder="1" applyAlignment="1">
      <alignment horizontal="center" vertical="center" wrapText="1"/>
    </xf>
    <xf numFmtId="0" fontId="148" fillId="0" borderId="13" xfId="0" applyFont="1" applyBorder="1"/>
    <xf numFmtId="0" fontId="146" fillId="0" borderId="13" xfId="0" applyFont="1" applyBorder="1" applyAlignment="1">
      <alignment wrapText="1"/>
    </xf>
    <xf numFmtId="0" fontId="0" fillId="26" borderId="13" xfId="0" applyFill="1" applyBorder="1"/>
    <xf numFmtId="10" fontId="0" fillId="0" borderId="0" xfId="0" applyNumberFormat="1"/>
    <xf numFmtId="172" fontId="0" fillId="0" borderId="0" xfId="0" applyNumberFormat="1"/>
    <xf numFmtId="10" fontId="0" fillId="0" borderId="0" xfId="0" applyNumberFormat="1" applyBorder="1"/>
    <xf numFmtId="0" fontId="130" fillId="0" borderId="0" xfId="0" applyFont="1" applyFill="1" applyBorder="1"/>
    <xf numFmtId="0" fontId="0" fillId="0" borderId="0" xfId="0" applyFill="1" applyBorder="1"/>
    <xf numFmtId="0" fontId="151" fillId="0" borderId="33" xfId="0" applyFont="1" applyBorder="1"/>
    <xf numFmtId="1" fontId="146" fillId="0" borderId="0" xfId="0" applyNumberFormat="1" applyFont="1" applyFill="1" applyAlignment="1">
      <alignment horizontal="center" vertical="center" wrapText="1"/>
    </xf>
    <xf numFmtId="0" fontId="148" fillId="0" borderId="33" xfId="0" applyFont="1" applyBorder="1"/>
    <xf numFmtId="0" fontId="146" fillId="0" borderId="33" xfId="0" applyFont="1" applyBorder="1"/>
    <xf numFmtId="0" fontId="146" fillId="0" borderId="0" xfId="0" applyFont="1" applyFill="1" applyAlignment="1">
      <alignment horizontal="left" vertical="center" wrapText="1"/>
    </xf>
    <xf numFmtId="0" fontId="146" fillId="0" borderId="0" xfId="0" applyFont="1" applyBorder="1"/>
    <xf numFmtId="10" fontId="146" fillId="0" borderId="0" xfId="0" applyNumberFormat="1" applyFont="1"/>
    <xf numFmtId="0" fontId="20" fillId="0" borderId="0" xfId="3" applyFont="1" applyFill="1" applyBorder="1"/>
    <xf numFmtId="175" fontId="0" fillId="0" borderId="0" xfId="0" applyNumberFormat="1"/>
    <xf numFmtId="0" fontId="20" fillId="0" borderId="0" xfId="0" applyFont="1" applyAlignment="1">
      <alignment horizontal="left"/>
    </xf>
    <xf numFmtId="0" fontId="148" fillId="0" borderId="13" xfId="439" applyFont="1" applyBorder="1" applyAlignment="1">
      <alignment horizontal="center" vertical="center" wrapText="1"/>
    </xf>
    <xf numFmtId="180" fontId="147" fillId="0" borderId="0" xfId="0" applyNumberFormat="1" applyFont="1"/>
    <xf numFmtId="0" fontId="153" fillId="0" borderId="0" xfId="0" applyFont="1" applyAlignment="1">
      <alignment horizontal="center" vertical="center" wrapText="1"/>
    </xf>
    <xf numFmtId="0" fontId="154" fillId="0" borderId="0" xfId="0" applyFont="1" applyAlignment="1">
      <alignment wrapText="1"/>
    </xf>
    <xf numFmtId="0" fontId="150" fillId="0" borderId="0" xfId="0" applyFont="1" applyAlignment="1">
      <alignment horizontal="left" wrapText="1"/>
    </xf>
    <xf numFmtId="0" fontId="145" fillId="26" borderId="39" xfId="3" applyFont="1" applyFill="1" applyBorder="1" applyAlignment="1">
      <alignment horizontal="center" vertical="center"/>
    </xf>
    <xf numFmtId="14" fontId="145" fillId="26" borderId="40" xfId="0" applyNumberFormat="1" applyFont="1" applyFill="1" applyBorder="1" applyAlignment="1">
      <alignment horizontal="center" vertical="center" wrapText="1"/>
    </xf>
    <xf numFmtId="0" fontId="146" fillId="26" borderId="40" xfId="0" applyFont="1" applyFill="1" applyBorder="1"/>
    <xf numFmtId="0" fontId="146" fillId="26" borderId="41" xfId="0" applyFont="1" applyFill="1" applyBorder="1"/>
    <xf numFmtId="0" fontId="146" fillId="0" borderId="0" xfId="0" applyFont="1" applyFill="1" applyBorder="1"/>
    <xf numFmtId="0" fontId="157" fillId="0" borderId="0" xfId="0" applyFont="1"/>
    <xf numFmtId="0" fontId="146" fillId="26" borderId="39" xfId="0" applyFont="1" applyFill="1" applyBorder="1" applyAlignment="1">
      <alignment vertical="center"/>
    </xf>
    <xf numFmtId="176" fontId="146" fillId="26" borderId="40" xfId="0" applyNumberFormat="1" applyFont="1" applyFill="1" applyBorder="1" applyAlignment="1">
      <alignment horizontal="center" vertical="center" wrapText="1"/>
    </xf>
    <xf numFmtId="1" fontId="145" fillId="26" borderId="40" xfId="0" applyNumberFormat="1" applyFont="1" applyFill="1" applyBorder="1" applyAlignment="1">
      <alignment horizontal="center" vertical="center" wrapText="1"/>
    </xf>
    <xf numFmtId="175" fontId="146" fillId="26" borderId="40" xfId="0" applyNumberFormat="1" applyFont="1" applyFill="1" applyBorder="1" applyAlignment="1">
      <alignment horizontal="center" vertical="center" wrapText="1"/>
    </xf>
    <xf numFmtId="2" fontId="145" fillId="26" borderId="40" xfId="0" applyNumberFormat="1" applyFont="1" applyFill="1" applyBorder="1" applyAlignment="1">
      <alignment horizontal="center" vertical="center" wrapText="1"/>
    </xf>
    <xf numFmtId="1" fontId="146" fillId="26" borderId="40" xfId="0" applyNumberFormat="1" applyFont="1" applyFill="1" applyBorder="1" applyAlignment="1">
      <alignment horizontal="center" vertical="center" wrapText="1"/>
    </xf>
    <xf numFmtId="2" fontId="146" fillId="26" borderId="40" xfId="0" applyNumberFormat="1" applyFont="1" applyFill="1" applyBorder="1" applyAlignment="1">
      <alignment horizontal="center" vertical="center" wrapText="1"/>
    </xf>
    <xf numFmtId="0" fontId="149" fillId="26" borderId="40" xfId="0" applyFont="1" applyFill="1" applyBorder="1" applyAlignment="1">
      <alignment horizontal="center" vertical="center"/>
    </xf>
    <xf numFmtId="0" fontId="91" fillId="0" borderId="0" xfId="3" applyFont="1" applyBorder="1"/>
    <xf numFmtId="0" fontId="91" fillId="0" borderId="28" xfId="3" applyFont="1" applyBorder="1"/>
    <xf numFmtId="0" fontId="91" fillId="0" borderId="35" xfId="3" applyFont="1" applyBorder="1"/>
    <xf numFmtId="0" fontId="91" fillId="0" borderId="36" xfId="3" applyFont="1" applyBorder="1"/>
    <xf numFmtId="0" fontId="146" fillId="26" borderId="39" xfId="0" applyFont="1" applyFill="1" applyBorder="1"/>
    <xf numFmtId="14" fontId="145" fillId="26" borderId="40" xfId="0" applyNumberFormat="1" applyFont="1" applyFill="1" applyBorder="1" applyAlignment="1">
      <alignment horizontal="center"/>
    </xf>
    <xf numFmtId="0" fontId="147" fillId="0" borderId="40" xfId="0" applyFont="1" applyBorder="1" applyAlignment="1">
      <alignment horizontal="center"/>
    </xf>
    <xf numFmtId="0" fontId="153" fillId="0" borderId="40" xfId="0" applyFont="1" applyBorder="1" applyAlignment="1">
      <alignment horizontal="center" vertical="center" wrapText="1"/>
    </xf>
    <xf numFmtId="0" fontId="154" fillId="0" borderId="34" xfId="0" applyFont="1" applyBorder="1"/>
    <xf numFmtId="0" fontId="154" fillId="0" borderId="30" xfId="0" applyFont="1" applyBorder="1"/>
    <xf numFmtId="0" fontId="154" fillId="0" borderId="27" xfId="0" applyFont="1" applyBorder="1"/>
    <xf numFmtId="0" fontId="154" fillId="0" borderId="35" xfId="0" applyFont="1" applyBorder="1"/>
    <xf numFmtId="0" fontId="154" fillId="0" borderId="0" xfId="0" applyFont="1" applyBorder="1"/>
    <xf numFmtId="0" fontId="154" fillId="0" borderId="28" xfId="0" applyFont="1" applyBorder="1"/>
    <xf numFmtId="0" fontId="154" fillId="0" borderId="36" xfId="0" applyFont="1" applyBorder="1"/>
    <xf numFmtId="0" fontId="154" fillId="0" borderId="1" xfId="0" applyFont="1" applyBorder="1"/>
    <xf numFmtId="0" fontId="154" fillId="0" borderId="29" xfId="0" applyFont="1" applyBorder="1"/>
    <xf numFmtId="0" fontId="135" fillId="0" borderId="35" xfId="0" applyFont="1" applyBorder="1"/>
    <xf numFmtId="0" fontId="148" fillId="0" borderId="13" xfId="0" applyFont="1" applyFill="1" applyBorder="1" applyAlignment="1">
      <alignment horizontal="center" vertical="center" wrapText="1"/>
    </xf>
    <xf numFmtId="0" fontId="146" fillId="0" borderId="35" xfId="0" applyFont="1" applyBorder="1" applyAlignment="1"/>
    <xf numFmtId="0" fontId="148" fillId="0" borderId="33" xfId="0" applyFont="1" applyFill="1" applyBorder="1" applyAlignment="1">
      <alignment vertical="center"/>
    </xf>
    <xf numFmtId="0" fontId="146" fillId="0" borderId="0" xfId="0" applyFont="1" applyAlignment="1">
      <alignment horizontal="left" vertical="center"/>
    </xf>
    <xf numFmtId="0" fontId="146" fillId="0" borderId="0" xfId="0" applyFont="1" applyAlignment="1">
      <alignment horizontal="left" vertical="center" wrapText="1"/>
    </xf>
    <xf numFmtId="0" fontId="146" fillId="0" borderId="0" xfId="0" applyFont="1" applyAlignment="1">
      <alignment horizontal="center" vertical="center"/>
    </xf>
    <xf numFmtId="0" fontId="148" fillId="0" borderId="0" xfId="0" applyFont="1" applyAlignment="1">
      <alignment wrapText="1"/>
    </xf>
    <xf numFmtId="10" fontId="146" fillId="0" borderId="0" xfId="0" applyNumberFormat="1" applyFont="1" applyAlignment="1">
      <alignment horizontal="center" vertical="center"/>
    </xf>
    <xf numFmtId="0" fontId="159" fillId="0" borderId="33" xfId="0" applyFont="1" applyBorder="1"/>
    <xf numFmtId="14" fontId="25" fillId="0" borderId="0" xfId="0" applyNumberFormat="1" applyFont="1"/>
    <xf numFmtId="0" fontId="146" fillId="0" borderId="40" xfId="0" applyFont="1" applyFill="1" applyBorder="1" applyAlignment="1">
      <alignment horizontal="center" vertical="center"/>
    </xf>
    <xf numFmtId="0" fontId="146" fillId="0" borderId="13" xfId="0" applyFont="1" applyBorder="1" applyAlignment="1">
      <alignment horizontal="center" vertical="center"/>
    </xf>
    <xf numFmtId="10" fontId="146" fillId="0" borderId="13" xfId="0" applyNumberFormat="1" applyFont="1" applyBorder="1" applyAlignment="1">
      <alignment horizontal="center" vertical="center"/>
    </xf>
    <xf numFmtId="0" fontId="146" fillId="26" borderId="40" xfId="0" applyFont="1" applyFill="1" applyBorder="1" applyAlignment="1">
      <alignment wrapText="1"/>
    </xf>
    <xf numFmtId="0" fontId="146" fillId="0" borderId="0" xfId="0" applyFont="1" applyFill="1" applyBorder="1" applyAlignment="1">
      <alignment horizontal="center" vertical="center"/>
    </xf>
    <xf numFmtId="0" fontId="146" fillId="0" borderId="31" xfId="0" applyFont="1" applyBorder="1" applyAlignment="1">
      <alignment horizontal="center" vertical="center"/>
    </xf>
    <xf numFmtId="0" fontId="146" fillId="87" borderId="13" xfId="0" applyFont="1" applyFill="1" applyBorder="1" applyAlignment="1">
      <alignment horizontal="center" vertical="center"/>
    </xf>
    <xf numFmtId="0" fontId="146" fillId="0" borderId="0" xfId="0" applyFont="1" applyFill="1" applyAlignment="1">
      <alignment horizontal="center"/>
    </xf>
    <xf numFmtId="0" fontId="148" fillId="0" borderId="0" xfId="0" applyFont="1" applyFill="1" applyBorder="1" applyAlignment="1">
      <alignment wrapText="1"/>
    </xf>
    <xf numFmtId="2" fontId="19" fillId="0" borderId="49" xfId="0" applyNumberFormat="1" applyFont="1" applyFill="1" applyBorder="1" applyAlignment="1"/>
    <xf numFmtId="2" fontId="19" fillId="88" borderId="49" xfId="0" applyNumberFormat="1" applyFont="1" applyFill="1" applyBorder="1" applyAlignment="1">
      <alignment horizontal="center"/>
    </xf>
    <xf numFmtId="2" fontId="19" fillId="88" borderId="49" xfId="0" applyNumberFormat="1" applyFont="1" applyFill="1" applyBorder="1" applyAlignment="1"/>
    <xf numFmtId="0" fontId="19" fillId="0" borderId="32" xfId="0" applyFont="1" applyFill="1" applyBorder="1" applyAlignment="1"/>
    <xf numFmtId="2" fontId="0" fillId="88" borderId="0" xfId="0" applyNumberFormat="1" applyFill="1"/>
    <xf numFmtId="0" fontId="19" fillId="0" borderId="49" xfId="0" applyFont="1" applyFill="1" applyBorder="1" applyAlignment="1"/>
    <xf numFmtId="0" fontId="0" fillId="0" borderId="0" xfId="0"/>
    <xf numFmtId="0" fontId="0" fillId="88" borderId="0" xfId="0" applyFill="1"/>
    <xf numFmtId="0" fontId="0" fillId="0" borderId="0" xfId="0" applyAlignment="1">
      <alignment vertical="center"/>
    </xf>
    <xf numFmtId="0" fontId="0" fillId="0" borderId="0" xfId="0" applyAlignment="1">
      <alignment horizontal="center"/>
    </xf>
    <xf numFmtId="0" fontId="32" fillId="0" borderId="0" xfId="185"/>
    <xf numFmtId="0" fontId="32" fillId="0" borderId="13" xfId="185" applyBorder="1"/>
    <xf numFmtId="0" fontId="32" fillId="0" borderId="13" xfId="185" applyBorder="1" applyAlignment="1">
      <alignment horizontal="center" wrapText="1"/>
    </xf>
    <xf numFmtId="0" fontId="32" fillId="0" borderId="0" xfId="185" applyAlignment="1">
      <alignment wrapText="1"/>
    </xf>
    <xf numFmtId="0" fontId="32" fillId="0" borderId="9" xfId="185" applyBorder="1" applyAlignment="1">
      <alignment wrapText="1"/>
    </xf>
    <xf numFmtId="9" fontId="32" fillId="0" borderId="9" xfId="185" applyNumberFormat="1" applyBorder="1" applyAlignment="1">
      <alignment horizontal="center" wrapText="1"/>
    </xf>
    <xf numFmtId="0" fontId="32" fillId="0" borderId="3" xfId="185" applyBorder="1"/>
    <xf numFmtId="0" fontId="32" fillId="0" borderId="3" xfId="185" applyBorder="1" applyAlignment="1">
      <alignment horizontal="center"/>
    </xf>
    <xf numFmtId="0" fontId="32" fillId="0" borderId="13" xfId="185" applyBorder="1" applyAlignment="1">
      <alignment horizontal="center"/>
    </xf>
    <xf numFmtId="0" fontId="163" fillId="0" borderId="13" xfId="185" applyFont="1" applyBorder="1" applyAlignment="1">
      <alignment wrapText="1"/>
    </xf>
    <xf numFmtId="0" fontId="32" fillId="0" borderId="0" xfId="185" applyBorder="1"/>
    <xf numFmtId="0" fontId="32" fillId="0" borderId="0" xfId="185" applyBorder="1" applyAlignment="1">
      <alignment horizontal="center"/>
    </xf>
    <xf numFmtId="2" fontId="32" fillId="0" borderId="0" xfId="185" applyNumberFormat="1" applyFill="1" applyBorder="1" applyAlignment="1">
      <alignment horizontal="center"/>
    </xf>
    <xf numFmtId="0" fontId="32" fillId="0" borderId="0" xfId="185" applyFill="1" applyBorder="1" applyAlignment="1">
      <alignment horizontal="center"/>
    </xf>
    <xf numFmtId="0" fontId="164" fillId="0" borderId="0" xfId="185" applyFont="1"/>
    <xf numFmtId="0" fontId="162" fillId="0" borderId="0" xfId="185" applyFont="1" applyAlignment="1">
      <alignment horizontal="center"/>
    </xf>
    <xf numFmtId="9" fontId="32" fillId="0" borderId="0" xfId="185" applyNumberFormat="1" applyBorder="1" applyAlignment="1">
      <alignment horizontal="center" wrapText="1"/>
    </xf>
    <xf numFmtId="0" fontId="32" fillId="101" borderId="13" xfId="185" applyFill="1" applyBorder="1"/>
    <xf numFmtId="0" fontId="32" fillId="101" borderId="13" xfId="185" applyFill="1" applyBorder="1" applyAlignment="1">
      <alignment horizontal="center"/>
    </xf>
    <xf numFmtId="0" fontId="32" fillId="102" borderId="13" xfId="185" applyFill="1" applyBorder="1"/>
    <xf numFmtId="0" fontId="32" fillId="102" borderId="13" xfId="185" applyFill="1" applyBorder="1" applyAlignment="1">
      <alignment horizontal="center"/>
    </xf>
    <xf numFmtId="0" fontId="32" fillId="103" borderId="13" xfId="185" applyFill="1" applyBorder="1"/>
    <xf numFmtId="0" fontId="32" fillId="103" borderId="13" xfId="185" applyFill="1" applyBorder="1" applyAlignment="1">
      <alignment horizontal="center"/>
    </xf>
    <xf numFmtId="0" fontId="32" fillId="104" borderId="13" xfId="185" applyFill="1" applyBorder="1"/>
    <xf numFmtId="0" fontId="32" fillId="104" borderId="13" xfId="185" applyFill="1" applyBorder="1" applyAlignment="1">
      <alignment horizontal="center"/>
    </xf>
    <xf numFmtId="0" fontId="32" fillId="96" borderId="13" xfId="185" applyFill="1" applyBorder="1"/>
    <xf numFmtId="0" fontId="32" fillId="96" borderId="13" xfId="185" applyFill="1" applyBorder="1" applyAlignment="1">
      <alignment horizontal="center"/>
    </xf>
    <xf numFmtId="0" fontId="32" fillId="105" borderId="13" xfId="185" applyFill="1" applyBorder="1"/>
    <xf numFmtId="0" fontId="32" fillId="105" borderId="13" xfId="185" applyFill="1" applyBorder="1" applyAlignment="1">
      <alignment horizontal="center"/>
    </xf>
    <xf numFmtId="0" fontId="32" fillId="0" borderId="3" xfId="185" applyFont="1" applyBorder="1"/>
    <xf numFmtId="0" fontId="32" fillId="101" borderId="3" xfId="185" applyFont="1" applyFill="1" applyBorder="1"/>
    <xf numFmtId="0" fontId="32" fillId="101" borderId="3" xfId="185" applyFill="1" applyBorder="1" applyAlignment="1">
      <alignment horizontal="center"/>
    </xf>
    <xf numFmtId="0" fontId="32" fillId="0" borderId="0" xfId="185" applyFont="1" applyBorder="1"/>
    <xf numFmtId="0" fontId="32" fillId="102" borderId="13" xfId="185" applyFont="1" applyFill="1" applyBorder="1"/>
    <xf numFmtId="0" fontId="32" fillId="98" borderId="13" xfId="185" applyFill="1" applyBorder="1" applyAlignment="1">
      <alignment horizontal="center"/>
    </xf>
    <xf numFmtId="0" fontId="32" fillId="105" borderId="13" xfId="185" applyFont="1" applyFill="1" applyBorder="1"/>
    <xf numFmtId="0" fontId="32" fillId="88" borderId="13" xfId="185" applyFill="1" applyBorder="1" applyAlignment="1">
      <alignment horizontal="center"/>
    </xf>
    <xf numFmtId="0" fontId="32" fillId="106" borderId="13" xfId="185" applyFill="1" applyBorder="1" applyAlignment="1">
      <alignment horizontal="center"/>
    </xf>
    <xf numFmtId="0" fontId="32" fillId="92" borderId="13" xfId="185" applyFill="1" applyBorder="1" applyAlignment="1">
      <alignment horizontal="center"/>
    </xf>
    <xf numFmtId="0" fontId="32" fillId="106" borderId="13" xfId="185" applyFill="1" applyBorder="1"/>
    <xf numFmtId="0" fontId="32" fillId="92" borderId="13" xfId="185" applyFont="1" applyFill="1" applyBorder="1"/>
    <xf numFmtId="0" fontId="32" fillId="92" borderId="13" xfId="185" applyFill="1" applyBorder="1"/>
    <xf numFmtId="0" fontId="32" fillId="0" borderId="0" xfId="185" applyFont="1" applyBorder="1" applyAlignment="1">
      <alignment horizontal="center"/>
    </xf>
    <xf numFmtId="0" fontId="32" fillId="0" borderId="0" xfId="185" applyBorder="1" applyAlignment="1">
      <alignment horizontal="center" wrapText="1"/>
    </xf>
    <xf numFmtId="2" fontId="32" fillId="22" borderId="0" xfId="185" applyNumberFormat="1" applyFill="1" applyBorder="1" applyAlignment="1">
      <alignment horizontal="center"/>
    </xf>
    <xf numFmtId="9" fontId="32" fillId="105" borderId="13" xfId="226" applyFont="1" applyFill="1" applyBorder="1" applyAlignment="1">
      <alignment horizontal="center"/>
    </xf>
    <xf numFmtId="9" fontId="32" fillId="106" borderId="13" xfId="226" applyFont="1" applyFill="1" applyBorder="1" applyAlignment="1">
      <alignment horizontal="center"/>
    </xf>
    <xf numFmtId="9" fontId="32" fillId="92" borderId="13" xfId="226" applyFont="1" applyFill="1" applyBorder="1" applyAlignment="1">
      <alignment horizontal="center"/>
    </xf>
    <xf numFmtId="9" fontId="33" fillId="98" borderId="13" xfId="226" applyFont="1" applyFill="1" applyBorder="1" applyAlignment="1">
      <alignment horizontal="center"/>
    </xf>
    <xf numFmtId="9" fontId="32" fillId="103" borderId="13" xfId="226" applyFont="1" applyFill="1" applyBorder="1" applyAlignment="1">
      <alignment horizontal="center"/>
    </xf>
    <xf numFmtId="9" fontId="33" fillId="103" borderId="13" xfId="226" applyFont="1" applyFill="1" applyBorder="1" applyAlignment="1">
      <alignment horizontal="center"/>
    </xf>
    <xf numFmtId="9" fontId="32" fillId="98" borderId="13" xfId="226" applyFont="1" applyFill="1" applyBorder="1" applyAlignment="1">
      <alignment horizontal="center"/>
    </xf>
    <xf numFmtId="9" fontId="33" fillId="105" borderId="13" xfId="226" applyFont="1" applyFill="1" applyBorder="1" applyAlignment="1">
      <alignment horizontal="center"/>
    </xf>
    <xf numFmtId="9" fontId="33" fillId="92" borderId="13" xfId="226" applyFont="1" applyFill="1" applyBorder="1" applyAlignment="1">
      <alignment horizontal="center"/>
    </xf>
    <xf numFmtId="9" fontId="33" fillId="106" borderId="13" xfId="226" applyFont="1" applyFill="1" applyBorder="1" applyAlignment="1">
      <alignment horizontal="center"/>
    </xf>
    <xf numFmtId="0" fontId="58" fillId="0" borderId="0" xfId="636"/>
    <xf numFmtId="0" fontId="32" fillId="88" borderId="3" xfId="185" applyFill="1" applyBorder="1" applyAlignment="1">
      <alignment horizontal="center"/>
    </xf>
    <xf numFmtId="0" fontId="32" fillId="107" borderId="3" xfId="185" applyFont="1" applyFill="1" applyBorder="1"/>
    <xf numFmtId="0" fontId="32" fillId="107" borderId="3" xfId="185" applyFill="1" applyBorder="1"/>
    <xf numFmtId="0" fontId="32" fillId="107" borderId="3" xfId="185" applyFill="1" applyBorder="1" applyAlignment="1">
      <alignment horizontal="center"/>
    </xf>
    <xf numFmtId="0" fontId="32" fillId="107" borderId="13" xfId="185" applyFill="1" applyBorder="1" applyAlignment="1">
      <alignment horizontal="center"/>
    </xf>
    <xf numFmtId="9" fontId="32" fillId="107" borderId="13" xfId="226" applyFont="1" applyFill="1" applyBorder="1" applyAlignment="1">
      <alignment horizontal="center"/>
    </xf>
    <xf numFmtId="9" fontId="33" fillId="107" borderId="13" xfId="226" applyFont="1" applyFill="1" applyBorder="1" applyAlignment="1">
      <alignment horizontal="center"/>
    </xf>
    <xf numFmtId="0" fontId="32" fillId="0" borderId="13" xfId="185" applyBorder="1" applyAlignment="1">
      <alignment wrapText="1"/>
    </xf>
    <xf numFmtId="0" fontId="32" fillId="0" borderId="13" xfId="185" applyFont="1" applyBorder="1" applyAlignment="1">
      <alignment wrapText="1"/>
    </xf>
    <xf numFmtId="0" fontId="32" fillId="0" borderId="13" xfId="185" applyFont="1" applyFill="1" applyBorder="1" applyAlignment="1">
      <alignment wrapText="1"/>
    </xf>
    <xf numFmtId="0" fontId="32" fillId="107" borderId="13" xfId="185" applyFont="1" applyFill="1" applyBorder="1" applyAlignment="1">
      <alignment wrapText="1"/>
    </xf>
    <xf numFmtId="0" fontId="32" fillId="107" borderId="13" xfId="185" applyFont="1" applyFill="1" applyBorder="1"/>
    <xf numFmtId="0" fontId="32" fillId="0" borderId="13" xfId="185" applyFont="1" applyBorder="1"/>
    <xf numFmtId="0" fontId="32" fillId="101" borderId="13" xfId="185" applyFont="1" applyFill="1" applyBorder="1"/>
    <xf numFmtId="0" fontId="33" fillId="101" borderId="3" xfId="185" applyFont="1" applyFill="1" applyBorder="1"/>
    <xf numFmtId="0" fontId="32" fillId="0" borderId="0" xfId="185" applyFont="1" applyAlignment="1">
      <alignment wrapText="1"/>
    </xf>
    <xf numFmtId="0" fontId="32" fillId="0" borderId="0" xfId="185" applyFont="1"/>
    <xf numFmtId="0" fontId="163" fillId="90" borderId="13" xfId="185" applyFont="1" applyFill="1" applyBorder="1" applyAlignment="1">
      <alignment wrapText="1"/>
    </xf>
    <xf numFmtId="0" fontId="32" fillId="90" borderId="9" xfId="185" applyFill="1" applyBorder="1" applyAlignment="1">
      <alignment wrapText="1"/>
    </xf>
    <xf numFmtId="0" fontId="32" fillId="90" borderId="13" xfId="185" applyFill="1" applyBorder="1" applyAlignment="1">
      <alignment horizontal="center"/>
    </xf>
    <xf numFmtId="0" fontId="32" fillId="90" borderId="3" xfId="185" applyFill="1" applyBorder="1" applyAlignment="1">
      <alignment horizontal="center"/>
    </xf>
    <xf numFmtId="0" fontId="37" fillId="98" borderId="13" xfId="0" applyFont="1" applyFill="1" applyBorder="1"/>
    <xf numFmtId="0" fontId="37" fillId="99" borderId="13" xfId="0" applyFont="1" applyFill="1" applyBorder="1"/>
    <xf numFmtId="0" fontId="19" fillId="90" borderId="13" xfId="0" applyFont="1" applyFill="1" applyBorder="1" applyAlignment="1"/>
    <xf numFmtId="9" fontId="33" fillId="108" borderId="13" xfId="226" applyFont="1" applyFill="1" applyBorder="1" applyAlignment="1">
      <alignment horizontal="center"/>
    </xf>
    <xf numFmtId="0" fontId="19" fillId="96" borderId="13" xfId="0" applyFont="1" applyFill="1" applyBorder="1"/>
    <xf numFmtId="0" fontId="19" fillId="88" borderId="13" xfId="0" applyFont="1" applyFill="1" applyBorder="1" applyAlignment="1">
      <alignment horizontal="left" vertical="center"/>
    </xf>
    <xf numFmtId="0" fontId="19" fillId="86" borderId="13" xfId="1793" applyFill="1" applyBorder="1"/>
    <xf numFmtId="175" fontId="32" fillId="105" borderId="13" xfId="226" applyNumberFormat="1" applyFont="1" applyFill="1" applyBorder="1" applyAlignment="1">
      <alignment horizontal="center"/>
    </xf>
    <xf numFmtId="175" fontId="32" fillId="108" borderId="13" xfId="226" applyNumberFormat="1" applyFont="1" applyFill="1" applyBorder="1" applyAlignment="1">
      <alignment horizontal="center"/>
    </xf>
    <xf numFmtId="0" fontId="19" fillId="0" borderId="13" xfId="0" applyFont="1" applyFill="1" applyBorder="1"/>
    <xf numFmtId="2" fontId="19" fillId="88" borderId="13" xfId="16" applyNumberFormat="1" applyFont="1" applyFill="1" applyBorder="1" applyAlignment="1">
      <alignment horizontal="center"/>
    </xf>
    <xf numFmtId="9" fontId="41" fillId="89" borderId="13" xfId="1802" applyNumberFormat="1" applyFont="1" applyFill="1" applyBorder="1"/>
    <xf numFmtId="0" fontId="129" fillId="90" borderId="13" xfId="0" applyFont="1" applyFill="1" applyBorder="1" applyAlignment="1">
      <alignment wrapText="1"/>
    </xf>
    <xf numFmtId="0" fontId="19" fillId="0" borderId="49" xfId="0" applyFont="1" applyFill="1" applyBorder="1" applyAlignment="1">
      <alignment horizontal="center"/>
    </xf>
    <xf numFmtId="2" fontId="19" fillId="97" borderId="13" xfId="16" applyNumberFormat="1" applyFont="1" applyFill="1" applyBorder="1" applyAlignment="1">
      <alignment horizontal="center"/>
    </xf>
    <xf numFmtId="0" fontId="19" fillId="88" borderId="49" xfId="0" applyFont="1" applyFill="1" applyBorder="1" applyAlignment="1"/>
    <xf numFmtId="9" fontId="33" fillId="0" borderId="13" xfId="226" applyFont="1" applyFill="1" applyBorder="1" applyAlignment="1">
      <alignment horizontal="center"/>
    </xf>
    <xf numFmtId="0" fontId="37" fillId="84" borderId="13" xfId="0" applyFont="1" applyFill="1" applyBorder="1"/>
    <xf numFmtId="0" fontId="19" fillId="88" borderId="31" xfId="0" applyFont="1" applyFill="1" applyBorder="1" applyAlignment="1"/>
    <xf numFmtId="175" fontId="32" fillId="109" borderId="13" xfId="226" applyNumberFormat="1" applyFont="1" applyFill="1" applyBorder="1" applyAlignment="1">
      <alignment horizontal="center"/>
    </xf>
    <xf numFmtId="0" fontId="19" fillId="0" borderId="32" xfId="0" applyFont="1" applyFill="1" applyBorder="1" applyAlignment="1">
      <alignment horizontal="center"/>
    </xf>
    <xf numFmtId="0" fontId="32" fillId="107" borderId="13" xfId="185" applyFill="1" applyBorder="1"/>
    <xf numFmtId="0" fontId="19" fillId="0" borderId="13" xfId="0" applyFont="1" applyBorder="1"/>
    <xf numFmtId="0" fontId="37" fillId="88" borderId="13" xfId="0" applyFont="1" applyFill="1" applyBorder="1"/>
    <xf numFmtId="0" fontId="19" fillId="88" borderId="32" xfId="0" applyFont="1" applyFill="1" applyBorder="1" applyAlignment="1"/>
    <xf numFmtId="9" fontId="19" fillId="90" borderId="13" xfId="16" applyFont="1" applyFill="1" applyBorder="1" applyAlignment="1">
      <alignment horizontal="center"/>
    </xf>
    <xf numFmtId="175" fontId="32" fillId="106" borderId="13" xfId="226" applyNumberFormat="1" applyFont="1" applyFill="1" applyBorder="1" applyAlignment="1">
      <alignment horizontal="center"/>
    </xf>
    <xf numFmtId="0" fontId="155" fillId="90" borderId="13" xfId="1793" applyFont="1" applyFill="1" applyBorder="1" applyAlignment="1">
      <alignment wrapText="1"/>
    </xf>
    <xf numFmtId="175" fontId="32" fillId="98" borderId="13" xfId="226" applyNumberFormat="1" applyFont="1" applyFill="1" applyBorder="1" applyAlignment="1">
      <alignment horizontal="center"/>
    </xf>
    <xf numFmtId="0" fontId="19" fillId="0" borderId="13" xfId="0" applyFont="1" applyBorder="1" applyAlignment="1">
      <alignment horizontal="center"/>
    </xf>
    <xf numFmtId="9" fontId="32" fillId="0" borderId="13" xfId="226" applyFont="1" applyFill="1" applyBorder="1" applyAlignment="1">
      <alignment horizontal="center"/>
    </xf>
    <xf numFmtId="0" fontId="37" fillId="94" borderId="13" xfId="0" applyFont="1" applyFill="1" applyBorder="1"/>
    <xf numFmtId="0" fontId="37" fillId="96" borderId="13" xfId="0" applyFont="1" applyFill="1" applyBorder="1"/>
    <xf numFmtId="0" fontId="32" fillId="109" borderId="13" xfId="185" applyFill="1" applyBorder="1"/>
    <xf numFmtId="9" fontId="33" fillId="109" borderId="13" xfId="226" applyFont="1" applyFill="1" applyBorder="1" applyAlignment="1">
      <alignment horizontal="center"/>
    </xf>
    <xf numFmtId="0" fontId="19" fillId="93" borderId="13" xfId="0" applyFont="1" applyFill="1" applyBorder="1"/>
    <xf numFmtId="9" fontId="0" fillId="90" borderId="13" xfId="1802" applyFont="1" applyFill="1" applyBorder="1"/>
    <xf numFmtId="2" fontId="19" fillId="93" borderId="13" xfId="16" applyNumberFormat="1" applyFont="1" applyFill="1" applyBorder="1" applyAlignment="1">
      <alignment horizontal="center"/>
    </xf>
    <xf numFmtId="0" fontId="19" fillId="94" borderId="13" xfId="0" applyFont="1" applyFill="1" applyBorder="1"/>
    <xf numFmtId="2" fontId="19" fillId="94" borderId="13" xfId="16" applyNumberFormat="1" applyFont="1" applyFill="1" applyBorder="1" applyAlignment="1">
      <alignment horizontal="center"/>
    </xf>
    <xf numFmtId="0" fontId="19" fillId="98" borderId="13" xfId="0" applyFont="1" applyFill="1" applyBorder="1" applyAlignment="1">
      <alignment horizontal="left" vertical="center"/>
    </xf>
    <xf numFmtId="0" fontId="19" fillId="100" borderId="13" xfId="1793" applyFill="1" applyBorder="1"/>
    <xf numFmtId="2" fontId="19" fillId="99" borderId="13" xfId="16" applyNumberFormat="1" applyFont="1" applyFill="1" applyBorder="1" applyAlignment="1">
      <alignment horizontal="center"/>
    </xf>
    <xf numFmtId="0" fontId="19" fillId="84" borderId="13" xfId="0" applyFont="1" applyFill="1" applyBorder="1" applyAlignment="1">
      <alignment horizontal="center"/>
    </xf>
    <xf numFmtId="9" fontId="130" fillId="89" borderId="13" xfId="1802" applyNumberFormat="1" applyFont="1" applyFill="1" applyBorder="1"/>
    <xf numFmtId="0" fontId="19" fillId="0" borderId="13" xfId="0" applyFont="1" applyFill="1" applyBorder="1" applyAlignment="1">
      <alignment horizontal="center"/>
    </xf>
    <xf numFmtId="175" fontId="32" fillId="107" borderId="13" xfId="226" applyNumberFormat="1" applyFont="1" applyFill="1" applyBorder="1" applyAlignment="1">
      <alignment horizontal="center"/>
    </xf>
    <xf numFmtId="2" fontId="0" fillId="89" borderId="13" xfId="1802" applyNumberFormat="1" applyFont="1" applyFill="1" applyBorder="1"/>
    <xf numFmtId="0" fontId="19" fillId="93" borderId="13" xfId="0" applyFont="1" applyFill="1" applyBorder="1" applyAlignment="1">
      <alignment horizontal="center"/>
    </xf>
    <xf numFmtId="9" fontId="32" fillId="109" borderId="13" xfId="226" applyFont="1" applyFill="1" applyBorder="1" applyAlignment="1">
      <alignment horizontal="center"/>
    </xf>
    <xf numFmtId="0" fontId="155" fillId="88" borderId="13" xfId="1793" applyFont="1" applyFill="1" applyBorder="1" applyAlignment="1">
      <alignment wrapText="1"/>
    </xf>
    <xf numFmtId="0" fontId="19" fillId="0" borderId="0" xfId="1793"/>
    <xf numFmtId="2" fontId="19" fillId="84" borderId="13" xfId="16" applyNumberFormat="1" applyFont="1" applyFill="1" applyBorder="1" applyAlignment="1">
      <alignment horizontal="center"/>
    </xf>
    <xf numFmtId="0" fontId="19" fillId="26" borderId="13" xfId="1793" applyFill="1" applyBorder="1"/>
    <xf numFmtId="0" fontId="32" fillId="106" borderId="13" xfId="185" applyFont="1" applyFill="1" applyBorder="1"/>
    <xf numFmtId="175" fontId="32" fillId="0" borderId="13" xfId="226" applyNumberFormat="1" applyFont="1" applyFill="1" applyBorder="1" applyAlignment="1">
      <alignment horizontal="center"/>
    </xf>
    <xf numFmtId="175" fontId="32" fillId="92" borderId="13" xfId="226" applyNumberFormat="1" applyFont="1" applyFill="1" applyBorder="1" applyAlignment="1">
      <alignment horizontal="center"/>
    </xf>
    <xf numFmtId="0" fontId="19" fillId="88" borderId="49" xfId="0" applyFont="1" applyFill="1" applyBorder="1" applyAlignment="1">
      <alignment horizontal="center"/>
    </xf>
    <xf numFmtId="2" fontId="19" fillId="98" borderId="13" xfId="16" applyNumberFormat="1" applyFont="1" applyFill="1" applyBorder="1" applyAlignment="1">
      <alignment horizontal="center"/>
    </xf>
    <xf numFmtId="0" fontId="32" fillId="90" borderId="13" xfId="6" applyFont="1" applyFill="1" applyBorder="1" applyAlignment="1">
      <alignment horizontal="center" wrapText="1"/>
    </xf>
    <xf numFmtId="0" fontId="19" fillId="90" borderId="13" xfId="1793" applyFill="1" applyBorder="1"/>
    <xf numFmtId="0" fontId="19" fillId="90" borderId="13" xfId="0" applyFont="1" applyFill="1" applyBorder="1" applyAlignment="1">
      <alignment horizontal="center"/>
    </xf>
    <xf numFmtId="0" fontId="32" fillId="108" borderId="13" xfId="185" applyFill="1" applyBorder="1"/>
    <xf numFmtId="0" fontId="129" fillId="88" borderId="13" xfId="0" applyFont="1" applyFill="1" applyBorder="1" applyAlignment="1">
      <alignment wrapText="1"/>
    </xf>
    <xf numFmtId="9" fontId="37" fillId="82" borderId="13" xfId="16" applyFont="1" applyFill="1" applyBorder="1" applyAlignment="1">
      <alignment horizontal="center"/>
    </xf>
    <xf numFmtId="0" fontId="19" fillId="0" borderId="13" xfId="1793" applyBorder="1"/>
    <xf numFmtId="0" fontId="19" fillId="0" borderId="28" xfId="0" applyFont="1" applyFill="1" applyBorder="1" applyAlignment="1">
      <alignment horizontal="center"/>
    </xf>
    <xf numFmtId="175" fontId="32" fillId="103" borderId="13" xfId="226" applyNumberFormat="1" applyFont="1" applyFill="1" applyBorder="1" applyAlignment="1">
      <alignment horizontal="center"/>
    </xf>
    <xf numFmtId="9" fontId="0" fillId="89" borderId="13" xfId="1802" applyNumberFormat="1" applyFont="1" applyFill="1" applyBorder="1"/>
    <xf numFmtId="0" fontId="37" fillId="97" borderId="13" xfId="0" applyFont="1" applyFill="1" applyBorder="1"/>
    <xf numFmtId="9" fontId="19" fillId="82" borderId="13" xfId="16" applyFont="1" applyFill="1" applyBorder="1" applyAlignment="1">
      <alignment horizontal="center"/>
    </xf>
    <xf numFmtId="0" fontId="32" fillId="88" borderId="13" xfId="6" applyFont="1" applyFill="1" applyBorder="1" applyAlignment="1">
      <alignment horizontal="center" wrapText="1"/>
    </xf>
    <xf numFmtId="0" fontId="19" fillId="97" borderId="13" xfId="0" applyFont="1" applyFill="1" applyBorder="1" applyAlignment="1">
      <alignment horizontal="right"/>
    </xf>
    <xf numFmtId="0" fontId="37" fillId="95" borderId="13" xfId="0" applyFont="1" applyFill="1" applyBorder="1"/>
    <xf numFmtId="0" fontId="155" fillId="88" borderId="13" xfId="1793" applyFont="1" applyFill="1" applyBorder="1"/>
    <xf numFmtId="0" fontId="19" fillId="98" borderId="13" xfId="0" applyFont="1" applyFill="1" applyBorder="1"/>
    <xf numFmtId="0" fontId="32" fillId="0" borderId="13" xfId="185" applyFont="1" applyFill="1" applyBorder="1" applyAlignment="1">
      <alignment horizontal="center" wrapText="1"/>
    </xf>
    <xf numFmtId="0" fontId="19" fillId="99" borderId="13" xfId="0" applyFont="1" applyFill="1" applyBorder="1"/>
    <xf numFmtId="0" fontId="161" fillId="94" borderId="13" xfId="0" applyFont="1" applyFill="1" applyBorder="1"/>
    <xf numFmtId="0" fontId="161" fillId="84" borderId="13" xfId="0" applyFont="1" applyFill="1" applyBorder="1"/>
    <xf numFmtId="0" fontId="19" fillId="97" borderId="13" xfId="0" applyFont="1" applyFill="1" applyBorder="1" applyAlignment="1"/>
    <xf numFmtId="0" fontId="19" fillId="84" borderId="13" xfId="0" applyFont="1" applyFill="1" applyBorder="1"/>
    <xf numFmtId="0" fontId="32" fillId="98" borderId="13" xfId="185" applyFill="1" applyBorder="1"/>
    <xf numFmtId="0" fontId="32" fillId="104" borderId="13" xfId="185" applyFont="1" applyFill="1" applyBorder="1"/>
    <xf numFmtId="9" fontId="32" fillId="108" borderId="13" xfId="226" applyFont="1" applyFill="1" applyBorder="1" applyAlignment="1">
      <alignment horizontal="center"/>
    </xf>
    <xf numFmtId="0" fontId="19" fillId="97" borderId="13" xfId="0" applyFont="1" applyFill="1" applyBorder="1"/>
    <xf numFmtId="2" fontId="19" fillId="95" borderId="13" xfId="16" applyNumberFormat="1" applyFont="1" applyFill="1" applyBorder="1" applyAlignment="1">
      <alignment horizontal="center"/>
    </xf>
    <xf numFmtId="9" fontId="37" fillId="90" borderId="13" xfId="16" applyFont="1" applyFill="1" applyBorder="1" applyAlignment="1">
      <alignment horizontal="center"/>
    </xf>
    <xf numFmtId="9" fontId="32" fillId="0" borderId="9" xfId="185" applyNumberFormat="1" applyFill="1" applyBorder="1" applyAlignment="1">
      <alignment horizontal="center" wrapText="1"/>
    </xf>
    <xf numFmtId="0" fontId="19" fillId="97" borderId="13" xfId="0" applyFont="1" applyFill="1" applyBorder="1" applyAlignment="1">
      <alignment horizontal="center"/>
    </xf>
    <xf numFmtId="0" fontId="0" fillId="98" borderId="13" xfId="0" applyFill="1" applyBorder="1"/>
    <xf numFmtId="0" fontId="19" fillId="95" borderId="13" xfId="0" applyFont="1" applyFill="1" applyBorder="1"/>
    <xf numFmtId="0" fontId="19" fillId="88" borderId="13" xfId="0" applyFont="1" applyFill="1" applyBorder="1"/>
    <xf numFmtId="0" fontId="129" fillId="88" borderId="13" xfId="0" applyFont="1" applyFill="1" applyBorder="1"/>
    <xf numFmtId="0" fontId="19" fillId="89" borderId="13" xfId="1793" applyFill="1" applyBorder="1"/>
    <xf numFmtId="0" fontId="19" fillId="0" borderId="0" xfId="0" applyFont="1" applyFill="1" applyBorder="1"/>
    <xf numFmtId="0" fontId="0" fillId="0" borderId="0" xfId="0" applyFill="1"/>
    <xf numFmtId="0" fontId="19" fillId="94" borderId="13" xfId="0" applyFont="1" applyFill="1" applyBorder="1" applyAlignment="1">
      <alignment horizontal="center"/>
    </xf>
    <xf numFmtId="0" fontId="37" fillId="93" borderId="13" xfId="0" applyFont="1" applyFill="1" applyBorder="1"/>
    <xf numFmtId="0" fontId="19" fillId="0" borderId="0" xfId="1853"/>
    <xf numFmtId="0" fontId="19" fillId="0" borderId="0" xfId="1853" applyAlignment="1">
      <alignment wrapText="1"/>
    </xf>
    <xf numFmtId="0" fontId="166" fillId="0" borderId="0" xfId="1853" applyFont="1"/>
    <xf numFmtId="0" fontId="167" fillId="0" borderId="0" xfId="1853" applyFont="1"/>
    <xf numFmtId="0" fontId="168" fillId="0" borderId="0" xfId="1853" applyFont="1"/>
    <xf numFmtId="0" fontId="19" fillId="106" borderId="0" xfId="1853" applyFill="1" applyAlignment="1">
      <alignment wrapText="1"/>
    </xf>
    <xf numFmtId="0" fontId="19" fillId="91" borderId="0" xfId="1853" applyFill="1" applyAlignment="1">
      <alignment wrapText="1"/>
    </xf>
    <xf numFmtId="1" fontId="19" fillId="0" borderId="0" xfId="1853" applyNumberFormat="1"/>
    <xf numFmtId="0" fontId="19" fillId="0" borderId="0" xfId="1853" applyAlignment="1">
      <alignment horizontal="right"/>
    </xf>
    <xf numFmtId="175" fontId="19" fillId="0" borderId="0" xfId="1853" applyNumberFormat="1"/>
    <xf numFmtId="0" fontId="129" fillId="86" borderId="0" xfId="1853" applyFont="1" applyFill="1"/>
    <xf numFmtId="1" fontId="129" fillId="86" borderId="0" xfId="1853" applyNumberFormat="1" applyFont="1" applyFill="1"/>
    <xf numFmtId="0" fontId="129" fillId="86" borderId="0" xfId="1853" applyFont="1" applyFill="1" applyAlignment="1">
      <alignment horizontal="right"/>
    </xf>
    <xf numFmtId="175" fontId="129" fillId="86" borderId="0" xfId="1853" applyNumberFormat="1" applyFont="1" applyFill="1"/>
    <xf numFmtId="0" fontId="19" fillId="94" borderId="0" xfId="1853" applyFill="1"/>
    <xf numFmtId="1" fontId="19" fillId="94" borderId="0" xfId="1853" applyNumberFormat="1" applyFill="1"/>
    <xf numFmtId="0" fontId="19" fillId="94" borderId="0" xfId="1853" applyFill="1" applyAlignment="1">
      <alignment horizontal="right"/>
    </xf>
    <xf numFmtId="175" fontId="19" fillId="94" borderId="0" xfId="1853" applyNumberFormat="1" applyFill="1"/>
    <xf numFmtId="0" fontId="19" fillId="85" borderId="0" xfId="1853" applyFill="1"/>
    <xf numFmtId="1" fontId="19" fillId="85" borderId="0" xfId="1853" applyNumberFormat="1" applyFill="1"/>
    <xf numFmtId="0" fontId="19" fillId="85" borderId="0" xfId="1853" applyFill="1" applyAlignment="1">
      <alignment horizontal="right"/>
    </xf>
    <xf numFmtId="175" fontId="19" fillId="85" borderId="0" xfId="1853" applyNumberFormat="1" applyFill="1"/>
    <xf numFmtId="0" fontId="129" fillId="0" borderId="0" xfId="1197" applyBorder="1"/>
    <xf numFmtId="0" fontId="129" fillId="88" borderId="0" xfId="1853" applyFont="1" applyFill="1"/>
    <xf numFmtId="0" fontId="19" fillId="88" borderId="0" xfId="1853" applyFill="1"/>
    <xf numFmtId="0" fontId="19" fillId="86" borderId="0" xfId="1853" applyFill="1"/>
    <xf numFmtId="0" fontId="167" fillId="86" borderId="0" xfId="1853" applyFont="1" applyFill="1"/>
    <xf numFmtId="0" fontId="129" fillId="94" borderId="13" xfId="1197" applyFill="1" applyBorder="1"/>
    <xf numFmtId="0" fontId="19" fillId="82" borderId="0" xfId="1853" applyFill="1"/>
    <xf numFmtId="0" fontId="19" fillId="0" borderId="0" xfId="1853" applyBorder="1"/>
    <xf numFmtId="0" fontId="129" fillId="0" borderId="0" xfId="1197" applyBorder="1" applyAlignment="1">
      <alignment horizontal="center"/>
    </xf>
    <xf numFmtId="0" fontId="129" fillId="0" borderId="0" xfId="1197" applyFont="1" applyBorder="1" applyAlignment="1">
      <alignment horizontal="center"/>
    </xf>
    <xf numFmtId="2" fontId="19" fillId="0" borderId="0" xfId="1853" applyNumberFormat="1" applyAlignment="1">
      <alignment wrapText="1"/>
    </xf>
    <xf numFmtId="2" fontId="19" fillId="0" borderId="0" xfId="1853" applyNumberFormat="1"/>
    <xf numFmtId="9" fontId="37" fillId="0" borderId="0" xfId="1854" applyFont="1"/>
    <xf numFmtId="2" fontId="19" fillId="86" borderId="0" xfId="1853" applyNumberFormat="1" applyFill="1"/>
    <xf numFmtId="9" fontId="37" fillId="86" borderId="0" xfId="1854" applyFont="1" applyFill="1"/>
    <xf numFmtId="9" fontId="37" fillId="0" borderId="0" xfId="1854" applyFont="1" applyFill="1"/>
    <xf numFmtId="2" fontId="19" fillId="94" borderId="0" xfId="1853" applyNumberFormat="1" applyFill="1"/>
    <xf numFmtId="9" fontId="37" fillId="94" borderId="0" xfId="1854" applyFont="1" applyFill="1"/>
    <xf numFmtId="2" fontId="19" fillId="85" borderId="0" xfId="1853" applyNumberFormat="1" applyFill="1"/>
    <xf numFmtId="9" fontId="37" fillId="85" borderId="0" xfId="1854" applyFont="1" applyFill="1"/>
    <xf numFmtId="2" fontId="19" fillId="86" borderId="0" xfId="1853" applyNumberFormat="1" applyFill="1" applyAlignment="1">
      <alignment wrapText="1"/>
    </xf>
    <xf numFmtId="2" fontId="19" fillId="94" borderId="0" xfId="1853" applyNumberFormat="1" applyFill="1" applyAlignment="1">
      <alignment wrapText="1"/>
    </xf>
    <xf numFmtId="2" fontId="19" fillId="85" borderId="0" xfId="1853" applyNumberFormat="1" applyFill="1" applyAlignment="1">
      <alignment wrapText="1"/>
    </xf>
    <xf numFmtId="2" fontId="19" fillId="82" borderId="0" xfId="1853" applyNumberFormat="1" applyFill="1" applyAlignment="1">
      <alignment wrapText="1"/>
    </xf>
    <xf numFmtId="9" fontId="0" fillId="0" borderId="0" xfId="1854" applyFont="1"/>
    <xf numFmtId="9" fontId="0" fillId="86" borderId="0" xfId="1854" applyFont="1" applyFill="1"/>
    <xf numFmtId="9" fontId="0" fillId="0" borderId="0" xfId="1854" applyFont="1" applyFill="1"/>
    <xf numFmtId="9" fontId="0" fillId="94" borderId="0" xfId="1854" applyFont="1" applyFill="1"/>
    <xf numFmtId="9" fontId="0" fillId="85" borderId="0" xfId="1854" applyFont="1" applyFill="1"/>
    <xf numFmtId="1" fontId="0" fillId="82" borderId="0" xfId="1854" applyNumberFormat="1" applyFont="1" applyFill="1"/>
    <xf numFmtId="9" fontId="0" fillId="82" borderId="0" xfId="1854" applyFont="1" applyFill="1"/>
    <xf numFmtId="1" fontId="0" fillId="86" borderId="0" xfId="1854" applyNumberFormat="1" applyFont="1" applyFill="1"/>
    <xf numFmtId="1" fontId="0" fillId="94" borderId="0" xfId="1854" applyNumberFormat="1" applyFont="1" applyFill="1"/>
    <xf numFmtId="1" fontId="0" fillId="85" borderId="0" xfId="1854" applyNumberFormat="1" applyFont="1" applyFill="1"/>
    <xf numFmtId="1" fontId="0" fillId="0" borderId="0" xfId="1854" applyNumberFormat="1" applyFont="1"/>
    <xf numFmtId="0" fontId="32" fillId="110" borderId="13" xfId="6" applyFont="1" applyFill="1" applyBorder="1" applyAlignment="1">
      <alignment horizontal="center" wrapText="1"/>
    </xf>
    <xf numFmtId="0" fontId="0" fillId="0" borderId="0" xfId="0" applyAlignment="1"/>
    <xf numFmtId="0" fontId="0" fillId="0" borderId="0" xfId="0" applyAlignment="1">
      <alignment wrapText="1"/>
    </xf>
    <xf numFmtId="0" fontId="19" fillId="89" borderId="13" xfId="1793" applyFont="1" applyFill="1" applyBorder="1"/>
    <xf numFmtId="0" fontId="19" fillId="0" borderId="13" xfId="1793" applyFont="1" applyBorder="1"/>
    <xf numFmtId="0" fontId="19" fillId="86" borderId="13" xfId="1793" applyFont="1" applyFill="1" applyBorder="1"/>
    <xf numFmtId="0" fontId="19" fillId="26" borderId="13" xfId="1793" applyFont="1" applyFill="1" applyBorder="1"/>
    <xf numFmtId="0" fontId="19" fillId="0" borderId="0" xfId="1853" applyFont="1"/>
    <xf numFmtId="0" fontId="19" fillId="94" borderId="0" xfId="1853" applyFont="1" applyFill="1"/>
    <xf numFmtId="0" fontId="19" fillId="85" borderId="0" xfId="1853" applyFont="1" applyFill="1"/>
    <xf numFmtId="0" fontId="19" fillId="86" borderId="0" xfId="1853" applyFont="1" applyFill="1"/>
    <xf numFmtId="0" fontId="19" fillId="0" borderId="32" xfId="0" applyFont="1" applyFill="1" applyBorder="1"/>
    <xf numFmtId="0" fontId="19" fillId="0" borderId="49" xfId="0" applyFont="1" applyFill="1" applyBorder="1"/>
    <xf numFmtId="0" fontId="34" fillId="0" borderId="13" xfId="545" applyFill="1" applyBorder="1"/>
    <xf numFmtId="0" fontId="155" fillId="0" borderId="13" xfId="545" applyFont="1" applyFill="1" applyBorder="1"/>
    <xf numFmtId="0" fontId="18" fillId="89" borderId="13" xfId="1793" applyFont="1" applyFill="1" applyBorder="1"/>
    <xf numFmtId="0" fontId="32" fillId="0" borderId="38" xfId="185" applyBorder="1" applyAlignment="1">
      <alignment wrapText="1"/>
    </xf>
    <xf numFmtId="0" fontId="32" fillId="90" borderId="38" xfId="185" applyFill="1" applyBorder="1" applyAlignment="1">
      <alignment wrapText="1"/>
    </xf>
    <xf numFmtId="9" fontId="32" fillId="0" borderId="38" xfId="185" applyNumberFormat="1" applyFill="1" applyBorder="1" applyAlignment="1">
      <alignment horizontal="center" wrapText="1"/>
    </xf>
    <xf numFmtId="2" fontId="32" fillId="0" borderId="38" xfId="185" applyNumberFormat="1" applyFill="1" applyBorder="1" applyAlignment="1">
      <alignment horizontal="center" wrapText="1"/>
    </xf>
    <xf numFmtId="0" fontId="32" fillId="0" borderId="3" xfId="185" applyFont="1" applyFill="1" applyBorder="1"/>
    <xf numFmtId="0" fontId="32" fillId="0" borderId="3" xfId="185" applyFill="1" applyBorder="1" applyAlignment="1">
      <alignment horizontal="center"/>
    </xf>
    <xf numFmtId="0" fontId="32" fillId="0" borderId="13" xfId="185" applyFill="1" applyBorder="1"/>
    <xf numFmtId="0" fontId="32" fillId="0" borderId="13" xfId="185" applyFill="1" applyBorder="1" applyAlignment="1">
      <alignment horizontal="center"/>
    </xf>
    <xf numFmtId="0" fontId="37" fillId="82" borderId="0" xfId="1853" applyFont="1" applyFill="1"/>
    <xf numFmtId="0" fontId="37" fillId="86" borderId="0" xfId="1853" applyFont="1" applyFill="1"/>
    <xf numFmtId="0" fontId="37" fillId="85" borderId="0" xfId="1853" applyFont="1" applyFill="1"/>
    <xf numFmtId="0" fontId="146" fillId="0" borderId="0" xfId="0" applyFont="1" applyAlignment="1">
      <alignment horizontal="left" wrapText="1"/>
    </xf>
    <xf numFmtId="0" fontId="19" fillId="89" borderId="37" xfId="1793" applyFont="1" applyFill="1" applyBorder="1"/>
    <xf numFmtId="0" fontId="19" fillId="0" borderId="0" xfId="1793" applyFont="1" applyFill="1" applyBorder="1"/>
    <xf numFmtId="0" fontId="19" fillId="0" borderId="0" xfId="1793" applyFill="1" applyBorder="1"/>
    <xf numFmtId="0" fontId="19" fillId="0" borderId="30" xfId="1793" applyFont="1" applyFill="1" applyBorder="1"/>
    <xf numFmtId="0" fontId="0" fillId="0" borderId="0" xfId="0" applyAlignment="1">
      <alignment horizontal="left" vertical="center"/>
    </xf>
    <xf numFmtId="0" fontId="18" fillId="88" borderId="13" xfId="0" applyFont="1" applyFill="1" applyBorder="1"/>
    <xf numFmtId="0" fontId="18" fillId="0" borderId="13" xfId="0" applyFont="1" applyBorder="1"/>
    <xf numFmtId="0" fontId="18" fillId="88" borderId="31" xfId="0" applyFont="1" applyFill="1" applyBorder="1" applyAlignment="1"/>
    <xf numFmtId="0" fontId="18" fillId="88" borderId="31" xfId="0" applyFont="1" applyFill="1" applyBorder="1" applyAlignment="1">
      <alignment horizontal="center"/>
    </xf>
    <xf numFmtId="0" fontId="18" fillId="0" borderId="31" xfId="0" applyFont="1" applyFill="1" applyBorder="1" applyAlignment="1"/>
    <xf numFmtId="0" fontId="18" fillId="0" borderId="13" xfId="1793" applyFont="1" applyBorder="1"/>
    <xf numFmtId="0" fontId="148" fillId="0" borderId="0" xfId="0" applyFont="1" applyAlignment="1">
      <alignment horizontal="left" wrapText="1"/>
    </xf>
    <xf numFmtId="0" fontId="130" fillId="0" borderId="0" xfId="0" applyFont="1"/>
    <xf numFmtId="178" fontId="172" fillId="26" borderId="48" xfId="540" applyNumberFormat="1" applyFont="1" applyFill="1" applyBorder="1" applyAlignment="1">
      <alignment vertical="center"/>
    </xf>
    <xf numFmtId="178" fontId="172" fillId="26" borderId="33" xfId="540" applyNumberFormat="1" applyFont="1" applyFill="1" applyBorder="1" applyAlignment="1">
      <alignment vertical="center"/>
    </xf>
    <xf numFmtId="178" fontId="172" fillId="26" borderId="44" xfId="540" applyNumberFormat="1" applyFont="1" applyFill="1" applyBorder="1" applyAlignment="1">
      <alignment vertical="center"/>
    </xf>
    <xf numFmtId="178" fontId="172" fillId="26" borderId="43" xfId="540" applyNumberFormat="1" applyFont="1" applyFill="1" applyBorder="1" applyAlignment="1">
      <alignment vertical="center"/>
    </xf>
    <xf numFmtId="9" fontId="175" fillId="0" borderId="0" xfId="0" applyNumberFormat="1" applyFont="1" applyBorder="1" applyAlignment="1" applyProtection="1">
      <alignment horizontal="center"/>
      <protection hidden="1"/>
    </xf>
    <xf numFmtId="175" fontId="175" fillId="0" borderId="0" xfId="0" applyNumberFormat="1" applyFont="1" applyBorder="1" applyAlignment="1" applyProtection="1">
      <alignment horizontal="center"/>
      <protection hidden="1"/>
    </xf>
    <xf numFmtId="0" fontId="67" fillId="0" borderId="0" xfId="0" applyFont="1" applyBorder="1" applyProtection="1">
      <protection hidden="1"/>
    </xf>
    <xf numFmtId="175" fontId="175" fillId="0" borderId="43" xfId="0" applyNumberFormat="1" applyFont="1" applyBorder="1" applyAlignment="1" applyProtection="1">
      <alignment horizontal="center"/>
      <protection hidden="1"/>
    </xf>
    <xf numFmtId="0" fontId="67" fillId="0" borderId="43" xfId="0" applyFont="1" applyBorder="1" applyProtection="1">
      <protection hidden="1"/>
    </xf>
    <xf numFmtId="0" fontId="33" fillId="3" borderId="51" xfId="0" applyFont="1" applyFill="1" applyBorder="1" applyAlignment="1" applyProtection="1">
      <alignment horizontal="center" vertical="center"/>
      <protection hidden="1"/>
    </xf>
    <xf numFmtId="0" fontId="33" fillId="3" borderId="52" xfId="0" applyFont="1" applyFill="1" applyBorder="1" applyAlignment="1" applyProtection="1">
      <alignment horizontal="center" vertical="center"/>
      <protection hidden="1"/>
    </xf>
    <xf numFmtId="0" fontId="33" fillId="3" borderId="53" xfId="0" applyFont="1" applyFill="1" applyBorder="1" applyAlignment="1" applyProtection="1">
      <alignment horizontal="left" vertical="center"/>
      <protection hidden="1"/>
    </xf>
    <xf numFmtId="0" fontId="178" fillId="0" borderId="54" xfId="0" applyFont="1" applyFill="1" applyBorder="1" applyAlignment="1" applyProtection="1">
      <alignment horizontal="center" wrapText="1" readingOrder="1"/>
      <protection locked="0"/>
    </xf>
    <xf numFmtId="0" fontId="179" fillId="0" borderId="54" xfId="0" applyFont="1" applyFill="1" applyBorder="1" applyAlignment="1" applyProtection="1">
      <alignment horizontal="center" vertical="top" wrapText="1" readingOrder="1"/>
      <protection locked="0"/>
    </xf>
    <xf numFmtId="0" fontId="178" fillId="0" borderId="54" xfId="0" applyFont="1" applyFill="1" applyBorder="1" applyAlignment="1" applyProtection="1">
      <alignment horizontal="center" vertical="top" wrapText="1" readingOrder="1"/>
      <protection locked="0"/>
    </xf>
    <xf numFmtId="0" fontId="145" fillId="0" borderId="0" xfId="0" applyFont="1" applyAlignment="1">
      <alignment wrapText="1"/>
    </xf>
    <xf numFmtId="0" fontId="17" fillId="88" borderId="31" xfId="0" applyFont="1" applyFill="1" applyBorder="1" applyAlignment="1"/>
    <xf numFmtId="0" fontId="0" fillId="0" borderId="55" xfId="0" applyBorder="1"/>
    <xf numFmtId="0" fontId="180" fillId="0" borderId="0" xfId="0" applyFont="1"/>
    <xf numFmtId="0" fontId="0" fillId="0" borderId="56" xfId="0" applyBorder="1"/>
    <xf numFmtId="0" fontId="0" fillId="0" borderId="55" xfId="0" applyFill="1" applyBorder="1"/>
    <xf numFmtId="2" fontId="0" fillId="0" borderId="0" xfId="0" applyNumberFormat="1" applyBorder="1" applyAlignment="1">
      <alignment wrapText="1"/>
    </xf>
    <xf numFmtId="0" fontId="16" fillId="0" borderId="0" xfId="0" applyFont="1" applyAlignment="1">
      <alignment vertical="center"/>
    </xf>
    <xf numFmtId="0" fontId="158" fillId="0" borderId="0" xfId="0" applyFont="1"/>
    <xf numFmtId="0" fontId="154" fillId="0" borderId="0" xfId="0" applyFont="1"/>
    <xf numFmtId="0" fontId="146" fillId="0" borderId="0" xfId="3" applyFont="1" applyFill="1" applyBorder="1" applyAlignment="1">
      <alignment horizontal="left" vertical="center" wrapText="1"/>
    </xf>
    <xf numFmtId="0" fontId="146" fillId="0" borderId="0" xfId="3" applyFont="1" applyFill="1" applyAlignment="1">
      <alignment horizontal="left" vertical="center" wrapText="1"/>
    </xf>
    <xf numFmtId="0" fontId="91" fillId="0" borderId="0" xfId="3" applyFont="1" applyBorder="1" applyAlignment="1">
      <alignment wrapText="1"/>
    </xf>
    <xf numFmtId="0" fontId="29" fillId="0" borderId="35" xfId="3" applyFont="1" applyBorder="1" applyAlignment="1">
      <alignment wrapText="1"/>
    </xf>
    <xf numFmtId="0" fontId="148" fillId="0" borderId="0" xfId="0" applyFont="1" applyFill="1" applyAlignment="1">
      <alignment horizontal="left" vertical="center"/>
    </xf>
    <xf numFmtId="0" fontId="146" fillId="0" borderId="0" xfId="0" applyFont="1" applyBorder="1" applyAlignment="1">
      <alignment horizontal="center" vertical="center"/>
    </xf>
    <xf numFmtId="0" fontId="148" fillId="0" borderId="50" xfId="0" applyFont="1" applyBorder="1"/>
    <xf numFmtId="0" fontId="146" fillId="0" borderId="50" xfId="0" applyFont="1" applyBorder="1"/>
    <xf numFmtId="0" fontId="146" fillId="87" borderId="50" xfId="0" applyFont="1" applyFill="1" applyBorder="1" applyAlignment="1">
      <alignment horizontal="center" vertical="center"/>
    </xf>
    <xf numFmtId="0" fontId="91" fillId="0" borderId="30" xfId="3" applyFont="1" applyBorder="1"/>
    <xf numFmtId="0" fontId="144" fillId="0" borderId="33" xfId="0" applyFont="1" applyFill="1" applyBorder="1" applyAlignment="1">
      <alignment horizontal="left" vertical="center"/>
    </xf>
    <xf numFmtId="0" fontId="155" fillId="0" borderId="0" xfId="0" applyFont="1"/>
    <xf numFmtId="0" fontId="155" fillId="0" borderId="56" xfId="0" applyFont="1" applyBorder="1"/>
    <xf numFmtId="0" fontId="25" fillId="0" borderId="0" xfId="0" applyFont="1" applyFill="1" applyAlignment="1">
      <alignment wrapText="1"/>
    </xf>
    <xf numFmtId="0" fontId="13" fillId="0" borderId="0" xfId="3" applyFont="1" applyFill="1"/>
    <xf numFmtId="1" fontId="0" fillId="0" borderId="0" xfId="0" applyNumberFormat="1" applyAlignment="1">
      <alignment wrapText="1"/>
    </xf>
    <xf numFmtId="0" fontId="146" fillId="0" borderId="0" xfId="3" applyFont="1"/>
    <xf numFmtId="0" fontId="149" fillId="0" borderId="0" xfId="0" applyFont="1" applyBorder="1" applyAlignment="1">
      <alignment horizontal="center" vertical="center"/>
    </xf>
    <xf numFmtId="0" fontId="145" fillId="26" borderId="40" xfId="3" applyFont="1" applyFill="1" applyBorder="1" applyAlignment="1">
      <alignment horizontal="center" vertical="center"/>
    </xf>
    <xf numFmtId="177" fontId="145" fillId="26" borderId="40" xfId="16" applyNumberFormat="1" applyFont="1" applyFill="1" applyBorder="1" applyAlignment="1">
      <alignment horizontal="center" vertical="center"/>
    </xf>
    <xf numFmtId="0" fontId="149" fillId="0" borderId="40" xfId="0" applyFont="1" applyBorder="1" applyAlignment="1">
      <alignment horizontal="center" vertical="center"/>
    </xf>
    <xf numFmtId="0" fontId="13" fillId="0" borderId="0" xfId="3" applyFont="1"/>
    <xf numFmtId="0" fontId="146" fillId="26" borderId="40" xfId="0" applyFont="1" applyFill="1" applyBorder="1" applyAlignment="1">
      <alignment horizontal="center" vertical="center"/>
    </xf>
    <xf numFmtId="0" fontId="147" fillId="26" borderId="40" xfId="0" applyFont="1" applyFill="1" applyBorder="1" applyAlignment="1">
      <alignment horizontal="center" vertical="center"/>
    </xf>
    <xf numFmtId="0" fontId="146" fillId="26" borderId="41" xfId="0" applyFont="1" applyFill="1" applyBorder="1" applyAlignment="1">
      <alignment horizontal="center" vertical="center"/>
    </xf>
    <xf numFmtId="0" fontId="146" fillId="26" borderId="40" xfId="0" applyFont="1" applyFill="1" applyBorder="1" applyAlignment="1">
      <alignment horizontal="center" vertical="center" wrapText="1"/>
    </xf>
    <xf numFmtId="0" fontId="146" fillId="26" borderId="41" xfId="0" applyFont="1" applyFill="1" applyBorder="1" applyAlignment="1">
      <alignment vertical="center"/>
    </xf>
    <xf numFmtId="0" fontId="147" fillId="26" borderId="40" xfId="0" applyFont="1" applyFill="1" applyBorder="1" applyAlignment="1">
      <alignment horizontal="center" vertical="center" wrapText="1"/>
    </xf>
    <xf numFmtId="0" fontId="147" fillId="26" borderId="40" xfId="0" applyFont="1" applyFill="1" applyBorder="1" applyAlignment="1">
      <alignment vertical="center"/>
    </xf>
    <xf numFmtId="0" fontId="146" fillId="26" borderId="39" xfId="0" applyFont="1" applyFill="1" applyBorder="1" applyAlignment="1">
      <alignment horizontal="center" vertical="center"/>
    </xf>
    <xf numFmtId="10" fontId="147" fillId="0" borderId="40" xfId="0" applyNumberFormat="1" applyFont="1" applyFill="1" applyBorder="1" applyAlignment="1">
      <alignment horizontal="center" vertical="center"/>
    </xf>
    <xf numFmtId="0" fontId="149" fillId="0" borderId="40" xfId="0" applyFont="1" applyFill="1" applyBorder="1" applyAlignment="1">
      <alignment horizontal="center" vertical="center"/>
    </xf>
    <xf numFmtId="9" fontId="147" fillId="26" borderId="40" xfId="0" applyNumberFormat="1" applyFont="1" applyFill="1" applyBorder="1" applyAlignment="1">
      <alignment vertical="center" wrapText="1"/>
    </xf>
    <xf numFmtId="0" fontId="148" fillId="0" borderId="31" xfId="0" applyFont="1" applyBorder="1" applyAlignment="1">
      <alignment vertical="center" wrapText="1"/>
    </xf>
    <xf numFmtId="0" fontId="147" fillId="26" borderId="13" xfId="0" applyFont="1" applyFill="1" applyBorder="1"/>
    <xf numFmtId="0" fontId="148" fillId="0" borderId="0" xfId="0" applyFont="1" applyAlignment="1">
      <alignment vertical="center" wrapText="1"/>
    </xf>
    <xf numFmtId="0" fontId="151" fillId="0" borderId="0" xfId="0" applyFont="1" applyBorder="1"/>
    <xf numFmtId="0" fontId="149" fillId="0" borderId="0" xfId="0" applyFont="1" applyBorder="1" applyAlignment="1">
      <alignment horizontal="center" vertical="center" wrapText="1"/>
    </xf>
    <xf numFmtId="182" fontId="0" fillId="26" borderId="13" xfId="0" applyNumberFormat="1" applyFill="1" applyBorder="1"/>
    <xf numFmtId="0" fontId="184" fillId="0" borderId="0" xfId="0" applyFont="1" applyAlignment="1">
      <alignment horizontal="center" vertical="center" wrapText="1"/>
    </xf>
    <xf numFmtId="0" fontId="186" fillId="89" borderId="50" xfId="0" applyFont="1" applyFill="1" applyBorder="1" applyAlignment="1">
      <alignment horizontal="center" vertical="center"/>
    </xf>
    <xf numFmtId="0" fontId="189" fillId="88" borderId="0" xfId="0" applyFont="1" applyFill="1"/>
    <xf numFmtId="0" fontId="190" fillId="88" borderId="0" xfId="0" applyFont="1" applyFill="1"/>
    <xf numFmtId="0" fontId="12" fillId="88" borderId="0" xfId="0" applyFont="1" applyFill="1"/>
    <xf numFmtId="0" fontId="146" fillId="0" borderId="31" xfId="0" applyFont="1" applyBorder="1" applyAlignment="1">
      <alignment horizontal="center" vertical="center" wrapText="1"/>
    </xf>
    <xf numFmtId="0" fontId="154" fillId="0" borderId="60" xfId="0" applyFont="1" applyBorder="1"/>
    <xf numFmtId="0" fontId="154" fillId="0" borderId="61" xfId="0" applyFont="1" applyBorder="1"/>
    <xf numFmtId="0" fontId="154" fillId="0" borderId="62" xfId="0" applyFont="1" applyBorder="1"/>
    <xf numFmtId="0" fontId="154" fillId="0" borderId="63" xfId="0" applyFont="1" applyBorder="1"/>
    <xf numFmtId="0" fontId="154" fillId="0" borderId="64" xfId="0" applyFont="1" applyBorder="1"/>
    <xf numFmtId="0" fontId="154" fillId="0" borderId="65" xfId="0" applyFont="1" applyBorder="1"/>
    <xf numFmtId="0" fontId="146" fillId="0" borderId="50" xfId="0" applyFont="1" applyBorder="1" applyAlignment="1">
      <alignment horizontal="center" vertical="center" wrapText="1"/>
    </xf>
    <xf numFmtId="0" fontId="146" fillId="0" borderId="50" xfId="0" applyFont="1" applyBorder="1" applyAlignment="1">
      <alignment horizontal="left" vertical="center" wrapText="1"/>
    </xf>
    <xf numFmtId="0" fontId="148" fillId="0" borderId="37" xfId="0" applyFont="1" applyBorder="1" applyAlignment="1">
      <alignment horizontal="center" vertical="center" wrapText="1"/>
    </xf>
    <xf numFmtId="0" fontId="146" fillId="0" borderId="3" xfId="0" applyFont="1" applyBorder="1"/>
    <xf numFmtId="0" fontId="148" fillId="0" borderId="37" xfId="0" applyFont="1" applyBorder="1" applyAlignment="1">
      <alignment horizontal="left" vertical="center"/>
    </xf>
    <xf numFmtId="0" fontId="0" fillId="0" borderId="66" xfId="0" applyBorder="1"/>
    <xf numFmtId="0" fontId="0" fillId="0" borderId="67" xfId="0" applyBorder="1"/>
    <xf numFmtId="0" fontId="0" fillId="0" borderId="68" xfId="0" applyBorder="1"/>
    <xf numFmtId="0" fontId="0" fillId="0" borderId="69" xfId="0" applyFill="1" applyBorder="1"/>
    <xf numFmtId="0" fontId="0" fillId="0" borderId="70" xfId="0" applyFill="1" applyBorder="1"/>
    <xf numFmtId="0" fontId="0" fillId="0" borderId="71" xfId="0" applyFill="1" applyBorder="1"/>
    <xf numFmtId="0" fontId="0" fillId="0" borderId="72" xfId="0" applyFill="1" applyBorder="1"/>
    <xf numFmtId="0" fontId="0" fillId="0" borderId="73" xfId="0" applyFill="1" applyBorder="1"/>
    <xf numFmtId="0" fontId="0" fillId="0" borderId="74" xfId="0" applyFill="1" applyBorder="1"/>
    <xf numFmtId="0" fontId="0" fillId="0" borderId="75" xfId="0" applyFill="1" applyBorder="1"/>
    <xf numFmtId="0" fontId="0" fillId="0" borderId="76" xfId="0" applyFill="1"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187" fillId="89" borderId="50" xfId="0" applyFont="1" applyFill="1" applyBorder="1"/>
    <xf numFmtId="0" fontId="187" fillId="89" borderId="3" xfId="0" applyFont="1" applyFill="1" applyBorder="1"/>
    <xf numFmtId="0" fontId="148" fillId="0" borderId="13" xfId="0" applyFont="1" applyBorder="1" applyAlignment="1">
      <alignment vertical="center" wrapText="1"/>
    </xf>
    <xf numFmtId="0" fontId="148" fillId="0" borderId="0" xfId="0" applyFont="1" applyFill="1" applyAlignment="1">
      <alignment horizontal="left" vertical="center" wrapText="1"/>
    </xf>
    <xf numFmtId="0" fontId="76" fillId="0" borderId="33" xfId="0" applyFont="1" applyBorder="1"/>
    <xf numFmtId="0" fontId="0" fillId="26" borderId="50" xfId="0" applyFill="1" applyBorder="1"/>
    <xf numFmtId="182" fontId="0" fillId="26" borderId="50" xfId="0" applyNumberFormat="1" applyFill="1" applyBorder="1"/>
    <xf numFmtId="0" fontId="146" fillId="0" borderId="13" xfId="0" applyFont="1" applyBorder="1" applyAlignment="1">
      <alignment vertical="center"/>
    </xf>
    <xf numFmtId="0" fontId="148" fillId="0" borderId="55" xfId="0" applyFont="1" applyFill="1" applyBorder="1" applyAlignment="1">
      <alignment horizontal="center" vertical="center" wrapText="1"/>
    </xf>
    <xf numFmtId="10" fontId="25" fillId="0" borderId="0" xfId="0" applyNumberFormat="1" applyFont="1"/>
    <xf numFmtId="0" fontId="11" fillId="0" borderId="0" xfId="3" applyFont="1"/>
    <xf numFmtId="2" fontId="154" fillId="0" borderId="0" xfId="0" applyNumberFormat="1" applyFont="1"/>
    <xf numFmtId="0" fontId="154" fillId="0" borderId="35" xfId="0" applyFont="1" applyFill="1" applyBorder="1"/>
    <xf numFmtId="0" fontId="154" fillId="0" borderId="0" xfId="0" applyFont="1" applyFill="1" applyBorder="1"/>
    <xf numFmtId="0" fontId="154" fillId="0" borderId="28" xfId="0" applyFont="1" applyFill="1" applyBorder="1"/>
    <xf numFmtId="0" fontId="145" fillId="0" borderId="40" xfId="3" applyFont="1" applyFill="1" applyBorder="1" applyAlignment="1">
      <alignment horizontal="center" vertical="center"/>
    </xf>
    <xf numFmtId="0" fontId="148" fillId="0" borderId="0" xfId="3" applyFont="1" applyFill="1" applyAlignment="1">
      <alignment horizontal="left" vertical="center" wrapText="1"/>
    </xf>
    <xf numFmtId="0" fontId="157" fillId="0" borderId="0" xfId="0" applyFont="1" applyBorder="1"/>
    <xf numFmtId="0" fontId="91" fillId="0" borderId="0" xfId="439" applyFont="1"/>
    <xf numFmtId="0" fontId="146" fillId="26" borderId="77" xfId="0" applyFont="1" applyFill="1" applyBorder="1"/>
    <xf numFmtId="0" fontId="146" fillId="26" borderId="55" xfId="0" applyFont="1" applyFill="1" applyBorder="1"/>
    <xf numFmtId="0" fontId="146" fillId="0" borderId="55" xfId="0" applyFont="1" applyFill="1" applyBorder="1"/>
    <xf numFmtId="0" fontId="146" fillId="0" borderId="55" xfId="0" applyFont="1" applyFill="1" applyBorder="1" applyAlignment="1">
      <alignment horizontal="center" vertical="center"/>
    </xf>
    <xf numFmtId="0" fontId="146" fillId="0" borderId="78" xfId="0" applyFont="1" applyFill="1" applyBorder="1" applyAlignment="1">
      <alignment horizontal="center" vertical="center"/>
    </xf>
    <xf numFmtId="0" fontId="146" fillId="26" borderId="40" xfId="0" applyFont="1" applyFill="1" applyBorder="1" applyAlignment="1">
      <alignment vertical="center"/>
    </xf>
    <xf numFmtId="1" fontId="146" fillId="26" borderId="79" xfId="0" applyNumberFormat="1" applyFont="1" applyFill="1" applyBorder="1" applyAlignment="1">
      <alignment horizontal="center" vertical="center" wrapText="1"/>
    </xf>
    <xf numFmtId="0" fontId="135" fillId="0" borderId="34" xfId="0" applyFont="1" applyBorder="1"/>
    <xf numFmtId="0" fontId="157" fillId="0" borderId="0" xfId="0" applyFont="1" applyFill="1" applyBorder="1" applyAlignment="1">
      <alignment vertical="center"/>
    </xf>
    <xf numFmtId="0" fontId="197" fillId="0" borderId="0" xfId="0" applyFont="1" applyAlignment="1">
      <alignment wrapText="1"/>
    </xf>
    <xf numFmtId="0" fontId="37" fillId="87" borderId="13" xfId="0" applyFont="1" applyFill="1" applyBorder="1" applyAlignment="1">
      <alignment horizontal="center" vertical="center" wrapText="1"/>
    </xf>
    <xf numFmtId="0" fontId="130" fillId="0" borderId="0" xfId="0" applyFont="1" applyAlignment="1">
      <alignment horizontal="center" vertical="center"/>
    </xf>
    <xf numFmtId="9" fontId="154" fillId="0" borderId="0" xfId="0" applyNumberFormat="1" applyFont="1" applyBorder="1"/>
    <xf numFmtId="0" fontId="29" fillId="0" borderId="0" xfId="3" applyFont="1" applyBorder="1"/>
    <xf numFmtId="0" fontId="29" fillId="0" borderId="28" xfId="3" applyFont="1" applyBorder="1"/>
    <xf numFmtId="172" fontId="0" fillId="0" borderId="0" xfId="0" applyNumberFormat="1" applyBorder="1"/>
    <xf numFmtId="0" fontId="154" fillId="0" borderId="37" xfId="0" applyFont="1" applyBorder="1"/>
    <xf numFmtId="0" fontId="154" fillId="0" borderId="38" xfId="0" applyFont="1" applyBorder="1"/>
    <xf numFmtId="0" fontId="154" fillId="0" borderId="3" xfId="0" applyFont="1" applyBorder="1"/>
    <xf numFmtId="0" fontId="199" fillId="0" borderId="42" xfId="0" applyFont="1" applyBorder="1"/>
    <xf numFmtId="0" fontId="157" fillId="0" borderId="43" xfId="0" applyFont="1" applyBorder="1"/>
    <xf numFmtId="0" fontId="157" fillId="0" borderId="44" xfId="0" applyFont="1" applyBorder="1"/>
    <xf numFmtId="0" fontId="157" fillId="0" borderId="45" xfId="0" applyFont="1" applyBorder="1"/>
    <xf numFmtId="0" fontId="157" fillId="0" borderId="46" xfId="0" applyFont="1" applyBorder="1"/>
    <xf numFmtId="0" fontId="199" fillId="0" borderId="45" xfId="0" applyFont="1" applyBorder="1"/>
    <xf numFmtId="0" fontId="157" fillId="0" borderId="47" xfId="0" applyFont="1" applyBorder="1"/>
    <xf numFmtId="0" fontId="157" fillId="0" borderId="33" xfId="0" applyFont="1" applyBorder="1"/>
    <xf numFmtId="0" fontId="157" fillId="0" borderId="48" xfId="0" applyFont="1" applyBorder="1"/>
    <xf numFmtId="0" fontId="155" fillId="0" borderId="0" xfId="0" applyFont="1" applyFill="1"/>
    <xf numFmtId="0" fontId="146" fillId="0" borderId="0" xfId="0" applyFont="1" applyFill="1"/>
    <xf numFmtId="0" fontId="146" fillId="0" borderId="33" xfId="0" applyFont="1" applyFill="1" applyBorder="1"/>
    <xf numFmtId="0" fontId="9" fillId="26" borderId="0" xfId="408" applyNumberFormat="1" applyFont="1" applyFill="1" applyProtection="1">
      <protection locked="0"/>
    </xf>
    <xf numFmtId="0" fontId="9" fillId="26" borderId="0" xfId="0" applyNumberFormat="1" applyFont="1" applyFill="1" applyProtection="1">
      <protection locked="0"/>
    </xf>
    <xf numFmtId="0" fontId="9" fillId="26" borderId="0" xfId="0" applyNumberFormat="1" applyFont="1" applyFill="1" applyBorder="1" applyProtection="1">
      <protection locked="0"/>
    </xf>
    <xf numFmtId="1" fontId="129" fillId="26" borderId="0" xfId="0" applyNumberFormat="1" applyFont="1" applyFill="1" applyBorder="1" applyProtection="1">
      <protection locked="0"/>
    </xf>
    <xf numFmtId="0" fontId="9" fillId="26" borderId="0" xfId="3" applyFont="1" applyFill="1" applyBorder="1" applyProtection="1">
      <protection locked="0"/>
    </xf>
    <xf numFmtId="0" fontId="9" fillId="26" borderId="0" xfId="3" applyFont="1" applyFill="1" applyProtection="1">
      <protection locked="0"/>
    </xf>
    <xf numFmtId="0" fontId="9" fillId="26" borderId="0" xfId="0" applyNumberFormat="1" applyFont="1" applyFill="1" applyProtection="1"/>
    <xf numFmtId="0" fontId="9" fillId="26" borderId="0" xfId="0" applyNumberFormat="1" applyFont="1" applyFill="1" applyBorder="1" applyProtection="1"/>
    <xf numFmtId="0" fontId="0" fillId="26" borderId="13" xfId="0" applyFill="1" applyBorder="1" applyAlignment="1">
      <alignment wrapText="1"/>
    </xf>
    <xf numFmtId="0" fontId="146" fillId="0" borderId="13" xfId="0" applyFont="1" applyBorder="1" applyAlignment="1">
      <alignment horizontal="center" vertical="center" wrapText="1"/>
    </xf>
    <xf numFmtId="1" fontId="9" fillId="26" borderId="0" xfId="3" applyNumberFormat="1" applyFont="1" applyFill="1" applyProtection="1">
      <protection locked="0"/>
    </xf>
    <xf numFmtId="0" fontId="146" fillId="0" borderId="50" xfId="439" applyFont="1" applyBorder="1" applyAlignment="1">
      <alignment horizontal="left" vertical="center" wrapText="1"/>
    </xf>
    <xf numFmtId="0" fontId="146" fillId="0" borderId="89" xfId="1999" applyFont="1" applyFill="1" applyBorder="1" applyAlignment="1">
      <alignment horizontal="left" vertical="center"/>
    </xf>
    <xf numFmtId="0" fontId="91" fillId="0" borderId="88" xfId="3" applyFont="1" applyBorder="1"/>
    <xf numFmtId="0" fontId="33" fillId="0" borderId="0" xfId="0" applyFont="1" applyBorder="1" applyAlignment="1">
      <alignment vertical="center" wrapText="1"/>
    </xf>
    <xf numFmtId="0" fontId="204" fillId="0" borderId="83" xfId="3" applyFont="1" applyBorder="1"/>
    <xf numFmtId="0" fontId="185" fillId="0" borderId="0" xfId="439" applyFont="1" applyBorder="1" applyAlignment="1">
      <alignment vertical="center" wrapText="1"/>
    </xf>
    <xf numFmtId="0" fontId="148" fillId="0" borderId="89" xfId="1881" applyFont="1" applyBorder="1" applyAlignment="1"/>
    <xf numFmtId="0" fontId="202" fillId="88" borderId="87" xfId="1886" applyFont="1" applyFill="1" applyBorder="1" applyAlignment="1">
      <alignment horizontal="left" vertical="center"/>
    </xf>
    <xf numFmtId="0" fontId="146" fillId="0" borderId="89" xfId="1886" applyFont="1" applyBorder="1" applyAlignment="1">
      <alignment horizontal="left" vertical="center"/>
    </xf>
    <xf numFmtId="0" fontId="146" fillId="0" borderId="89" xfId="1886" applyFont="1" applyBorder="1" applyAlignment="1">
      <alignment vertical="center"/>
    </xf>
    <xf numFmtId="0" fontId="31" fillId="0" borderId="0" xfId="439" applyFont="1" applyBorder="1"/>
    <xf numFmtId="0" fontId="25" fillId="0" borderId="0" xfId="439" applyFont="1" applyBorder="1" applyAlignment="1">
      <alignment horizontal="center" vertical="center" wrapText="1"/>
    </xf>
    <xf numFmtId="0" fontId="27" fillId="0" borderId="89" xfId="439" applyFont="1" applyBorder="1"/>
    <xf numFmtId="0" fontId="205" fillId="0" borderId="0" xfId="3" applyFont="1" applyBorder="1" applyAlignment="1">
      <alignment wrapText="1"/>
    </xf>
    <xf numFmtId="0" fontId="204" fillId="0" borderId="83" xfId="3" applyFont="1" applyBorder="1" applyAlignment="1">
      <alignment wrapText="1"/>
    </xf>
    <xf numFmtId="181" fontId="148" fillId="0" borderId="87" xfId="540" applyNumberFormat="1" applyFont="1" applyBorder="1" applyAlignment="1">
      <alignment vertical="center"/>
    </xf>
    <xf numFmtId="181" fontId="146" fillId="0" borderId="87" xfId="540" applyNumberFormat="1" applyFont="1" applyBorder="1" applyAlignment="1">
      <alignment vertical="center"/>
    </xf>
    <xf numFmtId="0" fontId="148" fillId="0" borderId="87" xfId="1881" applyFont="1" applyBorder="1" applyAlignment="1">
      <alignment wrapText="1"/>
    </xf>
    <xf numFmtId="0" fontId="148" fillId="0" borderId="86" xfId="1881" applyFont="1" applyBorder="1" applyAlignment="1"/>
    <xf numFmtId="0" fontId="202" fillId="88" borderId="89" xfId="1886" applyFont="1" applyFill="1" applyBorder="1" applyAlignment="1">
      <alignment horizontal="left" vertical="center"/>
    </xf>
    <xf numFmtId="0" fontId="89" fillId="0" borderId="0" xfId="3" applyFont="1"/>
    <xf numFmtId="0" fontId="146" fillId="0" borderId="83" xfId="439" applyFont="1" applyBorder="1" applyAlignment="1">
      <alignment horizontal="left" vertical="center" wrapText="1"/>
    </xf>
    <xf numFmtId="0" fontId="146" fillId="0" borderId="86" xfId="1881" applyFont="1" applyBorder="1" applyAlignment="1"/>
    <xf numFmtId="0" fontId="146" fillId="0" borderId="89" xfId="1881" applyFont="1" applyBorder="1" applyAlignment="1"/>
    <xf numFmtId="0" fontId="8" fillId="0" borderId="89" xfId="1999" applyFont="1" applyBorder="1" applyAlignment="1">
      <alignment horizontal="center" vertical="center" wrapText="1"/>
    </xf>
    <xf numFmtId="0" fontId="146" fillId="0" borderId="89" xfId="1999" applyFont="1" applyFill="1" applyBorder="1" applyAlignment="1">
      <alignment horizontal="center" vertical="center"/>
    </xf>
    <xf numFmtId="176" fontId="181" fillId="0" borderId="89" xfId="1999" applyNumberFormat="1" applyFont="1" applyBorder="1" applyAlignment="1">
      <alignment horizontal="center"/>
    </xf>
    <xf numFmtId="0" fontId="146" fillId="0" borderId="0" xfId="3" applyFont="1" applyFill="1" applyBorder="1" applyAlignment="1">
      <alignment horizontal="center" vertical="center"/>
    </xf>
    <xf numFmtId="0" fontId="146" fillId="0" borderId="0" xfId="439" applyFont="1" applyFill="1" applyBorder="1" applyAlignment="1">
      <alignment horizontal="center" vertical="center"/>
    </xf>
    <xf numFmtId="0" fontId="146" fillId="0" borderId="83" xfId="439" applyFont="1" applyFill="1" applyBorder="1" applyAlignment="1">
      <alignment horizontal="left" vertical="center" wrapText="1"/>
    </xf>
    <xf numFmtId="0" fontId="37" fillId="0" borderId="86" xfId="1999" applyFont="1" applyBorder="1" applyAlignment="1">
      <alignment horizontal="left" vertical="center"/>
    </xf>
    <xf numFmtId="0" fontId="146" fillId="0" borderId="89" xfId="1886" applyFont="1" applyFill="1" applyBorder="1" applyAlignment="1">
      <alignment horizontal="center" vertical="center"/>
    </xf>
    <xf numFmtId="0" fontId="146" fillId="0" borderId="0" xfId="3" applyFont="1" applyBorder="1" applyAlignment="1">
      <alignment vertical="center"/>
    </xf>
    <xf numFmtId="0" fontId="146" fillId="0" borderId="83" xfId="1999" applyFont="1" applyFill="1" applyBorder="1" applyAlignment="1">
      <alignment horizontal="left" vertical="center"/>
    </xf>
    <xf numFmtId="0" fontId="37" fillId="0" borderId="83" xfId="1999" applyFont="1" applyBorder="1" applyAlignment="1">
      <alignment horizontal="center"/>
    </xf>
    <xf numFmtId="0" fontId="37" fillId="0" borderId="83" xfId="1999" applyFont="1" applyBorder="1" applyAlignment="1">
      <alignment horizontal="center" vertical="center"/>
    </xf>
    <xf numFmtId="172" fontId="146" fillId="0" borderId="83" xfId="1886" applyNumberFormat="1" applyFont="1" applyFill="1" applyBorder="1" applyAlignment="1">
      <alignment horizontal="left" vertical="center"/>
    </xf>
    <xf numFmtId="172" fontId="146" fillId="0" borderId="83" xfId="1886" applyNumberFormat="1" applyFont="1" applyFill="1" applyBorder="1" applyAlignment="1">
      <alignment horizontal="left" vertical="center" wrapText="1"/>
    </xf>
    <xf numFmtId="0" fontId="146" fillId="0" borderId="0" xfId="0" applyFont="1" applyAlignment="1">
      <alignment horizontal="center"/>
    </xf>
    <xf numFmtId="0" fontId="25" fillId="0" borderId="0" xfId="0" applyFont="1" applyAlignment="1">
      <alignment horizontal="center"/>
    </xf>
    <xf numFmtId="172" fontId="0" fillId="26" borderId="37" xfId="0" applyNumberFormat="1" applyFill="1" applyBorder="1"/>
    <xf numFmtId="172" fontId="130" fillId="26" borderId="13" xfId="0" applyNumberFormat="1" applyFont="1" applyFill="1" applyBorder="1"/>
    <xf numFmtId="0" fontId="0" fillId="100" borderId="0" xfId="0" applyFill="1"/>
    <xf numFmtId="0" fontId="0" fillId="81" borderId="0" xfId="0" applyFill="1"/>
    <xf numFmtId="0" fontId="0" fillId="81" borderId="0" xfId="0" applyFill="1" applyBorder="1"/>
    <xf numFmtId="172" fontId="0" fillId="81" borderId="0" xfId="0" applyNumberFormat="1" applyFill="1"/>
    <xf numFmtId="0" fontId="0" fillId="87" borderId="0" xfId="0" applyFill="1"/>
    <xf numFmtId="0" fontId="155" fillId="0" borderId="0" xfId="0" applyFont="1" applyBorder="1"/>
    <xf numFmtId="0" fontId="154" fillId="0" borderId="94" xfId="0" applyFont="1" applyBorder="1"/>
    <xf numFmtId="0" fontId="154" fillId="0" borderId="96" xfId="0" applyFont="1" applyBorder="1"/>
    <xf numFmtId="0" fontId="154" fillId="0" borderId="97" xfId="0" applyFont="1" applyBorder="1"/>
    <xf numFmtId="0" fontId="7" fillId="0" borderId="0" xfId="0" applyFont="1" applyAlignment="1">
      <alignment horizontal="center"/>
    </xf>
    <xf numFmtId="0" fontId="7" fillId="87" borderId="0" xfId="3" applyFont="1" applyFill="1"/>
    <xf numFmtId="0" fontId="29" fillId="87" borderId="0" xfId="3" applyFont="1" applyFill="1"/>
    <xf numFmtId="178" fontId="29" fillId="0" borderId="0" xfId="540" applyNumberFormat="1" applyFont="1"/>
    <xf numFmtId="178" fontId="97" fillId="0" borderId="83" xfId="540" applyNumberFormat="1" applyFont="1" applyBorder="1"/>
    <xf numFmtId="178" fontId="203" fillId="0" borderId="83" xfId="540" applyNumberFormat="1" applyFont="1" applyBorder="1"/>
    <xf numFmtId="0" fontId="37" fillId="91" borderId="1" xfId="3" applyFont="1" applyFill="1" applyBorder="1" applyAlignment="1">
      <alignment wrapText="1"/>
    </xf>
    <xf numFmtId="0" fontId="29" fillId="91" borderId="0" xfId="3" applyFont="1" applyFill="1"/>
    <xf numFmtId="178" fontId="29" fillId="91" borderId="0" xfId="540" applyNumberFormat="1" applyFont="1" applyFill="1"/>
    <xf numFmtId="0" fontId="210" fillId="91" borderId="0" xfId="3" applyFont="1" applyFill="1" applyAlignment="1">
      <alignment horizontal="center"/>
    </xf>
    <xf numFmtId="178" fontId="29" fillId="91" borderId="0" xfId="3" applyNumberFormat="1" applyFont="1" applyFill="1"/>
    <xf numFmtId="0" fontId="210" fillId="0" borderId="0" xfId="3" applyFont="1" applyAlignment="1">
      <alignment horizontal="center" vertical="top"/>
    </xf>
    <xf numFmtId="0" fontId="210" fillId="91" borderId="0" xfId="3" applyFont="1" applyFill="1" applyAlignment="1">
      <alignment horizontal="center" vertical="top"/>
    </xf>
    <xf numFmtId="0" fontId="130" fillId="0" borderId="0" xfId="0" applyFont="1" applyAlignment="1">
      <alignment horizontal="center"/>
    </xf>
    <xf numFmtId="178" fontId="29" fillId="0" borderId="0" xfId="3" applyNumberFormat="1" applyFont="1"/>
    <xf numFmtId="0" fontId="130" fillId="0" borderId="0" xfId="0" applyFont="1" applyAlignment="1"/>
    <xf numFmtId="0" fontId="202" fillId="0" borderId="83" xfId="1999" applyFont="1" applyFill="1" applyBorder="1" applyAlignment="1">
      <alignment horizontal="left" vertical="center"/>
    </xf>
    <xf numFmtId="0" fontId="148" fillId="0" borderId="83" xfId="0" applyFont="1" applyBorder="1"/>
    <xf numFmtId="0" fontId="146" fillId="0" borderId="83" xfId="0" applyFont="1" applyBorder="1"/>
    <xf numFmtId="10" fontId="146" fillId="0" borderId="83" xfId="0" applyNumberFormat="1" applyFont="1" applyBorder="1" applyAlignment="1">
      <alignment horizontal="center" vertical="center"/>
    </xf>
    <xf numFmtId="0" fontId="146" fillId="0" borderId="83" xfId="0" applyFont="1" applyBorder="1" applyAlignment="1">
      <alignment horizontal="center" vertical="center" wrapText="1"/>
    </xf>
    <xf numFmtId="0" fontId="130" fillId="0" borderId="0" xfId="0" applyFont="1" applyAlignment="1">
      <alignment vertical="center"/>
    </xf>
    <xf numFmtId="0" fontId="29" fillId="91" borderId="85" xfId="3" applyFont="1" applyFill="1" applyBorder="1"/>
    <xf numFmtId="2" fontId="91" fillId="0" borderId="86" xfId="3" applyNumberFormat="1" applyFont="1" applyBorder="1"/>
    <xf numFmtId="0" fontId="210" fillId="0" borderId="0" xfId="3" applyFont="1" applyAlignment="1">
      <alignment horizontal="center" vertical="center" wrapText="1"/>
    </xf>
    <xf numFmtId="0" fontId="151" fillId="0" borderId="0" xfId="0" applyFont="1"/>
    <xf numFmtId="0" fontId="29" fillId="0" borderId="85" xfId="3" applyFont="1" applyBorder="1"/>
    <xf numFmtId="178" fontId="6" fillId="82" borderId="83" xfId="540" applyNumberFormat="1" applyFont="1" applyFill="1" applyBorder="1"/>
    <xf numFmtId="178" fontId="6" fillId="84" borderId="83" xfId="540" applyNumberFormat="1" applyFont="1" applyFill="1" applyBorder="1"/>
    <xf numFmtId="0" fontId="37" fillId="82" borderId="83" xfId="4748" applyFont="1" applyFill="1" applyBorder="1" applyAlignment="1">
      <alignment horizontal="center" vertical="center" wrapText="1"/>
    </xf>
    <xf numFmtId="0" fontId="210" fillId="0" borderId="0" xfId="3" applyFont="1" applyAlignment="1">
      <alignment horizontal="center"/>
    </xf>
    <xf numFmtId="1" fontId="0" fillId="0" borderId="0" xfId="0" applyNumberFormat="1"/>
    <xf numFmtId="0" fontId="37" fillId="84" borderId="83" xfId="4748" applyFont="1" applyFill="1" applyBorder="1" applyAlignment="1">
      <alignment horizontal="center" vertical="center"/>
    </xf>
    <xf numFmtId="1" fontId="151" fillId="0" borderId="0" xfId="0" applyNumberFormat="1" applyFont="1"/>
    <xf numFmtId="0" fontId="417" fillId="0" borderId="0" xfId="0" applyFont="1" applyAlignment="1">
      <alignment horizontal="left" vertical="center"/>
    </xf>
    <xf numFmtId="0" fontId="154" fillId="0" borderId="169" xfId="0" applyFont="1" applyBorder="1"/>
    <xf numFmtId="0" fontId="154" fillId="0" borderId="170" xfId="0" applyFont="1" applyBorder="1"/>
    <xf numFmtId="0" fontId="0" fillId="0" borderId="169" xfId="0" applyBorder="1"/>
    <xf numFmtId="0" fontId="0" fillId="0" borderId="170" xfId="0" applyBorder="1"/>
    <xf numFmtId="0" fontId="0" fillId="0" borderId="36" xfId="0" applyBorder="1"/>
    <xf numFmtId="0" fontId="0" fillId="0" borderId="29" xfId="0" applyBorder="1"/>
    <xf numFmtId="0" fontId="417" fillId="0" borderId="0" xfId="0" applyFont="1" applyFill="1" applyAlignment="1">
      <alignment horizontal="left" vertical="center"/>
    </xf>
    <xf numFmtId="0" fontId="37" fillId="26" borderId="83" xfId="3" applyFont="1" applyFill="1" applyBorder="1" applyAlignment="1">
      <alignment horizontal="center" vertical="center"/>
    </xf>
    <xf numFmtId="49" fontId="154" fillId="0" borderId="0" xfId="0" applyNumberFormat="1" applyFont="1" applyBorder="1"/>
    <xf numFmtId="0" fontId="154" fillId="0" borderId="0" xfId="0" applyNumberFormat="1" applyFont="1" applyBorder="1"/>
    <xf numFmtId="0" fontId="91" fillId="0" borderId="83" xfId="3" applyFont="1" applyBorder="1"/>
    <xf numFmtId="0" fontId="91" fillId="0" borderId="83" xfId="3" applyFont="1" applyBorder="1" applyAlignment="1">
      <alignment wrapText="1"/>
    </xf>
    <xf numFmtId="0" fontId="419" fillId="0" borderId="83" xfId="0" applyFont="1" applyFill="1" applyBorder="1" applyAlignment="1">
      <alignment vertical="center" wrapText="1"/>
    </xf>
    <xf numFmtId="0" fontId="91" fillId="0" borderId="0" xfId="3" applyFont="1"/>
    <xf numFmtId="0" fontId="420" fillId="0" borderId="56" xfId="3" applyFont="1" applyBorder="1"/>
    <xf numFmtId="0" fontId="91" fillId="0" borderId="171" xfId="3" applyFont="1" applyBorder="1"/>
    <xf numFmtId="0" fontId="33" fillId="0" borderId="0" xfId="0" applyFont="1" applyBorder="1" applyAlignment="1">
      <alignment horizontal="center" vertical="center" wrapText="1"/>
    </xf>
    <xf numFmtId="0" fontId="27" fillId="26" borderId="0" xfId="0" applyNumberFormat="1" applyFont="1" applyFill="1" applyAlignment="1" applyProtection="1">
      <alignment horizontal="center"/>
    </xf>
    <xf numFmtId="0" fontId="27" fillId="0" borderId="0" xfId="3" applyFont="1" applyAlignment="1">
      <alignment horizontal="center"/>
    </xf>
    <xf numFmtId="0" fontId="29" fillId="0" borderId="0" xfId="3" applyFont="1" applyAlignment="1">
      <alignment horizontal="center"/>
    </xf>
    <xf numFmtId="0" fontId="146" fillId="0" borderId="83" xfId="1886" applyFont="1" applyFill="1" applyBorder="1" applyAlignment="1">
      <alignment horizontal="left" vertical="center"/>
    </xf>
    <xf numFmtId="172" fontId="181" fillId="0" borderId="83" xfId="1886" applyNumberFormat="1" applyFont="1" applyFill="1" applyBorder="1" applyAlignment="1">
      <alignment horizontal="left" vertical="center"/>
    </xf>
    <xf numFmtId="0" fontId="202" fillId="0" borderId="83" xfId="1886" applyFont="1" applyFill="1" applyBorder="1" applyAlignment="1">
      <alignment horizontal="left" vertical="center"/>
    </xf>
    <xf numFmtId="172" fontId="202" fillId="0" borderId="83" xfId="1886" applyNumberFormat="1" applyFont="1" applyFill="1" applyBorder="1" applyAlignment="1">
      <alignment horizontal="left" vertical="center"/>
    </xf>
    <xf numFmtId="0" fontId="421" fillId="0" borderId="0" xfId="439" applyFont="1"/>
    <xf numFmtId="0" fontId="5" fillId="26" borderId="0" xfId="3" applyFont="1" applyFill="1" applyProtection="1">
      <protection locked="0"/>
    </xf>
    <xf numFmtId="0" fontId="5" fillId="0" borderId="0" xfId="0" applyFont="1" applyAlignment="1">
      <alignment wrapText="1"/>
    </xf>
    <xf numFmtId="0" fontId="214" fillId="0" borderId="0" xfId="3" applyFont="1" applyAlignment="1">
      <alignment wrapText="1"/>
    </xf>
    <xf numFmtId="172" fontId="181" fillId="0" borderId="83" xfId="1886" applyNumberFormat="1" applyFont="1" applyFill="1" applyBorder="1" applyAlignment="1">
      <alignment horizontal="left" vertical="center" wrapText="1"/>
    </xf>
    <xf numFmtId="0" fontId="129" fillId="0" borderId="0" xfId="3" applyFont="1"/>
    <xf numFmtId="0" fontId="146" fillId="90" borderId="83" xfId="0" applyFont="1" applyFill="1" applyBorder="1" applyAlignment="1">
      <alignment horizontal="center" vertical="center"/>
    </xf>
    <xf numFmtId="9" fontId="37" fillId="26" borderId="0" xfId="16" applyFont="1" applyFill="1" applyAlignment="1">
      <alignment horizontal="center" vertical="center" wrapText="1"/>
    </xf>
    <xf numFmtId="0" fontId="33" fillId="0" borderId="0" xfId="0" applyFont="1" applyFill="1" applyAlignment="1">
      <alignment horizontal="center" vertical="center" wrapText="1"/>
    </xf>
    <xf numFmtId="0" fontId="5" fillId="0" borderId="0" xfId="0" applyFont="1"/>
    <xf numFmtId="0" fontId="0" fillId="0" borderId="0" xfId="0"/>
    <xf numFmtId="0" fontId="154" fillId="0" borderId="93" xfId="0" applyFont="1" applyBorder="1"/>
    <xf numFmtId="1" fontId="154" fillId="0" borderId="93" xfId="0" applyNumberFormat="1" applyFont="1" applyBorder="1"/>
    <xf numFmtId="1" fontId="154" fillId="0" borderId="95" xfId="0" applyNumberFormat="1" applyFont="1" applyBorder="1"/>
    <xf numFmtId="0" fontId="148" fillId="0" borderId="0" xfId="3" applyFont="1"/>
    <xf numFmtId="0" fontId="91" fillId="0" borderId="93" xfId="3" applyFont="1" applyBorder="1"/>
    <xf numFmtId="0" fontId="91" fillId="0" borderId="95" xfId="3" applyFont="1" applyBorder="1"/>
    <xf numFmtId="0" fontId="91" fillId="0" borderId="92" xfId="3" applyFont="1" applyBorder="1"/>
    <xf numFmtId="0" fontId="88" fillId="0" borderId="94" xfId="3" applyFont="1" applyBorder="1" applyAlignment="1">
      <alignment wrapText="1"/>
    </xf>
    <xf numFmtId="0" fontId="91" fillId="0" borderId="172" xfId="3" applyFont="1" applyBorder="1"/>
    <xf numFmtId="0" fontId="91" fillId="0" borderId="173" xfId="3" applyFont="1" applyBorder="1"/>
    <xf numFmtId="0" fontId="91" fillId="0" borderId="90" xfId="3" applyFont="1" applyBorder="1"/>
    <xf numFmtId="2" fontId="214" fillId="0" borderId="86" xfId="3" applyNumberFormat="1" applyFont="1" applyBorder="1"/>
    <xf numFmtId="0" fontId="37" fillId="0" borderId="85" xfId="3" applyFont="1" applyBorder="1"/>
    <xf numFmtId="0" fontId="37" fillId="91" borderId="85" xfId="3" applyFont="1" applyFill="1" applyBorder="1"/>
    <xf numFmtId="0" fontId="154" fillId="0" borderId="88" xfId="0" applyFont="1" applyBorder="1"/>
    <xf numFmtId="0" fontId="154" fillId="0" borderId="85" xfId="0" applyFont="1" applyBorder="1"/>
    <xf numFmtId="0" fontId="154" fillId="0" borderId="85" xfId="0" applyFont="1" applyFill="1" applyBorder="1"/>
    <xf numFmtId="0" fontId="154" fillId="0" borderId="0" xfId="0" applyFont="1" applyBorder="1" applyAlignment="1">
      <alignment wrapText="1"/>
    </xf>
    <xf numFmtId="0" fontId="154" fillId="0" borderId="174" xfId="0" applyFont="1" applyBorder="1"/>
    <xf numFmtId="0" fontId="154" fillId="0" borderId="175" xfId="0" applyFont="1" applyBorder="1"/>
    <xf numFmtId="0" fontId="154" fillId="0" borderId="176" xfId="0" applyFont="1" applyBorder="1"/>
    <xf numFmtId="0" fontId="154" fillId="0" borderId="35" xfId="0" applyFont="1" applyBorder="1" applyAlignment="1">
      <alignment wrapText="1"/>
    </xf>
    <xf numFmtId="0" fontId="4" fillId="26" borderId="0" xfId="408" applyNumberFormat="1" applyFont="1" applyFill="1" applyProtection="1">
      <protection locked="0"/>
    </xf>
    <xf numFmtId="0" fontId="425" fillId="0" borderId="0" xfId="3" applyFont="1" applyAlignment="1">
      <alignment horizontal="center"/>
    </xf>
    <xf numFmtId="0" fontId="425" fillId="0" borderId="0" xfId="3" applyFont="1" applyAlignment="1">
      <alignment horizontal="center" vertical="center"/>
    </xf>
    <xf numFmtId="0" fontId="29" fillId="0" borderId="0" xfId="3" applyFont="1" applyFill="1"/>
    <xf numFmtId="0" fontId="211" fillId="0" borderId="0" xfId="3" applyFont="1" applyFill="1" applyAlignment="1">
      <alignment horizontal="center" vertical="top"/>
    </xf>
    <xf numFmtId="0" fontId="210" fillId="0" borderId="0" xfId="3" applyFont="1" applyFill="1" applyAlignment="1">
      <alignment horizontal="center" vertical="top"/>
    </xf>
    <xf numFmtId="0" fontId="212" fillId="0" borderId="0" xfId="3" applyFont="1" applyFill="1" applyAlignment="1">
      <alignment horizontal="center" vertical="top" wrapText="1"/>
    </xf>
    <xf numFmtId="9" fontId="210" fillId="0" borderId="0" xfId="16" applyFont="1" applyFill="1" applyAlignment="1">
      <alignment horizontal="center" vertical="top"/>
    </xf>
    <xf numFmtId="9" fontId="210" fillId="0" borderId="0" xfId="16" applyFont="1" applyFill="1" applyAlignment="1">
      <alignment horizontal="center" wrapText="1"/>
    </xf>
    <xf numFmtId="0" fontId="210" fillId="0" borderId="0" xfId="3" applyFont="1" applyFill="1" applyAlignment="1">
      <alignment horizontal="center"/>
    </xf>
    <xf numFmtId="0" fontId="208" fillId="0" borderId="1" xfId="3" applyFont="1" applyFill="1" applyBorder="1" applyAlignment="1">
      <alignment wrapText="1"/>
    </xf>
    <xf numFmtId="0" fontId="96" fillId="0" borderId="1" xfId="3" applyFont="1" applyFill="1" applyBorder="1" applyAlignment="1">
      <alignment wrapText="1"/>
    </xf>
    <xf numFmtId="0" fontId="37" fillId="0" borderId="1" xfId="3" applyFont="1" applyFill="1" applyBorder="1" applyAlignment="1">
      <alignment wrapText="1"/>
    </xf>
    <xf numFmtId="0" fontId="213" fillId="0" borderId="0" xfId="3" applyFont="1" applyFill="1" applyAlignment="1">
      <alignment horizontal="center" wrapText="1"/>
    </xf>
    <xf numFmtId="9" fontId="37" fillId="0" borderId="1" xfId="16" applyFont="1" applyFill="1" applyBorder="1" applyAlignment="1">
      <alignment wrapText="1"/>
    </xf>
    <xf numFmtId="178" fontId="209" fillId="0" borderId="0" xfId="540" applyNumberFormat="1" applyFont="1" applyFill="1"/>
    <xf numFmtId="178" fontId="97" fillId="0" borderId="0" xfId="540" applyNumberFormat="1" applyFont="1" applyFill="1"/>
    <xf numFmtId="178" fontId="29" fillId="0" borderId="0" xfId="540" applyNumberFormat="1" applyFont="1" applyFill="1"/>
    <xf numFmtId="178" fontId="129" fillId="0" borderId="0" xfId="540" applyNumberFormat="1" applyFont="1" applyFill="1"/>
    <xf numFmtId="10" fontId="29" fillId="0" borderId="0" xfId="16" applyNumberFormat="1" applyFont="1" applyFill="1"/>
    <xf numFmtId="178" fontId="29" fillId="0" borderId="0" xfId="3" applyNumberFormat="1" applyFont="1" applyFill="1"/>
    <xf numFmtId="2" fontId="209" fillId="0" borderId="85" xfId="3" applyNumberFormat="1" applyFont="1" applyFill="1" applyBorder="1"/>
    <xf numFmtId="0" fontId="29" fillId="0" borderId="85" xfId="3" applyFont="1" applyFill="1" applyBorder="1"/>
    <xf numFmtId="0" fontId="129" fillId="0" borderId="85" xfId="3" applyFont="1" applyFill="1" applyBorder="1"/>
    <xf numFmtId="9" fontId="29" fillId="0" borderId="85" xfId="16" applyFont="1" applyFill="1" applyBorder="1"/>
    <xf numFmtId="2" fontId="208" fillId="0" borderId="85" xfId="3" applyNumberFormat="1" applyFont="1" applyFill="1" applyBorder="1"/>
    <xf numFmtId="0" fontId="37" fillId="0" borderId="85" xfId="3" applyFont="1" applyFill="1" applyBorder="1"/>
    <xf numFmtId="0" fontId="214" fillId="0" borderId="85" xfId="3" applyFont="1" applyFill="1" applyBorder="1"/>
    <xf numFmtId="9" fontId="37" fillId="0" borderId="85" xfId="16" applyFont="1" applyFill="1" applyBorder="1"/>
    <xf numFmtId="0" fontId="209" fillId="0" borderId="0" xfId="3" applyFont="1" applyFill="1"/>
    <xf numFmtId="0" fontId="129" fillId="0" borderId="0" xfId="3" applyFont="1" applyFill="1"/>
    <xf numFmtId="9" fontId="29" fillId="0" borderId="0" xfId="16" applyFont="1" applyFill="1"/>
    <xf numFmtId="0" fontId="204" fillId="0" borderId="83" xfId="3" applyFont="1" applyFill="1" applyBorder="1" applyAlignment="1">
      <alignment wrapText="1"/>
    </xf>
    <xf numFmtId="2" fontId="91" fillId="91" borderId="87" xfId="3" applyNumberFormat="1" applyFont="1" applyFill="1" applyBorder="1"/>
    <xf numFmtId="2" fontId="214" fillId="91" borderId="87" xfId="3" applyNumberFormat="1" applyFont="1" applyFill="1" applyBorder="1"/>
    <xf numFmtId="0" fontId="210" fillId="91" borderId="0" xfId="3" applyFont="1" applyFill="1" applyAlignment="1">
      <alignment horizontal="center" vertical="top" wrapText="1"/>
    </xf>
    <xf numFmtId="0" fontId="94" fillId="91" borderId="1" xfId="3" applyFont="1" applyFill="1" applyBorder="1" applyAlignment="1">
      <alignment wrapText="1"/>
    </xf>
    <xf numFmtId="178" fontId="95" fillId="91" borderId="0" xfId="540" applyNumberFormat="1" applyFont="1" applyFill="1"/>
    <xf numFmtId="0" fontId="426" fillId="0" borderId="0" xfId="3" applyFont="1" applyAlignment="1">
      <alignment horizontal="center" vertical="center"/>
    </xf>
    <xf numFmtId="0" fontId="426" fillId="91" borderId="0" xfId="3" applyFont="1" applyFill="1" applyAlignment="1">
      <alignment horizontal="center" vertical="center"/>
    </xf>
    <xf numFmtId="0" fontId="426" fillId="0" borderId="0" xfId="3" applyFont="1" applyFill="1" applyAlignment="1">
      <alignment horizontal="center" vertical="center"/>
    </xf>
    <xf numFmtId="0" fontId="426" fillId="91" borderId="0" xfId="3" applyFont="1" applyFill="1" applyAlignment="1">
      <alignment horizontal="center" vertical="center" wrapText="1"/>
    </xf>
    <xf numFmtId="0" fontId="426" fillId="0" borderId="0" xfId="3" applyFont="1" applyFill="1" applyAlignment="1">
      <alignment horizontal="center" vertical="center" wrapText="1"/>
    </xf>
    <xf numFmtId="0" fontId="426" fillId="0" borderId="0" xfId="3" applyFont="1" applyAlignment="1">
      <alignment horizontal="center" vertical="center" wrapText="1"/>
    </xf>
    <xf numFmtId="178" fontId="37" fillId="0" borderId="0" xfId="3" applyNumberFormat="1" applyFont="1"/>
    <xf numFmtId="1" fontId="148" fillId="0" borderId="0" xfId="0" applyNumberFormat="1" applyFont="1" applyAlignment="1">
      <alignment horizontal="center" vertical="center"/>
    </xf>
    <xf numFmtId="0" fontId="91" fillId="0" borderId="0" xfId="3" applyFont="1" applyAlignment="1">
      <alignment wrapText="1"/>
    </xf>
    <xf numFmtId="0" fontId="210" fillId="0" borderId="0" xfId="3" applyFont="1" applyAlignment="1">
      <alignment horizontal="center" vertical="center"/>
    </xf>
    <xf numFmtId="0" fontId="156" fillId="26" borderId="41" xfId="0" applyFont="1" applyFill="1" applyBorder="1" applyAlignment="1">
      <alignment horizontal="center" vertical="center" wrapText="1"/>
    </xf>
    <xf numFmtId="0" fontId="89" fillId="0" borderId="27" xfId="3" applyFont="1" applyBorder="1"/>
    <xf numFmtId="0" fontId="89" fillId="0" borderId="28" xfId="3" applyFont="1" applyBorder="1"/>
    <xf numFmtId="0" fontId="89" fillId="0" borderId="1" xfId="3" applyFont="1" applyBorder="1"/>
    <xf numFmtId="0" fontId="89" fillId="0" borderId="29" xfId="3" applyFont="1" applyBorder="1"/>
    <xf numFmtId="0" fontId="91" fillId="0" borderId="169" xfId="3" applyFont="1" applyBorder="1"/>
    <xf numFmtId="14" fontId="91" fillId="0" borderId="0" xfId="3" applyNumberFormat="1" applyFont="1" applyBorder="1"/>
    <xf numFmtId="0" fontId="91" fillId="0" borderId="0" xfId="3" applyFont="1" applyBorder="1" applyAlignment="1"/>
    <xf numFmtId="0" fontId="37" fillId="91" borderId="175" xfId="3" applyFont="1" applyFill="1" applyBorder="1" applyAlignment="1">
      <alignment wrapText="1"/>
    </xf>
    <xf numFmtId="0" fontId="29" fillId="91" borderId="178" xfId="3" applyFont="1" applyFill="1" applyBorder="1"/>
    <xf numFmtId="0" fontId="37" fillId="91" borderId="178" xfId="3" applyFont="1" applyFill="1" applyBorder="1"/>
    <xf numFmtId="0" fontId="37" fillId="0" borderId="175" xfId="3" applyFont="1" applyBorder="1" applyAlignment="1">
      <alignment wrapText="1"/>
    </xf>
    <xf numFmtId="2" fontId="91" fillId="0" borderId="89" xfId="3" applyNumberFormat="1" applyFont="1" applyBorder="1"/>
    <xf numFmtId="172" fontId="145" fillId="0" borderId="83" xfId="1886" applyNumberFormat="1" applyFont="1" applyFill="1" applyBorder="1" applyAlignment="1">
      <alignment horizontal="left" vertical="center"/>
    </xf>
    <xf numFmtId="172" fontId="145" fillId="0" borderId="83" xfId="1886" applyNumberFormat="1" applyFont="1" applyFill="1" applyBorder="1" applyAlignment="1">
      <alignment horizontal="left" vertical="center" wrapText="1"/>
    </xf>
    <xf numFmtId="0" fontId="135" fillId="0" borderId="90" xfId="0" applyFont="1" applyBorder="1"/>
    <xf numFmtId="0" fontId="135" fillId="0" borderId="91" xfId="0" applyFont="1" applyBorder="1"/>
    <xf numFmtId="0" fontId="135" fillId="0" borderId="92" xfId="0" applyFont="1" applyBorder="1"/>
    <xf numFmtId="0" fontId="91" fillId="0" borderId="177" xfId="3" applyFont="1" applyBorder="1" applyAlignment="1">
      <alignment wrapText="1"/>
    </xf>
    <xf numFmtId="0" fontId="91" fillId="0" borderId="178" xfId="3" applyFont="1" applyBorder="1"/>
    <xf numFmtId="0" fontId="91" fillId="0" borderId="85" xfId="3" applyFont="1" applyBorder="1"/>
    <xf numFmtId="0" fontId="91" fillId="0" borderId="169" xfId="3" applyFont="1" applyBorder="1" applyAlignment="1">
      <alignment wrapText="1"/>
    </xf>
    <xf numFmtId="0" fontId="91" fillId="0" borderId="174" xfId="3" applyFont="1" applyBorder="1"/>
    <xf numFmtId="0" fontId="91" fillId="0" borderId="175" xfId="3" applyFont="1" applyBorder="1"/>
    <xf numFmtId="0" fontId="91" fillId="0" borderId="1" xfId="3" applyFont="1" applyBorder="1"/>
    <xf numFmtId="0" fontId="1" fillId="26" borderId="0" xfId="3" applyFont="1" applyFill="1" applyProtection="1">
      <protection locked="0"/>
    </xf>
    <xf numFmtId="1" fontId="1" fillId="26" borderId="0" xfId="408" applyNumberFormat="1" applyFont="1" applyFill="1" applyProtection="1">
      <protection locked="0"/>
    </xf>
    <xf numFmtId="0" fontId="1" fillId="26" borderId="0" xfId="408" applyNumberFormat="1" applyFont="1" applyFill="1" applyProtection="1">
      <protection locked="0"/>
    </xf>
    <xf numFmtId="0" fontId="1" fillId="26" borderId="0" xfId="0" applyNumberFormat="1" applyFont="1" applyFill="1" applyProtection="1"/>
    <xf numFmtId="1" fontId="1" fillId="26" borderId="0" xfId="0" applyNumberFormat="1" applyFont="1" applyFill="1" applyProtection="1"/>
    <xf numFmtId="0" fontId="29" fillId="26" borderId="0" xfId="3" applyFont="1" applyFill="1"/>
    <xf numFmtId="0" fontId="205" fillId="0" borderId="0" xfId="3" applyFont="1" applyAlignment="1">
      <alignment wrapText="1"/>
    </xf>
    <xf numFmtId="0" fontId="89" fillId="0" borderId="93" xfId="3" applyFont="1" applyBorder="1"/>
    <xf numFmtId="0" fontId="89" fillId="0" borderId="0" xfId="3" applyFont="1" applyBorder="1"/>
    <xf numFmtId="0" fontId="89" fillId="0" borderId="94" xfId="3" applyFont="1" applyBorder="1"/>
    <xf numFmtId="0" fontId="89" fillId="0" borderId="179" xfId="3" applyFont="1" applyBorder="1"/>
    <xf numFmtId="0" fontId="89" fillId="0" borderId="180" xfId="3" applyFont="1" applyBorder="1"/>
    <xf numFmtId="0" fontId="146" fillId="0" borderId="37" xfId="439" applyFont="1" applyBorder="1" applyAlignment="1">
      <alignment horizontal="left" vertical="center" wrapText="1"/>
    </xf>
    <xf numFmtId="0" fontId="37" fillId="87" borderId="13" xfId="0" applyFont="1" applyFill="1" applyBorder="1" applyAlignment="1">
      <alignment horizontal="center" vertical="center"/>
    </xf>
    <xf numFmtId="0" fontId="146" fillId="0" borderId="50" xfId="0" applyFont="1" applyBorder="1" applyAlignment="1">
      <alignment horizontal="left" vertical="center" wrapText="1"/>
    </xf>
    <xf numFmtId="0" fontId="191" fillId="89" borderId="50" xfId="0" applyFont="1" applyFill="1" applyBorder="1" applyAlignment="1">
      <alignment horizontal="left"/>
    </xf>
    <xf numFmtId="0" fontId="146" fillId="88" borderId="50" xfId="0" applyFont="1" applyFill="1" applyBorder="1" applyAlignment="1">
      <alignment horizontal="left" vertical="center" wrapText="1"/>
    </xf>
    <xf numFmtId="0" fontId="146" fillId="88" borderId="86" xfId="0" applyFont="1" applyFill="1" applyBorder="1" applyAlignment="1">
      <alignment horizontal="left" vertical="center" wrapText="1"/>
    </xf>
    <xf numFmtId="0" fontId="146" fillId="88" borderId="171" xfId="0" applyFont="1" applyFill="1" applyBorder="1" applyAlignment="1">
      <alignment horizontal="left" vertical="center" wrapText="1"/>
    </xf>
    <xf numFmtId="0" fontId="146" fillId="88" borderId="50" xfId="0" applyFont="1" applyFill="1" applyBorder="1" applyAlignment="1">
      <alignment horizontal="left" vertical="center"/>
    </xf>
    <xf numFmtId="0" fontId="188" fillId="89" borderId="50" xfId="0" applyFont="1" applyFill="1" applyBorder="1" applyAlignment="1">
      <alignment horizontal="left"/>
    </xf>
    <xf numFmtId="0" fontId="146" fillId="88" borderId="37" xfId="0" applyFont="1" applyFill="1" applyBorder="1" applyAlignment="1">
      <alignment horizontal="left" vertical="center" wrapText="1"/>
    </xf>
    <xf numFmtId="0" fontId="146" fillId="88" borderId="38" xfId="0" applyFont="1" applyFill="1" applyBorder="1" applyAlignment="1">
      <alignment horizontal="left" vertical="center" wrapText="1"/>
    </xf>
    <xf numFmtId="0" fontId="186" fillId="89" borderId="50" xfId="0" applyFont="1" applyFill="1" applyBorder="1" applyAlignment="1">
      <alignment horizontal="center" vertical="center"/>
    </xf>
    <xf numFmtId="0" fontId="146" fillId="88" borderId="3" xfId="0" applyFont="1" applyFill="1" applyBorder="1" applyAlignment="1">
      <alignment horizontal="left" vertical="center" wrapText="1"/>
    </xf>
    <xf numFmtId="0" fontId="148" fillId="0" borderId="89" xfId="1881" applyFont="1" applyBorder="1" applyAlignment="1">
      <alignment horizontal="center" wrapText="1"/>
    </xf>
    <xf numFmtId="0" fontId="148" fillId="0" borderId="87" xfId="1881" applyFont="1" applyBorder="1" applyAlignment="1">
      <alignment horizontal="center" wrapText="1"/>
    </xf>
    <xf numFmtId="0" fontId="144" fillId="0" borderId="83" xfId="439" applyFont="1" applyBorder="1" applyAlignment="1">
      <alignment horizontal="left" vertical="center" wrapText="1"/>
    </xf>
    <xf numFmtId="0" fontId="194" fillId="0" borderId="83" xfId="438" applyFont="1" applyBorder="1" applyAlignment="1">
      <alignment horizontal="center" vertical="center" wrapText="1"/>
    </xf>
    <xf numFmtId="0" fontId="76" fillId="0" borderId="3" xfId="3" applyFont="1" applyBorder="1" applyAlignment="1">
      <alignment horizontal="center"/>
    </xf>
    <xf numFmtId="0" fontId="200" fillId="0" borderId="83" xfId="1999" applyFont="1" applyBorder="1" applyAlignment="1">
      <alignment horizontal="center" vertical="center"/>
    </xf>
    <xf numFmtId="0" fontId="148" fillId="0" borderId="83" xfId="1999" applyFont="1" applyFill="1" applyBorder="1" applyAlignment="1">
      <alignment horizontal="center" vertical="center"/>
    </xf>
    <xf numFmtId="0" fontId="148" fillId="0" borderId="86" xfId="1886" applyFont="1" applyBorder="1" applyAlignment="1">
      <alignment horizontal="center" vertical="center" wrapText="1"/>
    </xf>
    <xf numFmtId="0" fontId="148" fillId="0" borderId="89" xfId="1886" applyFont="1" applyBorder="1" applyAlignment="1">
      <alignment horizontal="center" vertical="center" wrapText="1"/>
    </xf>
    <xf numFmtId="0" fontId="148" fillId="0" borderId="87" xfId="1886" applyFont="1" applyBorder="1" applyAlignment="1">
      <alignment horizontal="center" vertical="center" wrapText="1"/>
    </xf>
    <xf numFmtId="0" fontId="1" fillId="26" borderId="83" xfId="439" applyFont="1" applyFill="1" applyBorder="1" applyAlignment="1">
      <alignment horizontal="center" vertical="center" wrapText="1"/>
    </xf>
    <xf numFmtId="0" fontId="10" fillId="26" borderId="83" xfId="439" applyFont="1" applyFill="1" applyBorder="1" applyAlignment="1">
      <alignment horizontal="center" vertical="center" wrapText="1"/>
    </xf>
    <xf numFmtId="0" fontId="1" fillId="26" borderId="83" xfId="439" applyFont="1" applyFill="1" applyBorder="1" applyAlignment="1">
      <alignment horizontal="center" vertical="center"/>
    </xf>
    <xf numFmtId="0" fontId="10" fillId="26" borderId="83" xfId="439" applyFont="1" applyFill="1" applyBorder="1" applyAlignment="1">
      <alignment horizontal="center" vertical="center"/>
    </xf>
    <xf numFmtId="0" fontId="144" fillId="0" borderId="83" xfId="3" applyFont="1" applyBorder="1" applyAlignment="1">
      <alignment horizontal="left" vertical="center"/>
    </xf>
    <xf numFmtId="0" fontId="146" fillId="26" borderId="83" xfId="683" applyFont="1" applyFill="1" applyBorder="1" applyAlignment="1">
      <alignment horizontal="left" vertical="center"/>
    </xf>
    <xf numFmtId="0" fontId="146" fillId="26" borderId="83" xfId="878" applyFont="1" applyFill="1" applyBorder="1" applyAlignment="1">
      <alignment horizontal="left" vertical="center"/>
    </xf>
    <xf numFmtId="0" fontId="9" fillId="26" borderId="83" xfId="439" applyFont="1" applyFill="1" applyBorder="1" applyAlignment="1">
      <alignment horizontal="center" vertical="center" wrapText="1"/>
    </xf>
    <xf numFmtId="0" fontId="146" fillId="0" borderId="83" xfId="439" applyFont="1" applyBorder="1" applyAlignment="1">
      <alignment horizontal="left" vertical="center" wrapText="1"/>
    </xf>
    <xf numFmtId="178" fontId="146" fillId="0" borderId="83" xfId="540" applyNumberFormat="1" applyFont="1" applyFill="1" applyBorder="1" applyAlignment="1">
      <alignment horizontal="center" vertical="center"/>
    </xf>
    <xf numFmtId="0" fontId="146" fillId="0" borderId="83" xfId="439" applyFont="1" applyFill="1" applyBorder="1" applyAlignment="1">
      <alignment horizontal="center" vertical="center" wrapText="1"/>
    </xf>
    <xf numFmtId="179" fontId="146" fillId="0" borderId="83" xfId="439" applyNumberFormat="1" applyFont="1" applyFill="1" applyBorder="1" applyAlignment="1">
      <alignment horizontal="right" vertical="center"/>
    </xf>
    <xf numFmtId="0" fontId="148" fillId="0" borderId="37" xfId="0" applyFont="1" applyBorder="1" applyAlignment="1">
      <alignment horizontal="left" vertical="center"/>
    </xf>
    <xf numFmtId="0" fontId="148" fillId="0" borderId="38" xfId="0" applyFont="1" applyBorder="1" applyAlignment="1">
      <alignment horizontal="left" vertical="center"/>
    </xf>
    <xf numFmtId="0" fontId="148" fillId="0" borderId="3" xfId="0" applyFont="1" applyBorder="1" applyAlignment="1">
      <alignment horizontal="left" vertical="center"/>
    </xf>
    <xf numFmtId="0" fontId="148" fillId="0" borderId="37" xfId="0" applyFont="1" applyFill="1" applyBorder="1" applyAlignment="1">
      <alignment horizontal="left" vertical="center"/>
    </xf>
    <xf numFmtId="0" fontId="148" fillId="0" borderId="3" xfId="0" applyFont="1" applyFill="1" applyBorder="1" applyAlignment="1">
      <alignment horizontal="left" vertical="center"/>
    </xf>
    <xf numFmtId="0" fontId="151" fillId="0" borderId="34" xfId="0" applyFont="1" applyBorder="1" applyAlignment="1">
      <alignment horizontal="center" wrapText="1"/>
    </xf>
    <xf numFmtId="0" fontId="151" fillId="0" borderId="30" xfId="0" applyFont="1" applyBorder="1" applyAlignment="1">
      <alignment horizontal="center" wrapText="1"/>
    </xf>
    <xf numFmtId="0" fontId="151" fillId="0" borderId="27" xfId="0" applyFont="1" applyBorder="1" applyAlignment="1">
      <alignment horizontal="center" wrapText="1"/>
    </xf>
    <xf numFmtId="0" fontId="151" fillId="0" borderId="35" xfId="0" applyFont="1" applyBorder="1" applyAlignment="1">
      <alignment horizontal="center" wrapText="1"/>
    </xf>
    <xf numFmtId="0" fontId="151" fillId="0" borderId="0" xfId="0" applyFont="1" applyBorder="1" applyAlignment="1">
      <alignment horizontal="center" wrapText="1"/>
    </xf>
    <xf numFmtId="0" fontId="151" fillId="0" borderId="28" xfId="0" applyFont="1" applyBorder="1" applyAlignment="1">
      <alignment horizontal="center" wrapText="1"/>
    </xf>
    <xf numFmtId="0" fontId="151" fillId="0" borderId="36" xfId="0" applyFont="1" applyBorder="1" applyAlignment="1">
      <alignment horizontal="center" wrapText="1"/>
    </xf>
    <xf numFmtId="0" fontId="151" fillId="0" borderId="1" xfId="0" applyFont="1" applyBorder="1" applyAlignment="1">
      <alignment horizontal="center" wrapText="1"/>
    </xf>
    <xf numFmtId="0" fontId="151" fillId="0" borderId="29" xfId="0" applyFont="1" applyBorder="1" applyAlignment="1">
      <alignment horizontal="center" wrapText="1"/>
    </xf>
    <xf numFmtId="0" fontId="14" fillId="0" borderId="50" xfId="0" applyFont="1" applyBorder="1" applyAlignment="1">
      <alignment horizontal="center"/>
    </xf>
    <xf numFmtId="0" fontId="25" fillId="0" borderId="50" xfId="0" applyFont="1" applyBorder="1" applyAlignment="1">
      <alignment horizontal="center"/>
    </xf>
    <xf numFmtId="0" fontId="146" fillId="0" borderId="34" xfId="0" applyFont="1" applyBorder="1" applyAlignment="1">
      <alignment horizontal="center" vertical="center" wrapText="1"/>
    </xf>
    <xf numFmtId="0" fontId="146" fillId="0" borderId="30" xfId="0" applyFont="1" applyBorder="1" applyAlignment="1">
      <alignment horizontal="center" vertical="center" wrapText="1"/>
    </xf>
    <xf numFmtId="0" fontId="146" fillId="0" borderId="27" xfId="0" applyFont="1" applyBorder="1" applyAlignment="1">
      <alignment horizontal="center" vertical="center" wrapText="1"/>
    </xf>
    <xf numFmtId="0" fontId="146" fillId="0" borderId="34" xfId="439" applyFont="1" applyBorder="1" applyAlignment="1">
      <alignment horizontal="center" vertical="center" wrapText="1"/>
    </xf>
    <xf numFmtId="0" fontId="146" fillId="0" borderId="27" xfId="439" applyFont="1" applyBorder="1" applyAlignment="1">
      <alignment horizontal="center" vertical="center" wrapText="1"/>
    </xf>
    <xf numFmtId="0" fontId="146" fillId="0" borderId="86" xfId="0" applyFont="1" applyBorder="1" applyAlignment="1">
      <alignment horizontal="center" vertical="center"/>
    </xf>
    <xf numFmtId="0" fontId="146" fillId="0" borderId="89" xfId="0" applyFont="1" applyBorder="1" applyAlignment="1">
      <alignment horizontal="center" vertical="center"/>
    </xf>
    <xf numFmtId="0" fontId="146" fillId="0" borderId="87" xfId="0" applyFont="1" applyBorder="1" applyAlignment="1">
      <alignment horizontal="center" vertical="center"/>
    </xf>
    <xf numFmtId="0" fontId="146" fillId="0" borderId="171" xfId="0" applyFont="1" applyBorder="1" applyAlignment="1">
      <alignment horizontal="center" vertical="center"/>
    </xf>
    <xf numFmtId="0" fontId="37" fillId="82" borderId="37" xfId="4748" applyFont="1" applyFill="1" applyBorder="1" applyAlignment="1">
      <alignment horizontal="center" vertical="center" wrapText="1"/>
    </xf>
    <xf numFmtId="0" fontId="37" fillId="82" borderId="3" xfId="4748" applyFont="1" applyFill="1" applyBorder="1" applyAlignment="1">
      <alignment horizontal="center" vertical="center" wrapText="1"/>
    </xf>
    <xf numFmtId="0" fontId="37" fillId="84" borderId="37" xfId="4748" applyFont="1" applyFill="1" applyBorder="1" applyAlignment="1">
      <alignment horizontal="center" vertical="center" wrapText="1"/>
    </xf>
    <xf numFmtId="0" fontId="37" fillId="84" borderId="3" xfId="4748" applyFont="1" applyFill="1" applyBorder="1" applyAlignment="1">
      <alignment horizontal="center" vertical="center" wrapText="1"/>
    </xf>
    <xf numFmtId="0" fontId="210" fillId="0" borderId="0" xfId="3" applyFont="1" applyAlignment="1">
      <alignment horizontal="center" vertical="center"/>
    </xf>
    <xf numFmtId="0" fontId="3" fillId="84" borderId="86" xfId="4748" applyFont="1" applyFill="1" applyBorder="1" applyAlignment="1">
      <alignment horizontal="center" vertical="center"/>
    </xf>
    <xf numFmtId="0" fontId="3" fillId="84" borderId="89" xfId="4748" applyFont="1" applyFill="1" applyBorder="1" applyAlignment="1">
      <alignment horizontal="center" vertical="center"/>
    </xf>
    <xf numFmtId="0" fontId="3" fillId="84" borderId="87" xfId="4748" applyFont="1" applyFill="1" applyBorder="1" applyAlignment="1">
      <alignment horizontal="center" vertical="center"/>
    </xf>
    <xf numFmtId="0" fontId="37" fillId="82" borderId="83" xfId="4748" applyFont="1" applyFill="1" applyBorder="1" applyAlignment="1">
      <alignment horizontal="center" vertical="center"/>
    </xf>
    <xf numFmtId="0" fontId="37" fillId="84" borderId="37" xfId="4748" applyFont="1" applyFill="1" applyBorder="1" applyAlignment="1">
      <alignment horizontal="center" vertical="center"/>
    </xf>
    <xf numFmtId="0" fontId="37" fillId="84" borderId="38" xfId="4748" applyFont="1" applyFill="1" applyBorder="1" applyAlignment="1">
      <alignment horizontal="center" vertical="center"/>
    </xf>
    <xf numFmtId="0" fontId="37" fillId="84" borderId="3" xfId="4748" applyFont="1" applyFill="1" applyBorder="1" applyAlignment="1">
      <alignment horizontal="center" vertical="center"/>
    </xf>
    <xf numFmtId="0" fontId="3" fillId="82" borderId="83" xfId="4748" applyFont="1" applyFill="1" applyBorder="1" applyAlignment="1">
      <alignment horizontal="center" vertical="center"/>
    </xf>
    <xf numFmtId="0" fontId="37" fillId="84" borderId="83" xfId="4748" applyFont="1" applyFill="1" applyBorder="1" applyAlignment="1">
      <alignment horizontal="center" vertical="center"/>
    </xf>
    <xf numFmtId="0" fontId="37" fillId="84" borderId="83" xfId="4748" applyFont="1" applyFill="1" applyBorder="1" applyAlignment="1">
      <alignment horizontal="center" vertical="center" wrapText="1"/>
    </xf>
    <xf numFmtId="0" fontId="37" fillId="82" borderId="86" xfId="4748" applyFont="1" applyFill="1" applyBorder="1" applyAlignment="1">
      <alignment horizontal="center" vertical="center"/>
    </xf>
    <xf numFmtId="0" fontId="37" fillId="82" borderId="89" xfId="4748" applyFont="1" applyFill="1" applyBorder="1" applyAlignment="1">
      <alignment horizontal="center" vertical="center"/>
    </xf>
    <xf numFmtId="0" fontId="37" fillId="82" borderId="87" xfId="4748" applyFont="1" applyFill="1" applyBorder="1" applyAlignment="1">
      <alignment horizontal="center" vertical="center"/>
    </xf>
    <xf numFmtId="0" fontId="37" fillId="82" borderId="37" xfId="4748" applyFont="1" applyFill="1" applyBorder="1" applyAlignment="1">
      <alignment horizontal="center" vertical="center"/>
    </xf>
    <xf numFmtId="0" fontId="37" fillId="82" borderId="3" xfId="4748" applyFont="1" applyFill="1" applyBorder="1" applyAlignment="1">
      <alignment horizontal="center" vertical="center"/>
    </xf>
    <xf numFmtId="0" fontId="0" fillId="0" borderId="0" xfId="0" applyAlignment="1">
      <alignment horizontal="center"/>
    </xf>
    <xf numFmtId="0" fontId="0" fillId="0" borderId="50" xfId="0" applyBorder="1" applyAlignment="1">
      <alignment horizontal="center" vertical="center" wrapText="1"/>
    </xf>
    <xf numFmtId="0" fontId="0" fillId="0" borderId="50" xfId="0" applyBorder="1" applyAlignment="1">
      <alignment horizontal="center" wrapText="1"/>
    </xf>
    <xf numFmtId="0" fontId="155" fillId="0" borderId="50" xfId="0" applyFont="1" applyBorder="1" applyAlignment="1">
      <alignment horizontal="center" vertical="center" wrapText="1"/>
    </xf>
    <xf numFmtId="0" fontId="144" fillId="0" borderId="33" xfId="0" applyFont="1" applyFill="1" applyBorder="1" applyAlignment="1">
      <alignment horizontal="left" vertical="center"/>
    </xf>
    <xf numFmtId="0" fontId="152" fillId="0" borderId="0" xfId="0" applyFont="1" applyAlignment="1">
      <alignment horizontal="center" vertical="center" wrapText="1"/>
    </xf>
    <xf numFmtId="0" fontId="149" fillId="0" borderId="40" xfId="0" applyFont="1" applyBorder="1" applyAlignment="1">
      <alignment horizontal="center" vertical="center"/>
    </xf>
    <xf numFmtId="0" fontId="152" fillId="0" borderId="0" xfId="0" applyFont="1" applyAlignment="1">
      <alignment horizontal="center" wrapText="1"/>
    </xf>
    <xf numFmtId="0" fontId="76" fillId="0" borderId="0" xfId="0" applyFont="1" applyAlignment="1">
      <alignment horizontal="center" vertical="center" wrapText="1"/>
    </xf>
    <xf numFmtId="0" fontId="130" fillId="0" borderId="0" xfId="0" applyFont="1" applyAlignment="1">
      <alignment horizontal="center"/>
    </xf>
    <xf numFmtId="0" fontId="198" fillId="0" borderId="0" xfId="0" applyFont="1" applyAlignment="1">
      <alignment horizontal="center" vertical="center" wrapText="1"/>
    </xf>
    <xf numFmtId="0" fontId="130" fillId="0" borderId="0" xfId="0" applyFont="1" applyBorder="1" applyAlignment="1">
      <alignment horizontal="center" vertical="center" wrapText="1"/>
    </xf>
    <xf numFmtId="0" fontId="130" fillId="0" borderId="1" xfId="0" applyFont="1" applyBorder="1" applyAlignment="1">
      <alignment horizontal="center" vertical="center" wrapText="1"/>
    </xf>
    <xf numFmtId="0" fontId="141" fillId="0" borderId="0" xfId="0" applyFont="1" applyBorder="1" applyAlignment="1">
      <alignment horizontal="center" vertical="center" wrapText="1"/>
    </xf>
    <xf numFmtId="0" fontId="141" fillId="0" borderId="1" xfId="0" applyFont="1" applyBorder="1" applyAlignment="1">
      <alignment horizontal="center" vertical="center" wrapText="1"/>
    </xf>
    <xf numFmtId="0" fontId="149" fillId="0" borderId="42" xfId="0" applyFont="1" applyBorder="1" applyAlignment="1">
      <alignment horizontal="center" vertical="center" wrapText="1"/>
    </xf>
    <xf numFmtId="0" fontId="149" fillId="0" borderId="43" xfId="0" applyFont="1" applyBorder="1" applyAlignment="1">
      <alignment horizontal="center" vertical="center" wrapText="1"/>
    </xf>
    <xf numFmtId="0" fontId="149" fillId="0" borderId="44" xfId="0" applyFont="1" applyBorder="1" applyAlignment="1">
      <alignment horizontal="center" vertical="center" wrapText="1"/>
    </xf>
    <xf numFmtId="0" fontId="154" fillId="0" borderId="60" xfId="0" applyFont="1" applyBorder="1" applyAlignment="1">
      <alignment horizontal="center"/>
    </xf>
    <xf numFmtId="0" fontId="154" fillId="0" borderId="61" xfId="0" applyFont="1" applyBorder="1" applyAlignment="1">
      <alignment horizontal="center"/>
    </xf>
    <xf numFmtId="0" fontId="154" fillId="0" borderId="62" xfId="0" applyFont="1" applyBorder="1" applyAlignment="1">
      <alignment horizontal="center"/>
    </xf>
    <xf numFmtId="0" fontId="154" fillId="0" borderId="57" xfId="0" applyFont="1" applyBorder="1" applyAlignment="1">
      <alignment horizontal="center"/>
    </xf>
    <xf numFmtId="0" fontId="154" fillId="0" borderId="58" xfId="0" applyFont="1" applyBorder="1" applyAlignment="1">
      <alignment horizontal="center"/>
    </xf>
    <xf numFmtId="0" fontId="154" fillId="0" borderId="59" xfId="0" applyFont="1" applyBorder="1" applyAlignment="1">
      <alignment horizontal="center"/>
    </xf>
    <xf numFmtId="0" fontId="184" fillId="0" borderId="0" xfId="0" applyFont="1" applyAlignment="1">
      <alignment horizontal="center" vertical="center" wrapText="1"/>
    </xf>
    <xf numFmtId="0" fontId="0" fillId="0" borderId="0" xfId="0" applyBorder="1" applyAlignment="1">
      <alignment horizontal="center"/>
    </xf>
    <xf numFmtId="0" fontId="160" fillId="0" borderId="33" xfId="0" applyFont="1" applyFill="1" applyBorder="1" applyAlignment="1">
      <alignment horizontal="left" vertical="center"/>
    </xf>
    <xf numFmtId="0" fontId="159" fillId="0" borderId="0" xfId="0" applyFont="1" applyAlignment="1">
      <alignment horizontal="center" vertical="center" wrapText="1"/>
    </xf>
    <xf numFmtId="0" fontId="169" fillId="0" borderId="0" xfId="0" applyFont="1" applyAlignment="1">
      <alignment horizontal="center" vertical="center"/>
    </xf>
    <xf numFmtId="0" fontId="0" fillId="0" borderId="0" xfId="0" applyBorder="1" applyAlignment="1">
      <alignment horizontal="center" vertical="top" wrapText="1"/>
    </xf>
    <xf numFmtId="0" fontId="0" fillId="0" borderId="53" xfId="0" applyBorder="1" applyAlignment="1">
      <alignment horizontal="center" wrapText="1"/>
    </xf>
    <xf numFmtId="0" fontId="0" fillId="0" borderId="52" xfId="0" applyBorder="1" applyAlignment="1">
      <alignment horizontal="center" wrapText="1"/>
    </xf>
    <xf numFmtId="0" fontId="0" fillId="0" borderId="51" xfId="0" applyBorder="1" applyAlignment="1">
      <alignment horizontal="center" wrapText="1"/>
    </xf>
    <xf numFmtId="0" fontId="0" fillId="0" borderId="0" xfId="0" applyAlignment="1">
      <alignment horizontal="center" wrapText="1"/>
    </xf>
    <xf numFmtId="0" fontId="177" fillId="0" borderId="0" xfId="0" applyFont="1" applyAlignment="1">
      <alignment horizontal="center" vertical="center" wrapText="1"/>
    </xf>
    <xf numFmtId="0" fontId="0" fillId="0" borderId="0" xfId="0" applyAlignment="1">
      <alignment horizontal="center" vertical="center" wrapText="1"/>
    </xf>
    <xf numFmtId="0" fontId="0" fillId="26" borderId="42" xfId="0" applyFill="1" applyBorder="1" applyAlignment="1">
      <alignment horizontal="center" vertical="center" wrapText="1"/>
    </xf>
    <xf numFmtId="0" fontId="0" fillId="26" borderId="47" xfId="0" applyFill="1" applyBorder="1" applyAlignment="1">
      <alignment horizontal="center" vertical="center" wrapText="1"/>
    </xf>
    <xf numFmtId="0" fontId="422" fillId="0" borderId="0" xfId="3" applyFont="1" applyAlignment="1">
      <alignment horizontal="center" wrapText="1"/>
    </xf>
    <xf numFmtId="0" fontId="205" fillId="0" borderId="91" xfId="3" applyFont="1" applyBorder="1" applyAlignment="1">
      <alignment horizontal="center" wrapText="1"/>
    </xf>
    <xf numFmtId="0" fontId="205" fillId="0" borderId="0" xfId="3" applyFont="1" applyBorder="1" applyAlignment="1">
      <alignment horizontal="center" wrapText="1"/>
    </xf>
    <xf numFmtId="0" fontId="33" fillId="0" borderId="0" xfId="0" applyFont="1" applyFill="1" applyAlignment="1">
      <alignment horizontal="center" vertical="center" wrapText="1"/>
    </xf>
    <xf numFmtId="0" fontId="205" fillId="0" borderId="92" xfId="3" applyFont="1" applyBorder="1" applyAlignment="1">
      <alignment horizontal="center" wrapText="1"/>
    </xf>
    <xf numFmtId="0" fontId="205" fillId="0" borderId="94" xfId="3" applyFont="1" applyBorder="1" applyAlignment="1">
      <alignment horizontal="center" wrapText="1"/>
    </xf>
    <xf numFmtId="0" fontId="88" fillId="0" borderId="90" xfId="3" applyFont="1" applyBorder="1" applyAlignment="1">
      <alignment horizontal="center" wrapText="1"/>
    </xf>
    <xf numFmtId="0" fontId="88" fillId="0" borderId="93" xfId="3" applyFont="1" applyBorder="1" applyAlignment="1">
      <alignment horizontal="center" wrapText="1"/>
    </xf>
    <xf numFmtId="0" fontId="205" fillId="0" borderId="90" xfId="3" applyFont="1" applyBorder="1" applyAlignment="1">
      <alignment horizontal="center" wrapText="1"/>
    </xf>
    <xf numFmtId="0" fontId="205" fillId="0" borderId="93" xfId="3" applyFont="1" applyBorder="1" applyAlignment="1">
      <alignment horizontal="center" wrapText="1"/>
    </xf>
    <xf numFmtId="0" fontId="33" fillId="0" borderId="0" xfId="0" applyFont="1" applyAlignment="1">
      <alignment horizontal="center" vertical="center" wrapText="1"/>
    </xf>
    <xf numFmtId="0" fontId="418" fillId="0" borderId="0" xfId="3" applyFont="1" applyAlignment="1">
      <alignment horizontal="center" vertical="center" wrapText="1"/>
    </xf>
    <xf numFmtId="0" fontId="37" fillId="0" borderId="1" xfId="3" applyFont="1" applyBorder="1" applyAlignment="1">
      <alignment horizontal="center" wrapText="1"/>
    </xf>
    <xf numFmtId="0" fontId="33" fillId="0"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162" fillId="0" borderId="0" xfId="185" applyFont="1" applyAlignment="1">
      <alignment horizontal="center"/>
    </xf>
    <xf numFmtId="0" fontId="165" fillId="0" borderId="0" xfId="185" applyFont="1" applyAlignment="1">
      <alignment horizontal="center" vertical="center" wrapText="1"/>
    </xf>
    <xf numFmtId="0" fontId="129" fillId="0" borderId="0" xfId="1197" applyBorder="1" applyAlignment="1">
      <alignment horizontal="center"/>
    </xf>
  </cellXfs>
  <cellStyles count="20961">
    <cellStyle name="_x0013_" xfId="4765"/>
    <cellStyle name="_x0013_ 2" xfId="4766"/>
    <cellStyle name="_x000d__x000a_JournalTemplate=C:\COMFO\CTALK\JOURSTD.TPL_x000d__x000a_LbStateAddress=3 3 0 251 1 89 2 311_x000d__x000a_LbStateJou" xfId="4767"/>
    <cellStyle name="_x000d__x000a_JournalTemplate=C:\COMFO\CTALK\JOURSTD.TPL_x000d__x000a_LbStateAddress=3 3 0 251 1 89 2 311_x000d__x000a_LbStateJou 2" xfId="4768"/>
    <cellStyle name="_x000d__x000a_JournalTemplate=C:\COMFO\CTALK\JOURSTD.TPL_x000d__x000a_LbStateAddress=3 3 0 251 1 89 2 311_x000d__x000a_LbStateJou 2 2" xfId="4769"/>
    <cellStyle name="_x000d__x000a_JournalTemplate=C:\COMFO\CTALK\JOURSTD.TPL_x000d__x000a_LbStateAddress=3 3 0 251 1 89 2 311_x000d__x000a_LbStateJou 2 2 2" xfId="4770"/>
    <cellStyle name="_x000d__x000a_JournalTemplate=C:\COMFO\CTALK\JOURSTD.TPL_x000d__x000a_LbStateAddress=3 3 0 251 1 89 2 311_x000d__x000a_LbStateJou 2 3" xfId="4771"/>
    <cellStyle name="_x000d__x000a_JournalTemplate=C:\COMFO\CTALK\JOURSTD.TPL_x000d__x000a_LbStateAddress=3 3 0 251 1 89 2 311_x000d__x000a_LbStateJou 2_6.1 Contingency Allocation" xfId="4772"/>
    <cellStyle name="_x000d__x000a_JournalTemplate=C:\COMFO\CTALK\JOURSTD.TPL_x000d__x000a_LbStateAddress=3 3 0 251 1 89 2 311_x000d__x000a_LbStateJou 3" xfId="4773"/>
    <cellStyle name="_x000d__x000a_JournalTemplate=C:\COMFO\CTALK\JOURSTD.TPL_x000d__x000a_LbStateAddress=3 3 0 251 1 89 2 311_x000d__x000a_LbStateJou 3 2" xfId="4774"/>
    <cellStyle name="_x000d__x000a_JournalTemplate=C:\COMFO\CTALK\JOURSTD.TPL_x000d__x000a_LbStateAddress=3 3 0 251 1 89 2 311_x000d__x000a_LbStateJou 4" xfId="4775"/>
    <cellStyle name="_x000d__x000a_JournalTemplate=C:\COMFO\CTALK\JOURSTD.TPL_x000d__x000a_LbStateAddress=3 3 0 251 1 89 2 311_x000d__x000a_LbStateJou 4 2" xfId="4776"/>
    <cellStyle name="_x000d__x000a_JournalTemplate=C:\COMFO\CTALK\JOURSTD.TPL_x000d__x000a_LbStateAddress=3 3 0 251 1 89 2 311_x000d__x000a_LbStateJou_6.1 Contingency Allocation" xfId="4777"/>
    <cellStyle name="%" xfId="17"/>
    <cellStyle name="% 2" xfId="13292"/>
    <cellStyle name="% 3" xfId="18883"/>
    <cellStyle name="% 4" xfId="4778"/>
    <cellStyle name="%_A1.  Major AFC var by contract" xfId="4779"/>
    <cellStyle name="%_A6.Accruals - By WBS_cost centr" xfId="4780"/>
    <cellStyle name="%_Analysis Board Report" xfId="4781"/>
    <cellStyle name="%_Contingency tracker 020211 for PCSC for distribution Issued 27 01 11" xfId="4782"/>
    <cellStyle name="%_Contingency tracker 020211 for PCSC for distribution Issued 27 01 11 2" xfId="4783"/>
    <cellStyle name="%_Contingency tracker 020311 for PCSC for distribution ISSUED 220211" xfId="4784"/>
    <cellStyle name="%_Contingency tracker 020311 for PCSC for distribution ISSUED 220211 2" xfId="4785"/>
    <cellStyle name="%_Contingency tracker 250511 for PCSC" xfId="4786"/>
    <cellStyle name="%_Contingency tracker 250511 for PCSC (2)" xfId="4787"/>
    <cellStyle name="%_Contingency tracker 250511 for PCSC (2) 2" xfId="4788"/>
    <cellStyle name="%_Contingency tracker 250511 for PCSC 10" xfId="4789"/>
    <cellStyle name="%_Contingency tracker 250511 for PCSC 11" xfId="4790"/>
    <cellStyle name="%_Contingency tracker 250511 for PCSC 12" xfId="4791"/>
    <cellStyle name="%_Contingency tracker 250511 for PCSC 13" xfId="4792"/>
    <cellStyle name="%_Contingency tracker 250511 for PCSC 14" xfId="4793"/>
    <cellStyle name="%_Contingency tracker 250511 for PCSC 15" xfId="4794"/>
    <cellStyle name="%_Contingency tracker 250511 for PCSC 16" xfId="4795"/>
    <cellStyle name="%_Contingency tracker 250511 for PCSC 17" xfId="4796"/>
    <cellStyle name="%_Contingency tracker 250511 for PCSC 18" xfId="4797"/>
    <cellStyle name="%_Contingency tracker 250511 for PCSC 19" xfId="4798"/>
    <cellStyle name="%_Contingency tracker 250511 for PCSC 2" xfId="4799"/>
    <cellStyle name="%_Contingency tracker 250511 for PCSC 20" xfId="4800"/>
    <cellStyle name="%_Contingency tracker 250511 for PCSC 21" xfId="4801"/>
    <cellStyle name="%_Contingency tracker 250511 for PCSC 22" xfId="4802"/>
    <cellStyle name="%_Contingency tracker 250511 for PCSC 23" xfId="4803"/>
    <cellStyle name="%_Contingency tracker 250511 for PCSC 24" xfId="4804"/>
    <cellStyle name="%_Contingency tracker 250511 for PCSC 25" xfId="4805"/>
    <cellStyle name="%_Contingency tracker 250511 for PCSC 26" xfId="13161"/>
    <cellStyle name="%_Contingency tracker 250511 for PCSC 3" xfId="4806"/>
    <cellStyle name="%_Contingency tracker 250511 for PCSC 4" xfId="4807"/>
    <cellStyle name="%_Contingency tracker 250511 for PCSC 5" xfId="4808"/>
    <cellStyle name="%_Contingency tracker 250511 for PCSC 6" xfId="4809"/>
    <cellStyle name="%_Contingency tracker 250511 for PCSC 7" xfId="4810"/>
    <cellStyle name="%_Contingency tracker 250511 for PCSC 8" xfId="4811"/>
    <cellStyle name="%_Contingency tracker 250511 for PCSC 9" xfId="4812"/>
    <cellStyle name="%_Contracts with Major Variances to Current Forecast P1" xfId="4813"/>
    <cellStyle name="%_P10 Current Budget 14 01 11 - Final Rev02" xfId="4814"/>
    <cellStyle name="%_P10 Current Budget 14 01 11 - Final Rev02 2" xfId="4815"/>
    <cellStyle name="%_P4 Accrual Calculation for Appendix" xfId="4816"/>
    <cellStyle name="%_P4 Accrual Calculation for Appendix 2" xfId="4817"/>
    <cellStyle name="%_R41 R42 Table" xfId="4818"/>
    <cellStyle name="%_SAP CRL directs entry template for P10" xfId="4819"/>
    <cellStyle name="%_SAP CRL directs entry template for P10 rev1" xfId="4820"/>
    <cellStyle name="%_SAP CRL directs entry template for P11" xfId="4821"/>
    <cellStyle name="%_Sponsor Dashboard Schedule Backsheet v28" xfId="4822"/>
    <cellStyle name="%_Sponsor Dashboard Schedule Backsheet v28 2" xfId="4823"/>
    <cellStyle name="%_ZPS_C04_Q0200 Direct Cost Report P1 v2" xfId="4824"/>
    <cellStyle name="%_ZPS_C04_Q0200 Direct Cost Report P12 sk" xfId="4825"/>
    <cellStyle name="%_ZPS_C04_Q0200 Direct Cost Report P12 sk 2" xfId="4826"/>
    <cellStyle name="(Euro)" xfId="4827"/>
    <cellStyle name="(Euro) 2" xfId="4828"/>
    <cellStyle name="******************************************" xfId="4829"/>
    <cellStyle name="****************************************** 2" xfId="4830"/>
    <cellStyle name="****************************************** 2 2" xfId="4831"/>
    <cellStyle name="****************************************** 2 2 2" xfId="4832"/>
    <cellStyle name="****************************************** 2 3" xfId="4833"/>
    <cellStyle name="****************************************** 3" xfId="4834"/>
    <cellStyle name="****************************************** 3 2" xfId="4835"/>
    <cellStyle name="****************************************** 4" xfId="4836"/>
    <cellStyle name="." xfId="4837"/>
    <cellStyle name=". 2" xfId="4838"/>
    <cellStyle name=". 2 2" xfId="20893"/>
    <cellStyle name=". 2 3" xfId="20913"/>
    <cellStyle name=". 3" xfId="20894"/>
    <cellStyle name=". 4" xfId="20914"/>
    <cellStyle name=".1" xfId="4839"/>
    <cellStyle name=";;;" xfId="4840"/>
    <cellStyle name="?_x001d_" xfId="4841"/>
    <cellStyle name="?_x001d_ 10" xfId="4842"/>
    <cellStyle name="?_x001d_ 10 2" xfId="4843"/>
    <cellStyle name="?_x001d_ 11" xfId="4844"/>
    <cellStyle name="?_x001d_ 11 2" xfId="4845"/>
    <cellStyle name="?_x001d_ 2" xfId="4846"/>
    <cellStyle name="?_x001d_ 2 2" xfId="4847"/>
    <cellStyle name="?_x001d_ 3" xfId="4848"/>
    <cellStyle name="?_x001d_ 3 2" xfId="4849"/>
    <cellStyle name="?_x001d_ 3 2 2" xfId="4850"/>
    <cellStyle name="?_x001d_ 3 3" xfId="4851"/>
    <cellStyle name="?_x001d_ 3_6.1 Contingency Allocation" xfId="4852"/>
    <cellStyle name="?_x001d_ 4" xfId="4853"/>
    <cellStyle name="?_x001d_ 4 2" xfId="4854"/>
    <cellStyle name="?_x001d_ 5" xfId="4855"/>
    <cellStyle name="?_x001d_ 5 2" xfId="4856"/>
    <cellStyle name="?_x001d_ 6" xfId="4857"/>
    <cellStyle name="?_x001d_ 6 2" xfId="4858"/>
    <cellStyle name="?_x001d_ 7" xfId="4859"/>
    <cellStyle name="?_x001d_ 7 2" xfId="4860"/>
    <cellStyle name="?_x001d_ 8" xfId="4861"/>
    <cellStyle name="?_x001d_ 8 2" xfId="4862"/>
    <cellStyle name="?_x001d_ 9" xfId="4863"/>
    <cellStyle name="?_x001d_ 9 2" xfId="4864"/>
    <cellStyle name="?_x001d_?" xfId="4865"/>
    <cellStyle name="?_x001d_? 10" xfId="4866"/>
    <cellStyle name="?_x001d_? 10 2" xfId="4867"/>
    <cellStyle name="?_x001d_? 11" xfId="4868"/>
    <cellStyle name="?_x001d_? 11 2" xfId="4869"/>
    <cellStyle name="?_x001d_? 2" xfId="4870"/>
    <cellStyle name="?_x001d_? 2 2" xfId="4871"/>
    <cellStyle name="?_x001d_? 3" xfId="4872"/>
    <cellStyle name="?_x001d_? 3 2" xfId="4873"/>
    <cellStyle name="?_x001d_? 3 2 2" xfId="4874"/>
    <cellStyle name="?_x001d_? 3 3" xfId="4875"/>
    <cellStyle name="?_x001d_? 3_6.1 Contingency Allocation" xfId="4876"/>
    <cellStyle name="?_x001d_? 4" xfId="4877"/>
    <cellStyle name="?_x001d_? 4 2" xfId="4878"/>
    <cellStyle name="?_x001d_? 5" xfId="4879"/>
    <cellStyle name="?_x001d_? 5 2" xfId="4880"/>
    <cellStyle name="?_x001d_? 6" xfId="4881"/>
    <cellStyle name="?_x001d_? 6 2" xfId="4882"/>
    <cellStyle name="?_x001d_? 7" xfId="4883"/>
    <cellStyle name="?_x001d_? 7 2" xfId="4884"/>
    <cellStyle name="?_x001d_? 8" xfId="4885"/>
    <cellStyle name="?_x001d_? 8 2" xfId="4886"/>
    <cellStyle name="?_x001d_? 9" xfId="4887"/>
    <cellStyle name="?_x001d_? 9 2" xfId="4888"/>
    <cellStyle name="?_x001d_?'&amp;" xfId="4889"/>
    <cellStyle name="?_x001d_?'&amp;Oy—" xfId="4890"/>
    <cellStyle name="?_x001d_?'&amp;Oy— 10" xfId="4891"/>
    <cellStyle name="?_x001d_?'&amp;Oy— 10 2" xfId="4892"/>
    <cellStyle name="?_x001d_?'&amp;Oy— 11" xfId="4893"/>
    <cellStyle name="?_x001d_?'&amp;Oy— 11 2" xfId="4894"/>
    <cellStyle name="?_x001d_?'&amp;Oy— 2" xfId="4895"/>
    <cellStyle name="?_x001d_?'&amp;Oy— 2 2" xfId="4896"/>
    <cellStyle name="?_x001d_?'&amp;Oy— 3" xfId="4897"/>
    <cellStyle name="?_x001d_?'&amp;Oy— 3 2" xfId="4898"/>
    <cellStyle name="?_x001d_?'&amp;Oy— 3 2 2" xfId="4899"/>
    <cellStyle name="?_x001d_?'&amp;Oy— 3 3" xfId="4900"/>
    <cellStyle name="?_x001d_?'&amp;Oy— 3_6.1 Contingency Allocation" xfId="4901"/>
    <cellStyle name="?_x001d_?'&amp;Oy— 4" xfId="4902"/>
    <cellStyle name="?_x001d_?'&amp;Oy— 4 2" xfId="4903"/>
    <cellStyle name="?_x001d_?'&amp;Oy— 5" xfId="4904"/>
    <cellStyle name="?_x001d_?'&amp;Oy— 5 2" xfId="4905"/>
    <cellStyle name="?_x001d_?'&amp;Oy— 6" xfId="4906"/>
    <cellStyle name="?_x001d_?'&amp;Oy— 6 2" xfId="4907"/>
    <cellStyle name="?_x001d_?'&amp;Oy— 7" xfId="4908"/>
    <cellStyle name="?_x001d_?'&amp;Oy— 7 2" xfId="4909"/>
    <cellStyle name="?_x001d_?'&amp;Oy— 8" xfId="4910"/>
    <cellStyle name="?_x001d_?'&amp;Oy— 8 2" xfId="4911"/>
    <cellStyle name="?_x001d_?'&amp;Oy— 9" xfId="4912"/>
    <cellStyle name="?_x001d_?'&amp;Oy— 9 2" xfId="4913"/>
    <cellStyle name="?_x001d_?'&amp;Oy—&amp;" xfId="4914"/>
    <cellStyle name="?_x001d_?'&amp;Oy—&amp;Hy" xfId="4915"/>
    <cellStyle name="?_x001d_?'&amp;Oy—&amp;Hy_x000b__x0008_" xfId="4916"/>
    <cellStyle name="?_x001d_?'&amp;Oy—&amp;Hy_x000b__x0008_?" xfId="4917"/>
    <cellStyle name="?_x001d_?'&amp;Oy—&amp;Hy_x000b__x0008_?_x0005_v_x0006__x000f__x0001__x0001_" xfId="4918"/>
    <cellStyle name="?_x001d_?'&amp;Oy—&amp;Hy_x000b__x0008_?_x0005_v_x0006__x000f__x0001__x0001_ 10" xfId="4919"/>
    <cellStyle name="?_x001d_?'&amp;Oy—&amp;Hy_x000b__x0008_?_x0005_v_x0006__x000f__x0001__x0001_ 10 2" xfId="4920"/>
    <cellStyle name="?_x001d_?'&amp;Oy—&amp;Hy_x000b__x0008_?_x0005_v_x0006__x000f__x0001__x0001_ 11" xfId="4921"/>
    <cellStyle name="?_x001d_?'&amp;Oy—&amp;Hy_x000b__x0008_?_x0005_v_x0006__x000f__x0001__x0001_ 11 2" xfId="4922"/>
    <cellStyle name="?_x001d_?'&amp;Oy—&amp;Hy_x000b__x0008_?_x0005_v_x0006__x000f__x0001__x0001_ 2" xfId="4923"/>
    <cellStyle name="?_x001d_?'&amp;Oy—&amp;Hy_x000b__x0008_?_x0005_v_x0006__x000f__x0001__x0001_ 2 2" xfId="4924"/>
    <cellStyle name="?_x001d_?'&amp;Oy—&amp;Hy_x000b__x0008_?_x0005_v_x0006__x000f__x0001__x0001_ 3" xfId="4925"/>
    <cellStyle name="?_x001d_?'&amp;Oy—&amp;Hy_x000b__x0008_?_x0005_v_x0006__x000f__x0001__x0001_ 3 2" xfId="4926"/>
    <cellStyle name="?_x001d_?'&amp;Oy—&amp;Hy_x000b__x0008_?_x0005_v_x0006__x000f__x0001__x0001_ 3 2 2" xfId="4927"/>
    <cellStyle name="?_x001d_?'&amp;Oy—&amp;Hy_x000b__x0008_?_x0005_v_x0006__x000f__x0001__x0001_ 3 3" xfId="4928"/>
    <cellStyle name="?_x001d_?'&amp;Oy—&amp;Hy_x000b__x0008_?_x0005_v_x0006__x000f__x0001__x0001_ 3_6.1 Contingency Allocation" xfId="4929"/>
    <cellStyle name="?_x001d_?'&amp;Oy—&amp;Hy_x000b__x0008_?_x0005_v_x0006__x000f__x0001__x0001_ 4" xfId="4930"/>
    <cellStyle name="?_x001d_?'&amp;Oy—&amp;Hy_x000b__x0008_?_x0005_v_x0006__x000f__x0001__x0001_ 4 2" xfId="4931"/>
    <cellStyle name="?_x001d_?'&amp;Oy—&amp;Hy_x000b__x0008_?_x0005_v_x0006__x000f__x0001__x0001_ 5" xfId="4932"/>
    <cellStyle name="?_x001d_?'&amp;Oy—&amp;Hy_x000b__x0008_?_x0005_v_x0006__x000f__x0001__x0001_ 5 2" xfId="4933"/>
    <cellStyle name="?_x001d_?'&amp;Oy—&amp;Hy_x000b__x0008_?_x0005_v_x0006__x000f__x0001__x0001_ 6" xfId="4934"/>
    <cellStyle name="?_x001d_?'&amp;Oy—&amp;Hy_x000b__x0008_?_x0005_v_x0006__x000f__x0001__x0001_ 6 2" xfId="4935"/>
    <cellStyle name="?_x001d_?'&amp;Oy—&amp;Hy_x000b__x0008_?_x0005_v_x0006__x000f__x0001__x0001_ 7" xfId="4936"/>
    <cellStyle name="?_x001d_?'&amp;Oy—&amp;Hy_x000b__x0008_?_x0005_v_x0006__x000f__x0001__x0001_ 7 2" xfId="4937"/>
    <cellStyle name="?_x001d_?'&amp;Oy—&amp;Hy_x000b__x0008_?_x0005_v_x0006__x000f__x0001__x0001_ 8" xfId="4938"/>
    <cellStyle name="?_x001d_?'&amp;Oy—&amp;Hy_x000b__x0008_?_x0005_v_x0006__x000f__x0001__x0001_ 8 2" xfId="4939"/>
    <cellStyle name="?_x001d_?'&amp;Oy—&amp;Hy_x000b__x0008_?_x0005_v_x0006__x000f__x0001__x0001_ 9" xfId="4940"/>
    <cellStyle name="?_x001d_?'&amp;Oy—&amp;Hy_x000b__x0008_?_x0005_v_x0006__x000f__x0001__x0001_ 9 2" xfId="4941"/>
    <cellStyle name="?_x001d_?'&amp;Oy—_A6.Accruals - By WBS_cost centr" xfId="4942"/>
    <cellStyle name="?_x001d_?_A6.Accruals - By WBS_cost centr" xfId="4943"/>
    <cellStyle name="?_x001d__A6.Accruals - By WBS_cost centr" xfId="4944"/>
    <cellStyle name="_%(SignOnly)" xfId="4945"/>
    <cellStyle name="_%(SignOnly) 2" xfId="4946"/>
    <cellStyle name="_%(SignSpaceOnly)" xfId="4947"/>
    <cellStyle name="_%(SignSpaceOnly) 2" xfId="4948"/>
    <cellStyle name="_2007 Ops Plan and Forecast (v67 Sep)" xfId="4949"/>
    <cellStyle name="_2007 Ops Plan and Forecast (v67 Sep) 10" xfId="4950"/>
    <cellStyle name="_2007 Ops Plan and Forecast (v67 Sep) 10 2" xfId="4951"/>
    <cellStyle name="_2007 Ops Plan and Forecast (v67 Sep) 11" xfId="4952"/>
    <cellStyle name="_2007 Ops Plan and Forecast (v67 Sep) 11 2" xfId="4953"/>
    <cellStyle name="_2007 Ops Plan and Forecast (v67 Sep) 2" xfId="4954"/>
    <cellStyle name="_2007 Ops Plan and Forecast (v67 Sep) 2 2" xfId="4955"/>
    <cellStyle name="_2007 Ops Plan and Forecast (v67 Sep) 3" xfId="4956"/>
    <cellStyle name="_2007 Ops Plan and Forecast (v67 Sep) 3 2" xfId="4957"/>
    <cellStyle name="_2007 Ops Plan and Forecast (v67 Sep) 3 2 2" xfId="4958"/>
    <cellStyle name="_2007 Ops Plan and Forecast (v67 Sep) 3 3" xfId="4959"/>
    <cellStyle name="_2007 Ops Plan and Forecast (v67 Sep) 3_6.1 Contingency Allocation" xfId="4960"/>
    <cellStyle name="_2007 Ops Plan and Forecast (v67 Sep) 3_6.1 Contingency Allocation 2" xfId="4961"/>
    <cellStyle name="_2007 Ops Plan and Forecast (v67 Sep) 3_6.1 Contingency Allocation 2 2" xfId="4962"/>
    <cellStyle name="_2007 Ops Plan and Forecast (v67 Sep) 3_6.1 Contingency Allocation 3" xfId="4963"/>
    <cellStyle name="_2007 Ops Plan and Forecast (v67 Sep) 3_6.1 Contingency Allocation 3 2" xfId="4964"/>
    <cellStyle name="_2007 Ops Plan and Forecast (v67 Sep) 3_6.1 Contingency Allocation 4" xfId="4965"/>
    <cellStyle name="_2007 Ops Plan and Forecast (v67 Sep) 3_A.G Cost of Operations" xfId="4966"/>
    <cellStyle name="_2007 Ops Plan and Forecast (v67 Sep) 3_A.G Cost of Operations 2" xfId="4967"/>
    <cellStyle name="_2007 Ops Plan and Forecast (v67 Sep) 3_A.G Cost of Operations 2 2" xfId="4968"/>
    <cellStyle name="_2007 Ops Plan and Forecast (v67 Sep) 3_A.G Cost of Operations 3" xfId="4969"/>
    <cellStyle name="_2007 Ops Plan and Forecast (v67 Sep) 3_A.G Cost of Operations 3 2" xfId="4970"/>
    <cellStyle name="_2007 Ops Plan and Forecast (v67 Sep) 3_A.G Cost of Operations 4" xfId="4971"/>
    <cellStyle name="_2007 Ops Plan and Forecast (v67 Sep) 3_A.I  CF - Op Acc &amp; A7.PBAs" xfId="4972"/>
    <cellStyle name="_2007 Ops Plan and Forecast (v67 Sep) 3_A.I  CF - Op Acc &amp; A7.PBAs 2" xfId="4973"/>
    <cellStyle name="_2007 Ops Plan and Forecast (v67 Sep) 3_A.I  CF - Op Acc &amp; A7.PBAs 2 2" xfId="4974"/>
    <cellStyle name="_2007 Ops Plan and Forecast (v67 Sep) 3_A.I  CF - Op Acc &amp; A7.PBAs 3" xfId="4975"/>
    <cellStyle name="_2007 Ops Plan and Forecast (v67 Sep) 3_A.I  CF - Op Acc &amp; A7.PBAs 3 2" xfId="4976"/>
    <cellStyle name="_2007 Ops Plan and Forecast (v67 Sep) 3_A.I  CF - Op Acc &amp; A7.PBAs 4" xfId="4977"/>
    <cellStyle name="_2007 Ops Plan and Forecast (v67 Sep) 3_A.M Analysis of Indirect Detail" xfId="4978"/>
    <cellStyle name="_2007 Ops Plan and Forecast (v67 Sep) 3_A.M Analysis of Indirect Detail 2" xfId="4979"/>
    <cellStyle name="_2007 Ops Plan and Forecast (v67 Sep) 4" xfId="4980"/>
    <cellStyle name="_2007 Ops Plan and Forecast (v67 Sep) 4 2" xfId="4981"/>
    <cellStyle name="_2007 Ops Plan and Forecast (v67 Sep) 5" xfId="4982"/>
    <cellStyle name="_2007 Ops Plan and Forecast (v67 Sep) 5 2" xfId="4983"/>
    <cellStyle name="_2007 Ops Plan and Forecast (v67 Sep) 6" xfId="4984"/>
    <cellStyle name="_2007 Ops Plan and Forecast (v67 Sep) 6 2" xfId="4985"/>
    <cellStyle name="_2007 Ops Plan and Forecast (v67 Sep) 7" xfId="4986"/>
    <cellStyle name="_2007 Ops Plan and Forecast (v67 Sep) 7 2" xfId="4987"/>
    <cellStyle name="_2007 Ops Plan and Forecast (v67 Sep) 8" xfId="4988"/>
    <cellStyle name="_2007 Ops Plan and Forecast (v67 Sep) 8 2" xfId="4989"/>
    <cellStyle name="_2007 Ops Plan and Forecast (v67 Sep) 9" xfId="4990"/>
    <cellStyle name="_2007 Ops Plan and Forecast (v67 Sep) 9 2" xfId="4991"/>
    <cellStyle name="_2007 Ops Plan and Forecast (v67 Sep)_A6.Accruals - By WBS_cost centr" xfId="4992"/>
    <cellStyle name="_2007 Ops Plan and Forecast (v67 Sep)_A6.Accruals - By WBS_cost centr 2" xfId="4993"/>
    <cellStyle name="_2007 Ops Plan and Forecast (v67 Sep)_P4 Accrual Calculation for Appendix" xfId="4994"/>
    <cellStyle name="_2007 Ops Plan and Forecast (v67 Sep)_P4 Accrual Calculation for Appendix 2" xfId="4995"/>
    <cellStyle name="_2007 Ops Plan and Forecast (v67 Sep)_P4 Accrual Calculation for Appendix 2 2" xfId="4996"/>
    <cellStyle name="_2007 Ops Plan and Forecast (v67 Sep)_P4 Accrual Calculation for Appendix 3" xfId="4997"/>
    <cellStyle name="_2007 Ops Plan and Forecast (v67 Sep)_P4 Accrual Calculation for Appendix 3 2" xfId="4998"/>
    <cellStyle name="_2007 Ops Plan and Forecast (v67 Sep)_P4 Accrual Calculation for Appendix 4" xfId="4999"/>
    <cellStyle name="_4. Contingency" xfId="5000"/>
    <cellStyle name="_4. Contingency 10" xfId="5001"/>
    <cellStyle name="_4. Contingency 10 2" xfId="5002"/>
    <cellStyle name="_4. Contingency 11" xfId="5003"/>
    <cellStyle name="_4. Contingency 11 2" xfId="5004"/>
    <cellStyle name="_4. Contingency 2" xfId="5005"/>
    <cellStyle name="_4. Contingency 2 2" xfId="5006"/>
    <cellStyle name="_4. Contingency 3" xfId="5007"/>
    <cellStyle name="_4. Contingency 3 2" xfId="5008"/>
    <cellStyle name="_4. Contingency 3 2 2" xfId="5009"/>
    <cellStyle name="_4. Contingency 3 3" xfId="5010"/>
    <cellStyle name="_4. Contingency 3_6.1 Contingency Allocation" xfId="5011"/>
    <cellStyle name="_4. Contingency 3_6.1 Contingency Allocation 2" xfId="5012"/>
    <cellStyle name="_4. Contingency 3_6.1 Contingency Allocation 2 2" xfId="5013"/>
    <cellStyle name="_4. Contingency 3_6.1 Contingency Allocation 3" xfId="5014"/>
    <cellStyle name="_4. Contingency 3_6.1 Contingency Allocation 3 2" xfId="5015"/>
    <cellStyle name="_4. Contingency 3_6.1 Contingency Allocation 4" xfId="5016"/>
    <cellStyle name="_4. Contingency 3_A.G Cost of Operations" xfId="5017"/>
    <cellStyle name="_4. Contingency 3_A.G Cost of Operations 2" xfId="5018"/>
    <cellStyle name="_4. Contingency 3_A.G Cost of Operations 2 2" xfId="5019"/>
    <cellStyle name="_4. Contingency 3_A.G Cost of Operations 3" xfId="5020"/>
    <cellStyle name="_4. Contingency 3_A.G Cost of Operations 3 2" xfId="5021"/>
    <cellStyle name="_4. Contingency 3_A.G Cost of Operations 4" xfId="5022"/>
    <cellStyle name="_4. Contingency 3_A.I  CF - Op Acc &amp; A7.PBAs" xfId="5023"/>
    <cellStyle name="_4. Contingency 3_A.I  CF - Op Acc &amp; A7.PBAs 2" xfId="5024"/>
    <cellStyle name="_4. Contingency 3_A.I  CF - Op Acc &amp; A7.PBAs 2 2" xfId="5025"/>
    <cellStyle name="_4. Contingency 3_A.I  CF - Op Acc &amp; A7.PBAs 3" xfId="5026"/>
    <cellStyle name="_4. Contingency 3_A.I  CF - Op Acc &amp; A7.PBAs 3 2" xfId="5027"/>
    <cellStyle name="_4. Contingency 3_A.I  CF - Op Acc &amp; A7.PBAs 4" xfId="5028"/>
    <cellStyle name="_4. Contingency 3_A.M Analysis of Indirect Detail" xfId="5029"/>
    <cellStyle name="_4. Contingency 3_A.M Analysis of Indirect Detail 2" xfId="5030"/>
    <cellStyle name="_4. Contingency 4" xfId="5031"/>
    <cellStyle name="_4. Contingency 4 2" xfId="5032"/>
    <cellStyle name="_4. Contingency 5" xfId="5033"/>
    <cellStyle name="_4. Contingency 5 2" xfId="5034"/>
    <cellStyle name="_4. Contingency 6" xfId="5035"/>
    <cellStyle name="_4. Contingency 6 2" xfId="5036"/>
    <cellStyle name="_4. Contingency 7" xfId="5037"/>
    <cellStyle name="_4. Contingency 7 2" xfId="5038"/>
    <cellStyle name="_4. Contingency 8" xfId="5039"/>
    <cellStyle name="_4. Contingency 8 2" xfId="5040"/>
    <cellStyle name="_4. Contingency 9" xfId="5041"/>
    <cellStyle name="_4. Contingency 9 2" xfId="5042"/>
    <cellStyle name="_4. Contingency_A6.Accruals - By WBS_cost centr" xfId="5043"/>
    <cellStyle name="_4. Contingency_A6.Accruals - By WBS_cost centr 2" xfId="5044"/>
    <cellStyle name="_4. Contingency_P4 Accrual Calculation for Appendix" xfId="5045"/>
    <cellStyle name="_4. Contingency_P4 Accrual Calculation for Appendix 2" xfId="5046"/>
    <cellStyle name="_4. Contingency_P4 Accrual Calculation for Appendix 2 2" xfId="5047"/>
    <cellStyle name="_4. Contingency_P4 Accrual Calculation for Appendix 3" xfId="5048"/>
    <cellStyle name="_4. Contingency_P4 Accrual Calculation for Appendix 3 2" xfId="5049"/>
    <cellStyle name="_4. Contingency_P4 Accrual Calculation for Appendix 4" xfId="5050"/>
    <cellStyle name="_A1.  Major AFC var by contract" xfId="5051"/>
    <cellStyle name="_A1.  Major AFC var by contract 10" xfId="5052"/>
    <cellStyle name="_A1.  Major AFC var by contract 10 2" xfId="5053"/>
    <cellStyle name="_A1.  Major AFC var by contract 11" xfId="5054"/>
    <cellStyle name="_A1.  Major AFC var by contract 11 2" xfId="5055"/>
    <cellStyle name="_A1.  Major AFC var by contract 2" xfId="5056"/>
    <cellStyle name="_A1.  Major AFC var by contract 2 2" xfId="5057"/>
    <cellStyle name="_A1.  Major AFC var by contract 3" xfId="5058"/>
    <cellStyle name="_A1.  Major AFC var by contract 3 2" xfId="5059"/>
    <cellStyle name="_A1.  Major AFC var by contract 3 2 2" xfId="5060"/>
    <cellStyle name="_A1.  Major AFC var by contract 3 3" xfId="5061"/>
    <cellStyle name="_A1.  Major AFC var by contract 3_6.1 Contingency Allocation" xfId="5062"/>
    <cellStyle name="_A1.  Major AFC var by contract 3_6.1 Contingency Allocation 2" xfId="5063"/>
    <cellStyle name="_A1.  Major AFC var by contract 3_6.1 Contingency Allocation 2 2" xfId="5064"/>
    <cellStyle name="_A1.  Major AFC var by contract 3_6.1 Contingency Allocation 3" xfId="5065"/>
    <cellStyle name="_A1.  Major AFC var by contract 3_6.1 Contingency Allocation 3 2" xfId="5066"/>
    <cellStyle name="_A1.  Major AFC var by contract 3_6.1 Contingency Allocation 4" xfId="5067"/>
    <cellStyle name="_A1.  Major AFC var by contract 3_A.G Cost of Operations" xfId="5068"/>
    <cellStyle name="_A1.  Major AFC var by contract 3_A.G Cost of Operations 2" xfId="5069"/>
    <cellStyle name="_A1.  Major AFC var by contract 3_A.G Cost of Operations 2 2" xfId="5070"/>
    <cellStyle name="_A1.  Major AFC var by contract 3_A.G Cost of Operations 3" xfId="5071"/>
    <cellStyle name="_A1.  Major AFC var by contract 3_A.G Cost of Operations 3 2" xfId="5072"/>
    <cellStyle name="_A1.  Major AFC var by contract 3_A.G Cost of Operations 4" xfId="5073"/>
    <cellStyle name="_A1.  Major AFC var by contract 3_A.I  CF - Op Acc &amp; A7.PBAs" xfId="5074"/>
    <cellStyle name="_A1.  Major AFC var by contract 3_A.I  CF - Op Acc &amp; A7.PBAs 2" xfId="5075"/>
    <cellStyle name="_A1.  Major AFC var by contract 3_A.I  CF - Op Acc &amp; A7.PBAs 2 2" xfId="5076"/>
    <cellStyle name="_A1.  Major AFC var by contract 3_A.I  CF - Op Acc &amp; A7.PBAs 3" xfId="5077"/>
    <cellStyle name="_A1.  Major AFC var by contract 3_A.I  CF - Op Acc &amp; A7.PBAs 3 2" xfId="5078"/>
    <cellStyle name="_A1.  Major AFC var by contract 3_A.I  CF - Op Acc &amp; A7.PBAs 4" xfId="5079"/>
    <cellStyle name="_A1.  Major AFC var by contract 3_A.M Analysis of Indirect Detail" xfId="5080"/>
    <cellStyle name="_A1.  Major AFC var by contract 3_A.M Analysis of Indirect Detail 2" xfId="5081"/>
    <cellStyle name="_A1.  Major AFC var by contract 4" xfId="5082"/>
    <cellStyle name="_A1.  Major AFC var by contract 4 2" xfId="5083"/>
    <cellStyle name="_A1.  Major AFC var by contract 5" xfId="5084"/>
    <cellStyle name="_A1.  Major AFC var by contract 5 2" xfId="5085"/>
    <cellStyle name="_A1.  Major AFC var by contract 6" xfId="5086"/>
    <cellStyle name="_A1.  Major AFC var by contract 6 2" xfId="5087"/>
    <cellStyle name="_A1.  Major AFC var by contract 7" xfId="5088"/>
    <cellStyle name="_A1.  Major AFC var by contract 7 2" xfId="5089"/>
    <cellStyle name="_A1.  Major AFC var by contract 8" xfId="5090"/>
    <cellStyle name="_A1.  Major AFC var by contract 8 2" xfId="5091"/>
    <cellStyle name="_A1.  Major AFC var by contract 9" xfId="5092"/>
    <cellStyle name="_A1.  Major AFC var by contract 9 2" xfId="5093"/>
    <cellStyle name="_A1.  Major AFC var by contract_A6.Accruals - By WBS_cost centr" xfId="5094"/>
    <cellStyle name="_A1.  Major AFC var by contract_A6.Accruals - By WBS_cost centr 2" xfId="5095"/>
    <cellStyle name="_A1.  Major AFC var by contract_P4 Accrual Calculation for Appendix" xfId="5096"/>
    <cellStyle name="_A1.  Major AFC var by contract_P4 Accrual Calculation for Appendix 2" xfId="5097"/>
    <cellStyle name="_A1.  Major AFC var by contract_P4 Accrual Calculation for Appendix 2 2" xfId="5098"/>
    <cellStyle name="_A1.  Major AFC var by contract_P4 Accrual Calculation for Appendix 3" xfId="5099"/>
    <cellStyle name="_A1.  Major AFC var by contract_P4 Accrual Calculation for Appendix 3 2" xfId="5100"/>
    <cellStyle name="_A1.  Major AFC var by contract_P4 Accrual Calculation for Appendix 4" xfId="5101"/>
    <cellStyle name="_Accrual-TEMPLATE" xfId="5102"/>
    <cellStyle name="_AS Bonus template Feb-07" xfId="5103"/>
    <cellStyle name="_AS Bonus template Feb-07 2" xfId="5104"/>
    <cellStyle name="_AS Bonus template Feb-07 2 2" xfId="5105"/>
    <cellStyle name="_AS Bonus template Feb-07 2 2 2" xfId="5106"/>
    <cellStyle name="_AS Bonus template Feb-07 2 3" xfId="5107"/>
    <cellStyle name="_AS Bonus template Feb-07 2_6.1 Contingency Allocation" xfId="5108"/>
    <cellStyle name="_AS Bonus template Feb-07 2_6.1 Contingency Allocation 2" xfId="5109"/>
    <cellStyle name="_AS Bonus template Feb-07 2_A.G Cost of Operations" xfId="5110"/>
    <cellStyle name="_AS Bonus template Feb-07 2_A.G Cost of Operations 2" xfId="5111"/>
    <cellStyle name="_AS Bonus template Feb-07 2_A.M Analysis of Indirect Detail" xfId="5112"/>
    <cellStyle name="_AS Bonus template Feb-07 2_A.M Analysis of Indirect Detail 2" xfId="5113"/>
    <cellStyle name="_AS Bonus template Feb-07 3" xfId="5114"/>
    <cellStyle name="_AS Bonus template Feb-07 3 2" xfId="5115"/>
    <cellStyle name="_AS Bonus template Feb-07 4" xfId="5116"/>
    <cellStyle name="_AS Bonus template Feb-07 4 2" xfId="5117"/>
    <cellStyle name="_AS Bonus template Feb-07_6.1 Contingency Allocation" xfId="5118"/>
    <cellStyle name="_AS Bonus template Feb-07_6.1 Contingency Allocation 2" xfId="5119"/>
    <cellStyle name="_AS Bonus template Feb-07_6.1 Contingency Allocation 2 2" xfId="5120"/>
    <cellStyle name="_AS Bonus template Feb-07_6.1 Contingency Allocation 3" xfId="5121"/>
    <cellStyle name="_AS Bonus template Feb-07_A.G Cost of Operations" xfId="5122"/>
    <cellStyle name="_AS Bonus template Feb-07_A.G Cost of Operations 2" xfId="5123"/>
    <cellStyle name="_AS Bonus template Feb-07_A.G Cost of Operations 2 2" xfId="5124"/>
    <cellStyle name="_AS Bonus template Feb-07_A.G Cost of Operations 3" xfId="5125"/>
    <cellStyle name="_AS Bonus template Feb-07_A6.Accruals - By WBS_cost centr" xfId="5126"/>
    <cellStyle name="_AS Bonus template Feb-07_A6.Accruals - By WBS_cost centr 2" xfId="5127"/>
    <cellStyle name="_AS Bonus template Feb-07_A6.Accruals - By WBS_cost centr 2 2" xfId="5128"/>
    <cellStyle name="_AS Bonus template Feb-07_A6.Accruals - By WBS_cost centr 3" xfId="5129"/>
    <cellStyle name="_AS Bonus template Feb-07_A6.Accruals - By WBS_cost centr_6.1 Contingency Allocation" xfId="5130"/>
    <cellStyle name="_AS Bonus template Feb-07_A6.Accruals - By WBS_cost centr_6.1 Contingency Allocation 2" xfId="5131"/>
    <cellStyle name="_AS Bonus template Feb-07_A6.Accruals - By WBS_cost centr_A.G Cost of Operations" xfId="5132"/>
    <cellStyle name="_AS Bonus template Feb-07_A6.Accruals - By WBS_cost centr_A.G Cost of Operations 2" xfId="5133"/>
    <cellStyle name="_AS Bonus template Feb-07_A6.Accruals - By WBS_cost centr_A.M Analysis of Indirect Detail" xfId="5134"/>
    <cellStyle name="_AS Bonus template Feb-07_A6.Accruals - By WBS_cost centr_A.M Analysis of Indirect Detail 2" xfId="5135"/>
    <cellStyle name="_AS Bonus template Feb-07_Data Input" xfId="5136"/>
    <cellStyle name="_AS Bonus template Feb-07_Data Input 2" xfId="5137"/>
    <cellStyle name="_AS Bonus template Feb-07_P4 Accrual Calculation for Appendix" xfId="5138"/>
    <cellStyle name="_AS Bonus template Feb-07_P4 Accrual Calculation for Appendix 2" xfId="5139"/>
    <cellStyle name="_AS Bonus template Feb-07_P4 Accrual Calculation for Appendix_6.1 Contingency Allocation" xfId="5140"/>
    <cellStyle name="_AS Bonus template Feb-07_P4 Accrual Calculation for Appendix_6.1 Contingency Allocation 2" xfId="5141"/>
    <cellStyle name="_AS Bonus template Feb-07_P4 Accrual Calculation for Appendix_6.1 Contingency Allocation 2 2" xfId="5142"/>
    <cellStyle name="_AS Bonus template Feb-07_P4 Accrual Calculation for Appendix_6.1 Contingency Allocation 3" xfId="5143"/>
    <cellStyle name="_AS Bonus template Feb-07_P4 Accrual Calculation for Appendix_A.G Cost of Operations" xfId="5144"/>
    <cellStyle name="_AS Bonus template Feb-07_P4 Accrual Calculation for Appendix_A.G Cost of Operations 2" xfId="5145"/>
    <cellStyle name="_AS Bonus template Feb-07_P4 Accrual Calculation for Appendix_A.G Cost of Operations 2 2" xfId="5146"/>
    <cellStyle name="_AS Bonus template Feb-07_P4 Accrual Calculation for Appendix_A.G Cost of Operations 3" xfId="5147"/>
    <cellStyle name="_AS Bonus template Feb-07_SAP CRL directs entry template for P11" xfId="5148"/>
    <cellStyle name="_AS Bonus template Feb-07_SAP CRL directs entry template for P11 2" xfId="5149"/>
    <cellStyle name="_AS Bonus template Feb-07_SAP CRL directs entry template for P11 2 2" xfId="5150"/>
    <cellStyle name="_AS Bonus template Feb-07_SAP CRL directs entry template for P11 2 2 2" xfId="5151"/>
    <cellStyle name="_AS Bonus template Feb-07_SAP CRL directs entry template for P11 2 3" xfId="5152"/>
    <cellStyle name="_AS Bonus template Feb-07_SAP CRL directs entry template for P11 2_6.1 Contingency Allocation" xfId="5153"/>
    <cellStyle name="_AS Bonus template Feb-07_SAP CRL directs entry template for P11 2_6.1 Contingency Allocation 2" xfId="5154"/>
    <cellStyle name="_AS Bonus template Feb-07_SAP CRL directs entry template for P11 2_A.G Cost of Operations" xfId="5155"/>
    <cellStyle name="_AS Bonus template Feb-07_SAP CRL directs entry template for P11 2_A.G Cost of Operations 2" xfId="5156"/>
    <cellStyle name="_AS Bonus template Feb-07_SAP CRL directs entry template for P11 2_A.M Analysis of Indirect Detail" xfId="5157"/>
    <cellStyle name="_AS Bonus template Feb-07_SAP CRL directs entry template for P11 2_A.M Analysis of Indirect Detail 2" xfId="5158"/>
    <cellStyle name="_AS Bonus template Feb-07_SAP CRL directs entry template for P11 3" xfId="5159"/>
    <cellStyle name="_AS Bonus template Feb-07_SAP CRL directs entry template for P11 3 2" xfId="5160"/>
    <cellStyle name="_AS Bonus template Feb-07_SAP CRL directs entry template for P11 4" xfId="5161"/>
    <cellStyle name="_AS Bonus template Feb-07_SAP CRL directs entry template for P11_6.1 Contingency Allocation" xfId="5162"/>
    <cellStyle name="_AS Bonus template Feb-07_SAP CRL directs entry template for P11_6.1 Contingency Allocation 2" xfId="5163"/>
    <cellStyle name="_AS Bonus template Feb-07_SAP CRL directs entry template for P11_A.G Cost of Operations" xfId="5164"/>
    <cellStyle name="_AS Bonus template Feb-07_SAP CRL directs entry template for P11_A.G Cost of Operations 2" xfId="5165"/>
    <cellStyle name="_AS Bonus template Feb-07_SAP CRL directs entry template for P11_A.M Analysis of Indirect Detail" xfId="5166"/>
    <cellStyle name="_AS Bonus template Feb-07_SAP CRL directs entry template for P11_A.M Analysis of Indirect Detail 2" xfId="5167"/>
    <cellStyle name="_AS_Applications_Support_Cost_Model_v1.01Nelius" xfId="5168"/>
    <cellStyle name="_AS_Applications_Support_Cost_Model_v1.01Nelius 2" xfId="5169"/>
    <cellStyle name="_Attachment_9.2_-_IT_Forecast_OpEx_and_CapEx_Spend_V2(1)" xfId="5170"/>
    <cellStyle name="_Attachment_9.2_-_IT_Forecast_OpEx_and_CapEx_Spend_V2(1) 10" xfId="5171"/>
    <cellStyle name="_Attachment_9.2_-_IT_Forecast_OpEx_and_CapEx_Spend_V2(1) 10 2" xfId="5172"/>
    <cellStyle name="_Attachment_9.2_-_IT_Forecast_OpEx_and_CapEx_Spend_V2(1) 11" xfId="5173"/>
    <cellStyle name="_Attachment_9.2_-_IT_Forecast_OpEx_and_CapEx_Spend_V2(1) 11 2" xfId="5174"/>
    <cellStyle name="_Attachment_9.2_-_IT_Forecast_OpEx_and_CapEx_Spend_V2(1) 2" xfId="5175"/>
    <cellStyle name="_Attachment_9.2_-_IT_Forecast_OpEx_and_CapEx_Spend_V2(1) 2 2" xfId="5176"/>
    <cellStyle name="_Attachment_9.2_-_IT_Forecast_OpEx_and_CapEx_Spend_V2(1) 3" xfId="5177"/>
    <cellStyle name="_Attachment_9.2_-_IT_Forecast_OpEx_and_CapEx_Spend_V2(1) 3 2" xfId="5178"/>
    <cellStyle name="_Attachment_9.2_-_IT_Forecast_OpEx_and_CapEx_Spend_V2(1) 3 2 2" xfId="5179"/>
    <cellStyle name="_Attachment_9.2_-_IT_Forecast_OpEx_and_CapEx_Spend_V2(1) 3 3" xfId="5180"/>
    <cellStyle name="_Attachment_9.2_-_IT_Forecast_OpEx_and_CapEx_Spend_V2(1) 3_6.1 Contingency Allocation" xfId="5181"/>
    <cellStyle name="_Attachment_9.2_-_IT_Forecast_OpEx_and_CapEx_Spend_V2(1) 3_6.1 Contingency Allocation 2" xfId="5182"/>
    <cellStyle name="_Attachment_9.2_-_IT_Forecast_OpEx_and_CapEx_Spend_V2(1) 3_6.1 Contingency Allocation 2 2" xfId="5183"/>
    <cellStyle name="_Attachment_9.2_-_IT_Forecast_OpEx_and_CapEx_Spend_V2(1) 3_6.1 Contingency Allocation 3" xfId="5184"/>
    <cellStyle name="_Attachment_9.2_-_IT_Forecast_OpEx_and_CapEx_Spend_V2(1) 3_6.1 Contingency Allocation 3 2" xfId="5185"/>
    <cellStyle name="_Attachment_9.2_-_IT_Forecast_OpEx_and_CapEx_Spend_V2(1) 3_6.1 Contingency Allocation 4" xfId="5186"/>
    <cellStyle name="_Attachment_9.2_-_IT_Forecast_OpEx_and_CapEx_Spend_V2(1) 3_A.G Cost of Operations" xfId="5187"/>
    <cellStyle name="_Attachment_9.2_-_IT_Forecast_OpEx_and_CapEx_Spend_V2(1) 3_A.G Cost of Operations 2" xfId="5188"/>
    <cellStyle name="_Attachment_9.2_-_IT_Forecast_OpEx_and_CapEx_Spend_V2(1) 3_A.G Cost of Operations 2 2" xfId="5189"/>
    <cellStyle name="_Attachment_9.2_-_IT_Forecast_OpEx_and_CapEx_Spend_V2(1) 3_A.G Cost of Operations 3" xfId="5190"/>
    <cellStyle name="_Attachment_9.2_-_IT_Forecast_OpEx_and_CapEx_Spend_V2(1) 3_A.G Cost of Operations 3 2" xfId="5191"/>
    <cellStyle name="_Attachment_9.2_-_IT_Forecast_OpEx_and_CapEx_Spend_V2(1) 3_A.G Cost of Operations 4" xfId="5192"/>
    <cellStyle name="_Attachment_9.2_-_IT_Forecast_OpEx_and_CapEx_Spend_V2(1) 3_A.I  CF - Op Acc &amp; A7.PBAs" xfId="5193"/>
    <cellStyle name="_Attachment_9.2_-_IT_Forecast_OpEx_and_CapEx_Spend_V2(1) 3_A.I  CF - Op Acc &amp; A7.PBAs 2" xfId="5194"/>
    <cellStyle name="_Attachment_9.2_-_IT_Forecast_OpEx_and_CapEx_Spend_V2(1) 3_A.I  CF - Op Acc &amp; A7.PBAs 2 2" xfId="5195"/>
    <cellStyle name="_Attachment_9.2_-_IT_Forecast_OpEx_and_CapEx_Spend_V2(1) 3_A.I  CF - Op Acc &amp; A7.PBAs 3" xfId="5196"/>
    <cellStyle name="_Attachment_9.2_-_IT_Forecast_OpEx_and_CapEx_Spend_V2(1) 3_A.I  CF - Op Acc &amp; A7.PBAs 3 2" xfId="5197"/>
    <cellStyle name="_Attachment_9.2_-_IT_Forecast_OpEx_and_CapEx_Spend_V2(1) 3_A.I  CF - Op Acc &amp; A7.PBAs 4" xfId="5198"/>
    <cellStyle name="_Attachment_9.2_-_IT_Forecast_OpEx_and_CapEx_Spend_V2(1) 3_A.M Analysis of Indirect Detail" xfId="5199"/>
    <cellStyle name="_Attachment_9.2_-_IT_Forecast_OpEx_and_CapEx_Spend_V2(1) 3_A.M Analysis of Indirect Detail 2" xfId="5200"/>
    <cellStyle name="_Attachment_9.2_-_IT_Forecast_OpEx_and_CapEx_Spend_V2(1) 4" xfId="5201"/>
    <cellStyle name="_Attachment_9.2_-_IT_Forecast_OpEx_and_CapEx_Spend_V2(1) 4 2" xfId="5202"/>
    <cellStyle name="_Attachment_9.2_-_IT_Forecast_OpEx_and_CapEx_Spend_V2(1) 5" xfId="5203"/>
    <cellStyle name="_Attachment_9.2_-_IT_Forecast_OpEx_and_CapEx_Spend_V2(1) 5 2" xfId="5204"/>
    <cellStyle name="_Attachment_9.2_-_IT_Forecast_OpEx_and_CapEx_Spend_V2(1) 6" xfId="5205"/>
    <cellStyle name="_Attachment_9.2_-_IT_Forecast_OpEx_and_CapEx_Spend_V2(1) 6 2" xfId="5206"/>
    <cellStyle name="_Attachment_9.2_-_IT_Forecast_OpEx_and_CapEx_Spend_V2(1) 7" xfId="5207"/>
    <cellStyle name="_Attachment_9.2_-_IT_Forecast_OpEx_and_CapEx_Spend_V2(1) 7 2" xfId="5208"/>
    <cellStyle name="_Attachment_9.2_-_IT_Forecast_OpEx_and_CapEx_Spend_V2(1) 8" xfId="5209"/>
    <cellStyle name="_Attachment_9.2_-_IT_Forecast_OpEx_and_CapEx_Spend_V2(1) 8 2" xfId="5210"/>
    <cellStyle name="_Attachment_9.2_-_IT_Forecast_OpEx_and_CapEx_Spend_V2(1) 9" xfId="5211"/>
    <cellStyle name="_Attachment_9.2_-_IT_Forecast_OpEx_and_CapEx_Spend_V2(1) 9 2" xfId="5212"/>
    <cellStyle name="_Attachment_9.2_-_IT_Forecast_OpEx_and_CapEx_Spend_V2(1)_A6.Accruals - By WBS_cost centr" xfId="5213"/>
    <cellStyle name="_Attachment_9.2_-_IT_Forecast_OpEx_and_CapEx_Spend_V2(1)_A6.Accruals - By WBS_cost centr 2" xfId="5214"/>
    <cellStyle name="_Attachment_9.2_-_IT_Forecast_OpEx_and_CapEx_Spend_V2(1)_P4 Accrual Calculation for Appendix" xfId="5215"/>
    <cellStyle name="_Attachment_9.2_-_IT_Forecast_OpEx_and_CapEx_Spend_V2(1)_P4 Accrual Calculation for Appendix 2" xfId="5216"/>
    <cellStyle name="_Attachment_9.2_-_IT_Forecast_OpEx_and_CapEx_Spend_V2(1)_P4 Accrual Calculation for Appendix 2 2" xfId="5217"/>
    <cellStyle name="_Attachment_9.2_-_IT_Forecast_OpEx_and_CapEx_Spend_V2(1)_P4 Accrual Calculation for Appendix 3" xfId="5218"/>
    <cellStyle name="_Attachment_9.2_-_IT_Forecast_OpEx_and_CapEx_Spend_V2(1)_P4 Accrual Calculation for Appendix 3 2" xfId="5219"/>
    <cellStyle name="_Attachment_9.2_-_IT_Forecast_OpEx_and_CapEx_Spend_V2(1)_P4 Accrual Calculation for Appendix 4" xfId="5220"/>
    <cellStyle name="_Bonus workings" xfId="5221"/>
    <cellStyle name="_Bonus workings 2" xfId="5222"/>
    <cellStyle name="_Bonus workings 2 2" xfId="5223"/>
    <cellStyle name="_Bonus workings 2 2 2" xfId="5224"/>
    <cellStyle name="_Bonus workings 2 3" xfId="5225"/>
    <cellStyle name="_Bonus workings 2_6.1 Contingency Allocation" xfId="5226"/>
    <cellStyle name="_Bonus workings 2_6.1 Contingency Allocation 2" xfId="5227"/>
    <cellStyle name="_Bonus workings 2_A.G Cost of Operations" xfId="5228"/>
    <cellStyle name="_Bonus workings 2_A.G Cost of Operations 2" xfId="5229"/>
    <cellStyle name="_Bonus workings 2_A.M Analysis of Indirect Detail" xfId="5230"/>
    <cellStyle name="_Bonus workings 2_A.M Analysis of Indirect Detail 2" xfId="5231"/>
    <cellStyle name="_Bonus workings 3" xfId="5232"/>
    <cellStyle name="_Bonus workings 3 2" xfId="5233"/>
    <cellStyle name="_Bonus workings 4" xfId="5234"/>
    <cellStyle name="_Bonus workings 4 2" xfId="5235"/>
    <cellStyle name="_Bonus workings_6.1 Contingency Allocation" xfId="5236"/>
    <cellStyle name="_Bonus workings_6.1 Contingency Allocation 2" xfId="5237"/>
    <cellStyle name="_Bonus workings_6.1 Contingency Allocation 2 2" xfId="5238"/>
    <cellStyle name="_Bonus workings_6.1 Contingency Allocation 3" xfId="5239"/>
    <cellStyle name="_Bonus workings_A.G Cost of Operations" xfId="5240"/>
    <cellStyle name="_Bonus workings_A.G Cost of Operations 2" xfId="5241"/>
    <cellStyle name="_Bonus workings_A.G Cost of Operations 2 2" xfId="5242"/>
    <cellStyle name="_Bonus workings_A.G Cost of Operations 3" xfId="5243"/>
    <cellStyle name="_Bonus workings_A6.Accruals - By WBS_cost centr" xfId="5244"/>
    <cellStyle name="_Bonus workings_A6.Accruals - By WBS_cost centr 2" xfId="5245"/>
    <cellStyle name="_Bonus workings_A6.Accruals - By WBS_cost centr 2 2" xfId="5246"/>
    <cellStyle name="_Bonus workings_A6.Accruals - By WBS_cost centr 3" xfId="5247"/>
    <cellStyle name="_Bonus workings_A6.Accruals - By WBS_cost centr_6.1 Contingency Allocation" xfId="5248"/>
    <cellStyle name="_Bonus workings_A6.Accruals - By WBS_cost centr_6.1 Contingency Allocation 2" xfId="5249"/>
    <cellStyle name="_Bonus workings_A6.Accruals - By WBS_cost centr_A.G Cost of Operations" xfId="5250"/>
    <cellStyle name="_Bonus workings_A6.Accruals - By WBS_cost centr_A.G Cost of Operations 2" xfId="5251"/>
    <cellStyle name="_Bonus workings_A6.Accruals - By WBS_cost centr_A.M Analysis of Indirect Detail" xfId="5252"/>
    <cellStyle name="_Bonus workings_A6.Accruals - By WBS_cost centr_A.M Analysis of Indirect Detail 2" xfId="5253"/>
    <cellStyle name="_Bonus workings_Data Input" xfId="5254"/>
    <cellStyle name="_Bonus workings_Data Input 2" xfId="5255"/>
    <cellStyle name="_Bonus workings_P4 Accrual Calculation for Appendix" xfId="5256"/>
    <cellStyle name="_Bonus workings_P4 Accrual Calculation for Appendix 2" xfId="5257"/>
    <cellStyle name="_Bonus workings_P4 Accrual Calculation for Appendix_6.1 Contingency Allocation" xfId="5258"/>
    <cellStyle name="_Bonus workings_P4 Accrual Calculation for Appendix_6.1 Contingency Allocation 2" xfId="5259"/>
    <cellStyle name="_Bonus workings_P4 Accrual Calculation for Appendix_6.1 Contingency Allocation 2 2" xfId="5260"/>
    <cellStyle name="_Bonus workings_P4 Accrual Calculation for Appendix_6.1 Contingency Allocation 3" xfId="5261"/>
    <cellStyle name="_Bonus workings_P4 Accrual Calculation for Appendix_A.G Cost of Operations" xfId="5262"/>
    <cellStyle name="_Bonus workings_P4 Accrual Calculation for Appendix_A.G Cost of Operations 2" xfId="5263"/>
    <cellStyle name="_Bonus workings_P4 Accrual Calculation for Appendix_A.G Cost of Operations 2 2" xfId="5264"/>
    <cellStyle name="_Bonus workings_P4 Accrual Calculation for Appendix_A.G Cost of Operations 3" xfId="5265"/>
    <cellStyle name="_Bonus workings_SAP CRL directs entry template for P11" xfId="5266"/>
    <cellStyle name="_Bonus workings_SAP CRL directs entry template for P11 2" xfId="5267"/>
    <cellStyle name="_Bonus workings_SAP CRL directs entry template for P11 2 2" xfId="5268"/>
    <cellStyle name="_Bonus workings_SAP CRL directs entry template for P11 2 2 2" xfId="5269"/>
    <cellStyle name="_Bonus workings_SAP CRL directs entry template for P11 2 3" xfId="5270"/>
    <cellStyle name="_Bonus workings_SAP CRL directs entry template for P11 2_6.1 Contingency Allocation" xfId="5271"/>
    <cellStyle name="_Bonus workings_SAP CRL directs entry template for P11 2_6.1 Contingency Allocation 2" xfId="5272"/>
    <cellStyle name="_Bonus workings_SAP CRL directs entry template for P11 2_A.G Cost of Operations" xfId="5273"/>
    <cellStyle name="_Bonus workings_SAP CRL directs entry template for P11 2_A.G Cost of Operations 2" xfId="5274"/>
    <cellStyle name="_Bonus workings_SAP CRL directs entry template for P11 2_A.M Analysis of Indirect Detail" xfId="5275"/>
    <cellStyle name="_Bonus workings_SAP CRL directs entry template for P11 2_A.M Analysis of Indirect Detail 2" xfId="5276"/>
    <cellStyle name="_Bonus workings_SAP CRL directs entry template for P11 3" xfId="5277"/>
    <cellStyle name="_Bonus workings_SAP CRL directs entry template for P11 3 2" xfId="5278"/>
    <cellStyle name="_Bonus workings_SAP CRL directs entry template for P11 4" xfId="5279"/>
    <cellStyle name="_Bonus workings_SAP CRL directs entry template for P11_6.1 Contingency Allocation" xfId="5280"/>
    <cellStyle name="_Bonus workings_SAP CRL directs entry template for P11_6.1 Contingency Allocation 2" xfId="5281"/>
    <cellStyle name="_Bonus workings_SAP CRL directs entry template for P11_A.G Cost of Operations" xfId="5282"/>
    <cellStyle name="_Bonus workings_SAP CRL directs entry template for P11_A.G Cost of Operations 2" xfId="5283"/>
    <cellStyle name="_Bonus workings_SAP CRL directs entry template for P11_A.M Analysis of Indirect Detail" xfId="5284"/>
    <cellStyle name="_Bonus workings_SAP CRL directs entry template for P11_A.M Analysis of Indirect Detail 2" xfId="5285"/>
    <cellStyle name="_Book1" xfId="5286"/>
    <cellStyle name="_Book1 (2)" xfId="5287"/>
    <cellStyle name="_Book1 (2) 10" xfId="5288"/>
    <cellStyle name="_Book1 (2) 10 2" xfId="5289"/>
    <cellStyle name="_Book1 (2) 11" xfId="5290"/>
    <cellStyle name="_Book1 (2) 11 2" xfId="5291"/>
    <cellStyle name="_Book1 (2) 2" xfId="5292"/>
    <cellStyle name="_Book1 (2) 2 2" xfId="5293"/>
    <cellStyle name="_Book1 (2) 3" xfId="5294"/>
    <cellStyle name="_Book1 (2) 3 2" xfId="5295"/>
    <cellStyle name="_Book1 (2) 3 2 2" xfId="5296"/>
    <cellStyle name="_Book1 (2) 3 3" xfId="5297"/>
    <cellStyle name="_Book1 (2) 3_6.1 Contingency Allocation" xfId="5298"/>
    <cellStyle name="_Book1 (2) 3_6.1 Contingency Allocation 2" xfId="5299"/>
    <cellStyle name="_Book1 (2) 3_6.1 Contingency Allocation 2 2" xfId="5300"/>
    <cellStyle name="_Book1 (2) 3_6.1 Contingency Allocation 3" xfId="5301"/>
    <cellStyle name="_Book1 (2) 3_6.1 Contingency Allocation 3 2" xfId="5302"/>
    <cellStyle name="_Book1 (2) 3_6.1 Contingency Allocation 4" xfId="5303"/>
    <cellStyle name="_Book1 (2) 3_A.G Cost of Operations" xfId="5304"/>
    <cellStyle name="_Book1 (2) 3_A.G Cost of Operations 2" xfId="5305"/>
    <cellStyle name="_Book1 (2) 3_A.G Cost of Operations 2 2" xfId="5306"/>
    <cellStyle name="_Book1 (2) 3_A.G Cost of Operations 3" xfId="5307"/>
    <cellStyle name="_Book1 (2) 3_A.G Cost of Operations 3 2" xfId="5308"/>
    <cellStyle name="_Book1 (2) 3_A.G Cost of Operations 4" xfId="5309"/>
    <cellStyle name="_Book1 (2) 3_A.I  CF - Op Acc &amp; A7.PBAs" xfId="5310"/>
    <cellStyle name="_Book1 (2) 3_A.I  CF - Op Acc &amp; A7.PBAs 2" xfId="5311"/>
    <cellStyle name="_Book1 (2) 3_A.I  CF - Op Acc &amp; A7.PBAs 2 2" xfId="5312"/>
    <cellStyle name="_Book1 (2) 3_A.I  CF - Op Acc &amp; A7.PBAs 3" xfId="5313"/>
    <cellStyle name="_Book1 (2) 3_A.I  CF - Op Acc &amp; A7.PBAs 3 2" xfId="5314"/>
    <cellStyle name="_Book1 (2) 3_A.I  CF - Op Acc &amp; A7.PBAs 4" xfId="5315"/>
    <cellStyle name="_Book1 (2) 3_A.M Analysis of Indirect Detail" xfId="5316"/>
    <cellStyle name="_Book1 (2) 3_A.M Analysis of Indirect Detail 2" xfId="5317"/>
    <cellStyle name="_Book1 (2) 4" xfId="5318"/>
    <cellStyle name="_Book1 (2) 4 2" xfId="5319"/>
    <cellStyle name="_Book1 (2) 5" xfId="5320"/>
    <cellStyle name="_Book1 (2) 5 2" xfId="5321"/>
    <cellStyle name="_Book1 (2) 6" xfId="5322"/>
    <cellStyle name="_Book1 (2) 6 2" xfId="5323"/>
    <cellStyle name="_Book1 (2) 7" xfId="5324"/>
    <cellStyle name="_Book1 (2) 7 2" xfId="5325"/>
    <cellStyle name="_Book1 (2) 8" xfId="5326"/>
    <cellStyle name="_Book1 (2) 8 2" xfId="5327"/>
    <cellStyle name="_Book1 (2) 9" xfId="5328"/>
    <cellStyle name="_Book1 (2) 9 2" xfId="5329"/>
    <cellStyle name="_Book1 (2)_A6.Accruals - By WBS_cost centr" xfId="5330"/>
    <cellStyle name="_Book1 (2)_A6.Accruals - By WBS_cost centr 2" xfId="5331"/>
    <cellStyle name="_Book1 (2)_P4 Accrual Calculation for Appendix" xfId="5332"/>
    <cellStyle name="_Book1 (2)_P4 Accrual Calculation for Appendix 2" xfId="5333"/>
    <cellStyle name="_Book1 (2)_P4 Accrual Calculation for Appendix 2 2" xfId="5334"/>
    <cellStyle name="_Book1 (2)_P4 Accrual Calculation for Appendix 3" xfId="5335"/>
    <cellStyle name="_Book1 (2)_P4 Accrual Calculation for Appendix 3 2" xfId="5336"/>
    <cellStyle name="_Book1 (2)_P4 Accrual Calculation for Appendix 4" xfId="5337"/>
    <cellStyle name="_Book1 10" xfId="5338"/>
    <cellStyle name="_Book1 11" xfId="5339"/>
    <cellStyle name="_Book1 12" xfId="5340"/>
    <cellStyle name="_Book1 13" xfId="5341"/>
    <cellStyle name="_Book1 14" xfId="5342"/>
    <cellStyle name="_Book1 15" xfId="5343"/>
    <cellStyle name="_Book1 16" xfId="5344"/>
    <cellStyle name="_Book1 17" xfId="5345"/>
    <cellStyle name="_Book1 18" xfId="5346"/>
    <cellStyle name="_Book1 19" xfId="5347"/>
    <cellStyle name="_Book1 2" xfId="5348"/>
    <cellStyle name="_Book1 3" xfId="5349"/>
    <cellStyle name="_Book1 4" xfId="5350"/>
    <cellStyle name="_Book1 5" xfId="5351"/>
    <cellStyle name="_Book1 6" xfId="5352"/>
    <cellStyle name="_Book1 7" xfId="5353"/>
    <cellStyle name="_Book1 8" xfId="5354"/>
    <cellStyle name="_Book1 9" xfId="5355"/>
    <cellStyle name="_Book2" xfId="5356"/>
    <cellStyle name="_Book2 10" xfId="5357"/>
    <cellStyle name="_Book2 10 2" xfId="5358"/>
    <cellStyle name="_Book2 11" xfId="5359"/>
    <cellStyle name="_Book2 11 2" xfId="5360"/>
    <cellStyle name="_Book2 2" xfId="5361"/>
    <cellStyle name="_Book2 2 2" xfId="5362"/>
    <cellStyle name="_Book2 3" xfId="5363"/>
    <cellStyle name="_Book2 3 2" xfId="5364"/>
    <cellStyle name="_Book2 3 2 2" xfId="5365"/>
    <cellStyle name="_Book2 3 3" xfId="5366"/>
    <cellStyle name="_Book2 3_6.1 Contingency Allocation" xfId="5367"/>
    <cellStyle name="_Book2 3_6.1 Contingency Allocation 2" xfId="5368"/>
    <cellStyle name="_Book2 3_6.1 Contingency Allocation 2 2" xfId="5369"/>
    <cellStyle name="_Book2 3_6.1 Contingency Allocation 3" xfId="5370"/>
    <cellStyle name="_Book2 3_6.1 Contingency Allocation 3 2" xfId="5371"/>
    <cellStyle name="_Book2 3_6.1 Contingency Allocation 4" xfId="5372"/>
    <cellStyle name="_Book2 3_A.G Cost of Operations" xfId="5373"/>
    <cellStyle name="_Book2 3_A.G Cost of Operations 2" xfId="5374"/>
    <cellStyle name="_Book2 3_A.G Cost of Operations 2 2" xfId="5375"/>
    <cellStyle name="_Book2 3_A.G Cost of Operations 3" xfId="5376"/>
    <cellStyle name="_Book2 3_A.G Cost of Operations 3 2" xfId="5377"/>
    <cellStyle name="_Book2 3_A.G Cost of Operations 4" xfId="5378"/>
    <cellStyle name="_Book2 3_A.I  CF - Op Acc &amp; A7.PBAs" xfId="5379"/>
    <cellStyle name="_Book2 3_A.I  CF - Op Acc &amp; A7.PBAs 2" xfId="5380"/>
    <cellStyle name="_Book2 3_A.I  CF - Op Acc &amp; A7.PBAs 2 2" xfId="5381"/>
    <cellStyle name="_Book2 3_A.I  CF - Op Acc &amp; A7.PBAs 3" xfId="5382"/>
    <cellStyle name="_Book2 3_A.I  CF - Op Acc &amp; A7.PBAs 3 2" xfId="5383"/>
    <cellStyle name="_Book2 3_A.I  CF - Op Acc &amp; A7.PBAs 4" xfId="5384"/>
    <cellStyle name="_Book2 3_A.M Analysis of Indirect Detail" xfId="5385"/>
    <cellStyle name="_Book2 3_A.M Analysis of Indirect Detail 2" xfId="5386"/>
    <cellStyle name="_Book2 4" xfId="5387"/>
    <cellStyle name="_Book2 4 2" xfId="5388"/>
    <cellStyle name="_Book2 5" xfId="5389"/>
    <cellStyle name="_Book2 5 2" xfId="5390"/>
    <cellStyle name="_Book2 6" xfId="5391"/>
    <cellStyle name="_Book2 6 2" xfId="5392"/>
    <cellStyle name="_Book2 7" xfId="5393"/>
    <cellStyle name="_Book2 7 2" xfId="5394"/>
    <cellStyle name="_Book2 8" xfId="5395"/>
    <cellStyle name="_Book2 8 2" xfId="5396"/>
    <cellStyle name="_Book2 9" xfId="5397"/>
    <cellStyle name="_Book2 9 2" xfId="5398"/>
    <cellStyle name="_Book2_A6.Accruals - By WBS_cost centr" xfId="5399"/>
    <cellStyle name="_Book2_A6.Accruals - By WBS_cost centr 2" xfId="5400"/>
    <cellStyle name="_Book2_P4 Accrual Calculation for Appendix" xfId="5401"/>
    <cellStyle name="_Book2_P4 Accrual Calculation for Appendix 2" xfId="5402"/>
    <cellStyle name="_Book2_P4 Accrual Calculation for Appendix 2 2" xfId="5403"/>
    <cellStyle name="_Book2_P4 Accrual Calculation for Appendix 3" xfId="5404"/>
    <cellStyle name="_Book2_P4 Accrual Calculation for Appendix 3 2" xfId="5405"/>
    <cellStyle name="_Book2_P4 Accrual Calculation for Appendix 4" xfId="5406"/>
    <cellStyle name="_Bridge for Nov GFO inc Capex-Revex" xfId="5407"/>
    <cellStyle name="_Bridge for Nov GFO inc Capex-Revex 10" xfId="5408"/>
    <cellStyle name="_Bridge for Nov GFO inc Capex-Revex 10 2" xfId="5409"/>
    <cellStyle name="_Bridge for Nov GFO inc Capex-Revex 11" xfId="5410"/>
    <cellStyle name="_Bridge for Nov GFO inc Capex-Revex 11 2" xfId="5411"/>
    <cellStyle name="_Bridge for Nov GFO inc Capex-Revex 2" xfId="5412"/>
    <cellStyle name="_Bridge for Nov GFO inc Capex-Revex 2 2" xfId="5413"/>
    <cellStyle name="_Bridge for Nov GFO inc Capex-Revex 3" xfId="5414"/>
    <cellStyle name="_Bridge for Nov GFO inc Capex-Revex 3 2" xfId="5415"/>
    <cellStyle name="_Bridge for Nov GFO inc Capex-Revex 3 2 2" xfId="5416"/>
    <cellStyle name="_Bridge for Nov GFO inc Capex-Revex 3 3" xfId="5417"/>
    <cellStyle name="_Bridge for Nov GFO inc Capex-Revex 3_6.1 Contingency Allocation" xfId="5418"/>
    <cellStyle name="_Bridge for Nov GFO inc Capex-Revex 3_6.1 Contingency Allocation 2" xfId="5419"/>
    <cellStyle name="_Bridge for Nov GFO inc Capex-Revex 3_6.1 Contingency Allocation 2 2" xfId="5420"/>
    <cellStyle name="_Bridge for Nov GFO inc Capex-Revex 3_6.1 Contingency Allocation 3" xfId="5421"/>
    <cellStyle name="_Bridge for Nov GFO inc Capex-Revex 3_6.1 Contingency Allocation 3 2" xfId="5422"/>
    <cellStyle name="_Bridge for Nov GFO inc Capex-Revex 3_6.1 Contingency Allocation 4" xfId="5423"/>
    <cellStyle name="_Bridge for Nov GFO inc Capex-Revex 3_A.G Cost of Operations" xfId="5424"/>
    <cellStyle name="_Bridge for Nov GFO inc Capex-Revex 3_A.G Cost of Operations 2" xfId="5425"/>
    <cellStyle name="_Bridge for Nov GFO inc Capex-Revex 3_A.G Cost of Operations 2 2" xfId="5426"/>
    <cellStyle name="_Bridge for Nov GFO inc Capex-Revex 3_A.G Cost of Operations 3" xfId="5427"/>
    <cellStyle name="_Bridge for Nov GFO inc Capex-Revex 3_A.G Cost of Operations 3 2" xfId="5428"/>
    <cellStyle name="_Bridge for Nov GFO inc Capex-Revex 3_A.G Cost of Operations 4" xfId="5429"/>
    <cellStyle name="_Bridge for Nov GFO inc Capex-Revex 3_A.I  CF - Op Acc &amp; A7.PBAs" xfId="5430"/>
    <cellStyle name="_Bridge for Nov GFO inc Capex-Revex 3_A.I  CF - Op Acc &amp; A7.PBAs 2" xfId="5431"/>
    <cellStyle name="_Bridge for Nov GFO inc Capex-Revex 3_A.I  CF - Op Acc &amp; A7.PBAs 2 2" xfId="5432"/>
    <cellStyle name="_Bridge for Nov GFO inc Capex-Revex 3_A.I  CF - Op Acc &amp; A7.PBAs 3" xfId="5433"/>
    <cellStyle name="_Bridge for Nov GFO inc Capex-Revex 3_A.I  CF - Op Acc &amp; A7.PBAs 3 2" xfId="5434"/>
    <cellStyle name="_Bridge for Nov GFO inc Capex-Revex 3_A.I  CF - Op Acc &amp; A7.PBAs 4" xfId="5435"/>
    <cellStyle name="_Bridge for Nov GFO inc Capex-Revex 3_A.M Analysis of Indirect Detail" xfId="5436"/>
    <cellStyle name="_Bridge for Nov GFO inc Capex-Revex 3_A.M Analysis of Indirect Detail 2" xfId="5437"/>
    <cellStyle name="_Bridge for Nov GFO inc Capex-Revex 4" xfId="5438"/>
    <cellStyle name="_Bridge for Nov GFO inc Capex-Revex 4 2" xfId="5439"/>
    <cellStyle name="_Bridge for Nov GFO inc Capex-Revex 5" xfId="5440"/>
    <cellStyle name="_Bridge for Nov GFO inc Capex-Revex 5 2" xfId="5441"/>
    <cellStyle name="_Bridge for Nov GFO inc Capex-Revex 6" xfId="5442"/>
    <cellStyle name="_Bridge for Nov GFO inc Capex-Revex 6 2" xfId="5443"/>
    <cellStyle name="_Bridge for Nov GFO inc Capex-Revex 7" xfId="5444"/>
    <cellStyle name="_Bridge for Nov GFO inc Capex-Revex 7 2" xfId="5445"/>
    <cellStyle name="_Bridge for Nov GFO inc Capex-Revex 8" xfId="5446"/>
    <cellStyle name="_Bridge for Nov GFO inc Capex-Revex 8 2" xfId="5447"/>
    <cellStyle name="_Bridge for Nov GFO inc Capex-Revex 9" xfId="5448"/>
    <cellStyle name="_Bridge for Nov GFO inc Capex-Revex 9 2" xfId="5449"/>
    <cellStyle name="_Bridge for Nov GFO inc Capex-Revex_A6.Accruals - By WBS_cost centr" xfId="5450"/>
    <cellStyle name="_Bridge for Nov GFO inc Capex-Revex_A6.Accruals - By WBS_cost centr 2" xfId="5451"/>
    <cellStyle name="_Bridge for Nov GFO inc Capex-Revex_P4 Accrual Calculation for Appendix" xfId="5452"/>
    <cellStyle name="_Bridge for Nov GFO inc Capex-Revex_P4 Accrual Calculation for Appendix 2" xfId="5453"/>
    <cellStyle name="_Bridge for Nov GFO inc Capex-Revex_P4 Accrual Calculation for Appendix 2 2" xfId="5454"/>
    <cellStyle name="_Bridge for Nov GFO inc Capex-Revex_P4 Accrual Calculation for Appendix 3" xfId="5455"/>
    <cellStyle name="_Bridge for Nov GFO inc Capex-Revex_P4 Accrual Calculation for Appendix 3 2" xfId="5456"/>
    <cellStyle name="_Bridge for Nov GFO inc Capex-Revex_P4 Accrual Calculation for Appendix 4" xfId="5457"/>
    <cellStyle name="_cc costreport" xfId="5458"/>
    <cellStyle name="_cc costreport 10" xfId="5459"/>
    <cellStyle name="_cc costreport 10 2" xfId="5460"/>
    <cellStyle name="_cc costreport 11" xfId="5461"/>
    <cellStyle name="_cc costreport 11 2" xfId="5462"/>
    <cellStyle name="_cc costreport 2" xfId="5463"/>
    <cellStyle name="_cc costreport 2 2" xfId="5464"/>
    <cellStyle name="_cc costreport 3" xfId="5465"/>
    <cellStyle name="_cc costreport 3 2" xfId="5466"/>
    <cellStyle name="_cc costreport 3 2 2" xfId="5467"/>
    <cellStyle name="_cc costreport 3 3" xfId="5468"/>
    <cellStyle name="_cc costreport 3_6.1 Contingency Allocation" xfId="5469"/>
    <cellStyle name="_cc costreport 3_6.1 Contingency Allocation 2" xfId="5470"/>
    <cellStyle name="_cc costreport 3_6.1 Contingency Allocation 2 2" xfId="5471"/>
    <cellStyle name="_cc costreport 3_6.1 Contingency Allocation 3" xfId="5472"/>
    <cellStyle name="_cc costreport 3_6.1 Contingency Allocation 3 2" xfId="5473"/>
    <cellStyle name="_cc costreport 3_6.1 Contingency Allocation 4" xfId="5474"/>
    <cellStyle name="_cc costreport 3_A.G Cost of Operations" xfId="5475"/>
    <cellStyle name="_cc costreport 3_A.G Cost of Operations 2" xfId="5476"/>
    <cellStyle name="_cc costreport 3_A.G Cost of Operations 2 2" xfId="5477"/>
    <cellStyle name="_cc costreport 3_A.G Cost of Operations 3" xfId="5478"/>
    <cellStyle name="_cc costreport 3_A.G Cost of Operations 3 2" xfId="5479"/>
    <cellStyle name="_cc costreport 3_A.G Cost of Operations 4" xfId="5480"/>
    <cellStyle name="_cc costreport 3_A.I  CF - Op Acc &amp; A7.PBAs" xfId="5481"/>
    <cellStyle name="_cc costreport 3_A.I  CF - Op Acc &amp; A7.PBAs 2" xfId="5482"/>
    <cellStyle name="_cc costreport 3_A.I  CF - Op Acc &amp; A7.PBAs 2 2" xfId="5483"/>
    <cellStyle name="_cc costreport 3_A.I  CF - Op Acc &amp; A7.PBAs 3" xfId="5484"/>
    <cellStyle name="_cc costreport 3_A.I  CF - Op Acc &amp; A7.PBAs 3 2" xfId="5485"/>
    <cellStyle name="_cc costreport 3_A.I  CF - Op Acc &amp; A7.PBAs 4" xfId="5486"/>
    <cellStyle name="_cc costreport 3_A.M Analysis of Indirect Detail" xfId="5487"/>
    <cellStyle name="_cc costreport 3_A.M Analysis of Indirect Detail 2" xfId="5488"/>
    <cellStyle name="_cc costreport 4" xfId="5489"/>
    <cellStyle name="_cc costreport 4 2" xfId="5490"/>
    <cellStyle name="_cc costreport 5" xfId="5491"/>
    <cellStyle name="_cc costreport 5 2" xfId="5492"/>
    <cellStyle name="_cc costreport 6" xfId="5493"/>
    <cellStyle name="_cc costreport 6 2" xfId="5494"/>
    <cellStyle name="_cc costreport 7" xfId="5495"/>
    <cellStyle name="_cc costreport 7 2" xfId="5496"/>
    <cellStyle name="_cc costreport 8" xfId="5497"/>
    <cellStyle name="_cc costreport 8 2" xfId="5498"/>
    <cellStyle name="_cc costreport 9" xfId="5499"/>
    <cellStyle name="_cc costreport 9 2" xfId="5500"/>
    <cellStyle name="_cc costreport_A6.Accruals - By WBS_cost centr" xfId="5501"/>
    <cellStyle name="_cc costreport_A6.Accruals - By WBS_cost centr 2" xfId="5502"/>
    <cellStyle name="_cc costreport_P4 Accrual Calculation for Appendix" xfId="5503"/>
    <cellStyle name="_cc costreport_P4 Accrual Calculation for Appendix 2" xfId="5504"/>
    <cellStyle name="_cc costreport_P4 Accrual Calculation for Appendix 2 2" xfId="5505"/>
    <cellStyle name="_cc costreport_P4 Accrual Calculation for Appendix 3" xfId="5506"/>
    <cellStyle name="_cc costreport_P4 Accrual Calculation for Appendix 3 2" xfId="5507"/>
    <cellStyle name="_cc costreport_P4 Accrual Calculation for Appendix 4" xfId="5508"/>
    <cellStyle name="_Combined" xfId="5509"/>
    <cellStyle name="_Comma" xfId="5510"/>
    <cellStyle name="_Comma 2" xfId="5511"/>
    <cellStyle name="_Comma_Book1" xfId="5512"/>
    <cellStyle name="_Comma_Book1 2" xfId="5513"/>
    <cellStyle name="_Comma_European Utilities_UK_Power Generation_Gas_Water" xfId="5514"/>
    <cellStyle name="_Comma_European Utilities_UK_Power Generation_Gas_Water 2" xfId="5515"/>
    <cellStyle name="_Comma_Industrial Filtration" xfId="5516"/>
    <cellStyle name="_Comma_Industry Project list" xfId="5517"/>
    <cellStyle name="_Comma_Industry Project list 2" xfId="5518"/>
    <cellStyle name="_Comma_Liou CSC Deadlines 5-12-03" xfId="5519"/>
    <cellStyle name="_Comma_Liou CSC Deadlines 5-12-03 2" xfId="5520"/>
    <cellStyle name="_Comma_List of companies in CSC's 2005 (v3)" xfId="5521"/>
    <cellStyle name="_Comma_List of companies in CSC's 2005 (v3) 2" xfId="5522"/>
    <cellStyle name="_Comma_Vladimira Mircheva deadlines" xfId="5523"/>
    <cellStyle name="_Comma_Vladimira Mircheva deadlines 2" xfId="5524"/>
    <cellStyle name="_Contingency tracker 220611 for PCSC" xfId="5525"/>
    <cellStyle name="_Contingency tracker 220611 for PCSC 2" xfId="5526"/>
    <cellStyle name="_Contingency tracker 220611 for PCSC 2 2" xfId="5527"/>
    <cellStyle name="_Contingency tracker 220611 for PCSC 3" xfId="5528"/>
    <cellStyle name="_Contingency tracker 220611 for PCSC 3 2" xfId="5529"/>
    <cellStyle name="_Contingency tracker 220611 for PCSC 3 2 2" xfId="5530"/>
    <cellStyle name="_Contingency tracker 220611 for PCSC 3 3" xfId="5531"/>
    <cellStyle name="_Contingency tracker 220611 for PCSC 3_6.1 Contingency Allocation" xfId="5532"/>
    <cellStyle name="_Contingency tracker 220611 for PCSC 3_6.1 Contingency Allocation 2" xfId="5533"/>
    <cellStyle name="_Contingency tracker 220611 for PCSC 3_6.1 Contingency Allocation 2 2" xfId="5534"/>
    <cellStyle name="_Contingency tracker 220611 for PCSC 3_6.1 Contingency Allocation 3" xfId="5535"/>
    <cellStyle name="_Contingency tracker 220611 for PCSC 3_6.1 Contingency Allocation 3 2" xfId="5536"/>
    <cellStyle name="_Contingency tracker 220611 for PCSC 3_6.1 Contingency Allocation 4" xfId="5537"/>
    <cellStyle name="_Contingency tracker 220611 for PCSC 3_A.G Cost of Operations" xfId="5538"/>
    <cellStyle name="_Contingency tracker 220611 for PCSC 3_A.G Cost of Operations 2" xfId="5539"/>
    <cellStyle name="_Contingency tracker 220611 for PCSC 3_A.G Cost of Operations 2 2" xfId="5540"/>
    <cellStyle name="_Contingency tracker 220611 for PCSC 3_A.G Cost of Operations 3" xfId="5541"/>
    <cellStyle name="_Contingency tracker 220611 for PCSC 3_A.G Cost of Operations 3 2" xfId="5542"/>
    <cellStyle name="_Contingency tracker 220611 for PCSC 3_A.G Cost of Operations 4" xfId="5543"/>
    <cellStyle name="_Contingency tracker 220611 for PCSC 3_A.I  CF - Op Acc &amp; A7.PBAs" xfId="5544"/>
    <cellStyle name="_Contingency tracker 220611 for PCSC 3_A.I  CF - Op Acc &amp; A7.PBAs 2" xfId="5545"/>
    <cellStyle name="_Contingency tracker 220611 for PCSC 3_A.I  CF - Op Acc &amp; A7.PBAs 2 2" xfId="5546"/>
    <cellStyle name="_Contingency tracker 220611 for PCSC 3_A.I  CF - Op Acc &amp; A7.PBAs 3" xfId="5547"/>
    <cellStyle name="_Contingency tracker 220611 for PCSC 3_A.I  CF - Op Acc &amp; A7.PBAs 3 2" xfId="5548"/>
    <cellStyle name="_Contingency tracker 220611 for PCSC 3_A.I  CF - Op Acc &amp; A7.PBAs 4" xfId="5549"/>
    <cellStyle name="_Contingency tracker 220611 for PCSC 3_A.M Analysis of Indirect Detail" xfId="5550"/>
    <cellStyle name="_Contingency tracker 220611 for PCSC 3_A.M Analysis of Indirect Detail 2" xfId="5551"/>
    <cellStyle name="_Contingency tracker 220611 for PCSC 4" xfId="5552"/>
    <cellStyle name="_Contingency tracker 220611 for PCSC 4 2" xfId="5553"/>
    <cellStyle name="_Contingency tracker 220611 for PCSC 5" xfId="5554"/>
    <cellStyle name="_Contingency tracker 220611 for PCSC 5 2" xfId="5555"/>
    <cellStyle name="_Contingency tracker 220611 for PCSC 6" xfId="5556"/>
    <cellStyle name="_Contingency tracker 220611 for PCSC_A6.Accruals - By WBS_cost centr" xfId="5557"/>
    <cellStyle name="_Contingency tracker 220611 for PCSC_A6.Accruals - By WBS_cost centr 2" xfId="5558"/>
    <cellStyle name="_Contingency tracker 220611 for PCSC_P4 Accrual Calculation for Appendix" xfId="5559"/>
    <cellStyle name="_Contingency tracker 220611 for PCSC_P4 Accrual Calculation for Appendix 2" xfId="5560"/>
    <cellStyle name="_Contingency tracker 220611 for PCSC_P4 Accrual Calculation for Appendix 2 2" xfId="5561"/>
    <cellStyle name="_Contingency tracker 220611 for PCSC_P4 Accrual Calculation for Appendix 3" xfId="5562"/>
    <cellStyle name="_Contingency tracker 220611 for PCSC_P4 Accrual Calculation for Appendix 3 2" xfId="5563"/>
    <cellStyle name="_Contingency tracker 220611 for PCSC_P4 Accrual Calculation for Appendix 4" xfId="5564"/>
    <cellStyle name="_Copy of Attachment_9.1_-_IT_RFP_Charging_Matrices_V2" xfId="5565"/>
    <cellStyle name="_Copy of Attachment_9.1_-_IT_RFP_Charging_Matrices_V2 10" xfId="5566"/>
    <cellStyle name="_Copy of Attachment_9.1_-_IT_RFP_Charging_Matrices_V2 10 2" xfId="5567"/>
    <cellStyle name="_Copy of Attachment_9.1_-_IT_RFP_Charging_Matrices_V2 11" xfId="5568"/>
    <cellStyle name="_Copy of Attachment_9.1_-_IT_RFP_Charging_Matrices_V2 11 2" xfId="5569"/>
    <cellStyle name="_Copy of Attachment_9.1_-_IT_RFP_Charging_Matrices_V2 2" xfId="5570"/>
    <cellStyle name="_Copy of Attachment_9.1_-_IT_RFP_Charging_Matrices_V2 2 2" xfId="5571"/>
    <cellStyle name="_Copy of Attachment_9.1_-_IT_RFP_Charging_Matrices_V2 3" xfId="5572"/>
    <cellStyle name="_Copy of Attachment_9.1_-_IT_RFP_Charging_Matrices_V2 3 2" xfId="5573"/>
    <cellStyle name="_Copy of Attachment_9.1_-_IT_RFP_Charging_Matrices_V2 3 2 2" xfId="5574"/>
    <cellStyle name="_Copy of Attachment_9.1_-_IT_RFP_Charging_Matrices_V2 3 3" xfId="5575"/>
    <cellStyle name="_Copy of Attachment_9.1_-_IT_RFP_Charging_Matrices_V2 3_6.1 Contingency Allocation" xfId="5576"/>
    <cellStyle name="_Copy of Attachment_9.1_-_IT_RFP_Charging_Matrices_V2 3_6.1 Contingency Allocation 2" xfId="5577"/>
    <cellStyle name="_Copy of Attachment_9.1_-_IT_RFP_Charging_Matrices_V2 3_6.1 Contingency Allocation 2 2" xfId="5578"/>
    <cellStyle name="_Copy of Attachment_9.1_-_IT_RFP_Charging_Matrices_V2 3_6.1 Contingency Allocation 3" xfId="5579"/>
    <cellStyle name="_Copy of Attachment_9.1_-_IT_RFP_Charging_Matrices_V2 3_6.1 Contingency Allocation 3 2" xfId="5580"/>
    <cellStyle name="_Copy of Attachment_9.1_-_IT_RFP_Charging_Matrices_V2 3_6.1 Contingency Allocation 4" xfId="5581"/>
    <cellStyle name="_Copy of Attachment_9.1_-_IT_RFP_Charging_Matrices_V2 3_A.G Cost of Operations" xfId="5582"/>
    <cellStyle name="_Copy of Attachment_9.1_-_IT_RFP_Charging_Matrices_V2 3_A.G Cost of Operations 2" xfId="5583"/>
    <cellStyle name="_Copy of Attachment_9.1_-_IT_RFP_Charging_Matrices_V2 3_A.G Cost of Operations 2 2" xfId="5584"/>
    <cellStyle name="_Copy of Attachment_9.1_-_IT_RFP_Charging_Matrices_V2 3_A.G Cost of Operations 3" xfId="5585"/>
    <cellStyle name="_Copy of Attachment_9.1_-_IT_RFP_Charging_Matrices_V2 3_A.G Cost of Operations 3 2" xfId="5586"/>
    <cellStyle name="_Copy of Attachment_9.1_-_IT_RFP_Charging_Matrices_V2 3_A.G Cost of Operations 4" xfId="5587"/>
    <cellStyle name="_Copy of Attachment_9.1_-_IT_RFP_Charging_Matrices_V2 3_A.I  CF - Op Acc &amp; A7.PBAs" xfId="5588"/>
    <cellStyle name="_Copy of Attachment_9.1_-_IT_RFP_Charging_Matrices_V2 3_A.I  CF - Op Acc &amp; A7.PBAs 2" xfId="5589"/>
    <cellStyle name="_Copy of Attachment_9.1_-_IT_RFP_Charging_Matrices_V2 3_A.I  CF - Op Acc &amp; A7.PBAs 2 2" xfId="5590"/>
    <cellStyle name="_Copy of Attachment_9.1_-_IT_RFP_Charging_Matrices_V2 3_A.I  CF - Op Acc &amp; A7.PBAs 3" xfId="5591"/>
    <cellStyle name="_Copy of Attachment_9.1_-_IT_RFP_Charging_Matrices_V2 3_A.I  CF - Op Acc &amp; A7.PBAs 3 2" xfId="5592"/>
    <cellStyle name="_Copy of Attachment_9.1_-_IT_RFP_Charging_Matrices_V2 3_A.I  CF - Op Acc &amp; A7.PBAs 4" xfId="5593"/>
    <cellStyle name="_Copy of Attachment_9.1_-_IT_RFP_Charging_Matrices_V2 3_A.M Analysis of Indirect Detail" xfId="5594"/>
    <cellStyle name="_Copy of Attachment_9.1_-_IT_RFP_Charging_Matrices_V2 3_A.M Analysis of Indirect Detail 2" xfId="5595"/>
    <cellStyle name="_Copy of Attachment_9.1_-_IT_RFP_Charging_Matrices_V2 4" xfId="5596"/>
    <cellStyle name="_Copy of Attachment_9.1_-_IT_RFP_Charging_Matrices_V2 4 2" xfId="5597"/>
    <cellStyle name="_Copy of Attachment_9.1_-_IT_RFP_Charging_Matrices_V2 5" xfId="5598"/>
    <cellStyle name="_Copy of Attachment_9.1_-_IT_RFP_Charging_Matrices_V2 5 2" xfId="5599"/>
    <cellStyle name="_Copy of Attachment_9.1_-_IT_RFP_Charging_Matrices_V2 6" xfId="5600"/>
    <cellStyle name="_Copy of Attachment_9.1_-_IT_RFP_Charging_Matrices_V2 6 2" xfId="5601"/>
    <cellStyle name="_Copy of Attachment_9.1_-_IT_RFP_Charging_Matrices_V2 7" xfId="5602"/>
    <cellStyle name="_Copy of Attachment_9.1_-_IT_RFP_Charging_Matrices_V2 7 2" xfId="5603"/>
    <cellStyle name="_Copy of Attachment_9.1_-_IT_RFP_Charging_Matrices_V2 8" xfId="5604"/>
    <cellStyle name="_Copy of Attachment_9.1_-_IT_RFP_Charging_Matrices_V2 8 2" xfId="5605"/>
    <cellStyle name="_Copy of Attachment_9.1_-_IT_RFP_Charging_Matrices_V2 9" xfId="5606"/>
    <cellStyle name="_Copy of Attachment_9.1_-_IT_RFP_Charging_Matrices_V2 9 2" xfId="5607"/>
    <cellStyle name="_Copy of Attachment_9.1_-_IT_RFP_Charging_Matrices_V2_A6.Accruals - By WBS_cost centr" xfId="5608"/>
    <cellStyle name="_Copy of Attachment_9.1_-_IT_RFP_Charging_Matrices_V2_A6.Accruals - By WBS_cost centr 2" xfId="5609"/>
    <cellStyle name="_Copy of Attachment_9.1_-_IT_RFP_Charging_Matrices_V2_P4 Accrual Calculation for Appendix" xfId="5610"/>
    <cellStyle name="_Copy of Attachment_9.1_-_IT_RFP_Charging_Matrices_V2_P4 Accrual Calculation for Appendix 2" xfId="5611"/>
    <cellStyle name="_Copy of Attachment_9.1_-_IT_RFP_Charging_Matrices_V2_P4 Accrual Calculation for Appendix 2 2" xfId="5612"/>
    <cellStyle name="_Copy of Attachment_9.1_-_IT_RFP_Charging_Matrices_V2_P4 Accrual Calculation for Appendix 3" xfId="5613"/>
    <cellStyle name="_Copy of Attachment_9.1_-_IT_RFP_Charging_Matrices_V2_P4 Accrual Calculation for Appendix 3 2" xfId="5614"/>
    <cellStyle name="_Copy of Attachment_9.1_-_IT_RFP_Charging_Matrices_V2_P4 Accrual Calculation for Appendix 4" xfId="5615"/>
    <cellStyle name="_Copy of financial bid evaluation" xfId="5616"/>
    <cellStyle name="_Copy of GOA SMC Monthly Report 041507" xfId="5617"/>
    <cellStyle name="_Copy of Panama Model - final audit" xfId="5618"/>
    <cellStyle name="_Cost_Model_Standard_Template_v2.00" xfId="5619"/>
    <cellStyle name="_Cost_Model_Standard_Template_v2.00 2" xfId="5620"/>
    <cellStyle name="_Cost_Model_Standard_Template_v2.00b" xfId="5621"/>
    <cellStyle name="_Cost_Model_Standard_Template_v2.00b 2" xfId="5622"/>
    <cellStyle name="_Costing Schedules (Schedule 10)" xfId="5623"/>
    <cellStyle name="_Costing Schedules (Schedule 10a) - for Manadatory  Variant Bids" xfId="5624"/>
    <cellStyle name="_CS SOAPs v2" xfId="5625"/>
    <cellStyle name="_Currency" xfId="5626"/>
    <cellStyle name="_Currency 2" xfId="5627"/>
    <cellStyle name="_Currency_03 Admiral - Shares Outstanding" xfId="5628"/>
    <cellStyle name="_Currency_03 Admiral - Shares Outstanding 2" xfId="5629"/>
    <cellStyle name="_Currency_ABP Fund Data" xfId="5630"/>
    <cellStyle name="_Currency_ABP Fund Data 2" xfId="5631"/>
    <cellStyle name="_Currency_Book1" xfId="5632"/>
    <cellStyle name="_Currency_Book1 2" xfId="5633"/>
    <cellStyle name="_Currency_CSC summary 08_2005 (2) (2)" xfId="5634"/>
    <cellStyle name="_Currency_CSC summary 08_2005 (2) (2) 2" xfId="5635"/>
    <cellStyle name="_Currency_European Utilities_UK_Power Generation_Gas_Water" xfId="5636"/>
    <cellStyle name="_Currency_European Utilities_UK_Power Generation_Gas_Water 2" xfId="5637"/>
    <cellStyle name="_Currency_Industrial Filtration" xfId="5638"/>
    <cellStyle name="_Currency_Industry Project list" xfId="5639"/>
    <cellStyle name="_Currency_Industry Project list 2" xfId="5640"/>
    <cellStyle name="_Currency_Liou CSC Deadlines 5-12-03" xfId="5641"/>
    <cellStyle name="_Currency_Liou CSC Deadlines 5-12-03 2" xfId="5642"/>
    <cellStyle name="_Currency_List of companies in CSC's 2005 (v3)" xfId="5643"/>
    <cellStyle name="_Currency_List of companies in CSC's 2005 (v3) 2" xfId="5644"/>
    <cellStyle name="_Currency_Vladimira Mircheva deadlines" xfId="5645"/>
    <cellStyle name="_Currency_Vladimira Mircheva deadlines 2" xfId="5646"/>
    <cellStyle name="_CurrencySpace" xfId="5647"/>
    <cellStyle name="_CurrencySpace 2" xfId="5648"/>
    <cellStyle name="_CurrencySpace_Book1" xfId="5649"/>
    <cellStyle name="_CurrencySpace_Book1 2" xfId="5650"/>
    <cellStyle name="_CurrencySpace_European Utilities_UK_Power Generation_Gas_Water" xfId="5651"/>
    <cellStyle name="_CurrencySpace_European Utilities_UK_Power Generation_Gas_Water 2" xfId="5652"/>
    <cellStyle name="_CurrencySpace_Industrial Filtration" xfId="5653"/>
    <cellStyle name="_CurrencySpace_Industry Project list" xfId="5654"/>
    <cellStyle name="_CurrencySpace_Industry Project list 2" xfId="5655"/>
    <cellStyle name="_CurrencySpace_Liou CSC Deadlines 5-12-03" xfId="5656"/>
    <cellStyle name="_CurrencySpace_Liou CSC Deadlines 5-12-03 2" xfId="5657"/>
    <cellStyle name="_CurrencySpace_List of companies in CSC's 2005 (v3)" xfId="5658"/>
    <cellStyle name="_CurrencySpace_List of companies in CSC's 2005 (v3) 2" xfId="5659"/>
    <cellStyle name="_CurrencySpace_Vladimira Mircheva deadlines" xfId="5660"/>
    <cellStyle name="_CurrencySpace_Vladimira Mircheva deadlines 2" xfId="5661"/>
    <cellStyle name="_Dec07 Actuals Financial Summary_UK Desktop FINAL" xfId="5662"/>
    <cellStyle name="_Desktop GFO 0 Template_V1" xfId="5663"/>
    <cellStyle name="_Dinky BAA v6 (feb 06 iv)" xfId="5664"/>
    <cellStyle name="_Dinky BAA v6 (feb 06 iv) 2" xfId="5665"/>
    <cellStyle name="_Direct costs Period 13 accruals version 090410" xfId="5666"/>
    <cellStyle name="_Direct costs Period 13 accruals version 090410 10" xfId="5667"/>
    <cellStyle name="_Direct costs Period 13 accruals version 090410 10 2" xfId="5668"/>
    <cellStyle name="_Direct costs Period 13 accruals version 090410 11" xfId="5669"/>
    <cellStyle name="_Direct costs Period 13 accruals version 090410 11 2" xfId="5670"/>
    <cellStyle name="_Direct costs Period 13 accruals version 090410 2" xfId="5671"/>
    <cellStyle name="_Direct costs Period 13 accruals version 090410 2 2" xfId="5672"/>
    <cellStyle name="_Direct costs Period 13 accruals version 090410 3" xfId="5673"/>
    <cellStyle name="_Direct costs Period 13 accruals version 090410 3 2" xfId="5674"/>
    <cellStyle name="_Direct costs Period 13 accruals version 090410 3 2 2" xfId="5675"/>
    <cellStyle name="_Direct costs Period 13 accruals version 090410 3 3" xfId="5676"/>
    <cellStyle name="_Direct costs Period 13 accruals version 090410 3_6.1 Contingency Allocation" xfId="5677"/>
    <cellStyle name="_Direct costs Period 13 accruals version 090410 3_6.1 Contingency Allocation 2" xfId="5678"/>
    <cellStyle name="_Direct costs Period 13 accruals version 090410 3_6.1 Contingency Allocation 2 2" xfId="5679"/>
    <cellStyle name="_Direct costs Period 13 accruals version 090410 3_6.1 Contingency Allocation 3" xfId="5680"/>
    <cellStyle name="_Direct costs Period 13 accruals version 090410 3_6.1 Contingency Allocation 3 2" xfId="5681"/>
    <cellStyle name="_Direct costs Period 13 accruals version 090410 3_6.1 Contingency Allocation 4" xfId="5682"/>
    <cellStyle name="_Direct costs Period 13 accruals version 090410 3_A.G Cost of Operations" xfId="5683"/>
    <cellStyle name="_Direct costs Period 13 accruals version 090410 3_A.G Cost of Operations 2" xfId="5684"/>
    <cellStyle name="_Direct costs Period 13 accruals version 090410 3_A.G Cost of Operations 2 2" xfId="5685"/>
    <cellStyle name="_Direct costs Period 13 accruals version 090410 3_A.G Cost of Operations 3" xfId="5686"/>
    <cellStyle name="_Direct costs Period 13 accruals version 090410 3_A.G Cost of Operations 3 2" xfId="5687"/>
    <cellStyle name="_Direct costs Period 13 accruals version 090410 3_A.G Cost of Operations 4" xfId="5688"/>
    <cellStyle name="_Direct costs Period 13 accruals version 090410 3_A.I  CF - Op Acc &amp; A7.PBAs" xfId="5689"/>
    <cellStyle name="_Direct costs Period 13 accruals version 090410 3_A.I  CF - Op Acc &amp; A7.PBAs 2" xfId="5690"/>
    <cellStyle name="_Direct costs Period 13 accruals version 090410 3_A.I  CF - Op Acc &amp; A7.PBAs 2 2" xfId="5691"/>
    <cellStyle name="_Direct costs Period 13 accruals version 090410 3_A.I  CF - Op Acc &amp; A7.PBAs 3" xfId="5692"/>
    <cellStyle name="_Direct costs Period 13 accruals version 090410 3_A.I  CF - Op Acc &amp; A7.PBAs 3 2" xfId="5693"/>
    <cellStyle name="_Direct costs Period 13 accruals version 090410 3_A.I  CF - Op Acc &amp; A7.PBAs 4" xfId="5694"/>
    <cellStyle name="_Direct costs Period 13 accruals version 090410 3_A.M Analysis of Indirect Detail" xfId="5695"/>
    <cellStyle name="_Direct costs Period 13 accruals version 090410 3_A.M Analysis of Indirect Detail 2" xfId="5696"/>
    <cellStyle name="_Direct costs Period 13 accruals version 090410 4" xfId="5697"/>
    <cellStyle name="_Direct costs Period 13 accruals version 090410 4 2" xfId="5698"/>
    <cellStyle name="_Direct costs Period 13 accruals version 090410 5" xfId="5699"/>
    <cellStyle name="_Direct costs Period 13 accruals version 090410 5 2" xfId="5700"/>
    <cellStyle name="_Direct costs Period 13 accruals version 090410 6" xfId="5701"/>
    <cellStyle name="_Direct costs Period 13 accruals version 090410 6 2" xfId="5702"/>
    <cellStyle name="_Direct costs Period 13 accruals version 090410 7" xfId="5703"/>
    <cellStyle name="_Direct costs Period 13 accruals version 090410 7 2" xfId="5704"/>
    <cellStyle name="_Direct costs Period 13 accruals version 090410 8" xfId="5705"/>
    <cellStyle name="_Direct costs Period 13 accruals version 090410 8 2" xfId="5706"/>
    <cellStyle name="_Direct costs Period 13 accruals version 090410 9" xfId="5707"/>
    <cellStyle name="_Direct costs Period 13 accruals version 090410 9 2" xfId="5708"/>
    <cellStyle name="_Direct costs Period 13 accruals version 090410_A6.Accruals - By WBS_cost centr" xfId="5709"/>
    <cellStyle name="_Direct costs Period 13 accruals version 090410_A6.Accruals - By WBS_cost centr 2" xfId="5710"/>
    <cellStyle name="_Direct costs Period 13 accruals version 090410_P4 Accrual Calculation for Appendix" xfId="5711"/>
    <cellStyle name="_Direct costs Period 13 accruals version 090410_P4 Accrual Calculation for Appendix 2" xfId="5712"/>
    <cellStyle name="_Direct costs Period 13 accruals version 090410_P4 Accrual Calculation for Appendix 2 2" xfId="5713"/>
    <cellStyle name="_Direct costs Period 13 accruals version 090410_P4 Accrual Calculation for Appendix 3" xfId="5714"/>
    <cellStyle name="_Direct costs Period 13 accruals version 090410_P4 Accrual Calculation for Appendix 3 2" xfId="5715"/>
    <cellStyle name="_Direct costs Period 13 accruals version 090410_P4 Accrual Calculation for Appendix 4" xfId="5716"/>
    <cellStyle name="_Draft Template V2" xfId="5717"/>
    <cellStyle name="_ERIC B04 Price Model BAFO 28.1.08 A" xfId="5718"/>
    <cellStyle name="_ERIC B04 Price Model BAFO 28.1.08 A 2" xfId="5719"/>
    <cellStyle name="_Euro" xfId="5720"/>
    <cellStyle name="_Euro 2" xfId="5721"/>
    <cellStyle name="_Example Outputs (2)" xfId="5722"/>
    <cellStyle name="_Example Outputs (2) 2" xfId="5723"/>
    <cellStyle name="_Example Outputs (3)" xfId="5724"/>
    <cellStyle name="_Example Outputs (3) 2" xfId="5725"/>
    <cellStyle name="_Example Outputs (4)" xfId="5726"/>
    <cellStyle name="_Example Outputs (4) 2" xfId="5727"/>
    <cellStyle name="_exec summary v1 4" xfId="5728"/>
    <cellStyle name="_Extract Cross Rail with TRIOLE (2)" xfId="5729"/>
    <cellStyle name="_Extract Cross Rail with TRIOLE (2) 2" xfId="5730"/>
    <cellStyle name="_Extract Cross Rail with TRIOLE (2) 2 2" xfId="5731"/>
    <cellStyle name="_Extract Cross Rail with TRIOLE (2) 2 2 2" xfId="5732"/>
    <cellStyle name="_Extract Cross Rail with TRIOLE (2) 2 3" xfId="5733"/>
    <cellStyle name="_Extract Cross Rail with TRIOLE (2) 2_6.1 Contingency Allocation" xfId="5734"/>
    <cellStyle name="_Extract Cross Rail with TRIOLE (2) 2_6.1 Contingency Allocation 2" xfId="5735"/>
    <cellStyle name="_Extract Cross Rail with TRIOLE (2) 2_A.G Cost of Operations" xfId="5736"/>
    <cellStyle name="_Extract Cross Rail with TRIOLE (2) 2_A.G Cost of Operations 2" xfId="5737"/>
    <cellStyle name="_Extract Cross Rail with TRIOLE (2) 2_A.M Analysis of Indirect Detail" xfId="5738"/>
    <cellStyle name="_Extract Cross Rail with TRIOLE (2) 2_A.M Analysis of Indirect Detail 2" xfId="5739"/>
    <cellStyle name="_Extract Cross Rail with TRIOLE (2) 3" xfId="5740"/>
    <cellStyle name="_Extract Cross Rail with TRIOLE (2) 3 2" xfId="5741"/>
    <cellStyle name="_Extract Cross Rail with TRIOLE (2) 4" xfId="5742"/>
    <cellStyle name="_Extract Cross Rail with TRIOLE (2) 4 2" xfId="5743"/>
    <cellStyle name="_Extract Cross Rail with TRIOLE (2)_6.1 Contingency Allocation" xfId="5744"/>
    <cellStyle name="_Extract Cross Rail with TRIOLE (2)_6.1 Contingency Allocation 2" xfId="5745"/>
    <cellStyle name="_Extract Cross Rail with TRIOLE (2)_6.1 Contingency Allocation 2 2" xfId="5746"/>
    <cellStyle name="_Extract Cross Rail with TRIOLE (2)_6.1 Contingency Allocation 3" xfId="5747"/>
    <cellStyle name="_Extract Cross Rail with TRIOLE (2)_A.G Cost of Operations" xfId="5748"/>
    <cellStyle name="_Extract Cross Rail with TRIOLE (2)_A.G Cost of Operations 2" xfId="5749"/>
    <cellStyle name="_Extract Cross Rail with TRIOLE (2)_A.G Cost of Operations 2 2" xfId="5750"/>
    <cellStyle name="_Extract Cross Rail with TRIOLE (2)_A.G Cost of Operations 3" xfId="5751"/>
    <cellStyle name="_Extract Cross Rail with TRIOLE (2)_A6.Accruals - By WBS_cost centr" xfId="5752"/>
    <cellStyle name="_Extract Cross Rail with TRIOLE (2)_A6.Accruals - By WBS_cost centr 2" xfId="5753"/>
    <cellStyle name="_Extract Cross Rail with TRIOLE (2)_A6.Accruals - By WBS_cost centr 2 2" xfId="5754"/>
    <cellStyle name="_Extract Cross Rail with TRIOLE (2)_A6.Accruals - By WBS_cost centr 3" xfId="5755"/>
    <cellStyle name="_Extract Cross Rail with TRIOLE (2)_A6.Accruals - By WBS_cost centr_6.1 Contingency Allocation" xfId="5756"/>
    <cellStyle name="_Extract Cross Rail with TRIOLE (2)_A6.Accruals - By WBS_cost centr_6.1 Contingency Allocation 2" xfId="5757"/>
    <cellStyle name="_Extract Cross Rail with TRIOLE (2)_A6.Accruals - By WBS_cost centr_A.G Cost of Operations" xfId="5758"/>
    <cellStyle name="_Extract Cross Rail with TRIOLE (2)_A6.Accruals - By WBS_cost centr_A.G Cost of Operations 2" xfId="5759"/>
    <cellStyle name="_Extract Cross Rail with TRIOLE (2)_A6.Accruals - By WBS_cost centr_A.M Analysis of Indirect Detail" xfId="5760"/>
    <cellStyle name="_Extract Cross Rail with TRIOLE (2)_A6.Accruals - By WBS_cost centr_A.M Analysis of Indirect Detail 2" xfId="5761"/>
    <cellStyle name="_Extract Cross Rail with TRIOLE (2)_Data Input" xfId="5762"/>
    <cellStyle name="_Extract Cross Rail with TRIOLE (2)_Data Input 2" xfId="5763"/>
    <cellStyle name="_Extract Cross Rail with TRIOLE (2)_P4 Accrual Calculation for Appendix" xfId="5764"/>
    <cellStyle name="_Extract Cross Rail with TRIOLE (2)_P4 Accrual Calculation for Appendix 2" xfId="5765"/>
    <cellStyle name="_Extract Cross Rail with TRIOLE (2)_P4 Accrual Calculation for Appendix_6.1 Contingency Allocation" xfId="5766"/>
    <cellStyle name="_Extract Cross Rail with TRIOLE (2)_P4 Accrual Calculation for Appendix_6.1 Contingency Allocation 2" xfId="5767"/>
    <cellStyle name="_Extract Cross Rail with TRIOLE (2)_P4 Accrual Calculation for Appendix_6.1 Contingency Allocation 2 2" xfId="5768"/>
    <cellStyle name="_Extract Cross Rail with TRIOLE (2)_P4 Accrual Calculation for Appendix_6.1 Contingency Allocation 3" xfId="5769"/>
    <cellStyle name="_Extract Cross Rail with TRIOLE (2)_P4 Accrual Calculation for Appendix_A.G Cost of Operations" xfId="5770"/>
    <cellStyle name="_Extract Cross Rail with TRIOLE (2)_P4 Accrual Calculation for Appendix_A.G Cost of Operations 2" xfId="5771"/>
    <cellStyle name="_Extract Cross Rail with TRIOLE (2)_P4 Accrual Calculation for Appendix_A.G Cost of Operations 2 2" xfId="5772"/>
    <cellStyle name="_Extract Cross Rail with TRIOLE (2)_P4 Accrual Calculation for Appendix_A.G Cost of Operations 3" xfId="5773"/>
    <cellStyle name="_Extract Cross Rail with TRIOLE (2)_SAP CRL directs entry template for P11" xfId="5774"/>
    <cellStyle name="_Extract Cross Rail with TRIOLE (2)_SAP CRL directs entry template for P11 2" xfId="5775"/>
    <cellStyle name="_Extract Cross Rail with TRIOLE (2)_SAP CRL directs entry template for P11 2 2" xfId="5776"/>
    <cellStyle name="_Extract Cross Rail with TRIOLE (2)_SAP CRL directs entry template for P11 2 2 2" xfId="5777"/>
    <cellStyle name="_Extract Cross Rail with TRIOLE (2)_SAP CRL directs entry template for P11 2 3" xfId="5778"/>
    <cellStyle name="_Extract Cross Rail with TRIOLE (2)_SAP CRL directs entry template for P11 2_6.1 Contingency Allocation" xfId="5779"/>
    <cellStyle name="_Extract Cross Rail with TRIOLE (2)_SAP CRL directs entry template for P11 2_6.1 Contingency Allocation 2" xfId="5780"/>
    <cellStyle name="_Extract Cross Rail with TRIOLE (2)_SAP CRL directs entry template for P11 2_A.G Cost of Operations" xfId="5781"/>
    <cellStyle name="_Extract Cross Rail with TRIOLE (2)_SAP CRL directs entry template for P11 2_A.G Cost of Operations 2" xfId="5782"/>
    <cellStyle name="_Extract Cross Rail with TRIOLE (2)_SAP CRL directs entry template for P11 2_A.M Analysis of Indirect Detail" xfId="5783"/>
    <cellStyle name="_Extract Cross Rail with TRIOLE (2)_SAP CRL directs entry template for P11 2_A.M Analysis of Indirect Detail 2" xfId="5784"/>
    <cellStyle name="_Extract Cross Rail with TRIOLE (2)_SAP CRL directs entry template for P11 3" xfId="5785"/>
    <cellStyle name="_Extract Cross Rail with TRIOLE (2)_SAP CRL directs entry template for P11 3 2" xfId="5786"/>
    <cellStyle name="_Extract Cross Rail with TRIOLE (2)_SAP CRL directs entry template for P11 4" xfId="5787"/>
    <cellStyle name="_Extract Cross Rail with TRIOLE (2)_SAP CRL directs entry template for P11_6.1 Contingency Allocation" xfId="5788"/>
    <cellStyle name="_Extract Cross Rail with TRIOLE (2)_SAP CRL directs entry template for P11_6.1 Contingency Allocation 2" xfId="5789"/>
    <cellStyle name="_Extract Cross Rail with TRIOLE (2)_SAP CRL directs entry template for P11_A.G Cost of Operations" xfId="5790"/>
    <cellStyle name="_Extract Cross Rail with TRIOLE (2)_SAP CRL directs entry template for P11_A.G Cost of Operations 2" xfId="5791"/>
    <cellStyle name="_Extract Cross Rail with TRIOLE (2)_SAP CRL directs entry template for P11_A.M Analysis of Indirect Detail" xfId="5792"/>
    <cellStyle name="_Extract Cross Rail with TRIOLE (2)_SAP CRL directs entry template for P11_A.M Analysis of Indirect Detail 2" xfId="5793"/>
    <cellStyle name="_F09 CostAssuranceTotal" xfId="5794"/>
    <cellStyle name="_Finance Data for Contingency Tracker P12" xfId="5795"/>
    <cellStyle name="_financial evaluation" xfId="5796"/>
    <cellStyle name="_Fujitsu - Bidder Proposal Summary v 1 1" xfId="5797"/>
    <cellStyle name="_GSLB" xfId="5798"/>
    <cellStyle name="_Heading" xfId="5799"/>
    <cellStyle name="_Heading_03 Admiral - Shares Outstanding" xfId="5800"/>
    <cellStyle name="_Heading_03 Admiral - Shares Outstanding_Model v23_PDAv1" xfId="5801"/>
    <cellStyle name="_Heading_03 Admiral - Shares Outstanding_Model v24" xfId="5802"/>
    <cellStyle name="_Heading_03 Admiral - Shares Outstanding_Model v28" xfId="5803"/>
    <cellStyle name="_Heading_GS India Budget_5-23-05" xfId="5804"/>
    <cellStyle name="_Heading_GS India Budget_5-23-05_Model v23_PDAv1" xfId="5805"/>
    <cellStyle name="_Heading_GS India Budget_5-23-05_Model v24" xfId="5806"/>
    <cellStyle name="_Heading_GS India Budget_5-23-05_Model v28" xfId="5807"/>
    <cellStyle name="_Heading_Industrials" xfId="5808"/>
    <cellStyle name="_Heading_Industrials_Model v23_PDAv1" xfId="5809"/>
    <cellStyle name="_Heading_Industrials_Model v24" xfId="5810"/>
    <cellStyle name="_Heading_Industrials_Model v28" xfId="5811"/>
    <cellStyle name="_Heading_List of companies in CSC's 2005 (v3)" xfId="5812"/>
    <cellStyle name="_Heading_prestemp" xfId="5813"/>
    <cellStyle name="_Highlight" xfId="5814"/>
    <cellStyle name="_Highlight 2" xfId="5815"/>
    <cellStyle name="_Highly Indicative BEAR solution summary v2 2" xfId="5816"/>
    <cellStyle name="_Highly Indicative BEAR solution summary v2 2 10" xfId="5817"/>
    <cellStyle name="_Highly Indicative BEAR solution summary v2 2 10 2" xfId="5818"/>
    <cellStyle name="_Highly Indicative BEAR solution summary v2 2 11" xfId="5819"/>
    <cellStyle name="_Highly Indicative BEAR solution summary v2 2 11 2" xfId="5820"/>
    <cellStyle name="_Highly Indicative BEAR solution summary v2 2 2" xfId="5821"/>
    <cellStyle name="_Highly Indicative BEAR solution summary v2 2 2 2" xfId="5822"/>
    <cellStyle name="_Highly Indicative BEAR solution summary v2 2 3" xfId="5823"/>
    <cellStyle name="_Highly Indicative BEAR solution summary v2 2 3 2" xfId="5824"/>
    <cellStyle name="_Highly Indicative BEAR solution summary v2 2 3 2 2" xfId="5825"/>
    <cellStyle name="_Highly Indicative BEAR solution summary v2 2 3 3" xfId="5826"/>
    <cellStyle name="_Highly Indicative BEAR solution summary v2 2 3_6.1 Contingency Allocation" xfId="5827"/>
    <cellStyle name="_Highly Indicative BEAR solution summary v2 2 3_6.1 Contingency Allocation 2" xfId="5828"/>
    <cellStyle name="_Highly Indicative BEAR solution summary v2 2 3_6.1 Contingency Allocation 2 2" xfId="5829"/>
    <cellStyle name="_Highly Indicative BEAR solution summary v2 2 3_6.1 Contingency Allocation 3" xfId="5830"/>
    <cellStyle name="_Highly Indicative BEAR solution summary v2 2 3_6.1 Contingency Allocation 3 2" xfId="5831"/>
    <cellStyle name="_Highly Indicative BEAR solution summary v2 2 3_6.1 Contingency Allocation 4" xfId="5832"/>
    <cellStyle name="_Highly Indicative BEAR solution summary v2 2 3_A.G Cost of Operations" xfId="5833"/>
    <cellStyle name="_Highly Indicative BEAR solution summary v2 2 3_A.G Cost of Operations 2" xfId="5834"/>
    <cellStyle name="_Highly Indicative BEAR solution summary v2 2 3_A.G Cost of Operations 2 2" xfId="5835"/>
    <cellStyle name="_Highly Indicative BEAR solution summary v2 2 3_A.G Cost of Operations 3" xfId="5836"/>
    <cellStyle name="_Highly Indicative BEAR solution summary v2 2 3_A.G Cost of Operations 3 2" xfId="5837"/>
    <cellStyle name="_Highly Indicative BEAR solution summary v2 2 3_A.G Cost of Operations 4" xfId="5838"/>
    <cellStyle name="_Highly Indicative BEAR solution summary v2 2 3_A.I  CF - Op Acc &amp; A7.PBAs" xfId="5839"/>
    <cellStyle name="_Highly Indicative BEAR solution summary v2 2 3_A.I  CF - Op Acc &amp; A7.PBAs 2" xfId="5840"/>
    <cellStyle name="_Highly Indicative BEAR solution summary v2 2 3_A.I  CF - Op Acc &amp; A7.PBAs 2 2" xfId="5841"/>
    <cellStyle name="_Highly Indicative BEAR solution summary v2 2 3_A.I  CF - Op Acc &amp; A7.PBAs 3" xfId="5842"/>
    <cellStyle name="_Highly Indicative BEAR solution summary v2 2 3_A.I  CF - Op Acc &amp; A7.PBAs 3 2" xfId="5843"/>
    <cellStyle name="_Highly Indicative BEAR solution summary v2 2 3_A.I  CF - Op Acc &amp; A7.PBAs 4" xfId="5844"/>
    <cellStyle name="_Highly Indicative BEAR solution summary v2 2 3_A.M Analysis of Indirect Detail" xfId="5845"/>
    <cellStyle name="_Highly Indicative BEAR solution summary v2 2 3_A.M Analysis of Indirect Detail 2" xfId="5846"/>
    <cellStyle name="_Highly Indicative BEAR solution summary v2 2 4" xfId="5847"/>
    <cellStyle name="_Highly Indicative BEAR solution summary v2 2 4 2" xfId="5848"/>
    <cellStyle name="_Highly Indicative BEAR solution summary v2 2 5" xfId="5849"/>
    <cellStyle name="_Highly Indicative BEAR solution summary v2 2 5 2" xfId="5850"/>
    <cellStyle name="_Highly Indicative BEAR solution summary v2 2 6" xfId="5851"/>
    <cellStyle name="_Highly Indicative BEAR solution summary v2 2 6 2" xfId="5852"/>
    <cellStyle name="_Highly Indicative BEAR solution summary v2 2 7" xfId="5853"/>
    <cellStyle name="_Highly Indicative BEAR solution summary v2 2 7 2" xfId="5854"/>
    <cellStyle name="_Highly Indicative BEAR solution summary v2 2 8" xfId="5855"/>
    <cellStyle name="_Highly Indicative BEAR solution summary v2 2 8 2" xfId="5856"/>
    <cellStyle name="_Highly Indicative BEAR solution summary v2 2 9" xfId="5857"/>
    <cellStyle name="_Highly Indicative BEAR solution summary v2 2 9 2" xfId="5858"/>
    <cellStyle name="_Highly Indicative BEAR solution summary v2 2_A1.  Major AFC var by contract" xfId="5859"/>
    <cellStyle name="_Highly Indicative BEAR solution summary v2 2_A1.  Major AFC var by contract 2" xfId="5860"/>
    <cellStyle name="_Highly Indicative BEAR solution summary v2 2_A1.  Major AFC var by contract 2 2" xfId="5861"/>
    <cellStyle name="_Highly Indicative BEAR solution summary v2 2_A1.  Major AFC var by contract 3" xfId="5862"/>
    <cellStyle name="_Highly Indicative BEAR solution summary v2 2_A1.  Major AFC var by contract 3 2" xfId="5863"/>
    <cellStyle name="_Highly Indicative BEAR solution summary v2 2_A1.  Major AFC var by contract 4" xfId="5864"/>
    <cellStyle name="_Highly Indicative BEAR solution summary v2 2_A6.Accruals - By WBS_cost centr" xfId="5865"/>
    <cellStyle name="_Highly Indicative BEAR solution summary v2 2_A6.Accruals - By WBS_cost centr 2" xfId="5866"/>
    <cellStyle name="_Highly Indicative BEAR solution summary v2 2_Analysis Board Report" xfId="5867"/>
    <cellStyle name="_Highly Indicative BEAR solution summary v2 2_Analysis Board Report 2" xfId="5868"/>
    <cellStyle name="_Highly Indicative BEAR solution summary v2 2_Analysis Board Report 2 2" xfId="5869"/>
    <cellStyle name="_Highly Indicative BEAR solution summary v2 2_Analysis Board Report 3" xfId="5870"/>
    <cellStyle name="_Highly Indicative BEAR solution summary v2 2_Analysis Board Report 3 2" xfId="5871"/>
    <cellStyle name="_Highly Indicative BEAR solution summary v2 2_Analysis Board Report 3 2 2" xfId="5872"/>
    <cellStyle name="_Highly Indicative BEAR solution summary v2 2_Analysis Board Report 3 3" xfId="5873"/>
    <cellStyle name="_Highly Indicative BEAR solution summary v2 2_Analysis Board Report 3_6.1 Contingency Allocation" xfId="5874"/>
    <cellStyle name="_Highly Indicative BEAR solution summary v2 2_Analysis Board Report 3_6.1 Contingency Allocation 2" xfId="5875"/>
    <cellStyle name="_Highly Indicative BEAR solution summary v2 2_Analysis Board Report 3_6.1 Contingency Allocation 2 2" xfId="5876"/>
    <cellStyle name="_Highly Indicative BEAR solution summary v2 2_Analysis Board Report 3_6.1 Contingency Allocation 3" xfId="5877"/>
    <cellStyle name="_Highly Indicative BEAR solution summary v2 2_Analysis Board Report 3_6.1 Contingency Allocation 3 2" xfId="5878"/>
    <cellStyle name="_Highly Indicative BEAR solution summary v2 2_Analysis Board Report 3_6.1 Contingency Allocation 4" xfId="5879"/>
    <cellStyle name="_Highly Indicative BEAR solution summary v2 2_Analysis Board Report 3_A.G Cost of Operations" xfId="5880"/>
    <cellStyle name="_Highly Indicative BEAR solution summary v2 2_Analysis Board Report 3_A.G Cost of Operations 2" xfId="5881"/>
    <cellStyle name="_Highly Indicative BEAR solution summary v2 2_Analysis Board Report 3_A.G Cost of Operations 2 2" xfId="5882"/>
    <cellStyle name="_Highly Indicative BEAR solution summary v2 2_Analysis Board Report 3_A.G Cost of Operations 3" xfId="5883"/>
    <cellStyle name="_Highly Indicative BEAR solution summary v2 2_Analysis Board Report 3_A.G Cost of Operations 3 2" xfId="5884"/>
    <cellStyle name="_Highly Indicative BEAR solution summary v2 2_Analysis Board Report 3_A.G Cost of Operations 4" xfId="5885"/>
    <cellStyle name="_Highly Indicative BEAR solution summary v2 2_Analysis Board Report 3_A.I  CF - Op Acc &amp; A7.PBAs" xfId="5886"/>
    <cellStyle name="_Highly Indicative BEAR solution summary v2 2_Analysis Board Report 3_A.I  CF - Op Acc &amp; A7.PBAs 2" xfId="5887"/>
    <cellStyle name="_Highly Indicative BEAR solution summary v2 2_Analysis Board Report 3_A.I  CF - Op Acc &amp; A7.PBAs 2 2" xfId="5888"/>
    <cellStyle name="_Highly Indicative BEAR solution summary v2 2_Analysis Board Report 3_A.I  CF - Op Acc &amp; A7.PBAs 3" xfId="5889"/>
    <cellStyle name="_Highly Indicative BEAR solution summary v2 2_Analysis Board Report 3_A.I  CF - Op Acc &amp; A7.PBAs 3 2" xfId="5890"/>
    <cellStyle name="_Highly Indicative BEAR solution summary v2 2_Analysis Board Report 3_A.I  CF - Op Acc &amp; A7.PBAs 4" xfId="5891"/>
    <cellStyle name="_Highly Indicative BEAR solution summary v2 2_Analysis Board Report 3_A.M Analysis of Indirect Detail" xfId="5892"/>
    <cellStyle name="_Highly Indicative BEAR solution summary v2 2_Analysis Board Report 3_A.M Analysis of Indirect Detail 2" xfId="5893"/>
    <cellStyle name="_Highly Indicative BEAR solution summary v2 2_Analysis Board Report 4" xfId="5894"/>
    <cellStyle name="_Highly Indicative BEAR solution summary v2 2_Analysis Board Report 4 2" xfId="5895"/>
    <cellStyle name="_Highly Indicative BEAR solution summary v2 2_Analysis Board Report 5" xfId="5896"/>
    <cellStyle name="_Highly Indicative BEAR solution summary v2 2_Analysis Board Report 5 2" xfId="5897"/>
    <cellStyle name="_Highly Indicative BEAR solution summary v2 2_Analysis Board Report 6" xfId="5898"/>
    <cellStyle name="_Highly Indicative BEAR solution summary v2 2_Analysis Board Report_A6.Accruals - By WBS_cost centr" xfId="5899"/>
    <cellStyle name="_Highly Indicative BEAR solution summary v2 2_Analysis Board Report_A6.Accruals - By WBS_cost centr 2" xfId="5900"/>
    <cellStyle name="_Highly Indicative BEAR solution summary v2 2_Analysis Board Report_P4 Accrual Calculation for Appendix" xfId="5901"/>
    <cellStyle name="_Highly Indicative BEAR solution summary v2 2_Analysis Board Report_P4 Accrual Calculation for Appendix 2" xfId="5902"/>
    <cellStyle name="_Highly Indicative BEAR solution summary v2 2_Analysis Board Report_P4 Accrual Calculation for Appendix 2 2" xfId="5903"/>
    <cellStyle name="_Highly Indicative BEAR solution summary v2 2_Analysis Board Report_P4 Accrual Calculation for Appendix 3" xfId="5904"/>
    <cellStyle name="_Highly Indicative BEAR solution summary v2 2_Analysis Board Report_P4 Accrual Calculation for Appendix 3 2" xfId="5905"/>
    <cellStyle name="_Highly Indicative BEAR solution summary v2 2_Analysis Board Report_P4 Accrual Calculation for Appendix 4" xfId="5906"/>
    <cellStyle name="_Highly Indicative BEAR solution summary v2 2_Contingency tracker 020211 for PCSC for distribution Issued 27 01 11" xfId="5907"/>
    <cellStyle name="_Highly Indicative BEAR solution summary v2 2_Contingency tracker 020211 for PCSC for distribution Issued 27 01 11 10" xfId="5908"/>
    <cellStyle name="_Highly Indicative BEAR solution summary v2 2_Contingency tracker 020211 for PCSC for distribution Issued 27 01 11 10 2" xfId="5909"/>
    <cellStyle name="_Highly Indicative BEAR solution summary v2 2_Contingency tracker 020211 for PCSC for distribution Issued 27 01 11 11" xfId="5910"/>
    <cellStyle name="_Highly Indicative BEAR solution summary v2 2_Contingency tracker 020211 for PCSC for distribution Issued 27 01 11 11 2" xfId="5911"/>
    <cellStyle name="_Highly Indicative BEAR solution summary v2 2_Contingency tracker 020211 for PCSC for distribution Issued 27 01 11 2" xfId="5912"/>
    <cellStyle name="_Highly Indicative BEAR solution summary v2 2_Contingency tracker 020211 for PCSC for distribution Issued 27 01 11 2 2" xfId="5913"/>
    <cellStyle name="_Highly Indicative BEAR solution summary v2 2_Contingency tracker 020211 for PCSC for distribution Issued 27 01 11 3" xfId="5914"/>
    <cellStyle name="_Highly Indicative BEAR solution summary v2 2_Contingency tracker 020211 for PCSC for distribution Issued 27 01 11 3 2" xfId="5915"/>
    <cellStyle name="_Highly Indicative BEAR solution summary v2 2_Contingency tracker 020211 for PCSC for distribution Issued 27 01 11 3 2 2" xfId="5916"/>
    <cellStyle name="_Highly Indicative BEAR solution summary v2 2_Contingency tracker 020211 for PCSC for distribution Issued 27 01 11 3 3" xfId="5917"/>
    <cellStyle name="_Highly Indicative BEAR solution summary v2 2_Contingency tracker 020211 for PCSC for distribution Issued 27 01 11 3_6.1 Contingency Allocation" xfId="5918"/>
    <cellStyle name="_Highly Indicative BEAR solution summary v2 2_Contingency tracker 020211 for PCSC for distribution Issued 27 01 11 3_6.1 Contingency Allocation 2" xfId="5919"/>
    <cellStyle name="_Highly Indicative BEAR solution summary v2 2_Contingency tracker 020211 for PCSC for distribution Issued 27 01 11 3_6.1 Contingency Allocation 2 2" xfId="5920"/>
    <cellStyle name="_Highly Indicative BEAR solution summary v2 2_Contingency tracker 020211 for PCSC for distribution Issued 27 01 11 3_6.1 Contingency Allocation 3" xfId="5921"/>
    <cellStyle name="_Highly Indicative BEAR solution summary v2 2_Contingency tracker 020211 for PCSC for distribution Issued 27 01 11 3_6.1 Contingency Allocation 3 2" xfId="5922"/>
    <cellStyle name="_Highly Indicative BEAR solution summary v2 2_Contingency tracker 020211 for PCSC for distribution Issued 27 01 11 3_6.1 Contingency Allocation 4" xfId="5923"/>
    <cellStyle name="_Highly Indicative BEAR solution summary v2 2_Contingency tracker 020211 for PCSC for distribution Issued 27 01 11 3_A.G Cost of Operations" xfId="5924"/>
    <cellStyle name="_Highly Indicative BEAR solution summary v2 2_Contingency tracker 020211 for PCSC for distribution Issued 27 01 11 3_A.G Cost of Operations 2" xfId="5925"/>
    <cellStyle name="_Highly Indicative BEAR solution summary v2 2_Contingency tracker 020211 for PCSC for distribution Issued 27 01 11 3_A.G Cost of Operations 2 2" xfId="5926"/>
    <cellStyle name="_Highly Indicative BEAR solution summary v2 2_Contingency tracker 020211 for PCSC for distribution Issued 27 01 11 3_A.G Cost of Operations 3" xfId="5927"/>
    <cellStyle name="_Highly Indicative BEAR solution summary v2 2_Contingency tracker 020211 for PCSC for distribution Issued 27 01 11 3_A.G Cost of Operations 3 2" xfId="5928"/>
    <cellStyle name="_Highly Indicative BEAR solution summary v2 2_Contingency tracker 020211 for PCSC for distribution Issued 27 01 11 3_A.G Cost of Operations 4" xfId="5929"/>
    <cellStyle name="_Highly Indicative BEAR solution summary v2 2_Contingency tracker 020211 for PCSC for distribution Issued 27 01 11 3_A.I  CF - Op Acc &amp; A7.PBAs" xfId="5930"/>
    <cellStyle name="_Highly Indicative BEAR solution summary v2 2_Contingency tracker 020211 for PCSC for distribution Issued 27 01 11 3_A.I  CF - Op Acc &amp; A7.PBAs 2" xfId="5931"/>
    <cellStyle name="_Highly Indicative BEAR solution summary v2 2_Contingency tracker 020211 for PCSC for distribution Issued 27 01 11 3_A.I  CF - Op Acc &amp; A7.PBAs 2 2" xfId="5932"/>
    <cellStyle name="_Highly Indicative BEAR solution summary v2 2_Contingency tracker 020211 for PCSC for distribution Issued 27 01 11 3_A.I  CF - Op Acc &amp; A7.PBAs 3" xfId="5933"/>
    <cellStyle name="_Highly Indicative BEAR solution summary v2 2_Contingency tracker 020211 for PCSC for distribution Issued 27 01 11 3_A.I  CF - Op Acc &amp; A7.PBAs 3 2" xfId="5934"/>
    <cellStyle name="_Highly Indicative BEAR solution summary v2 2_Contingency tracker 020211 for PCSC for distribution Issued 27 01 11 3_A.I  CF - Op Acc &amp; A7.PBAs 4" xfId="5935"/>
    <cellStyle name="_Highly Indicative BEAR solution summary v2 2_Contingency tracker 020211 for PCSC for distribution Issued 27 01 11 3_A.M Analysis of Indirect Detail" xfId="5936"/>
    <cellStyle name="_Highly Indicative BEAR solution summary v2 2_Contingency tracker 020211 for PCSC for distribution Issued 27 01 11 3_A.M Analysis of Indirect Detail 2" xfId="5937"/>
    <cellStyle name="_Highly Indicative BEAR solution summary v2 2_Contingency tracker 020211 for PCSC for distribution Issued 27 01 11 4" xfId="5938"/>
    <cellStyle name="_Highly Indicative BEAR solution summary v2 2_Contingency tracker 020211 for PCSC for distribution Issued 27 01 11 4 2" xfId="5939"/>
    <cellStyle name="_Highly Indicative BEAR solution summary v2 2_Contingency tracker 020211 for PCSC for distribution Issued 27 01 11 5" xfId="5940"/>
    <cellStyle name="_Highly Indicative BEAR solution summary v2 2_Contingency tracker 020211 for PCSC for distribution Issued 27 01 11 5 2" xfId="5941"/>
    <cellStyle name="_Highly Indicative BEAR solution summary v2 2_Contingency tracker 020211 for PCSC for distribution Issued 27 01 11 6" xfId="5942"/>
    <cellStyle name="_Highly Indicative BEAR solution summary v2 2_Contingency tracker 020211 for PCSC for distribution Issued 27 01 11 6 2" xfId="5943"/>
    <cellStyle name="_Highly Indicative BEAR solution summary v2 2_Contingency tracker 020211 for PCSC for distribution Issued 27 01 11 7" xfId="5944"/>
    <cellStyle name="_Highly Indicative BEAR solution summary v2 2_Contingency tracker 020211 for PCSC for distribution Issued 27 01 11 7 2" xfId="5945"/>
    <cellStyle name="_Highly Indicative BEAR solution summary v2 2_Contingency tracker 020211 for PCSC for distribution Issued 27 01 11 8" xfId="5946"/>
    <cellStyle name="_Highly Indicative BEAR solution summary v2 2_Contingency tracker 020211 for PCSC for distribution Issued 27 01 11 8 2" xfId="5947"/>
    <cellStyle name="_Highly Indicative BEAR solution summary v2 2_Contingency tracker 020211 for PCSC for distribution Issued 27 01 11 9" xfId="5948"/>
    <cellStyle name="_Highly Indicative BEAR solution summary v2 2_Contingency tracker 020211 for PCSC for distribution Issued 27 01 11 9 2" xfId="5949"/>
    <cellStyle name="_Highly Indicative BEAR solution summary v2 2_Contingency tracker 020211 for PCSC for distribution Issued 27 01 11_A1.  Major AFC var by contract" xfId="5950"/>
    <cellStyle name="_Highly Indicative BEAR solution summary v2 2_Contingency tracker 020211 for PCSC for distribution Issued 27 01 11_A1.  Major AFC var by contract 2" xfId="5951"/>
    <cellStyle name="_Highly Indicative BEAR solution summary v2 2_Contingency tracker 020211 for PCSC for distribution Issued 27 01 11_A1.  Major AFC var by contract 2 2" xfId="5952"/>
    <cellStyle name="_Highly Indicative BEAR solution summary v2 2_Contingency tracker 020211 for PCSC for distribution Issued 27 01 11_A1.  Major AFC var by contract 3" xfId="5953"/>
    <cellStyle name="_Highly Indicative BEAR solution summary v2 2_Contingency tracker 020211 for PCSC for distribution Issued 27 01 11_A1.  Major AFC var by contract 3 2" xfId="5954"/>
    <cellStyle name="_Highly Indicative BEAR solution summary v2 2_Contingency tracker 020211 for PCSC for distribution Issued 27 01 11_A1.  Major AFC var by contract 4" xfId="5955"/>
    <cellStyle name="_Highly Indicative BEAR solution summary v2 2_Contingency tracker 020211 for PCSC for distribution Issued 27 01 11_A6.Accruals - By WBS_cost centr" xfId="5956"/>
    <cellStyle name="_Highly Indicative BEAR solution summary v2 2_Contingency tracker 020211 for PCSC for distribution Issued 27 01 11_A6.Accruals - By WBS_cost centr 2" xfId="5957"/>
    <cellStyle name="_Highly Indicative BEAR solution summary v2 2_Contingency tracker 020211 for PCSC for distribution Issued 27 01 11_Data Input" xfId="5958"/>
    <cellStyle name="_Highly Indicative BEAR solution summary v2 2_Contingency tracker 020211 for PCSC for distribution Issued 27 01 11_Data Input 2" xfId="5959"/>
    <cellStyle name="_Highly Indicative BEAR solution summary v2 2_Contingency tracker 020211 for PCSC for distribution Issued 27 01 11_Data Input 2 2" xfId="5960"/>
    <cellStyle name="_Highly Indicative BEAR solution summary v2 2_Contingency tracker 020211 for PCSC for distribution Issued 27 01 11_P4 Accrual Calculation for Appendix" xfId="5961"/>
    <cellStyle name="_Highly Indicative BEAR solution summary v2 2_Contingency tracker 020211 for PCSC for distribution Issued 27 01 11_P4 Accrual Calculation for Appendix 2" xfId="5962"/>
    <cellStyle name="_Highly Indicative BEAR solution summary v2 2_Contingency tracker 020211 for PCSC for distribution Issued 27 01 11_P4 Accrual Calculation for Appendix 2 2" xfId="5963"/>
    <cellStyle name="_Highly Indicative BEAR solution summary v2 2_Contingency tracker 020211 for PCSC for distribution Issued 27 01 11_P4 Accrual Calculation for Appendix 3" xfId="5964"/>
    <cellStyle name="_Highly Indicative BEAR solution summary v2 2_Contingency tracker 020211 for PCSC for distribution Issued 27 01 11_P4 Accrual Calculation for Appendix 3 2" xfId="5965"/>
    <cellStyle name="_Highly Indicative BEAR solution summary v2 2_Contingency tracker 020211 for PCSC for distribution Issued 27 01 11_P4 Accrual Calculation for Appendix 4" xfId="5966"/>
    <cellStyle name="_Highly Indicative BEAR solution summary v2 2_Contingency tracker 020311 for PCSC for distribution ISSUED 220211" xfId="5967"/>
    <cellStyle name="_Highly Indicative BEAR solution summary v2 2_Contingency tracker 020311 for PCSC for distribution ISSUED 220211 10" xfId="5968"/>
    <cellStyle name="_Highly Indicative BEAR solution summary v2 2_Contingency tracker 020311 for PCSC for distribution ISSUED 220211 10 2" xfId="5969"/>
    <cellStyle name="_Highly Indicative BEAR solution summary v2 2_Contingency tracker 020311 for PCSC for distribution ISSUED 220211 11" xfId="5970"/>
    <cellStyle name="_Highly Indicative BEAR solution summary v2 2_Contingency tracker 020311 for PCSC for distribution ISSUED 220211 11 2" xfId="5971"/>
    <cellStyle name="_Highly Indicative BEAR solution summary v2 2_Contingency tracker 020311 for PCSC for distribution ISSUED 220211 2" xfId="5972"/>
    <cellStyle name="_Highly Indicative BEAR solution summary v2 2_Contingency tracker 020311 for PCSC for distribution ISSUED 220211 2 2" xfId="5973"/>
    <cellStyle name="_Highly Indicative BEAR solution summary v2 2_Contingency tracker 020311 for PCSC for distribution ISSUED 220211 3" xfId="5974"/>
    <cellStyle name="_Highly Indicative BEAR solution summary v2 2_Contingency tracker 020311 for PCSC for distribution ISSUED 220211 3 2" xfId="5975"/>
    <cellStyle name="_Highly Indicative BEAR solution summary v2 2_Contingency tracker 020311 for PCSC for distribution ISSUED 220211 3 2 2" xfId="5976"/>
    <cellStyle name="_Highly Indicative BEAR solution summary v2 2_Contingency tracker 020311 for PCSC for distribution ISSUED 220211 3 3" xfId="5977"/>
    <cellStyle name="_Highly Indicative BEAR solution summary v2 2_Contingency tracker 020311 for PCSC for distribution ISSUED 220211 3_6.1 Contingency Allocation" xfId="5978"/>
    <cellStyle name="_Highly Indicative BEAR solution summary v2 2_Contingency tracker 020311 for PCSC for distribution ISSUED 220211 3_6.1 Contingency Allocation 2" xfId="5979"/>
    <cellStyle name="_Highly Indicative BEAR solution summary v2 2_Contingency tracker 020311 for PCSC for distribution ISSUED 220211 3_6.1 Contingency Allocation 2 2" xfId="5980"/>
    <cellStyle name="_Highly Indicative BEAR solution summary v2 2_Contingency tracker 020311 for PCSC for distribution ISSUED 220211 3_6.1 Contingency Allocation 3" xfId="5981"/>
    <cellStyle name="_Highly Indicative BEAR solution summary v2 2_Contingency tracker 020311 for PCSC for distribution ISSUED 220211 3_6.1 Contingency Allocation 3 2" xfId="5982"/>
    <cellStyle name="_Highly Indicative BEAR solution summary v2 2_Contingency tracker 020311 for PCSC for distribution ISSUED 220211 3_6.1 Contingency Allocation 4" xfId="5983"/>
    <cellStyle name="_Highly Indicative BEAR solution summary v2 2_Contingency tracker 020311 for PCSC for distribution ISSUED 220211 3_A.G Cost of Operations" xfId="5984"/>
    <cellStyle name="_Highly Indicative BEAR solution summary v2 2_Contingency tracker 020311 for PCSC for distribution ISSUED 220211 3_A.G Cost of Operations 2" xfId="5985"/>
    <cellStyle name="_Highly Indicative BEAR solution summary v2 2_Contingency tracker 020311 for PCSC for distribution ISSUED 220211 3_A.G Cost of Operations 2 2" xfId="5986"/>
    <cellStyle name="_Highly Indicative BEAR solution summary v2 2_Contingency tracker 020311 for PCSC for distribution ISSUED 220211 3_A.G Cost of Operations 3" xfId="5987"/>
    <cellStyle name="_Highly Indicative BEAR solution summary v2 2_Contingency tracker 020311 for PCSC for distribution ISSUED 220211 3_A.G Cost of Operations 3 2" xfId="5988"/>
    <cellStyle name="_Highly Indicative BEAR solution summary v2 2_Contingency tracker 020311 for PCSC for distribution ISSUED 220211 3_A.G Cost of Operations 4" xfId="5989"/>
    <cellStyle name="_Highly Indicative BEAR solution summary v2 2_Contingency tracker 020311 for PCSC for distribution ISSUED 220211 3_A.I  CF - Op Acc &amp; A7.PBAs" xfId="5990"/>
    <cellStyle name="_Highly Indicative BEAR solution summary v2 2_Contingency tracker 020311 for PCSC for distribution ISSUED 220211 3_A.I  CF - Op Acc &amp; A7.PBAs 2" xfId="5991"/>
    <cellStyle name="_Highly Indicative BEAR solution summary v2 2_Contingency tracker 020311 for PCSC for distribution ISSUED 220211 3_A.I  CF - Op Acc &amp; A7.PBAs 2 2" xfId="5992"/>
    <cellStyle name="_Highly Indicative BEAR solution summary v2 2_Contingency tracker 020311 for PCSC for distribution ISSUED 220211 3_A.I  CF - Op Acc &amp; A7.PBAs 3" xfId="5993"/>
    <cellStyle name="_Highly Indicative BEAR solution summary v2 2_Contingency tracker 020311 for PCSC for distribution ISSUED 220211 3_A.I  CF - Op Acc &amp; A7.PBAs 3 2" xfId="5994"/>
    <cellStyle name="_Highly Indicative BEAR solution summary v2 2_Contingency tracker 020311 for PCSC for distribution ISSUED 220211 3_A.I  CF - Op Acc &amp; A7.PBAs 4" xfId="5995"/>
    <cellStyle name="_Highly Indicative BEAR solution summary v2 2_Contingency tracker 020311 for PCSC for distribution ISSUED 220211 3_A.M Analysis of Indirect Detail" xfId="5996"/>
    <cellStyle name="_Highly Indicative BEAR solution summary v2 2_Contingency tracker 020311 for PCSC for distribution ISSUED 220211 3_A.M Analysis of Indirect Detail 2" xfId="5997"/>
    <cellStyle name="_Highly Indicative BEAR solution summary v2 2_Contingency tracker 020311 for PCSC for distribution ISSUED 220211 4" xfId="5998"/>
    <cellStyle name="_Highly Indicative BEAR solution summary v2 2_Contingency tracker 020311 for PCSC for distribution ISSUED 220211 4 2" xfId="5999"/>
    <cellStyle name="_Highly Indicative BEAR solution summary v2 2_Contingency tracker 020311 for PCSC for distribution ISSUED 220211 5" xfId="6000"/>
    <cellStyle name="_Highly Indicative BEAR solution summary v2 2_Contingency tracker 020311 for PCSC for distribution ISSUED 220211 5 2" xfId="6001"/>
    <cellStyle name="_Highly Indicative BEAR solution summary v2 2_Contingency tracker 020311 for PCSC for distribution ISSUED 220211 6" xfId="6002"/>
    <cellStyle name="_Highly Indicative BEAR solution summary v2 2_Contingency tracker 020311 for PCSC for distribution ISSUED 220211 6 2" xfId="6003"/>
    <cellStyle name="_Highly Indicative BEAR solution summary v2 2_Contingency tracker 020311 for PCSC for distribution ISSUED 220211 7" xfId="6004"/>
    <cellStyle name="_Highly Indicative BEAR solution summary v2 2_Contingency tracker 020311 for PCSC for distribution ISSUED 220211 7 2" xfId="6005"/>
    <cellStyle name="_Highly Indicative BEAR solution summary v2 2_Contingency tracker 020311 for PCSC for distribution ISSUED 220211 8" xfId="6006"/>
    <cellStyle name="_Highly Indicative BEAR solution summary v2 2_Contingency tracker 020311 for PCSC for distribution ISSUED 220211 8 2" xfId="6007"/>
    <cellStyle name="_Highly Indicative BEAR solution summary v2 2_Contingency tracker 020311 for PCSC for distribution ISSUED 220211 9" xfId="6008"/>
    <cellStyle name="_Highly Indicative BEAR solution summary v2 2_Contingency tracker 020311 for PCSC for distribution ISSUED 220211 9 2" xfId="6009"/>
    <cellStyle name="_Highly Indicative BEAR solution summary v2 2_Contingency tracker 020311 for PCSC for distribution ISSUED 220211_A1.  Major AFC var by contract" xfId="6010"/>
    <cellStyle name="_Highly Indicative BEAR solution summary v2 2_Contingency tracker 020311 for PCSC for distribution ISSUED 220211_A1.  Major AFC var by contract 2" xfId="6011"/>
    <cellStyle name="_Highly Indicative BEAR solution summary v2 2_Contingency tracker 020311 for PCSC for distribution ISSUED 220211_A1.  Major AFC var by contract 2 2" xfId="6012"/>
    <cellStyle name="_Highly Indicative BEAR solution summary v2 2_Contingency tracker 020311 for PCSC for distribution ISSUED 220211_A1.  Major AFC var by contract 3" xfId="6013"/>
    <cellStyle name="_Highly Indicative BEAR solution summary v2 2_Contingency tracker 020311 for PCSC for distribution ISSUED 220211_A1.  Major AFC var by contract 3 2" xfId="6014"/>
    <cellStyle name="_Highly Indicative BEAR solution summary v2 2_Contingency tracker 020311 for PCSC for distribution ISSUED 220211_A1.  Major AFC var by contract 4" xfId="6015"/>
    <cellStyle name="_Highly Indicative BEAR solution summary v2 2_Contingency tracker 020311 for PCSC for distribution ISSUED 220211_A6.Accruals - By WBS_cost centr" xfId="6016"/>
    <cellStyle name="_Highly Indicative BEAR solution summary v2 2_Contingency tracker 020311 for PCSC for distribution ISSUED 220211_A6.Accruals - By WBS_cost centr 2" xfId="6017"/>
    <cellStyle name="_Highly Indicative BEAR solution summary v2 2_Contingency tracker 020311 for PCSC for distribution ISSUED 220211_Data Input" xfId="6018"/>
    <cellStyle name="_Highly Indicative BEAR solution summary v2 2_Contingency tracker 020311 for PCSC for distribution ISSUED 220211_Data Input 2" xfId="6019"/>
    <cellStyle name="_Highly Indicative BEAR solution summary v2 2_Contingency tracker 020311 for PCSC for distribution ISSUED 220211_Data Input 2 2" xfId="6020"/>
    <cellStyle name="_Highly Indicative BEAR solution summary v2 2_Contingency tracker 020311 for PCSC for distribution ISSUED 220211_P4 Accrual Calculation for Appendix" xfId="6021"/>
    <cellStyle name="_Highly Indicative BEAR solution summary v2 2_Contingency tracker 020311 for PCSC for distribution ISSUED 220211_P4 Accrual Calculation for Appendix 2" xfId="6022"/>
    <cellStyle name="_Highly Indicative BEAR solution summary v2 2_Contingency tracker 020311 for PCSC for distribution ISSUED 220211_P4 Accrual Calculation for Appendix 2 2" xfId="6023"/>
    <cellStyle name="_Highly Indicative BEAR solution summary v2 2_Contingency tracker 020311 for PCSC for distribution ISSUED 220211_P4 Accrual Calculation for Appendix 3" xfId="6024"/>
    <cellStyle name="_Highly Indicative BEAR solution summary v2 2_Contingency tracker 020311 for PCSC for distribution ISSUED 220211_P4 Accrual Calculation for Appendix 3 2" xfId="6025"/>
    <cellStyle name="_Highly Indicative BEAR solution summary v2 2_Contingency tracker 020311 for PCSC for distribution ISSUED 220211_P4 Accrual Calculation for Appendix 4" xfId="6026"/>
    <cellStyle name="_Highly Indicative BEAR solution summary v2 2_Contingency tracker 250511 for PCSC" xfId="6027"/>
    <cellStyle name="_Highly Indicative BEAR solution summary v2 2_Contingency tracker 250511 for PCSC (2)" xfId="6028"/>
    <cellStyle name="_Highly Indicative BEAR solution summary v2 2_Contingency tracker 250511 for PCSC (2) 2" xfId="6029"/>
    <cellStyle name="_Highly Indicative BEAR solution summary v2 2_Contingency tracker 250511 for PCSC (2) 2 2" xfId="6030"/>
    <cellStyle name="_Highly Indicative BEAR solution summary v2 2_Contingency tracker 250511 for PCSC (2)_Data Input" xfId="6031"/>
    <cellStyle name="_Highly Indicative BEAR solution summary v2 2_Contingency tracker 250511 for PCSC (2)_Data Input 2" xfId="6032"/>
    <cellStyle name="_Highly Indicative BEAR solution summary v2 2_Contingency tracker 250511 for PCSC (2)_Data Input 2 2" xfId="6033"/>
    <cellStyle name="_Highly Indicative BEAR solution summary v2 2_Contingency tracker 250511 for PCSC 2" xfId="6034"/>
    <cellStyle name="_Highly Indicative BEAR solution summary v2 2_Contingency tracker 250511 for PCSC 2 2" xfId="6035"/>
    <cellStyle name="_Highly Indicative BEAR solution summary v2 2_Contingency tracker 250511 for PCSC 3" xfId="6036"/>
    <cellStyle name="_Highly Indicative BEAR solution summary v2 2_Contingency tracker 250511 for PCSC 3 2" xfId="6037"/>
    <cellStyle name="_Highly Indicative BEAR solution summary v2 2_Contingency tracker 250511 for PCSC 4" xfId="6038"/>
    <cellStyle name="_Highly Indicative BEAR solution summary v2 2_Contingency tracker 250511 for PCSC 4 2" xfId="6039"/>
    <cellStyle name="_Highly Indicative BEAR solution summary v2 2_Contingency tracker 250511 for PCSC_Data Input" xfId="6040"/>
    <cellStyle name="_Highly Indicative BEAR solution summary v2 2_Contingency tracker 250511 for PCSC_Data Input 2" xfId="6041"/>
    <cellStyle name="_Highly Indicative BEAR solution summary v2 2_Contingency tracker 250511 for PCSC_Data Input 2 2" xfId="6042"/>
    <cellStyle name="_Highly Indicative BEAR solution summary v2 2_Contracts with Major Variances to Current Forecast P1" xfId="6043"/>
    <cellStyle name="_Highly Indicative BEAR solution summary v2 2_Contracts with Major Variances to Current Forecast P1 2" xfId="6044"/>
    <cellStyle name="_Highly Indicative BEAR solution summary v2 2_Contracts with Major Variances to Current Forecast P1 2 2" xfId="6045"/>
    <cellStyle name="_Highly Indicative BEAR solution summary v2 2_Contracts with Major Variances to Current Forecast P1 3" xfId="6046"/>
    <cellStyle name="_Highly Indicative BEAR solution summary v2 2_Contracts with Major Variances to Current Forecast P1 3 2" xfId="6047"/>
    <cellStyle name="_Highly Indicative BEAR solution summary v2 2_Contracts with Major Variances to Current Forecast P1 3 2 2" xfId="6048"/>
    <cellStyle name="_Highly Indicative BEAR solution summary v2 2_Contracts with Major Variances to Current Forecast P1 3 3" xfId="6049"/>
    <cellStyle name="_Highly Indicative BEAR solution summary v2 2_Contracts with Major Variances to Current Forecast P1 3_6.1 Contingency Allocation" xfId="6050"/>
    <cellStyle name="_Highly Indicative BEAR solution summary v2 2_Contracts with Major Variances to Current Forecast P1 3_6.1 Contingency Allocation 2" xfId="6051"/>
    <cellStyle name="_Highly Indicative BEAR solution summary v2 2_Contracts with Major Variances to Current Forecast P1 3_6.1 Contingency Allocation 2 2" xfId="6052"/>
    <cellStyle name="_Highly Indicative BEAR solution summary v2 2_Contracts with Major Variances to Current Forecast P1 3_6.1 Contingency Allocation 3" xfId="6053"/>
    <cellStyle name="_Highly Indicative BEAR solution summary v2 2_Contracts with Major Variances to Current Forecast P1 3_6.1 Contingency Allocation 3 2" xfId="6054"/>
    <cellStyle name="_Highly Indicative BEAR solution summary v2 2_Contracts with Major Variances to Current Forecast P1 3_6.1 Contingency Allocation 4" xfId="6055"/>
    <cellStyle name="_Highly Indicative BEAR solution summary v2 2_Contracts with Major Variances to Current Forecast P1 3_A.G Cost of Operations" xfId="6056"/>
    <cellStyle name="_Highly Indicative BEAR solution summary v2 2_Contracts with Major Variances to Current Forecast P1 3_A.G Cost of Operations 2" xfId="6057"/>
    <cellStyle name="_Highly Indicative BEAR solution summary v2 2_Contracts with Major Variances to Current Forecast P1 3_A.G Cost of Operations 2 2" xfId="6058"/>
    <cellStyle name="_Highly Indicative BEAR solution summary v2 2_Contracts with Major Variances to Current Forecast P1 3_A.G Cost of Operations 3" xfId="6059"/>
    <cellStyle name="_Highly Indicative BEAR solution summary v2 2_Contracts with Major Variances to Current Forecast P1 3_A.G Cost of Operations 3 2" xfId="6060"/>
    <cellStyle name="_Highly Indicative BEAR solution summary v2 2_Contracts with Major Variances to Current Forecast P1 3_A.G Cost of Operations 4" xfId="6061"/>
    <cellStyle name="_Highly Indicative BEAR solution summary v2 2_Contracts with Major Variances to Current Forecast P1 3_A.I  CF - Op Acc &amp; A7.PBAs" xfId="6062"/>
    <cellStyle name="_Highly Indicative BEAR solution summary v2 2_Contracts with Major Variances to Current Forecast P1 3_A.I  CF - Op Acc &amp; A7.PBAs 2" xfId="6063"/>
    <cellStyle name="_Highly Indicative BEAR solution summary v2 2_Contracts with Major Variances to Current Forecast P1 3_A.I  CF - Op Acc &amp; A7.PBAs 2 2" xfId="6064"/>
    <cellStyle name="_Highly Indicative BEAR solution summary v2 2_Contracts with Major Variances to Current Forecast P1 3_A.I  CF - Op Acc &amp; A7.PBAs 3" xfId="6065"/>
    <cellStyle name="_Highly Indicative BEAR solution summary v2 2_Contracts with Major Variances to Current Forecast P1 3_A.I  CF - Op Acc &amp; A7.PBAs 3 2" xfId="6066"/>
    <cellStyle name="_Highly Indicative BEAR solution summary v2 2_Contracts with Major Variances to Current Forecast P1 3_A.I  CF - Op Acc &amp; A7.PBAs 4" xfId="6067"/>
    <cellStyle name="_Highly Indicative BEAR solution summary v2 2_Contracts with Major Variances to Current Forecast P1 3_A.M Analysis of Indirect Detail" xfId="6068"/>
    <cellStyle name="_Highly Indicative BEAR solution summary v2 2_Contracts with Major Variances to Current Forecast P1 3_A.M Analysis of Indirect Detail 2" xfId="6069"/>
    <cellStyle name="_Highly Indicative BEAR solution summary v2 2_Contracts with Major Variances to Current Forecast P1 4" xfId="6070"/>
    <cellStyle name="_Highly Indicative BEAR solution summary v2 2_Contracts with Major Variances to Current Forecast P1 4 2" xfId="6071"/>
    <cellStyle name="_Highly Indicative BEAR solution summary v2 2_Contracts with Major Variances to Current Forecast P1 5" xfId="6072"/>
    <cellStyle name="_Highly Indicative BEAR solution summary v2 2_Contracts with Major Variances to Current Forecast P1 5 2" xfId="6073"/>
    <cellStyle name="_Highly Indicative BEAR solution summary v2 2_Contracts with Major Variances to Current Forecast P1 6" xfId="6074"/>
    <cellStyle name="_Highly Indicative BEAR solution summary v2 2_Contracts with Major Variances to Current Forecast P1_A6.Accruals - By WBS_cost centr" xfId="6075"/>
    <cellStyle name="_Highly Indicative BEAR solution summary v2 2_Contracts with Major Variances to Current Forecast P1_A6.Accruals - By WBS_cost centr 2" xfId="6076"/>
    <cellStyle name="_Highly Indicative BEAR solution summary v2 2_Contracts with Major Variances to Current Forecast P1_P4 Accrual Calculation for Appendix" xfId="6077"/>
    <cellStyle name="_Highly Indicative BEAR solution summary v2 2_Contracts with Major Variances to Current Forecast P1_P4 Accrual Calculation for Appendix 2" xfId="6078"/>
    <cellStyle name="_Highly Indicative BEAR solution summary v2 2_Contracts with Major Variances to Current Forecast P1_P4 Accrual Calculation for Appendix 2 2" xfId="6079"/>
    <cellStyle name="_Highly Indicative BEAR solution summary v2 2_Contracts with Major Variances to Current Forecast P1_P4 Accrual Calculation for Appendix 3" xfId="6080"/>
    <cellStyle name="_Highly Indicative BEAR solution summary v2 2_Contracts with Major Variances to Current Forecast P1_P4 Accrual Calculation for Appendix 3 2" xfId="6081"/>
    <cellStyle name="_Highly Indicative BEAR solution summary v2 2_Contracts with Major Variances to Current Forecast P1_P4 Accrual Calculation for Appendix 4" xfId="6082"/>
    <cellStyle name="_Highly Indicative BEAR solution summary v2 2_P10 Current Budget 14 01 11 - Final Rev02" xfId="6083"/>
    <cellStyle name="_Highly Indicative BEAR solution summary v2 2_P10 Current Budget 14 01 11 - Final Rev02 10" xfId="6084"/>
    <cellStyle name="_Highly Indicative BEAR solution summary v2 2_P10 Current Budget 14 01 11 - Final Rev02 10 2" xfId="6085"/>
    <cellStyle name="_Highly Indicative BEAR solution summary v2 2_P10 Current Budget 14 01 11 - Final Rev02 11" xfId="6086"/>
    <cellStyle name="_Highly Indicative BEAR solution summary v2 2_P10 Current Budget 14 01 11 - Final Rev02 11 2" xfId="6087"/>
    <cellStyle name="_Highly Indicative BEAR solution summary v2 2_P10 Current Budget 14 01 11 - Final Rev02 2" xfId="6088"/>
    <cellStyle name="_Highly Indicative BEAR solution summary v2 2_P10 Current Budget 14 01 11 - Final Rev02 2 2" xfId="6089"/>
    <cellStyle name="_Highly Indicative BEAR solution summary v2 2_P10 Current Budget 14 01 11 - Final Rev02 3" xfId="6090"/>
    <cellStyle name="_Highly Indicative BEAR solution summary v2 2_P10 Current Budget 14 01 11 - Final Rev02 3 2" xfId="6091"/>
    <cellStyle name="_Highly Indicative BEAR solution summary v2 2_P10 Current Budget 14 01 11 - Final Rev02 3 2 2" xfId="6092"/>
    <cellStyle name="_Highly Indicative BEAR solution summary v2 2_P10 Current Budget 14 01 11 - Final Rev02 3 3" xfId="6093"/>
    <cellStyle name="_Highly Indicative BEAR solution summary v2 2_P10 Current Budget 14 01 11 - Final Rev02 3_6.1 Contingency Allocation" xfId="6094"/>
    <cellStyle name="_Highly Indicative BEAR solution summary v2 2_P10 Current Budget 14 01 11 - Final Rev02 3_6.1 Contingency Allocation 2" xfId="6095"/>
    <cellStyle name="_Highly Indicative BEAR solution summary v2 2_P10 Current Budget 14 01 11 - Final Rev02 3_6.1 Contingency Allocation 2 2" xfId="6096"/>
    <cellStyle name="_Highly Indicative BEAR solution summary v2 2_P10 Current Budget 14 01 11 - Final Rev02 3_6.1 Contingency Allocation 3" xfId="6097"/>
    <cellStyle name="_Highly Indicative BEAR solution summary v2 2_P10 Current Budget 14 01 11 - Final Rev02 3_6.1 Contingency Allocation 3 2" xfId="6098"/>
    <cellStyle name="_Highly Indicative BEAR solution summary v2 2_P10 Current Budget 14 01 11 - Final Rev02 3_6.1 Contingency Allocation 4" xfId="6099"/>
    <cellStyle name="_Highly Indicative BEAR solution summary v2 2_P10 Current Budget 14 01 11 - Final Rev02 3_A.G Cost of Operations" xfId="6100"/>
    <cellStyle name="_Highly Indicative BEAR solution summary v2 2_P10 Current Budget 14 01 11 - Final Rev02 3_A.G Cost of Operations 2" xfId="6101"/>
    <cellStyle name="_Highly Indicative BEAR solution summary v2 2_P10 Current Budget 14 01 11 - Final Rev02 3_A.G Cost of Operations 2 2" xfId="6102"/>
    <cellStyle name="_Highly Indicative BEAR solution summary v2 2_P10 Current Budget 14 01 11 - Final Rev02 3_A.G Cost of Operations 3" xfId="6103"/>
    <cellStyle name="_Highly Indicative BEAR solution summary v2 2_P10 Current Budget 14 01 11 - Final Rev02 3_A.G Cost of Operations 3 2" xfId="6104"/>
    <cellStyle name="_Highly Indicative BEAR solution summary v2 2_P10 Current Budget 14 01 11 - Final Rev02 3_A.G Cost of Operations 4" xfId="6105"/>
    <cellStyle name="_Highly Indicative BEAR solution summary v2 2_P10 Current Budget 14 01 11 - Final Rev02 3_A.I  CF - Op Acc &amp; A7.PBAs" xfId="6106"/>
    <cellStyle name="_Highly Indicative BEAR solution summary v2 2_P10 Current Budget 14 01 11 - Final Rev02 3_A.I  CF - Op Acc &amp; A7.PBAs 2" xfId="6107"/>
    <cellStyle name="_Highly Indicative BEAR solution summary v2 2_P10 Current Budget 14 01 11 - Final Rev02 3_A.I  CF - Op Acc &amp; A7.PBAs 2 2" xfId="6108"/>
    <cellStyle name="_Highly Indicative BEAR solution summary v2 2_P10 Current Budget 14 01 11 - Final Rev02 3_A.I  CF - Op Acc &amp; A7.PBAs 3" xfId="6109"/>
    <cellStyle name="_Highly Indicative BEAR solution summary v2 2_P10 Current Budget 14 01 11 - Final Rev02 3_A.I  CF - Op Acc &amp; A7.PBAs 3 2" xfId="6110"/>
    <cellStyle name="_Highly Indicative BEAR solution summary v2 2_P10 Current Budget 14 01 11 - Final Rev02 3_A.I  CF - Op Acc &amp; A7.PBAs 4" xfId="6111"/>
    <cellStyle name="_Highly Indicative BEAR solution summary v2 2_P10 Current Budget 14 01 11 - Final Rev02 3_A.M Analysis of Indirect Detail" xfId="6112"/>
    <cellStyle name="_Highly Indicative BEAR solution summary v2 2_P10 Current Budget 14 01 11 - Final Rev02 3_A.M Analysis of Indirect Detail 2" xfId="6113"/>
    <cellStyle name="_Highly Indicative BEAR solution summary v2 2_P10 Current Budget 14 01 11 - Final Rev02 4" xfId="6114"/>
    <cellStyle name="_Highly Indicative BEAR solution summary v2 2_P10 Current Budget 14 01 11 - Final Rev02 4 2" xfId="6115"/>
    <cellStyle name="_Highly Indicative BEAR solution summary v2 2_P10 Current Budget 14 01 11 - Final Rev02 5" xfId="6116"/>
    <cellStyle name="_Highly Indicative BEAR solution summary v2 2_P10 Current Budget 14 01 11 - Final Rev02 5 2" xfId="6117"/>
    <cellStyle name="_Highly Indicative BEAR solution summary v2 2_P10 Current Budget 14 01 11 - Final Rev02 6" xfId="6118"/>
    <cellStyle name="_Highly Indicative BEAR solution summary v2 2_P10 Current Budget 14 01 11 - Final Rev02 6 2" xfId="6119"/>
    <cellStyle name="_Highly Indicative BEAR solution summary v2 2_P10 Current Budget 14 01 11 - Final Rev02 7" xfId="6120"/>
    <cellStyle name="_Highly Indicative BEAR solution summary v2 2_P10 Current Budget 14 01 11 - Final Rev02 7 2" xfId="6121"/>
    <cellStyle name="_Highly Indicative BEAR solution summary v2 2_P10 Current Budget 14 01 11 - Final Rev02 8" xfId="6122"/>
    <cellStyle name="_Highly Indicative BEAR solution summary v2 2_P10 Current Budget 14 01 11 - Final Rev02 8 2" xfId="6123"/>
    <cellStyle name="_Highly Indicative BEAR solution summary v2 2_P10 Current Budget 14 01 11 - Final Rev02 9" xfId="6124"/>
    <cellStyle name="_Highly Indicative BEAR solution summary v2 2_P10 Current Budget 14 01 11 - Final Rev02 9 2" xfId="6125"/>
    <cellStyle name="_Highly Indicative BEAR solution summary v2 2_P10 Current Budget 14 01 11 - Final Rev02_A1.  Major AFC var by contract" xfId="6126"/>
    <cellStyle name="_Highly Indicative BEAR solution summary v2 2_P10 Current Budget 14 01 11 - Final Rev02_A1.  Major AFC var by contract 2" xfId="6127"/>
    <cellStyle name="_Highly Indicative BEAR solution summary v2 2_P10 Current Budget 14 01 11 - Final Rev02_A1.  Major AFC var by contract 2 2" xfId="6128"/>
    <cellStyle name="_Highly Indicative BEAR solution summary v2 2_P10 Current Budget 14 01 11 - Final Rev02_A1.  Major AFC var by contract 3" xfId="6129"/>
    <cellStyle name="_Highly Indicative BEAR solution summary v2 2_P10 Current Budget 14 01 11 - Final Rev02_A1.  Major AFC var by contract 3 2" xfId="6130"/>
    <cellStyle name="_Highly Indicative BEAR solution summary v2 2_P10 Current Budget 14 01 11 - Final Rev02_A1.  Major AFC var by contract 4" xfId="6131"/>
    <cellStyle name="_Highly Indicative BEAR solution summary v2 2_P10 Current Budget 14 01 11 - Final Rev02_A6.Accruals - By WBS_cost centr" xfId="6132"/>
    <cellStyle name="_Highly Indicative BEAR solution summary v2 2_P10 Current Budget 14 01 11 - Final Rev02_A6.Accruals - By WBS_cost centr 2" xfId="6133"/>
    <cellStyle name="_Highly Indicative BEAR solution summary v2 2_P10 Current Budget 14 01 11 - Final Rev02_Data Input" xfId="6134"/>
    <cellStyle name="_Highly Indicative BEAR solution summary v2 2_P10 Current Budget 14 01 11 - Final Rev02_Data Input 2" xfId="6135"/>
    <cellStyle name="_Highly Indicative BEAR solution summary v2 2_P10 Current Budget 14 01 11 - Final Rev02_Data Input 2 2" xfId="6136"/>
    <cellStyle name="_Highly Indicative BEAR solution summary v2 2_P10 Current Budget 14 01 11 - Final Rev02_P4 Accrual Calculation for Appendix" xfId="6137"/>
    <cellStyle name="_Highly Indicative BEAR solution summary v2 2_P10 Current Budget 14 01 11 - Final Rev02_P4 Accrual Calculation for Appendix 2" xfId="6138"/>
    <cellStyle name="_Highly Indicative BEAR solution summary v2 2_P10 Current Budget 14 01 11 - Final Rev02_P4 Accrual Calculation for Appendix 2 2" xfId="6139"/>
    <cellStyle name="_Highly Indicative BEAR solution summary v2 2_P10 Current Budget 14 01 11 - Final Rev02_P4 Accrual Calculation for Appendix 3" xfId="6140"/>
    <cellStyle name="_Highly Indicative BEAR solution summary v2 2_P10 Current Budget 14 01 11 - Final Rev02_P4 Accrual Calculation for Appendix 3 2" xfId="6141"/>
    <cellStyle name="_Highly Indicative BEAR solution summary v2 2_P10 Current Budget 14 01 11 - Final Rev02_P4 Accrual Calculation for Appendix 4" xfId="6142"/>
    <cellStyle name="_Highly Indicative BEAR solution summary v2 2_P4 Accrual Calculation for Appendix" xfId="6143"/>
    <cellStyle name="_Highly Indicative BEAR solution summary v2 2_P4 Accrual Calculation for Appendix 2" xfId="6144"/>
    <cellStyle name="_Highly Indicative BEAR solution summary v2 2_P4 Accrual Calculation for Appendix 2 2" xfId="6145"/>
    <cellStyle name="_Highly Indicative BEAR solution summary v2 2_P4 Accrual Calculation for Appendix 3" xfId="6146"/>
    <cellStyle name="_Highly Indicative BEAR solution summary v2 2_P4 Accrual Calculation for Appendix 3 2" xfId="6147"/>
    <cellStyle name="_Highly Indicative BEAR solution summary v2 2_P4 Accrual Calculation for Appendix 4" xfId="6148"/>
    <cellStyle name="_Highly Indicative BEAR solution summary v2 2_R41 R42 Table" xfId="6149"/>
    <cellStyle name="_Highly Indicative BEAR solution summary v2 2_R41 R42 Table 10" xfId="6150"/>
    <cellStyle name="_Highly Indicative BEAR solution summary v2 2_R41 R42 Table 10 2" xfId="6151"/>
    <cellStyle name="_Highly Indicative BEAR solution summary v2 2_R41 R42 Table 11" xfId="6152"/>
    <cellStyle name="_Highly Indicative BEAR solution summary v2 2_R41 R42 Table 11 2" xfId="6153"/>
    <cellStyle name="_Highly Indicative BEAR solution summary v2 2_R41 R42 Table 2" xfId="6154"/>
    <cellStyle name="_Highly Indicative BEAR solution summary v2 2_R41 R42 Table 2 2" xfId="6155"/>
    <cellStyle name="_Highly Indicative BEAR solution summary v2 2_R41 R42 Table 3" xfId="6156"/>
    <cellStyle name="_Highly Indicative BEAR solution summary v2 2_R41 R42 Table 3 2" xfId="6157"/>
    <cellStyle name="_Highly Indicative BEAR solution summary v2 2_R41 R42 Table 3 2 2" xfId="6158"/>
    <cellStyle name="_Highly Indicative BEAR solution summary v2 2_R41 R42 Table 3 3" xfId="6159"/>
    <cellStyle name="_Highly Indicative BEAR solution summary v2 2_R41 R42 Table 3_6.1 Contingency Allocation" xfId="6160"/>
    <cellStyle name="_Highly Indicative BEAR solution summary v2 2_R41 R42 Table 3_6.1 Contingency Allocation 2" xfId="6161"/>
    <cellStyle name="_Highly Indicative BEAR solution summary v2 2_R41 R42 Table 3_6.1 Contingency Allocation 2 2" xfId="6162"/>
    <cellStyle name="_Highly Indicative BEAR solution summary v2 2_R41 R42 Table 3_6.1 Contingency Allocation 3" xfId="6163"/>
    <cellStyle name="_Highly Indicative BEAR solution summary v2 2_R41 R42 Table 3_6.1 Contingency Allocation 3 2" xfId="6164"/>
    <cellStyle name="_Highly Indicative BEAR solution summary v2 2_R41 R42 Table 3_6.1 Contingency Allocation 4" xfId="6165"/>
    <cellStyle name="_Highly Indicative BEAR solution summary v2 2_R41 R42 Table 3_A.G Cost of Operations" xfId="6166"/>
    <cellStyle name="_Highly Indicative BEAR solution summary v2 2_R41 R42 Table 3_A.G Cost of Operations 2" xfId="6167"/>
    <cellStyle name="_Highly Indicative BEAR solution summary v2 2_R41 R42 Table 3_A.G Cost of Operations 2 2" xfId="6168"/>
    <cellStyle name="_Highly Indicative BEAR solution summary v2 2_R41 R42 Table 3_A.G Cost of Operations 3" xfId="6169"/>
    <cellStyle name="_Highly Indicative BEAR solution summary v2 2_R41 R42 Table 3_A.G Cost of Operations 3 2" xfId="6170"/>
    <cellStyle name="_Highly Indicative BEAR solution summary v2 2_R41 R42 Table 3_A.G Cost of Operations 4" xfId="6171"/>
    <cellStyle name="_Highly Indicative BEAR solution summary v2 2_R41 R42 Table 3_A.I  CF - Op Acc &amp; A7.PBAs" xfId="6172"/>
    <cellStyle name="_Highly Indicative BEAR solution summary v2 2_R41 R42 Table 3_A.I  CF - Op Acc &amp; A7.PBAs 2" xfId="6173"/>
    <cellStyle name="_Highly Indicative BEAR solution summary v2 2_R41 R42 Table 3_A.I  CF - Op Acc &amp; A7.PBAs 2 2" xfId="6174"/>
    <cellStyle name="_Highly Indicative BEAR solution summary v2 2_R41 R42 Table 3_A.I  CF - Op Acc &amp; A7.PBAs 3" xfId="6175"/>
    <cellStyle name="_Highly Indicative BEAR solution summary v2 2_R41 R42 Table 3_A.I  CF - Op Acc &amp; A7.PBAs 3 2" xfId="6176"/>
    <cellStyle name="_Highly Indicative BEAR solution summary v2 2_R41 R42 Table 3_A.I  CF - Op Acc &amp; A7.PBAs 4" xfId="6177"/>
    <cellStyle name="_Highly Indicative BEAR solution summary v2 2_R41 R42 Table 3_A.M Analysis of Indirect Detail" xfId="6178"/>
    <cellStyle name="_Highly Indicative BEAR solution summary v2 2_R41 R42 Table 3_A.M Analysis of Indirect Detail 2" xfId="6179"/>
    <cellStyle name="_Highly Indicative BEAR solution summary v2 2_R41 R42 Table 4" xfId="6180"/>
    <cellStyle name="_Highly Indicative BEAR solution summary v2 2_R41 R42 Table 4 2" xfId="6181"/>
    <cellStyle name="_Highly Indicative BEAR solution summary v2 2_R41 R42 Table 5" xfId="6182"/>
    <cellStyle name="_Highly Indicative BEAR solution summary v2 2_R41 R42 Table 5 2" xfId="6183"/>
    <cellStyle name="_Highly Indicative BEAR solution summary v2 2_R41 R42 Table 6" xfId="6184"/>
    <cellStyle name="_Highly Indicative BEAR solution summary v2 2_R41 R42 Table 6 2" xfId="6185"/>
    <cellStyle name="_Highly Indicative BEAR solution summary v2 2_R41 R42 Table 7" xfId="6186"/>
    <cellStyle name="_Highly Indicative BEAR solution summary v2 2_R41 R42 Table 7 2" xfId="6187"/>
    <cellStyle name="_Highly Indicative BEAR solution summary v2 2_R41 R42 Table 8" xfId="6188"/>
    <cellStyle name="_Highly Indicative BEAR solution summary v2 2_R41 R42 Table 8 2" xfId="6189"/>
    <cellStyle name="_Highly Indicative BEAR solution summary v2 2_R41 R42 Table 9" xfId="6190"/>
    <cellStyle name="_Highly Indicative BEAR solution summary v2 2_R41 R42 Table 9 2" xfId="6191"/>
    <cellStyle name="_Highly Indicative BEAR solution summary v2 2_R41 R42 Table_A6.Accruals - By WBS_cost centr" xfId="6192"/>
    <cellStyle name="_Highly Indicative BEAR solution summary v2 2_R41 R42 Table_A6.Accruals - By WBS_cost centr 2" xfId="6193"/>
    <cellStyle name="_Highly Indicative BEAR solution summary v2 2_R41 R42 Table_P4 Accrual Calculation for Appendix" xfId="6194"/>
    <cellStyle name="_Highly Indicative BEAR solution summary v2 2_R41 R42 Table_P4 Accrual Calculation for Appendix 2" xfId="6195"/>
    <cellStyle name="_Highly Indicative BEAR solution summary v2 2_R41 R42 Table_P4 Accrual Calculation for Appendix 2 2" xfId="6196"/>
    <cellStyle name="_Highly Indicative BEAR solution summary v2 2_R41 R42 Table_P4 Accrual Calculation for Appendix 3" xfId="6197"/>
    <cellStyle name="_Highly Indicative BEAR solution summary v2 2_R41 R42 Table_P4 Accrual Calculation for Appendix 3 2" xfId="6198"/>
    <cellStyle name="_Highly Indicative BEAR solution summary v2 2_R41 R42 Table_P4 Accrual Calculation for Appendix 4" xfId="6199"/>
    <cellStyle name="_Highly Indicative BEAR solution summary v2 2_SAP CRL directs entry template for P10" xfId="6200"/>
    <cellStyle name="_Highly Indicative BEAR solution summary v2 2_SAP CRL directs entry template for P10 2" xfId="6201"/>
    <cellStyle name="_Highly Indicative BEAR solution summary v2 2_SAP CRL directs entry template for P10 2 2" xfId="6202"/>
    <cellStyle name="_Highly Indicative BEAR solution summary v2 2_SAP CRL directs entry template for P10 3" xfId="6203"/>
    <cellStyle name="_Highly Indicative BEAR solution summary v2 2_SAP CRL directs entry template for P10 3 2" xfId="6204"/>
    <cellStyle name="_Highly Indicative BEAR solution summary v2 2_SAP CRL directs entry template for P10 3 2 2" xfId="6205"/>
    <cellStyle name="_Highly Indicative BEAR solution summary v2 2_SAP CRL directs entry template for P10 3 3" xfId="6206"/>
    <cellStyle name="_Highly Indicative BEAR solution summary v2 2_SAP CRL directs entry template for P10 3_6.1 Contingency Allocation" xfId="6207"/>
    <cellStyle name="_Highly Indicative BEAR solution summary v2 2_SAP CRL directs entry template for P10 3_6.1 Contingency Allocation 2" xfId="6208"/>
    <cellStyle name="_Highly Indicative BEAR solution summary v2 2_SAP CRL directs entry template for P10 3_6.1 Contingency Allocation 2 2" xfId="6209"/>
    <cellStyle name="_Highly Indicative BEAR solution summary v2 2_SAP CRL directs entry template for P10 3_6.1 Contingency Allocation 3" xfId="6210"/>
    <cellStyle name="_Highly Indicative BEAR solution summary v2 2_SAP CRL directs entry template for P10 3_6.1 Contingency Allocation 3 2" xfId="6211"/>
    <cellStyle name="_Highly Indicative BEAR solution summary v2 2_SAP CRL directs entry template for P10 3_6.1 Contingency Allocation 4" xfId="6212"/>
    <cellStyle name="_Highly Indicative BEAR solution summary v2 2_SAP CRL directs entry template for P10 3_A.G Cost of Operations" xfId="6213"/>
    <cellStyle name="_Highly Indicative BEAR solution summary v2 2_SAP CRL directs entry template for P10 3_A.G Cost of Operations 2" xfId="6214"/>
    <cellStyle name="_Highly Indicative BEAR solution summary v2 2_SAP CRL directs entry template for P10 3_A.G Cost of Operations 2 2" xfId="6215"/>
    <cellStyle name="_Highly Indicative BEAR solution summary v2 2_SAP CRL directs entry template for P10 3_A.G Cost of Operations 3" xfId="6216"/>
    <cellStyle name="_Highly Indicative BEAR solution summary v2 2_SAP CRL directs entry template for P10 3_A.G Cost of Operations 3 2" xfId="6217"/>
    <cellStyle name="_Highly Indicative BEAR solution summary v2 2_SAP CRL directs entry template for P10 3_A.G Cost of Operations 4" xfId="6218"/>
    <cellStyle name="_Highly Indicative BEAR solution summary v2 2_SAP CRL directs entry template for P10 3_A.I  CF - Op Acc &amp; A7.PBAs" xfId="6219"/>
    <cellStyle name="_Highly Indicative BEAR solution summary v2 2_SAP CRL directs entry template for P10 3_A.I  CF - Op Acc &amp; A7.PBAs 2" xfId="6220"/>
    <cellStyle name="_Highly Indicative BEAR solution summary v2 2_SAP CRL directs entry template for P10 3_A.I  CF - Op Acc &amp; A7.PBAs 2 2" xfId="6221"/>
    <cellStyle name="_Highly Indicative BEAR solution summary v2 2_SAP CRL directs entry template for P10 3_A.I  CF - Op Acc &amp; A7.PBAs 3" xfId="6222"/>
    <cellStyle name="_Highly Indicative BEAR solution summary v2 2_SAP CRL directs entry template for P10 3_A.I  CF - Op Acc &amp; A7.PBAs 3 2" xfId="6223"/>
    <cellStyle name="_Highly Indicative BEAR solution summary v2 2_SAP CRL directs entry template for P10 3_A.I  CF - Op Acc &amp; A7.PBAs 4" xfId="6224"/>
    <cellStyle name="_Highly Indicative BEAR solution summary v2 2_SAP CRL directs entry template for P10 3_A.M Analysis of Indirect Detail" xfId="6225"/>
    <cellStyle name="_Highly Indicative BEAR solution summary v2 2_SAP CRL directs entry template for P10 3_A.M Analysis of Indirect Detail 2" xfId="6226"/>
    <cellStyle name="_Highly Indicative BEAR solution summary v2 2_SAP CRL directs entry template for P10 4" xfId="6227"/>
    <cellStyle name="_Highly Indicative BEAR solution summary v2 2_SAP CRL directs entry template for P10 4 2" xfId="6228"/>
    <cellStyle name="_Highly Indicative BEAR solution summary v2 2_SAP CRL directs entry template for P10 5" xfId="6229"/>
    <cellStyle name="_Highly Indicative BEAR solution summary v2 2_SAP CRL directs entry template for P10 5 2" xfId="6230"/>
    <cellStyle name="_Highly Indicative BEAR solution summary v2 2_SAP CRL directs entry template for P10 6" xfId="6231"/>
    <cellStyle name="_Highly Indicative BEAR solution summary v2 2_SAP CRL directs entry template for P10 rev1" xfId="6232"/>
    <cellStyle name="_Highly Indicative BEAR solution summary v2 2_SAP CRL directs entry template for P10 rev1 2" xfId="6233"/>
    <cellStyle name="_Highly Indicative BEAR solution summary v2 2_SAP CRL directs entry template for P10 rev1 2 2" xfId="6234"/>
    <cellStyle name="_Highly Indicative BEAR solution summary v2 2_SAP CRL directs entry template for P10 rev1 3" xfId="6235"/>
    <cellStyle name="_Highly Indicative BEAR solution summary v2 2_SAP CRL directs entry template for P10 rev1 3 2" xfId="6236"/>
    <cellStyle name="_Highly Indicative BEAR solution summary v2 2_SAP CRL directs entry template for P10 rev1 3 2 2" xfId="6237"/>
    <cellStyle name="_Highly Indicative BEAR solution summary v2 2_SAP CRL directs entry template for P10 rev1 3 3" xfId="6238"/>
    <cellStyle name="_Highly Indicative BEAR solution summary v2 2_SAP CRL directs entry template for P10 rev1 3_6.1 Contingency Allocation" xfId="6239"/>
    <cellStyle name="_Highly Indicative BEAR solution summary v2 2_SAP CRL directs entry template for P10 rev1 3_6.1 Contingency Allocation 2" xfId="6240"/>
    <cellStyle name="_Highly Indicative BEAR solution summary v2 2_SAP CRL directs entry template for P10 rev1 3_6.1 Contingency Allocation 2 2" xfId="6241"/>
    <cellStyle name="_Highly Indicative BEAR solution summary v2 2_SAP CRL directs entry template for P10 rev1 3_6.1 Contingency Allocation 3" xfId="6242"/>
    <cellStyle name="_Highly Indicative BEAR solution summary v2 2_SAP CRL directs entry template for P10 rev1 3_6.1 Contingency Allocation 3 2" xfId="6243"/>
    <cellStyle name="_Highly Indicative BEAR solution summary v2 2_SAP CRL directs entry template for P10 rev1 3_6.1 Contingency Allocation 4" xfId="6244"/>
    <cellStyle name="_Highly Indicative BEAR solution summary v2 2_SAP CRL directs entry template for P10 rev1 3_A.G Cost of Operations" xfId="6245"/>
    <cellStyle name="_Highly Indicative BEAR solution summary v2 2_SAP CRL directs entry template for P10 rev1 3_A.G Cost of Operations 2" xfId="6246"/>
    <cellStyle name="_Highly Indicative BEAR solution summary v2 2_SAP CRL directs entry template for P10 rev1 3_A.G Cost of Operations 2 2" xfId="6247"/>
    <cellStyle name="_Highly Indicative BEAR solution summary v2 2_SAP CRL directs entry template for P10 rev1 3_A.G Cost of Operations 3" xfId="6248"/>
    <cellStyle name="_Highly Indicative BEAR solution summary v2 2_SAP CRL directs entry template for P10 rev1 3_A.G Cost of Operations 3 2" xfId="6249"/>
    <cellStyle name="_Highly Indicative BEAR solution summary v2 2_SAP CRL directs entry template for P10 rev1 3_A.G Cost of Operations 4" xfId="6250"/>
    <cellStyle name="_Highly Indicative BEAR solution summary v2 2_SAP CRL directs entry template for P10 rev1 3_A.I  CF - Op Acc &amp; A7.PBAs" xfId="6251"/>
    <cellStyle name="_Highly Indicative BEAR solution summary v2 2_SAP CRL directs entry template for P10 rev1 3_A.I  CF - Op Acc &amp; A7.PBAs 2" xfId="6252"/>
    <cellStyle name="_Highly Indicative BEAR solution summary v2 2_SAP CRL directs entry template for P10 rev1 3_A.I  CF - Op Acc &amp; A7.PBAs 2 2" xfId="6253"/>
    <cellStyle name="_Highly Indicative BEAR solution summary v2 2_SAP CRL directs entry template for P10 rev1 3_A.I  CF - Op Acc &amp; A7.PBAs 3" xfId="6254"/>
    <cellStyle name="_Highly Indicative BEAR solution summary v2 2_SAP CRL directs entry template for P10 rev1 3_A.I  CF - Op Acc &amp; A7.PBAs 3 2" xfId="6255"/>
    <cellStyle name="_Highly Indicative BEAR solution summary v2 2_SAP CRL directs entry template for P10 rev1 3_A.I  CF - Op Acc &amp; A7.PBAs 4" xfId="6256"/>
    <cellStyle name="_Highly Indicative BEAR solution summary v2 2_SAP CRL directs entry template for P10 rev1 3_A.M Analysis of Indirect Detail" xfId="6257"/>
    <cellStyle name="_Highly Indicative BEAR solution summary v2 2_SAP CRL directs entry template for P10 rev1 3_A.M Analysis of Indirect Detail 2" xfId="6258"/>
    <cellStyle name="_Highly Indicative BEAR solution summary v2 2_SAP CRL directs entry template for P10 rev1 4" xfId="6259"/>
    <cellStyle name="_Highly Indicative BEAR solution summary v2 2_SAP CRL directs entry template for P10 rev1 4 2" xfId="6260"/>
    <cellStyle name="_Highly Indicative BEAR solution summary v2 2_SAP CRL directs entry template for P10 rev1 5" xfId="6261"/>
    <cellStyle name="_Highly Indicative BEAR solution summary v2 2_SAP CRL directs entry template for P10 rev1 5 2" xfId="6262"/>
    <cellStyle name="_Highly Indicative BEAR solution summary v2 2_SAP CRL directs entry template for P10 rev1 6" xfId="6263"/>
    <cellStyle name="_Highly Indicative BEAR solution summary v2 2_SAP CRL directs entry template for P10 rev1_A6.Accruals - By WBS_cost centr" xfId="6264"/>
    <cellStyle name="_Highly Indicative BEAR solution summary v2 2_SAP CRL directs entry template for P10 rev1_A6.Accruals - By WBS_cost centr 2" xfId="6265"/>
    <cellStyle name="_Highly Indicative BEAR solution summary v2 2_SAP CRL directs entry template for P10 rev1_P4 Accrual Calculation for Appendix" xfId="6266"/>
    <cellStyle name="_Highly Indicative BEAR solution summary v2 2_SAP CRL directs entry template for P10 rev1_P4 Accrual Calculation for Appendix 2" xfId="6267"/>
    <cellStyle name="_Highly Indicative BEAR solution summary v2 2_SAP CRL directs entry template for P10 rev1_P4 Accrual Calculation for Appendix 2 2" xfId="6268"/>
    <cellStyle name="_Highly Indicative BEAR solution summary v2 2_SAP CRL directs entry template for P10 rev1_P4 Accrual Calculation for Appendix 3" xfId="6269"/>
    <cellStyle name="_Highly Indicative BEAR solution summary v2 2_SAP CRL directs entry template for P10 rev1_P4 Accrual Calculation for Appendix 3 2" xfId="6270"/>
    <cellStyle name="_Highly Indicative BEAR solution summary v2 2_SAP CRL directs entry template for P10 rev1_P4 Accrual Calculation for Appendix 4" xfId="6271"/>
    <cellStyle name="_Highly Indicative BEAR solution summary v2 2_SAP CRL directs entry template for P10_A6.Accruals - By WBS_cost centr" xfId="6272"/>
    <cellStyle name="_Highly Indicative BEAR solution summary v2 2_SAP CRL directs entry template for P10_A6.Accruals - By WBS_cost centr 2" xfId="6273"/>
    <cellStyle name="_Highly Indicative BEAR solution summary v2 2_SAP CRL directs entry template for P10_P4 Accrual Calculation for Appendix" xfId="6274"/>
    <cellStyle name="_Highly Indicative BEAR solution summary v2 2_SAP CRL directs entry template for P10_P4 Accrual Calculation for Appendix 2" xfId="6275"/>
    <cellStyle name="_Highly Indicative BEAR solution summary v2 2_SAP CRL directs entry template for P10_P4 Accrual Calculation for Appendix 2 2" xfId="6276"/>
    <cellStyle name="_Highly Indicative BEAR solution summary v2 2_SAP CRL directs entry template for P10_P4 Accrual Calculation for Appendix 3" xfId="6277"/>
    <cellStyle name="_Highly Indicative BEAR solution summary v2 2_SAP CRL directs entry template for P10_P4 Accrual Calculation for Appendix 3 2" xfId="6278"/>
    <cellStyle name="_Highly Indicative BEAR solution summary v2 2_SAP CRL directs entry template for P10_P4 Accrual Calculation for Appendix 4" xfId="6279"/>
    <cellStyle name="_Highly Indicative BEAR solution summary v2 2_SAP CRL directs entry template for P11" xfId="6280"/>
    <cellStyle name="_Highly Indicative BEAR solution summary v2 2_SAP CRL directs entry template for P11 2" xfId="6281"/>
    <cellStyle name="_Highly Indicative BEAR solution summary v2 2_SAP CRL directs entry template for P11 2 2" xfId="6282"/>
    <cellStyle name="_Highly Indicative BEAR solution summary v2 2_SAP CRL directs entry template for P11 3" xfId="6283"/>
    <cellStyle name="_Highly Indicative BEAR solution summary v2 2_SAP CRL directs entry template for P11 3 2" xfId="6284"/>
    <cellStyle name="_Highly Indicative BEAR solution summary v2 2_SAP CRL directs entry template for P11 3 2 2" xfId="6285"/>
    <cellStyle name="_Highly Indicative BEAR solution summary v2 2_SAP CRL directs entry template for P11 3 3" xfId="6286"/>
    <cellStyle name="_Highly Indicative BEAR solution summary v2 2_SAP CRL directs entry template for P11 3_6.1 Contingency Allocation" xfId="6287"/>
    <cellStyle name="_Highly Indicative BEAR solution summary v2 2_SAP CRL directs entry template for P11 3_6.1 Contingency Allocation 2" xfId="6288"/>
    <cellStyle name="_Highly Indicative BEAR solution summary v2 2_SAP CRL directs entry template for P11 3_6.1 Contingency Allocation 2 2" xfId="6289"/>
    <cellStyle name="_Highly Indicative BEAR solution summary v2 2_SAP CRL directs entry template for P11 3_6.1 Contingency Allocation 3" xfId="6290"/>
    <cellStyle name="_Highly Indicative BEAR solution summary v2 2_SAP CRL directs entry template for P11 3_6.1 Contingency Allocation 3 2" xfId="6291"/>
    <cellStyle name="_Highly Indicative BEAR solution summary v2 2_SAP CRL directs entry template for P11 3_6.1 Contingency Allocation 4" xfId="6292"/>
    <cellStyle name="_Highly Indicative BEAR solution summary v2 2_SAP CRL directs entry template for P11 3_A.G Cost of Operations" xfId="6293"/>
    <cellStyle name="_Highly Indicative BEAR solution summary v2 2_SAP CRL directs entry template for P11 3_A.G Cost of Operations 2" xfId="6294"/>
    <cellStyle name="_Highly Indicative BEAR solution summary v2 2_SAP CRL directs entry template for P11 3_A.G Cost of Operations 2 2" xfId="6295"/>
    <cellStyle name="_Highly Indicative BEAR solution summary v2 2_SAP CRL directs entry template for P11 3_A.G Cost of Operations 3" xfId="6296"/>
    <cellStyle name="_Highly Indicative BEAR solution summary v2 2_SAP CRL directs entry template for P11 3_A.G Cost of Operations 3 2" xfId="6297"/>
    <cellStyle name="_Highly Indicative BEAR solution summary v2 2_SAP CRL directs entry template for P11 3_A.G Cost of Operations 4" xfId="6298"/>
    <cellStyle name="_Highly Indicative BEAR solution summary v2 2_SAP CRL directs entry template for P11 3_A.I  CF - Op Acc &amp; A7.PBAs" xfId="6299"/>
    <cellStyle name="_Highly Indicative BEAR solution summary v2 2_SAP CRL directs entry template for P11 3_A.I  CF - Op Acc &amp; A7.PBAs 2" xfId="6300"/>
    <cellStyle name="_Highly Indicative BEAR solution summary v2 2_SAP CRL directs entry template for P11 3_A.I  CF - Op Acc &amp; A7.PBAs 2 2" xfId="6301"/>
    <cellStyle name="_Highly Indicative BEAR solution summary v2 2_SAP CRL directs entry template for P11 3_A.I  CF - Op Acc &amp; A7.PBAs 3" xfId="6302"/>
    <cellStyle name="_Highly Indicative BEAR solution summary v2 2_SAP CRL directs entry template for P11 3_A.I  CF - Op Acc &amp; A7.PBAs 3 2" xfId="6303"/>
    <cellStyle name="_Highly Indicative BEAR solution summary v2 2_SAP CRL directs entry template for P11 3_A.I  CF - Op Acc &amp; A7.PBAs 4" xfId="6304"/>
    <cellStyle name="_Highly Indicative BEAR solution summary v2 2_SAP CRL directs entry template for P11 3_A.M Analysis of Indirect Detail" xfId="6305"/>
    <cellStyle name="_Highly Indicative BEAR solution summary v2 2_SAP CRL directs entry template for P11 3_A.M Analysis of Indirect Detail 2" xfId="6306"/>
    <cellStyle name="_Highly Indicative BEAR solution summary v2 2_SAP CRL directs entry template for P11 4" xfId="6307"/>
    <cellStyle name="_Highly Indicative BEAR solution summary v2 2_SAP CRL directs entry template for P11 4 2" xfId="6308"/>
    <cellStyle name="_Highly Indicative BEAR solution summary v2 2_SAP CRL directs entry template for P11 5" xfId="6309"/>
    <cellStyle name="_Highly Indicative BEAR solution summary v2 2_SAP CRL directs entry template for P11 5 2" xfId="6310"/>
    <cellStyle name="_Highly Indicative BEAR solution summary v2 2_SAP CRL directs entry template for P11 6" xfId="6311"/>
    <cellStyle name="_Highly Indicative BEAR solution summary v2 2_SAP CRL directs entry template for P11_A6.Accruals - By WBS_cost centr" xfId="6312"/>
    <cellStyle name="_Highly Indicative BEAR solution summary v2 2_SAP CRL directs entry template for P11_A6.Accruals - By WBS_cost centr 2" xfId="6313"/>
    <cellStyle name="_Highly Indicative BEAR solution summary v2 2_SAP CRL directs entry template for P11_P4 Accrual Calculation for Appendix" xfId="6314"/>
    <cellStyle name="_Highly Indicative BEAR solution summary v2 2_SAP CRL directs entry template for P11_P4 Accrual Calculation for Appendix 2" xfId="6315"/>
    <cellStyle name="_Highly Indicative BEAR solution summary v2 2_SAP CRL directs entry template for P11_P4 Accrual Calculation for Appendix 2 2" xfId="6316"/>
    <cellStyle name="_Highly Indicative BEAR solution summary v2 2_SAP CRL directs entry template for P11_P4 Accrual Calculation for Appendix 3" xfId="6317"/>
    <cellStyle name="_Highly Indicative BEAR solution summary v2 2_SAP CRL directs entry template for P11_P4 Accrual Calculation for Appendix 3 2" xfId="6318"/>
    <cellStyle name="_Highly Indicative BEAR solution summary v2 2_SAP CRL directs entry template for P11_P4 Accrual Calculation for Appendix 4" xfId="6319"/>
    <cellStyle name="_Highly Indicative BEAR solution summary v2 2_Sponsor Dashboard Schedule Backsheet v28" xfId="6320"/>
    <cellStyle name="_Highly Indicative BEAR solution summary v2 2_Sponsor Dashboard Schedule Backsheet v28 2" xfId="6321"/>
    <cellStyle name="_Highly Indicative BEAR solution summary v2 2_Sponsor Dashboard Schedule Backsheet v28 2 2" xfId="6322"/>
    <cellStyle name="_Highly Indicative BEAR solution summary v2 2_Sponsor Dashboard Schedule Backsheet v28_Data Input" xfId="6323"/>
    <cellStyle name="_Highly Indicative BEAR solution summary v2 2_Sponsor Dashboard Schedule Backsheet v28_Data Input 2" xfId="6324"/>
    <cellStyle name="_Highly Indicative BEAR solution summary v2 2_Sponsor Dashboard Schedule Backsheet v28_Data Input 2 2" xfId="6325"/>
    <cellStyle name="_Highly Indicative BEAR solution summary v2 2_ZPS_C04_Q0200 Direct Cost Report P1 v2" xfId="6326"/>
    <cellStyle name="_Highly Indicative BEAR solution summary v2 2_ZPS_C04_Q0200 Direct Cost Report P1 v2 10" xfId="6327"/>
    <cellStyle name="_Highly Indicative BEAR solution summary v2 2_ZPS_C04_Q0200 Direct Cost Report P1 v2 10 2" xfId="6328"/>
    <cellStyle name="_Highly Indicative BEAR solution summary v2 2_ZPS_C04_Q0200 Direct Cost Report P1 v2 11" xfId="6329"/>
    <cellStyle name="_Highly Indicative BEAR solution summary v2 2_ZPS_C04_Q0200 Direct Cost Report P1 v2 11 2" xfId="6330"/>
    <cellStyle name="_Highly Indicative BEAR solution summary v2 2_ZPS_C04_Q0200 Direct Cost Report P1 v2 2" xfId="6331"/>
    <cellStyle name="_Highly Indicative BEAR solution summary v2 2_ZPS_C04_Q0200 Direct Cost Report P1 v2 2 2" xfId="6332"/>
    <cellStyle name="_Highly Indicative BEAR solution summary v2 2_ZPS_C04_Q0200 Direct Cost Report P1 v2 3" xfId="6333"/>
    <cellStyle name="_Highly Indicative BEAR solution summary v2 2_ZPS_C04_Q0200 Direct Cost Report P1 v2 3 2" xfId="6334"/>
    <cellStyle name="_Highly Indicative BEAR solution summary v2 2_ZPS_C04_Q0200 Direct Cost Report P1 v2 3 2 2" xfId="6335"/>
    <cellStyle name="_Highly Indicative BEAR solution summary v2 2_ZPS_C04_Q0200 Direct Cost Report P1 v2 3 3" xfId="6336"/>
    <cellStyle name="_Highly Indicative BEAR solution summary v2 2_ZPS_C04_Q0200 Direct Cost Report P1 v2 3_6.1 Contingency Allocation" xfId="6337"/>
    <cellStyle name="_Highly Indicative BEAR solution summary v2 2_ZPS_C04_Q0200 Direct Cost Report P1 v2 3_6.1 Contingency Allocation 2" xfId="6338"/>
    <cellStyle name="_Highly Indicative BEAR solution summary v2 2_ZPS_C04_Q0200 Direct Cost Report P1 v2 3_6.1 Contingency Allocation 2 2" xfId="6339"/>
    <cellStyle name="_Highly Indicative BEAR solution summary v2 2_ZPS_C04_Q0200 Direct Cost Report P1 v2 3_6.1 Contingency Allocation 3" xfId="6340"/>
    <cellStyle name="_Highly Indicative BEAR solution summary v2 2_ZPS_C04_Q0200 Direct Cost Report P1 v2 3_6.1 Contingency Allocation 3 2" xfId="6341"/>
    <cellStyle name="_Highly Indicative BEAR solution summary v2 2_ZPS_C04_Q0200 Direct Cost Report P1 v2 3_6.1 Contingency Allocation 4" xfId="6342"/>
    <cellStyle name="_Highly Indicative BEAR solution summary v2 2_ZPS_C04_Q0200 Direct Cost Report P1 v2 3_A.G Cost of Operations" xfId="6343"/>
    <cellStyle name="_Highly Indicative BEAR solution summary v2 2_ZPS_C04_Q0200 Direct Cost Report P1 v2 3_A.G Cost of Operations 2" xfId="6344"/>
    <cellStyle name="_Highly Indicative BEAR solution summary v2 2_ZPS_C04_Q0200 Direct Cost Report P1 v2 3_A.G Cost of Operations 2 2" xfId="6345"/>
    <cellStyle name="_Highly Indicative BEAR solution summary v2 2_ZPS_C04_Q0200 Direct Cost Report P1 v2 3_A.G Cost of Operations 3" xfId="6346"/>
    <cellStyle name="_Highly Indicative BEAR solution summary v2 2_ZPS_C04_Q0200 Direct Cost Report P1 v2 3_A.G Cost of Operations 3 2" xfId="6347"/>
    <cellStyle name="_Highly Indicative BEAR solution summary v2 2_ZPS_C04_Q0200 Direct Cost Report P1 v2 3_A.G Cost of Operations 4" xfId="6348"/>
    <cellStyle name="_Highly Indicative BEAR solution summary v2 2_ZPS_C04_Q0200 Direct Cost Report P1 v2 3_A.I  CF - Op Acc &amp; A7.PBAs" xfId="6349"/>
    <cellStyle name="_Highly Indicative BEAR solution summary v2 2_ZPS_C04_Q0200 Direct Cost Report P1 v2 3_A.I  CF - Op Acc &amp; A7.PBAs 2" xfId="6350"/>
    <cellStyle name="_Highly Indicative BEAR solution summary v2 2_ZPS_C04_Q0200 Direct Cost Report P1 v2 3_A.I  CF - Op Acc &amp; A7.PBAs 2 2" xfId="6351"/>
    <cellStyle name="_Highly Indicative BEAR solution summary v2 2_ZPS_C04_Q0200 Direct Cost Report P1 v2 3_A.I  CF - Op Acc &amp; A7.PBAs 3" xfId="6352"/>
    <cellStyle name="_Highly Indicative BEAR solution summary v2 2_ZPS_C04_Q0200 Direct Cost Report P1 v2 3_A.I  CF - Op Acc &amp; A7.PBAs 3 2" xfId="6353"/>
    <cellStyle name="_Highly Indicative BEAR solution summary v2 2_ZPS_C04_Q0200 Direct Cost Report P1 v2 3_A.I  CF - Op Acc &amp; A7.PBAs 4" xfId="6354"/>
    <cellStyle name="_Highly Indicative BEAR solution summary v2 2_ZPS_C04_Q0200 Direct Cost Report P1 v2 3_A.M Analysis of Indirect Detail" xfId="6355"/>
    <cellStyle name="_Highly Indicative BEAR solution summary v2 2_ZPS_C04_Q0200 Direct Cost Report P1 v2 3_A.M Analysis of Indirect Detail 2" xfId="6356"/>
    <cellStyle name="_Highly Indicative BEAR solution summary v2 2_ZPS_C04_Q0200 Direct Cost Report P1 v2 4" xfId="6357"/>
    <cellStyle name="_Highly Indicative BEAR solution summary v2 2_ZPS_C04_Q0200 Direct Cost Report P1 v2 4 2" xfId="6358"/>
    <cellStyle name="_Highly Indicative BEAR solution summary v2 2_ZPS_C04_Q0200 Direct Cost Report P1 v2 5" xfId="6359"/>
    <cellStyle name="_Highly Indicative BEAR solution summary v2 2_ZPS_C04_Q0200 Direct Cost Report P1 v2 5 2" xfId="6360"/>
    <cellStyle name="_Highly Indicative BEAR solution summary v2 2_ZPS_C04_Q0200 Direct Cost Report P1 v2 6" xfId="6361"/>
    <cellStyle name="_Highly Indicative BEAR solution summary v2 2_ZPS_C04_Q0200 Direct Cost Report P1 v2 6 2" xfId="6362"/>
    <cellStyle name="_Highly Indicative BEAR solution summary v2 2_ZPS_C04_Q0200 Direct Cost Report P1 v2 7" xfId="6363"/>
    <cellStyle name="_Highly Indicative BEAR solution summary v2 2_ZPS_C04_Q0200 Direct Cost Report P1 v2 7 2" xfId="6364"/>
    <cellStyle name="_Highly Indicative BEAR solution summary v2 2_ZPS_C04_Q0200 Direct Cost Report P1 v2 8" xfId="6365"/>
    <cellStyle name="_Highly Indicative BEAR solution summary v2 2_ZPS_C04_Q0200 Direct Cost Report P1 v2 8 2" xfId="6366"/>
    <cellStyle name="_Highly Indicative BEAR solution summary v2 2_ZPS_C04_Q0200 Direct Cost Report P1 v2 9" xfId="6367"/>
    <cellStyle name="_Highly Indicative BEAR solution summary v2 2_ZPS_C04_Q0200 Direct Cost Report P1 v2 9 2" xfId="6368"/>
    <cellStyle name="_Highly Indicative BEAR solution summary v2 2_ZPS_C04_Q0200 Direct Cost Report P1 v2_A6.Accruals - By WBS_cost centr" xfId="6369"/>
    <cellStyle name="_Highly Indicative BEAR solution summary v2 2_ZPS_C04_Q0200 Direct Cost Report P1 v2_A6.Accruals - By WBS_cost centr 2" xfId="6370"/>
    <cellStyle name="_Highly Indicative BEAR solution summary v2 2_ZPS_C04_Q0200 Direct Cost Report P1 v2_P4 Accrual Calculation for Appendix" xfId="6371"/>
    <cellStyle name="_Highly Indicative BEAR solution summary v2 2_ZPS_C04_Q0200 Direct Cost Report P1 v2_P4 Accrual Calculation for Appendix 2" xfId="6372"/>
    <cellStyle name="_Highly Indicative BEAR solution summary v2 2_ZPS_C04_Q0200 Direct Cost Report P1 v2_P4 Accrual Calculation for Appendix 2 2" xfId="6373"/>
    <cellStyle name="_Highly Indicative BEAR solution summary v2 2_ZPS_C04_Q0200 Direct Cost Report P1 v2_P4 Accrual Calculation for Appendix 3" xfId="6374"/>
    <cellStyle name="_Highly Indicative BEAR solution summary v2 2_ZPS_C04_Q0200 Direct Cost Report P1 v2_P4 Accrual Calculation for Appendix 3 2" xfId="6375"/>
    <cellStyle name="_Highly Indicative BEAR solution summary v2 2_ZPS_C04_Q0200 Direct Cost Report P1 v2_P4 Accrual Calculation for Appendix 4" xfId="6376"/>
    <cellStyle name="_Highly Indicative BEAR solution summary v2 2_ZPS_C04_Q0200 Direct Cost Report P12 sk" xfId="6377"/>
    <cellStyle name="_Highly Indicative BEAR solution summary v2 2_ZPS_C04_Q0200 Direct Cost Report P12 sk 10" xfId="6378"/>
    <cellStyle name="_Highly Indicative BEAR solution summary v2 2_ZPS_C04_Q0200 Direct Cost Report P12 sk 10 2" xfId="6379"/>
    <cellStyle name="_Highly Indicative BEAR solution summary v2 2_ZPS_C04_Q0200 Direct Cost Report P12 sk 11" xfId="6380"/>
    <cellStyle name="_Highly Indicative BEAR solution summary v2 2_ZPS_C04_Q0200 Direct Cost Report P12 sk 11 2" xfId="6381"/>
    <cellStyle name="_Highly Indicative BEAR solution summary v2 2_ZPS_C04_Q0200 Direct Cost Report P12 sk 2" xfId="6382"/>
    <cellStyle name="_Highly Indicative BEAR solution summary v2 2_ZPS_C04_Q0200 Direct Cost Report P12 sk 2 2" xfId="6383"/>
    <cellStyle name="_Highly Indicative BEAR solution summary v2 2_ZPS_C04_Q0200 Direct Cost Report P12 sk 3" xfId="6384"/>
    <cellStyle name="_Highly Indicative BEAR solution summary v2 2_ZPS_C04_Q0200 Direct Cost Report P12 sk 3 2" xfId="6385"/>
    <cellStyle name="_Highly Indicative BEAR solution summary v2 2_ZPS_C04_Q0200 Direct Cost Report P12 sk 3 2 2" xfId="6386"/>
    <cellStyle name="_Highly Indicative BEAR solution summary v2 2_ZPS_C04_Q0200 Direct Cost Report P12 sk 3 3" xfId="6387"/>
    <cellStyle name="_Highly Indicative BEAR solution summary v2 2_ZPS_C04_Q0200 Direct Cost Report P12 sk 3_6.1 Contingency Allocation" xfId="6388"/>
    <cellStyle name="_Highly Indicative BEAR solution summary v2 2_ZPS_C04_Q0200 Direct Cost Report P12 sk 3_6.1 Contingency Allocation 2" xfId="6389"/>
    <cellStyle name="_Highly Indicative BEAR solution summary v2 2_ZPS_C04_Q0200 Direct Cost Report P12 sk 3_6.1 Contingency Allocation 2 2" xfId="6390"/>
    <cellStyle name="_Highly Indicative BEAR solution summary v2 2_ZPS_C04_Q0200 Direct Cost Report P12 sk 3_6.1 Contingency Allocation 3" xfId="6391"/>
    <cellStyle name="_Highly Indicative BEAR solution summary v2 2_ZPS_C04_Q0200 Direct Cost Report P12 sk 3_6.1 Contingency Allocation 3 2" xfId="6392"/>
    <cellStyle name="_Highly Indicative BEAR solution summary v2 2_ZPS_C04_Q0200 Direct Cost Report P12 sk 3_6.1 Contingency Allocation 4" xfId="6393"/>
    <cellStyle name="_Highly Indicative BEAR solution summary v2 2_ZPS_C04_Q0200 Direct Cost Report P12 sk 3_A.G Cost of Operations" xfId="6394"/>
    <cellStyle name="_Highly Indicative BEAR solution summary v2 2_ZPS_C04_Q0200 Direct Cost Report P12 sk 3_A.G Cost of Operations 2" xfId="6395"/>
    <cellStyle name="_Highly Indicative BEAR solution summary v2 2_ZPS_C04_Q0200 Direct Cost Report P12 sk 3_A.G Cost of Operations 2 2" xfId="6396"/>
    <cellStyle name="_Highly Indicative BEAR solution summary v2 2_ZPS_C04_Q0200 Direct Cost Report P12 sk 3_A.G Cost of Operations 3" xfId="6397"/>
    <cellStyle name="_Highly Indicative BEAR solution summary v2 2_ZPS_C04_Q0200 Direct Cost Report P12 sk 3_A.G Cost of Operations 3 2" xfId="6398"/>
    <cellStyle name="_Highly Indicative BEAR solution summary v2 2_ZPS_C04_Q0200 Direct Cost Report P12 sk 3_A.G Cost of Operations 4" xfId="6399"/>
    <cellStyle name="_Highly Indicative BEAR solution summary v2 2_ZPS_C04_Q0200 Direct Cost Report P12 sk 3_A.I  CF - Op Acc &amp; A7.PBAs" xfId="6400"/>
    <cellStyle name="_Highly Indicative BEAR solution summary v2 2_ZPS_C04_Q0200 Direct Cost Report P12 sk 3_A.I  CF - Op Acc &amp; A7.PBAs 2" xfId="6401"/>
    <cellStyle name="_Highly Indicative BEAR solution summary v2 2_ZPS_C04_Q0200 Direct Cost Report P12 sk 3_A.I  CF - Op Acc &amp; A7.PBAs 2 2" xfId="6402"/>
    <cellStyle name="_Highly Indicative BEAR solution summary v2 2_ZPS_C04_Q0200 Direct Cost Report P12 sk 3_A.I  CF - Op Acc &amp; A7.PBAs 3" xfId="6403"/>
    <cellStyle name="_Highly Indicative BEAR solution summary v2 2_ZPS_C04_Q0200 Direct Cost Report P12 sk 3_A.I  CF - Op Acc &amp; A7.PBAs 3 2" xfId="6404"/>
    <cellStyle name="_Highly Indicative BEAR solution summary v2 2_ZPS_C04_Q0200 Direct Cost Report P12 sk 3_A.I  CF - Op Acc &amp; A7.PBAs 4" xfId="6405"/>
    <cellStyle name="_Highly Indicative BEAR solution summary v2 2_ZPS_C04_Q0200 Direct Cost Report P12 sk 3_A.M Analysis of Indirect Detail" xfId="6406"/>
    <cellStyle name="_Highly Indicative BEAR solution summary v2 2_ZPS_C04_Q0200 Direct Cost Report P12 sk 3_A.M Analysis of Indirect Detail 2" xfId="6407"/>
    <cellStyle name="_Highly Indicative BEAR solution summary v2 2_ZPS_C04_Q0200 Direct Cost Report P12 sk 4" xfId="6408"/>
    <cellStyle name="_Highly Indicative BEAR solution summary v2 2_ZPS_C04_Q0200 Direct Cost Report P12 sk 4 2" xfId="6409"/>
    <cellStyle name="_Highly Indicative BEAR solution summary v2 2_ZPS_C04_Q0200 Direct Cost Report P12 sk 5" xfId="6410"/>
    <cellStyle name="_Highly Indicative BEAR solution summary v2 2_ZPS_C04_Q0200 Direct Cost Report P12 sk 5 2" xfId="6411"/>
    <cellStyle name="_Highly Indicative BEAR solution summary v2 2_ZPS_C04_Q0200 Direct Cost Report P12 sk 6" xfId="6412"/>
    <cellStyle name="_Highly Indicative BEAR solution summary v2 2_ZPS_C04_Q0200 Direct Cost Report P12 sk 6 2" xfId="6413"/>
    <cellStyle name="_Highly Indicative BEAR solution summary v2 2_ZPS_C04_Q0200 Direct Cost Report P12 sk 7" xfId="6414"/>
    <cellStyle name="_Highly Indicative BEAR solution summary v2 2_ZPS_C04_Q0200 Direct Cost Report P12 sk 7 2" xfId="6415"/>
    <cellStyle name="_Highly Indicative BEAR solution summary v2 2_ZPS_C04_Q0200 Direct Cost Report P12 sk 8" xfId="6416"/>
    <cellStyle name="_Highly Indicative BEAR solution summary v2 2_ZPS_C04_Q0200 Direct Cost Report P12 sk 8 2" xfId="6417"/>
    <cellStyle name="_Highly Indicative BEAR solution summary v2 2_ZPS_C04_Q0200 Direct Cost Report P12 sk 9" xfId="6418"/>
    <cellStyle name="_Highly Indicative BEAR solution summary v2 2_ZPS_C04_Q0200 Direct Cost Report P12 sk 9 2" xfId="6419"/>
    <cellStyle name="_Highly Indicative BEAR solution summary v2 2_ZPS_C04_Q0200 Direct Cost Report P12 sk_A1.  Major AFC var by contract" xfId="6420"/>
    <cellStyle name="_Highly Indicative BEAR solution summary v2 2_ZPS_C04_Q0200 Direct Cost Report P12 sk_A1.  Major AFC var by contract 2" xfId="6421"/>
    <cellStyle name="_Highly Indicative BEAR solution summary v2 2_ZPS_C04_Q0200 Direct Cost Report P12 sk_A1.  Major AFC var by contract 2 2" xfId="6422"/>
    <cellStyle name="_Highly Indicative BEAR solution summary v2 2_ZPS_C04_Q0200 Direct Cost Report P12 sk_A1.  Major AFC var by contract 3" xfId="6423"/>
    <cellStyle name="_Highly Indicative BEAR solution summary v2 2_ZPS_C04_Q0200 Direct Cost Report P12 sk_A1.  Major AFC var by contract 3 2" xfId="6424"/>
    <cellStyle name="_Highly Indicative BEAR solution summary v2 2_ZPS_C04_Q0200 Direct Cost Report P12 sk_A1.  Major AFC var by contract 4" xfId="6425"/>
    <cellStyle name="_Highly Indicative BEAR solution summary v2 2_ZPS_C04_Q0200 Direct Cost Report P12 sk_A6.Accruals - By WBS_cost centr" xfId="6426"/>
    <cellStyle name="_Highly Indicative BEAR solution summary v2 2_ZPS_C04_Q0200 Direct Cost Report P12 sk_A6.Accruals - By WBS_cost centr 2" xfId="6427"/>
    <cellStyle name="_Highly Indicative BEAR solution summary v2 2_ZPS_C04_Q0200 Direct Cost Report P12 sk_Data Input" xfId="6428"/>
    <cellStyle name="_Highly Indicative BEAR solution summary v2 2_ZPS_C04_Q0200 Direct Cost Report P12 sk_Data Input 2" xfId="6429"/>
    <cellStyle name="_Highly Indicative BEAR solution summary v2 2_ZPS_C04_Q0200 Direct Cost Report P12 sk_Data Input 2 2" xfId="6430"/>
    <cellStyle name="_Highly Indicative BEAR solution summary v2 2_ZPS_C04_Q0200 Direct Cost Report P12 sk_P4 Accrual Calculation for Appendix" xfId="6431"/>
    <cellStyle name="_Highly Indicative BEAR solution summary v2 2_ZPS_C04_Q0200 Direct Cost Report P12 sk_P4 Accrual Calculation for Appendix 2" xfId="6432"/>
    <cellStyle name="_Highly Indicative BEAR solution summary v2 2_ZPS_C04_Q0200 Direct Cost Report P12 sk_P4 Accrual Calculation for Appendix 2 2" xfId="6433"/>
    <cellStyle name="_Highly Indicative BEAR solution summary v2 2_ZPS_C04_Q0200 Direct Cost Report P12 sk_P4 Accrual Calculation for Appendix 3" xfId="6434"/>
    <cellStyle name="_Highly Indicative BEAR solution summary v2 2_ZPS_C04_Q0200 Direct Cost Report P12 sk_P4 Accrual Calculation for Appendix 3 2" xfId="6435"/>
    <cellStyle name="_Highly Indicative BEAR solution summary v2 2_ZPS_C04_Q0200 Direct Cost Report P12 sk_P4 Accrual Calculation for Appendix 4" xfId="6436"/>
    <cellStyle name="_IA" xfId="6437"/>
    <cellStyle name="_IAM_Accounting_v 1 1_Crossrail_v0 4_extract" xfId="6438"/>
    <cellStyle name="_IAM_Accounting_v 1 1_Crossrail_v0 4_extract 2" xfId="6439"/>
    <cellStyle name="_IAM_v2.10 NM 01092008" xfId="6440"/>
    <cellStyle name="_INSS Tech Refresh v2.0  5 yr INSS CUSTOMER" xfId="6441"/>
    <cellStyle name="_INSS Tech Refresh v2.0  5 yr INSS CUSTOMER 10" xfId="6442"/>
    <cellStyle name="_INSS Tech Refresh v2.0  5 yr INSS CUSTOMER 10 2" xfId="6443"/>
    <cellStyle name="_INSS Tech Refresh v2.0  5 yr INSS CUSTOMER 11" xfId="6444"/>
    <cellStyle name="_INSS Tech Refresh v2.0  5 yr INSS CUSTOMER 11 2" xfId="6445"/>
    <cellStyle name="_INSS Tech Refresh v2.0  5 yr INSS CUSTOMER 2" xfId="6446"/>
    <cellStyle name="_INSS Tech Refresh v2.0  5 yr INSS CUSTOMER 2 2" xfId="6447"/>
    <cellStyle name="_INSS Tech Refresh v2.0  5 yr INSS CUSTOMER 3" xfId="6448"/>
    <cellStyle name="_INSS Tech Refresh v2.0  5 yr INSS CUSTOMER 3 2" xfId="6449"/>
    <cellStyle name="_INSS Tech Refresh v2.0  5 yr INSS CUSTOMER 3 2 2" xfId="6450"/>
    <cellStyle name="_INSS Tech Refresh v2.0  5 yr INSS CUSTOMER 3 3" xfId="6451"/>
    <cellStyle name="_INSS Tech Refresh v2.0  5 yr INSS CUSTOMER 3_6.1 Contingency Allocation" xfId="6452"/>
    <cellStyle name="_INSS Tech Refresh v2.0  5 yr INSS CUSTOMER 3_6.1 Contingency Allocation 2" xfId="6453"/>
    <cellStyle name="_INSS Tech Refresh v2.0  5 yr INSS CUSTOMER 3_6.1 Contingency Allocation 2 2" xfId="6454"/>
    <cellStyle name="_INSS Tech Refresh v2.0  5 yr INSS CUSTOMER 3_6.1 Contingency Allocation 3" xfId="6455"/>
    <cellStyle name="_INSS Tech Refresh v2.0  5 yr INSS CUSTOMER 3_6.1 Contingency Allocation 3 2" xfId="6456"/>
    <cellStyle name="_INSS Tech Refresh v2.0  5 yr INSS CUSTOMER 3_6.1 Contingency Allocation 4" xfId="6457"/>
    <cellStyle name="_INSS Tech Refresh v2.0  5 yr INSS CUSTOMER 3_A.G Cost of Operations" xfId="6458"/>
    <cellStyle name="_INSS Tech Refresh v2.0  5 yr INSS CUSTOMER 3_A.G Cost of Operations 2" xfId="6459"/>
    <cellStyle name="_INSS Tech Refresh v2.0  5 yr INSS CUSTOMER 3_A.G Cost of Operations 2 2" xfId="6460"/>
    <cellStyle name="_INSS Tech Refresh v2.0  5 yr INSS CUSTOMER 3_A.G Cost of Operations 3" xfId="6461"/>
    <cellStyle name="_INSS Tech Refresh v2.0  5 yr INSS CUSTOMER 3_A.G Cost of Operations 3 2" xfId="6462"/>
    <cellStyle name="_INSS Tech Refresh v2.0  5 yr INSS CUSTOMER 3_A.G Cost of Operations 4" xfId="6463"/>
    <cellStyle name="_INSS Tech Refresh v2.0  5 yr INSS CUSTOMER 3_A.I  CF - Op Acc &amp; A7.PBAs" xfId="6464"/>
    <cellStyle name="_INSS Tech Refresh v2.0  5 yr INSS CUSTOMER 3_A.I  CF - Op Acc &amp; A7.PBAs 2" xfId="6465"/>
    <cellStyle name="_INSS Tech Refresh v2.0  5 yr INSS CUSTOMER 3_A.I  CF - Op Acc &amp; A7.PBAs 2 2" xfId="6466"/>
    <cellStyle name="_INSS Tech Refresh v2.0  5 yr INSS CUSTOMER 3_A.I  CF - Op Acc &amp; A7.PBAs 3" xfId="6467"/>
    <cellStyle name="_INSS Tech Refresh v2.0  5 yr INSS CUSTOMER 3_A.I  CF - Op Acc &amp; A7.PBAs 3 2" xfId="6468"/>
    <cellStyle name="_INSS Tech Refresh v2.0  5 yr INSS CUSTOMER 3_A.I  CF - Op Acc &amp; A7.PBAs 4" xfId="6469"/>
    <cellStyle name="_INSS Tech Refresh v2.0  5 yr INSS CUSTOMER 3_A.M Analysis of Indirect Detail" xfId="6470"/>
    <cellStyle name="_INSS Tech Refresh v2.0  5 yr INSS CUSTOMER 3_A.M Analysis of Indirect Detail 2" xfId="6471"/>
    <cellStyle name="_INSS Tech Refresh v2.0  5 yr INSS CUSTOMER 4" xfId="6472"/>
    <cellStyle name="_INSS Tech Refresh v2.0  5 yr INSS CUSTOMER 4 2" xfId="6473"/>
    <cellStyle name="_INSS Tech Refresh v2.0  5 yr INSS CUSTOMER 5" xfId="6474"/>
    <cellStyle name="_INSS Tech Refresh v2.0  5 yr INSS CUSTOMER 5 2" xfId="6475"/>
    <cellStyle name="_INSS Tech Refresh v2.0  5 yr INSS CUSTOMER 6" xfId="6476"/>
    <cellStyle name="_INSS Tech Refresh v2.0  5 yr INSS CUSTOMER 6 2" xfId="6477"/>
    <cellStyle name="_INSS Tech Refresh v2.0  5 yr INSS CUSTOMER 7" xfId="6478"/>
    <cellStyle name="_INSS Tech Refresh v2.0  5 yr INSS CUSTOMER 7 2" xfId="6479"/>
    <cellStyle name="_INSS Tech Refresh v2.0  5 yr INSS CUSTOMER 8" xfId="6480"/>
    <cellStyle name="_INSS Tech Refresh v2.0  5 yr INSS CUSTOMER 8 2" xfId="6481"/>
    <cellStyle name="_INSS Tech Refresh v2.0  5 yr INSS CUSTOMER 9" xfId="6482"/>
    <cellStyle name="_INSS Tech Refresh v2.0  5 yr INSS CUSTOMER 9 2" xfId="6483"/>
    <cellStyle name="_INSS Tech Refresh v2.0  5 yr INSS CUSTOMER_A6.Accruals - By WBS_cost centr" xfId="6484"/>
    <cellStyle name="_INSS Tech Refresh v2.0  5 yr INSS CUSTOMER_A6.Accruals - By WBS_cost centr 2" xfId="6485"/>
    <cellStyle name="_INSS Tech Refresh v2.0  5 yr INSS CUSTOMER_P4 Accrual Calculation for Appendix" xfId="6486"/>
    <cellStyle name="_INSS Tech Refresh v2.0  5 yr INSS CUSTOMER_P4 Accrual Calculation for Appendix 2" xfId="6487"/>
    <cellStyle name="_INSS Tech Refresh v2.0  5 yr INSS CUSTOMER_P4 Accrual Calculation for Appendix 2 2" xfId="6488"/>
    <cellStyle name="_INSS Tech Refresh v2.0  5 yr INSS CUSTOMER_P4 Accrual Calculation for Appendix 3" xfId="6489"/>
    <cellStyle name="_INSS Tech Refresh v2.0  5 yr INSS CUSTOMER_P4 Accrual Calculation for Appendix 3 2" xfId="6490"/>
    <cellStyle name="_INSS Tech Refresh v2.0  5 yr INSS CUSTOMER_P4 Accrual Calculation for Appendix 4" xfId="6491"/>
    <cellStyle name="_InterGen UK Model 06 08 08_V2" xfId="6492"/>
    <cellStyle name="_InterGen UK Model 06 08 08_V2 2" xfId="6493"/>
    <cellStyle name="_IPM_Pricing_v1.1_Crossrail_v2.5 (30TB VERSION)" xfId="6494"/>
    <cellStyle name="_IPM_Pricing_v1.1_Crossrail_v2.5 (30TB VERSION) 2" xfId="6495"/>
    <cellStyle name="_IPM_Pricing_v1.1_Crossrail_v3.3 30TB" xfId="6496"/>
    <cellStyle name="_IPM_Pricing_v1.1_Crossrail_v3.3 30TB 2" xfId="6497"/>
    <cellStyle name="_ISAAC CO Model 5.6.07" xfId="6498"/>
    <cellStyle name="_ISAAC CO Model 5.6.07 2" xfId="6499"/>
    <cellStyle name="_ISAAC CO Model Basic" xfId="6500"/>
    <cellStyle name="_ISAAC CO Model Basic 2" xfId="6501"/>
    <cellStyle name="_Jan Prelim Actuals" xfId="6502"/>
    <cellStyle name="_Lisbon GDC Seat Costs 0809 v1 3" xfId="6503"/>
    <cellStyle name="_Lisbon GDC Seat Costs 0809 v1 3 2" xfId="6504"/>
    <cellStyle name="_Lisbon GDC Seat Costs 0809 v1 3 3" xfId="6505"/>
    <cellStyle name="_Lisbon GDC Seat Costs 0809 v1 3 4" xfId="6506"/>
    <cellStyle name="_Lisbon GDC Seat Costs 0809 v1 3 5" xfId="6507"/>
    <cellStyle name="_Lisbon GDC Seat Costs 0809 v1 3_6.1 Contingency Allocation" xfId="6508"/>
    <cellStyle name="_Lisbon GDC Seat Costs 0809 v1 3_6.1 Contingency Allocation 2" xfId="6509"/>
    <cellStyle name="_Lisbon GDC Seat Costs 0809 v1 3_A.G Cost of Operations" xfId="6510"/>
    <cellStyle name="_Lisbon GDC Seat Costs 0809 v1 3_A.G Cost of Operations 2" xfId="6511"/>
    <cellStyle name="_Lisbon GDC Seat Costs 0809 v1 3_A.M Analysis of Indirect Detail" xfId="6512"/>
    <cellStyle name="_Lisbon GDC Seat Costs 0809 v1 3_A1.  Major AFC var by contract" xfId="6513"/>
    <cellStyle name="_Lisbon GDC Seat Costs 0809 v1 3_A1.  Major AFC var by contract 2" xfId="6514"/>
    <cellStyle name="_Lisbon GDC Seat Costs 0809 v1 3_A1.  Major AFC var by contract_6.1 Contingency Allocation" xfId="6515"/>
    <cellStyle name="_Lisbon GDC Seat Costs 0809 v1 3_A1.  Major AFC var by contract_6.1 Contingency Allocation 2" xfId="6516"/>
    <cellStyle name="_Lisbon GDC Seat Costs 0809 v1 3_A1.  Major AFC var by contract_A.G Cost of Operations" xfId="6517"/>
    <cellStyle name="_Lisbon GDC Seat Costs 0809 v1 3_A1.  Major AFC var by contract_A.G Cost of Operations 2" xfId="6518"/>
    <cellStyle name="_Lisbon GDC Seat Costs 0809 v1 3_A1.  Major AFC var by contract_A.M Analysis of Indirect Detail" xfId="6519"/>
    <cellStyle name="_Lisbon GDC Seat Costs 0809 v1 3_A6.Accruals - By WBS_cost centr" xfId="6520"/>
    <cellStyle name="_Lisbon GDC Seat Costs 0809 v1 3_Analysis Board Report" xfId="6521"/>
    <cellStyle name="_Lisbon GDC Seat Costs 0809 v1 3_Analysis Board Report 2" xfId="6522"/>
    <cellStyle name="_Lisbon GDC Seat Costs 0809 v1 3_Analysis Board Report 3" xfId="6523"/>
    <cellStyle name="_Lisbon GDC Seat Costs 0809 v1 3_Analysis Board Report_6.1 Contingency Allocation" xfId="6524"/>
    <cellStyle name="_Lisbon GDC Seat Costs 0809 v1 3_Analysis Board Report_6.1 Contingency Allocation 2" xfId="6525"/>
    <cellStyle name="_Lisbon GDC Seat Costs 0809 v1 3_Analysis Board Report_A.G Cost of Operations" xfId="6526"/>
    <cellStyle name="_Lisbon GDC Seat Costs 0809 v1 3_Analysis Board Report_A.G Cost of Operations 2" xfId="6527"/>
    <cellStyle name="_Lisbon GDC Seat Costs 0809 v1 3_Analysis Board Report_A.M Analysis of Indirect Detail" xfId="6528"/>
    <cellStyle name="_Lisbon GDC Seat Costs 0809 v1 3_Analysis Board Report_A6.Accruals - By WBS_cost centr" xfId="6529"/>
    <cellStyle name="_Lisbon GDC Seat Costs 0809 v1 3_Analysis Board Report_P4 Accrual Calculation for Appendix" xfId="6530"/>
    <cellStyle name="_Lisbon GDC Seat Costs 0809 v1 3_Analysis Board Report_P4 Accrual Calculation for Appendix 2" xfId="6531"/>
    <cellStyle name="_Lisbon GDC Seat Costs 0809 v1 3_Analysis Board Report_P4 Accrual Calculation for Appendix_6.1 Contingency Allocation" xfId="6532"/>
    <cellStyle name="_Lisbon GDC Seat Costs 0809 v1 3_Analysis Board Report_P4 Accrual Calculation for Appendix_6.1 Contingency Allocation 2" xfId="6533"/>
    <cellStyle name="_Lisbon GDC Seat Costs 0809 v1 3_Analysis Board Report_P4 Accrual Calculation for Appendix_A.G Cost of Operations" xfId="6534"/>
    <cellStyle name="_Lisbon GDC Seat Costs 0809 v1 3_Analysis Board Report_P4 Accrual Calculation for Appendix_A.G Cost of Operations 2" xfId="6535"/>
    <cellStyle name="_Lisbon GDC Seat Costs 0809 v1 3_Analysis Board Report_P4 Accrual Calculation for Appendix_A.M Analysis of Indirect Detail" xfId="6536"/>
    <cellStyle name="_Lisbon GDC Seat Costs 0809 v1 3_Contingency tracker 020211 for PCSC for distribution Issued 27 01 11" xfId="6537"/>
    <cellStyle name="_Lisbon GDC Seat Costs 0809 v1 3_Contingency tracker 020211 for PCSC for distribution Issued 27 01 11 2" xfId="6538"/>
    <cellStyle name="_Lisbon GDC Seat Costs 0809 v1 3_Contingency tracker 020211 for PCSC for distribution Issued 27 01 11 3" xfId="6539"/>
    <cellStyle name="_Lisbon GDC Seat Costs 0809 v1 3_Contingency tracker 020211 for PCSC for distribution Issued 27 01 11 4" xfId="6540"/>
    <cellStyle name="_Lisbon GDC Seat Costs 0809 v1 3_Contingency tracker 020211 for PCSC for distribution Issued 27 01 11 5" xfId="6541"/>
    <cellStyle name="_Lisbon GDC Seat Costs 0809 v1 3_Contingency tracker 020211 for PCSC for distribution Issued 27 01 11_6.1 Contingency Allocation" xfId="6542"/>
    <cellStyle name="_Lisbon GDC Seat Costs 0809 v1 3_Contingency tracker 020211 for PCSC for distribution Issued 27 01 11_6.1 Contingency Allocation 2" xfId="6543"/>
    <cellStyle name="_Lisbon GDC Seat Costs 0809 v1 3_Contingency tracker 020211 for PCSC for distribution Issued 27 01 11_A.G Cost of Operations" xfId="6544"/>
    <cellStyle name="_Lisbon GDC Seat Costs 0809 v1 3_Contingency tracker 020211 for PCSC for distribution Issued 27 01 11_A.G Cost of Operations 2" xfId="6545"/>
    <cellStyle name="_Lisbon GDC Seat Costs 0809 v1 3_Contingency tracker 020211 for PCSC for distribution Issued 27 01 11_A.M Analysis of Indirect Detail" xfId="6546"/>
    <cellStyle name="_Lisbon GDC Seat Costs 0809 v1 3_Contingency tracker 020211 for PCSC for distribution Issued 27 01 11_A1.  Major AFC var by contract" xfId="6547"/>
    <cellStyle name="_Lisbon GDC Seat Costs 0809 v1 3_Contingency tracker 020211 for PCSC for distribution Issued 27 01 11_A1.  Major AFC var by contract 2" xfId="6548"/>
    <cellStyle name="_Lisbon GDC Seat Costs 0809 v1 3_Contingency tracker 020211 for PCSC for distribution Issued 27 01 11_A1.  Major AFC var by contract_6.1 Contingency Allocation" xfId="6549"/>
    <cellStyle name="_Lisbon GDC Seat Costs 0809 v1 3_Contingency tracker 020211 for PCSC for distribution Issued 27 01 11_A1.  Major AFC var by contract_6.1 Contingency Allocation 2" xfId="6550"/>
    <cellStyle name="_Lisbon GDC Seat Costs 0809 v1 3_Contingency tracker 020211 for PCSC for distribution Issued 27 01 11_A1.  Major AFC var by contract_A.G Cost of Operations" xfId="6551"/>
    <cellStyle name="_Lisbon GDC Seat Costs 0809 v1 3_Contingency tracker 020211 for PCSC for distribution Issued 27 01 11_A1.  Major AFC var by contract_A.G Cost of Operations 2" xfId="6552"/>
    <cellStyle name="_Lisbon GDC Seat Costs 0809 v1 3_Contingency tracker 020211 for PCSC for distribution Issued 27 01 11_A1.  Major AFC var by contract_A.M Analysis of Indirect Detail" xfId="6553"/>
    <cellStyle name="_Lisbon GDC Seat Costs 0809 v1 3_Contingency tracker 020211 for PCSC for distribution Issued 27 01 11_A6.Accruals - By WBS_cost centr" xfId="6554"/>
    <cellStyle name="_Lisbon GDC Seat Costs 0809 v1 3_Contingency tracker 020211 for PCSC for distribution Issued 27 01 11_Data Input" xfId="6555"/>
    <cellStyle name="_Lisbon GDC Seat Costs 0809 v1 3_Contingency tracker 020211 for PCSC for distribution Issued 27 01 11_P4 Accrual Calculation for Appendix" xfId="6556"/>
    <cellStyle name="_Lisbon GDC Seat Costs 0809 v1 3_Contingency tracker 020211 for PCSC for distribution Issued 27 01 11_P4 Accrual Calculation for Appendix 2" xfId="6557"/>
    <cellStyle name="_Lisbon GDC Seat Costs 0809 v1 3_Contingency tracker 020211 for PCSC for distribution Issued 27 01 11_P4 Accrual Calculation for Appendix_6.1 Contingency Allocation" xfId="6558"/>
    <cellStyle name="_Lisbon GDC Seat Costs 0809 v1 3_Contingency tracker 020211 for PCSC for distribution Issued 27 01 11_P4 Accrual Calculation for Appendix_6.1 Contingency Allocation 2" xfId="6559"/>
    <cellStyle name="_Lisbon GDC Seat Costs 0809 v1 3_Contingency tracker 020211 for PCSC for distribution Issued 27 01 11_P4 Accrual Calculation for Appendix_A.G Cost of Operations" xfId="6560"/>
    <cellStyle name="_Lisbon GDC Seat Costs 0809 v1 3_Contingency tracker 020211 for PCSC for distribution Issued 27 01 11_P4 Accrual Calculation for Appendix_A.G Cost of Operations 2" xfId="6561"/>
    <cellStyle name="_Lisbon GDC Seat Costs 0809 v1 3_Contingency tracker 020211 for PCSC for distribution Issued 27 01 11_P4 Accrual Calculation for Appendix_A.M Analysis of Indirect Detail" xfId="6562"/>
    <cellStyle name="_Lisbon GDC Seat Costs 0809 v1 3_Contingency tracker 020311 for PCSC for distribution ISSUED 220211" xfId="6563"/>
    <cellStyle name="_Lisbon GDC Seat Costs 0809 v1 3_Contingency tracker 020311 for PCSC for distribution ISSUED 220211 2" xfId="6564"/>
    <cellStyle name="_Lisbon GDC Seat Costs 0809 v1 3_Contingency tracker 020311 for PCSC for distribution ISSUED 220211 3" xfId="6565"/>
    <cellStyle name="_Lisbon GDC Seat Costs 0809 v1 3_Contingency tracker 020311 for PCSC for distribution ISSUED 220211 4" xfId="6566"/>
    <cellStyle name="_Lisbon GDC Seat Costs 0809 v1 3_Contingency tracker 020311 for PCSC for distribution ISSUED 220211 5" xfId="6567"/>
    <cellStyle name="_Lisbon GDC Seat Costs 0809 v1 3_Contingency tracker 020311 for PCSC for distribution ISSUED 220211_6.1 Contingency Allocation" xfId="6568"/>
    <cellStyle name="_Lisbon GDC Seat Costs 0809 v1 3_Contingency tracker 020311 for PCSC for distribution ISSUED 220211_6.1 Contingency Allocation 2" xfId="6569"/>
    <cellStyle name="_Lisbon GDC Seat Costs 0809 v1 3_Contingency tracker 020311 for PCSC for distribution ISSUED 220211_A.G Cost of Operations" xfId="6570"/>
    <cellStyle name="_Lisbon GDC Seat Costs 0809 v1 3_Contingency tracker 020311 for PCSC for distribution ISSUED 220211_A.G Cost of Operations 2" xfId="6571"/>
    <cellStyle name="_Lisbon GDC Seat Costs 0809 v1 3_Contingency tracker 020311 for PCSC for distribution ISSUED 220211_A.M Analysis of Indirect Detail" xfId="6572"/>
    <cellStyle name="_Lisbon GDC Seat Costs 0809 v1 3_Contingency tracker 020311 for PCSC for distribution ISSUED 220211_A1.  Major AFC var by contract" xfId="6573"/>
    <cellStyle name="_Lisbon GDC Seat Costs 0809 v1 3_Contingency tracker 020311 for PCSC for distribution ISSUED 220211_A1.  Major AFC var by contract 2" xfId="6574"/>
    <cellStyle name="_Lisbon GDC Seat Costs 0809 v1 3_Contingency tracker 020311 for PCSC for distribution ISSUED 220211_A1.  Major AFC var by contract_6.1 Contingency Allocation" xfId="6575"/>
    <cellStyle name="_Lisbon GDC Seat Costs 0809 v1 3_Contingency tracker 020311 for PCSC for distribution ISSUED 220211_A1.  Major AFC var by contract_6.1 Contingency Allocation 2" xfId="6576"/>
    <cellStyle name="_Lisbon GDC Seat Costs 0809 v1 3_Contingency tracker 020311 for PCSC for distribution ISSUED 220211_A1.  Major AFC var by contract_A.G Cost of Operations" xfId="6577"/>
    <cellStyle name="_Lisbon GDC Seat Costs 0809 v1 3_Contingency tracker 020311 for PCSC for distribution ISSUED 220211_A1.  Major AFC var by contract_A.G Cost of Operations 2" xfId="6578"/>
    <cellStyle name="_Lisbon GDC Seat Costs 0809 v1 3_Contingency tracker 020311 for PCSC for distribution ISSUED 220211_A1.  Major AFC var by contract_A.M Analysis of Indirect Detail" xfId="6579"/>
    <cellStyle name="_Lisbon GDC Seat Costs 0809 v1 3_Contingency tracker 020311 for PCSC for distribution ISSUED 220211_A6.Accruals - By WBS_cost centr" xfId="6580"/>
    <cellStyle name="_Lisbon GDC Seat Costs 0809 v1 3_Contingency tracker 020311 for PCSC for distribution ISSUED 220211_Data Input" xfId="6581"/>
    <cellStyle name="_Lisbon GDC Seat Costs 0809 v1 3_Contingency tracker 020311 for PCSC for distribution ISSUED 220211_P4 Accrual Calculation for Appendix" xfId="6582"/>
    <cellStyle name="_Lisbon GDC Seat Costs 0809 v1 3_Contingency tracker 020311 for PCSC for distribution ISSUED 220211_P4 Accrual Calculation for Appendix 2" xfId="6583"/>
    <cellStyle name="_Lisbon GDC Seat Costs 0809 v1 3_Contingency tracker 020311 for PCSC for distribution ISSUED 220211_P4 Accrual Calculation for Appendix_6.1 Contingency Allocation" xfId="6584"/>
    <cellStyle name="_Lisbon GDC Seat Costs 0809 v1 3_Contingency tracker 020311 for PCSC for distribution ISSUED 220211_P4 Accrual Calculation for Appendix_6.1 Contingency Allocation 2" xfId="6585"/>
    <cellStyle name="_Lisbon GDC Seat Costs 0809 v1 3_Contingency tracker 020311 for PCSC for distribution ISSUED 220211_P4 Accrual Calculation for Appendix_A.G Cost of Operations" xfId="6586"/>
    <cellStyle name="_Lisbon GDC Seat Costs 0809 v1 3_Contingency tracker 020311 for PCSC for distribution ISSUED 220211_P4 Accrual Calculation for Appendix_A.G Cost of Operations 2" xfId="6587"/>
    <cellStyle name="_Lisbon GDC Seat Costs 0809 v1 3_Contingency tracker 020311 for PCSC for distribution ISSUED 220211_P4 Accrual Calculation for Appendix_A.M Analysis of Indirect Detail" xfId="6588"/>
    <cellStyle name="_Lisbon GDC Seat Costs 0809 v1 3_Contingency tracker 250511 for PCSC" xfId="6589"/>
    <cellStyle name="_Lisbon GDC Seat Costs 0809 v1 3_Contingency tracker 250511 for PCSC (2)" xfId="6590"/>
    <cellStyle name="_Lisbon GDC Seat Costs 0809 v1 3_Contingency tracker 250511 for PCSC (2) 2" xfId="6591"/>
    <cellStyle name="_Lisbon GDC Seat Costs 0809 v1 3_Contingency tracker 250511 for PCSC (2)_Data Input" xfId="6592"/>
    <cellStyle name="_Lisbon GDC Seat Costs 0809 v1 3_Contingency tracker 250511 for PCSC 10" xfId="6593"/>
    <cellStyle name="_Lisbon GDC Seat Costs 0809 v1 3_Contingency tracker 250511 for PCSC 11" xfId="6594"/>
    <cellStyle name="_Lisbon GDC Seat Costs 0809 v1 3_Contingency tracker 250511 for PCSC 12" xfId="6595"/>
    <cellStyle name="_Lisbon GDC Seat Costs 0809 v1 3_Contingency tracker 250511 for PCSC 13" xfId="6596"/>
    <cellStyle name="_Lisbon GDC Seat Costs 0809 v1 3_Contingency tracker 250511 for PCSC 14" xfId="6597"/>
    <cellStyle name="_Lisbon GDC Seat Costs 0809 v1 3_Contingency tracker 250511 for PCSC 15" xfId="6598"/>
    <cellStyle name="_Lisbon GDC Seat Costs 0809 v1 3_Contingency tracker 250511 for PCSC 16" xfId="6599"/>
    <cellStyle name="_Lisbon GDC Seat Costs 0809 v1 3_Contingency tracker 250511 for PCSC 17" xfId="6600"/>
    <cellStyle name="_Lisbon GDC Seat Costs 0809 v1 3_Contingency tracker 250511 for PCSC 18" xfId="6601"/>
    <cellStyle name="_Lisbon GDC Seat Costs 0809 v1 3_Contingency tracker 250511 for PCSC 19" xfId="6602"/>
    <cellStyle name="_Lisbon GDC Seat Costs 0809 v1 3_Contingency tracker 250511 for PCSC 2" xfId="6603"/>
    <cellStyle name="_Lisbon GDC Seat Costs 0809 v1 3_Contingency tracker 250511 for PCSC 20" xfId="6604"/>
    <cellStyle name="_Lisbon GDC Seat Costs 0809 v1 3_Contingency tracker 250511 for PCSC 21" xfId="6605"/>
    <cellStyle name="_Lisbon GDC Seat Costs 0809 v1 3_Contingency tracker 250511 for PCSC 22" xfId="6606"/>
    <cellStyle name="_Lisbon GDC Seat Costs 0809 v1 3_Contingency tracker 250511 for PCSC 23" xfId="6607"/>
    <cellStyle name="_Lisbon GDC Seat Costs 0809 v1 3_Contingency tracker 250511 for PCSC 24" xfId="6608"/>
    <cellStyle name="_Lisbon GDC Seat Costs 0809 v1 3_Contingency tracker 250511 for PCSC 25" xfId="6609"/>
    <cellStyle name="_Lisbon GDC Seat Costs 0809 v1 3_Contingency tracker 250511 for PCSC 26" xfId="6610"/>
    <cellStyle name="_Lisbon GDC Seat Costs 0809 v1 3_Contingency tracker 250511 for PCSC 27" xfId="6611"/>
    <cellStyle name="_Lisbon GDC Seat Costs 0809 v1 3_Contingency tracker 250511 for PCSC 28" xfId="6612"/>
    <cellStyle name="_Lisbon GDC Seat Costs 0809 v1 3_Contingency tracker 250511 for PCSC 29" xfId="13162"/>
    <cellStyle name="_Lisbon GDC Seat Costs 0809 v1 3_Contingency tracker 250511 for PCSC 3" xfId="6613"/>
    <cellStyle name="_Lisbon GDC Seat Costs 0809 v1 3_Contingency tracker 250511 for PCSC 4" xfId="6614"/>
    <cellStyle name="_Lisbon GDC Seat Costs 0809 v1 3_Contingency tracker 250511 for PCSC 5" xfId="6615"/>
    <cellStyle name="_Lisbon GDC Seat Costs 0809 v1 3_Contingency tracker 250511 for PCSC 6" xfId="6616"/>
    <cellStyle name="_Lisbon GDC Seat Costs 0809 v1 3_Contingency tracker 250511 for PCSC 7" xfId="6617"/>
    <cellStyle name="_Lisbon GDC Seat Costs 0809 v1 3_Contingency tracker 250511 for PCSC 8" xfId="6618"/>
    <cellStyle name="_Lisbon GDC Seat Costs 0809 v1 3_Contingency tracker 250511 for PCSC 9" xfId="6619"/>
    <cellStyle name="_Lisbon GDC Seat Costs 0809 v1 3_Contingency tracker 250511 for PCSC_Data Input" xfId="6620"/>
    <cellStyle name="_Lisbon GDC Seat Costs 0809 v1 3_Contracts with Major Variances to Current Forecast P1" xfId="6621"/>
    <cellStyle name="_Lisbon GDC Seat Costs 0809 v1 3_Contracts with Major Variances to Current Forecast P1 2" xfId="6622"/>
    <cellStyle name="_Lisbon GDC Seat Costs 0809 v1 3_Contracts with Major Variances to Current Forecast P1 3" xfId="6623"/>
    <cellStyle name="_Lisbon GDC Seat Costs 0809 v1 3_Contracts with Major Variances to Current Forecast P1_6.1 Contingency Allocation" xfId="6624"/>
    <cellStyle name="_Lisbon GDC Seat Costs 0809 v1 3_Contracts with Major Variances to Current Forecast P1_6.1 Contingency Allocation 2" xfId="6625"/>
    <cellStyle name="_Lisbon GDC Seat Costs 0809 v1 3_Contracts with Major Variances to Current Forecast P1_A.G Cost of Operations" xfId="6626"/>
    <cellStyle name="_Lisbon GDC Seat Costs 0809 v1 3_Contracts with Major Variances to Current Forecast P1_A.G Cost of Operations 2" xfId="6627"/>
    <cellStyle name="_Lisbon GDC Seat Costs 0809 v1 3_Contracts with Major Variances to Current Forecast P1_A.M Analysis of Indirect Detail" xfId="6628"/>
    <cellStyle name="_Lisbon GDC Seat Costs 0809 v1 3_Contracts with Major Variances to Current Forecast P1_A6.Accruals - By WBS_cost centr" xfId="6629"/>
    <cellStyle name="_Lisbon GDC Seat Costs 0809 v1 3_Contracts with Major Variances to Current Forecast P1_P4 Accrual Calculation for Appendix" xfId="6630"/>
    <cellStyle name="_Lisbon GDC Seat Costs 0809 v1 3_Contracts with Major Variances to Current Forecast P1_P4 Accrual Calculation for Appendix 2" xfId="6631"/>
    <cellStyle name="_Lisbon GDC Seat Costs 0809 v1 3_Contracts with Major Variances to Current Forecast P1_P4 Accrual Calculation for Appendix_6.1 Contingency Allocation" xfId="6632"/>
    <cellStyle name="_Lisbon GDC Seat Costs 0809 v1 3_Contracts with Major Variances to Current Forecast P1_P4 Accrual Calculation for Appendix_6.1 Contingency Allocation 2" xfId="6633"/>
    <cellStyle name="_Lisbon GDC Seat Costs 0809 v1 3_Contracts with Major Variances to Current Forecast P1_P4 Accrual Calculation for Appendix_A.G Cost of Operations" xfId="6634"/>
    <cellStyle name="_Lisbon GDC Seat Costs 0809 v1 3_Contracts with Major Variances to Current Forecast P1_P4 Accrual Calculation for Appendix_A.G Cost of Operations 2" xfId="6635"/>
    <cellStyle name="_Lisbon GDC Seat Costs 0809 v1 3_Contracts with Major Variances to Current Forecast P1_P4 Accrual Calculation for Appendix_A.M Analysis of Indirect Detail" xfId="6636"/>
    <cellStyle name="_Lisbon GDC Seat Costs 0809 v1 3_Data Input" xfId="6637"/>
    <cellStyle name="_Lisbon GDC Seat Costs 0809 v1 3_P10 Current Budget 14 01 11 - Final Rev02" xfId="6638"/>
    <cellStyle name="_Lisbon GDC Seat Costs 0809 v1 3_P10 Current Budget 14 01 11 - Final Rev02 2" xfId="6639"/>
    <cellStyle name="_Lisbon GDC Seat Costs 0809 v1 3_P10 Current Budget 14 01 11 - Final Rev02 3" xfId="6640"/>
    <cellStyle name="_Lisbon GDC Seat Costs 0809 v1 3_P10 Current Budget 14 01 11 - Final Rev02 4" xfId="6641"/>
    <cellStyle name="_Lisbon GDC Seat Costs 0809 v1 3_P10 Current Budget 14 01 11 - Final Rev02 5" xfId="6642"/>
    <cellStyle name="_Lisbon GDC Seat Costs 0809 v1 3_P10 Current Budget 14 01 11 - Final Rev02_6.1 Contingency Allocation" xfId="6643"/>
    <cellStyle name="_Lisbon GDC Seat Costs 0809 v1 3_P10 Current Budget 14 01 11 - Final Rev02_6.1 Contingency Allocation 2" xfId="6644"/>
    <cellStyle name="_Lisbon GDC Seat Costs 0809 v1 3_P10 Current Budget 14 01 11 - Final Rev02_A.G Cost of Operations" xfId="6645"/>
    <cellStyle name="_Lisbon GDC Seat Costs 0809 v1 3_P10 Current Budget 14 01 11 - Final Rev02_A.G Cost of Operations 2" xfId="6646"/>
    <cellStyle name="_Lisbon GDC Seat Costs 0809 v1 3_P10 Current Budget 14 01 11 - Final Rev02_A.M Analysis of Indirect Detail" xfId="6647"/>
    <cellStyle name="_Lisbon GDC Seat Costs 0809 v1 3_P10 Current Budget 14 01 11 - Final Rev02_A1.  Major AFC var by contract" xfId="6648"/>
    <cellStyle name="_Lisbon GDC Seat Costs 0809 v1 3_P10 Current Budget 14 01 11 - Final Rev02_A1.  Major AFC var by contract 2" xfId="6649"/>
    <cellStyle name="_Lisbon GDC Seat Costs 0809 v1 3_P10 Current Budget 14 01 11 - Final Rev02_A1.  Major AFC var by contract_6.1 Contingency Allocation" xfId="6650"/>
    <cellStyle name="_Lisbon GDC Seat Costs 0809 v1 3_P10 Current Budget 14 01 11 - Final Rev02_A1.  Major AFC var by contract_6.1 Contingency Allocation 2" xfId="6651"/>
    <cellStyle name="_Lisbon GDC Seat Costs 0809 v1 3_P10 Current Budget 14 01 11 - Final Rev02_A1.  Major AFC var by contract_A.G Cost of Operations" xfId="6652"/>
    <cellStyle name="_Lisbon GDC Seat Costs 0809 v1 3_P10 Current Budget 14 01 11 - Final Rev02_A1.  Major AFC var by contract_A.G Cost of Operations 2" xfId="6653"/>
    <cellStyle name="_Lisbon GDC Seat Costs 0809 v1 3_P10 Current Budget 14 01 11 - Final Rev02_A1.  Major AFC var by contract_A.M Analysis of Indirect Detail" xfId="6654"/>
    <cellStyle name="_Lisbon GDC Seat Costs 0809 v1 3_P10 Current Budget 14 01 11 - Final Rev02_A6.Accruals - By WBS_cost centr" xfId="6655"/>
    <cellStyle name="_Lisbon GDC Seat Costs 0809 v1 3_P10 Current Budget 14 01 11 - Final Rev02_Data Input" xfId="6656"/>
    <cellStyle name="_Lisbon GDC Seat Costs 0809 v1 3_P10 Current Budget 14 01 11 - Final Rev02_P4 Accrual Calculation for Appendix" xfId="6657"/>
    <cellStyle name="_Lisbon GDC Seat Costs 0809 v1 3_P10 Current Budget 14 01 11 - Final Rev02_P4 Accrual Calculation for Appendix 2" xfId="6658"/>
    <cellStyle name="_Lisbon GDC Seat Costs 0809 v1 3_P10 Current Budget 14 01 11 - Final Rev02_P4 Accrual Calculation for Appendix_6.1 Contingency Allocation" xfId="6659"/>
    <cellStyle name="_Lisbon GDC Seat Costs 0809 v1 3_P10 Current Budget 14 01 11 - Final Rev02_P4 Accrual Calculation for Appendix_6.1 Contingency Allocation 2" xfId="6660"/>
    <cellStyle name="_Lisbon GDC Seat Costs 0809 v1 3_P10 Current Budget 14 01 11 - Final Rev02_P4 Accrual Calculation for Appendix_A.G Cost of Operations" xfId="6661"/>
    <cellStyle name="_Lisbon GDC Seat Costs 0809 v1 3_P10 Current Budget 14 01 11 - Final Rev02_P4 Accrual Calculation for Appendix_A.G Cost of Operations 2" xfId="6662"/>
    <cellStyle name="_Lisbon GDC Seat Costs 0809 v1 3_P10 Current Budget 14 01 11 - Final Rev02_P4 Accrual Calculation for Appendix_A.M Analysis of Indirect Detail" xfId="6663"/>
    <cellStyle name="_Lisbon GDC Seat Costs 0809 v1 3_P4 Accrual Calculation for Appendix" xfId="6664"/>
    <cellStyle name="_Lisbon GDC Seat Costs 0809 v1 3_P4 Accrual Calculation for Appendix 2" xfId="6665"/>
    <cellStyle name="_Lisbon GDC Seat Costs 0809 v1 3_P4 Accrual Calculation for Appendix_6.1 Contingency Allocation" xfId="6666"/>
    <cellStyle name="_Lisbon GDC Seat Costs 0809 v1 3_P4 Accrual Calculation for Appendix_6.1 Contingency Allocation 2" xfId="6667"/>
    <cellStyle name="_Lisbon GDC Seat Costs 0809 v1 3_P4 Accrual Calculation for Appendix_A.G Cost of Operations" xfId="6668"/>
    <cellStyle name="_Lisbon GDC Seat Costs 0809 v1 3_P4 Accrual Calculation for Appendix_A.G Cost of Operations 2" xfId="6669"/>
    <cellStyle name="_Lisbon GDC Seat Costs 0809 v1 3_P4 Accrual Calculation for Appendix_A.M Analysis of Indirect Detail" xfId="6670"/>
    <cellStyle name="_Lisbon GDC Seat Costs 0809 v1 3_R41 R42 Table" xfId="6671"/>
    <cellStyle name="_Lisbon GDC Seat Costs 0809 v1 3_R41 R42 Table 2" xfId="6672"/>
    <cellStyle name="_Lisbon GDC Seat Costs 0809 v1 3_R41 R42 Table 3" xfId="6673"/>
    <cellStyle name="_Lisbon GDC Seat Costs 0809 v1 3_R41 R42 Table 4" xfId="6674"/>
    <cellStyle name="_Lisbon GDC Seat Costs 0809 v1 3_R41 R42 Table 5" xfId="6675"/>
    <cellStyle name="_Lisbon GDC Seat Costs 0809 v1 3_R41 R42 Table_6.1 Contingency Allocation" xfId="6676"/>
    <cellStyle name="_Lisbon GDC Seat Costs 0809 v1 3_R41 R42 Table_6.1 Contingency Allocation 2" xfId="6677"/>
    <cellStyle name="_Lisbon GDC Seat Costs 0809 v1 3_R41 R42 Table_A.G Cost of Operations" xfId="6678"/>
    <cellStyle name="_Lisbon GDC Seat Costs 0809 v1 3_R41 R42 Table_A.G Cost of Operations 2" xfId="6679"/>
    <cellStyle name="_Lisbon GDC Seat Costs 0809 v1 3_R41 R42 Table_A.M Analysis of Indirect Detail" xfId="6680"/>
    <cellStyle name="_Lisbon GDC Seat Costs 0809 v1 3_R41 R42 Table_A6.Accruals - By WBS_cost centr" xfId="6681"/>
    <cellStyle name="_Lisbon GDC Seat Costs 0809 v1 3_R41 R42 Table_Data Input" xfId="6682"/>
    <cellStyle name="_Lisbon GDC Seat Costs 0809 v1 3_R41 R42 Table_P4 Accrual Calculation for Appendix" xfId="6683"/>
    <cellStyle name="_Lisbon GDC Seat Costs 0809 v1 3_R41 R42 Table_P4 Accrual Calculation for Appendix 2" xfId="6684"/>
    <cellStyle name="_Lisbon GDC Seat Costs 0809 v1 3_R41 R42 Table_P4 Accrual Calculation for Appendix_6.1 Contingency Allocation" xfId="6685"/>
    <cellStyle name="_Lisbon GDC Seat Costs 0809 v1 3_R41 R42 Table_P4 Accrual Calculation for Appendix_6.1 Contingency Allocation 2" xfId="6686"/>
    <cellStyle name="_Lisbon GDC Seat Costs 0809 v1 3_R41 R42 Table_P4 Accrual Calculation for Appendix_A.G Cost of Operations" xfId="6687"/>
    <cellStyle name="_Lisbon GDC Seat Costs 0809 v1 3_R41 R42 Table_P4 Accrual Calculation for Appendix_A.G Cost of Operations 2" xfId="6688"/>
    <cellStyle name="_Lisbon GDC Seat Costs 0809 v1 3_R41 R42 Table_P4 Accrual Calculation for Appendix_A.M Analysis of Indirect Detail" xfId="6689"/>
    <cellStyle name="_Lisbon GDC Seat Costs 0809 v1 3_SAP CRL directs entry template for P10" xfId="6690"/>
    <cellStyle name="_Lisbon GDC Seat Costs 0809 v1 3_SAP CRL directs entry template for P10 2" xfId="6691"/>
    <cellStyle name="_Lisbon GDC Seat Costs 0809 v1 3_SAP CRL directs entry template for P10 3" xfId="6692"/>
    <cellStyle name="_Lisbon GDC Seat Costs 0809 v1 3_SAP CRL directs entry template for P10 rev1" xfId="6693"/>
    <cellStyle name="_Lisbon GDC Seat Costs 0809 v1 3_SAP CRL directs entry template for P10 rev1 2" xfId="6694"/>
    <cellStyle name="_Lisbon GDC Seat Costs 0809 v1 3_SAP CRL directs entry template for P10 rev1 3" xfId="6695"/>
    <cellStyle name="_Lisbon GDC Seat Costs 0809 v1 3_SAP CRL directs entry template for P10 rev1_6.1 Contingency Allocation" xfId="6696"/>
    <cellStyle name="_Lisbon GDC Seat Costs 0809 v1 3_SAP CRL directs entry template for P10 rev1_6.1 Contingency Allocation 2" xfId="6697"/>
    <cellStyle name="_Lisbon GDC Seat Costs 0809 v1 3_SAP CRL directs entry template for P10 rev1_A.G Cost of Operations" xfId="6698"/>
    <cellStyle name="_Lisbon GDC Seat Costs 0809 v1 3_SAP CRL directs entry template for P10 rev1_A.G Cost of Operations 2" xfId="6699"/>
    <cellStyle name="_Lisbon GDC Seat Costs 0809 v1 3_SAP CRL directs entry template for P10 rev1_A.M Analysis of Indirect Detail" xfId="6700"/>
    <cellStyle name="_Lisbon GDC Seat Costs 0809 v1 3_SAP CRL directs entry template for P10 rev1_A6.Accruals - By WBS_cost centr" xfId="6701"/>
    <cellStyle name="_Lisbon GDC Seat Costs 0809 v1 3_SAP CRL directs entry template for P10 rev1_P4 Accrual Calculation for Appendix" xfId="6702"/>
    <cellStyle name="_Lisbon GDC Seat Costs 0809 v1 3_SAP CRL directs entry template for P10 rev1_P4 Accrual Calculation for Appendix 2" xfId="6703"/>
    <cellStyle name="_Lisbon GDC Seat Costs 0809 v1 3_SAP CRL directs entry template for P10 rev1_P4 Accrual Calculation for Appendix_6.1 Contingency Allocation" xfId="6704"/>
    <cellStyle name="_Lisbon GDC Seat Costs 0809 v1 3_SAP CRL directs entry template for P10 rev1_P4 Accrual Calculation for Appendix_6.1 Contingency Allocation 2" xfId="6705"/>
    <cellStyle name="_Lisbon GDC Seat Costs 0809 v1 3_SAP CRL directs entry template for P10 rev1_P4 Accrual Calculation for Appendix_A.G Cost of Operations" xfId="6706"/>
    <cellStyle name="_Lisbon GDC Seat Costs 0809 v1 3_SAP CRL directs entry template for P10 rev1_P4 Accrual Calculation for Appendix_A.G Cost of Operations 2" xfId="6707"/>
    <cellStyle name="_Lisbon GDC Seat Costs 0809 v1 3_SAP CRL directs entry template for P10 rev1_P4 Accrual Calculation for Appendix_A.M Analysis of Indirect Detail" xfId="6708"/>
    <cellStyle name="_Lisbon GDC Seat Costs 0809 v1 3_SAP CRL directs entry template for P10_6.1 Contingency Allocation" xfId="6709"/>
    <cellStyle name="_Lisbon GDC Seat Costs 0809 v1 3_SAP CRL directs entry template for P10_6.1 Contingency Allocation 2" xfId="6710"/>
    <cellStyle name="_Lisbon GDC Seat Costs 0809 v1 3_SAP CRL directs entry template for P10_A.G Cost of Operations" xfId="6711"/>
    <cellStyle name="_Lisbon GDC Seat Costs 0809 v1 3_SAP CRL directs entry template for P10_A.G Cost of Operations 2" xfId="6712"/>
    <cellStyle name="_Lisbon GDC Seat Costs 0809 v1 3_SAP CRL directs entry template for P10_A.M Analysis of Indirect Detail" xfId="6713"/>
    <cellStyle name="_Lisbon GDC Seat Costs 0809 v1 3_SAP CRL directs entry template for P10_A6.Accruals - By WBS_cost centr" xfId="6714"/>
    <cellStyle name="_Lisbon GDC Seat Costs 0809 v1 3_SAP CRL directs entry template for P10_P4 Accrual Calculation for Appendix" xfId="6715"/>
    <cellStyle name="_Lisbon GDC Seat Costs 0809 v1 3_SAP CRL directs entry template for P10_P4 Accrual Calculation for Appendix 2" xfId="6716"/>
    <cellStyle name="_Lisbon GDC Seat Costs 0809 v1 3_SAP CRL directs entry template for P10_P4 Accrual Calculation for Appendix_6.1 Contingency Allocation" xfId="6717"/>
    <cellStyle name="_Lisbon GDC Seat Costs 0809 v1 3_SAP CRL directs entry template for P10_P4 Accrual Calculation for Appendix_6.1 Contingency Allocation 2" xfId="6718"/>
    <cellStyle name="_Lisbon GDC Seat Costs 0809 v1 3_SAP CRL directs entry template for P10_P4 Accrual Calculation for Appendix_A.G Cost of Operations" xfId="6719"/>
    <cellStyle name="_Lisbon GDC Seat Costs 0809 v1 3_SAP CRL directs entry template for P10_P4 Accrual Calculation for Appendix_A.G Cost of Operations 2" xfId="6720"/>
    <cellStyle name="_Lisbon GDC Seat Costs 0809 v1 3_SAP CRL directs entry template for P10_P4 Accrual Calculation for Appendix_A.M Analysis of Indirect Detail" xfId="6721"/>
    <cellStyle name="_Lisbon GDC Seat Costs 0809 v1 3_SAP CRL directs entry template for P11" xfId="6722"/>
    <cellStyle name="_Lisbon GDC Seat Costs 0809 v1 3_SAP CRL directs entry template for P11 2" xfId="6723"/>
    <cellStyle name="_Lisbon GDC Seat Costs 0809 v1 3_Sponsor Dashboard Schedule Backsheet v28" xfId="6724"/>
    <cellStyle name="_Lisbon GDC Seat Costs 0809 v1 3_Sponsor Dashboard Schedule Backsheet v28 2" xfId="6725"/>
    <cellStyle name="_Lisbon GDC Seat Costs 0809 v1 3_Sponsor Dashboard Schedule Backsheet v28_Data Input" xfId="6726"/>
    <cellStyle name="_Lisbon GDC Seat Costs 0809 v1 3_ZPS_C04_Q0200 Direct Cost Report P1 v2" xfId="6727"/>
    <cellStyle name="_Lisbon GDC Seat Costs 0809 v1 3_ZPS_C04_Q0200 Direct Cost Report P1 v2 2" xfId="6728"/>
    <cellStyle name="_Lisbon GDC Seat Costs 0809 v1 3_ZPS_C04_Q0200 Direct Cost Report P1 v2 3" xfId="6729"/>
    <cellStyle name="_Lisbon GDC Seat Costs 0809 v1 3_ZPS_C04_Q0200 Direct Cost Report P1 v2 4" xfId="6730"/>
    <cellStyle name="_Lisbon GDC Seat Costs 0809 v1 3_ZPS_C04_Q0200 Direct Cost Report P1 v2 5" xfId="6731"/>
    <cellStyle name="_Lisbon GDC Seat Costs 0809 v1 3_ZPS_C04_Q0200 Direct Cost Report P1 v2_6.1 Contingency Allocation" xfId="6732"/>
    <cellStyle name="_Lisbon GDC Seat Costs 0809 v1 3_ZPS_C04_Q0200 Direct Cost Report P1 v2_6.1 Contingency Allocation 2" xfId="6733"/>
    <cellStyle name="_Lisbon GDC Seat Costs 0809 v1 3_ZPS_C04_Q0200 Direct Cost Report P1 v2_A.G Cost of Operations" xfId="6734"/>
    <cellStyle name="_Lisbon GDC Seat Costs 0809 v1 3_ZPS_C04_Q0200 Direct Cost Report P1 v2_A.G Cost of Operations 2" xfId="6735"/>
    <cellStyle name="_Lisbon GDC Seat Costs 0809 v1 3_ZPS_C04_Q0200 Direct Cost Report P1 v2_A.M Analysis of Indirect Detail" xfId="6736"/>
    <cellStyle name="_Lisbon GDC Seat Costs 0809 v1 3_ZPS_C04_Q0200 Direct Cost Report P1 v2_A6.Accruals - By WBS_cost centr" xfId="6737"/>
    <cellStyle name="_Lisbon GDC Seat Costs 0809 v1 3_ZPS_C04_Q0200 Direct Cost Report P1 v2_Data Input" xfId="6738"/>
    <cellStyle name="_Lisbon GDC Seat Costs 0809 v1 3_ZPS_C04_Q0200 Direct Cost Report P1 v2_P4 Accrual Calculation for Appendix" xfId="6739"/>
    <cellStyle name="_Lisbon GDC Seat Costs 0809 v1 3_ZPS_C04_Q0200 Direct Cost Report P1 v2_P4 Accrual Calculation for Appendix 2" xfId="6740"/>
    <cellStyle name="_Lisbon GDC Seat Costs 0809 v1 3_ZPS_C04_Q0200 Direct Cost Report P1 v2_P4 Accrual Calculation for Appendix_6.1 Contingency Allocation" xfId="6741"/>
    <cellStyle name="_Lisbon GDC Seat Costs 0809 v1 3_ZPS_C04_Q0200 Direct Cost Report P1 v2_P4 Accrual Calculation for Appendix_6.1 Contingency Allocation 2" xfId="6742"/>
    <cellStyle name="_Lisbon GDC Seat Costs 0809 v1 3_ZPS_C04_Q0200 Direct Cost Report P1 v2_P4 Accrual Calculation for Appendix_A.G Cost of Operations" xfId="6743"/>
    <cellStyle name="_Lisbon GDC Seat Costs 0809 v1 3_ZPS_C04_Q0200 Direct Cost Report P1 v2_P4 Accrual Calculation for Appendix_A.G Cost of Operations 2" xfId="6744"/>
    <cellStyle name="_Lisbon GDC Seat Costs 0809 v1 3_ZPS_C04_Q0200 Direct Cost Report P1 v2_P4 Accrual Calculation for Appendix_A.M Analysis of Indirect Detail" xfId="6745"/>
    <cellStyle name="_Lisbon GDC Seat Costs 0809 v1 3_ZPS_C04_Q0200 Direct Cost Report P12 sk" xfId="6746"/>
    <cellStyle name="_Lisbon GDC Seat Costs 0809 v1 3_ZPS_C04_Q0200 Direct Cost Report P12 sk 2" xfId="6747"/>
    <cellStyle name="_Lisbon GDC Seat Costs 0809 v1 3_ZPS_C04_Q0200 Direct Cost Report P12 sk 3" xfId="6748"/>
    <cellStyle name="_Lisbon GDC Seat Costs 0809 v1 3_ZPS_C04_Q0200 Direct Cost Report P12 sk 4" xfId="6749"/>
    <cellStyle name="_Lisbon GDC Seat Costs 0809 v1 3_ZPS_C04_Q0200 Direct Cost Report P12 sk 5" xfId="6750"/>
    <cellStyle name="_Lisbon GDC Seat Costs 0809 v1 3_ZPS_C04_Q0200 Direct Cost Report P12 sk_6.1 Contingency Allocation" xfId="6751"/>
    <cellStyle name="_Lisbon GDC Seat Costs 0809 v1 3_ZPS_C04_Q0200 Direct Cost Report P12 sk_6.1 Contingency Allocation 2" xfId="6752"/>
    <cellStyle name="_Lisbon GDC Seat Costs 0809 v1 3_ZPS_C04_Q0200 Direct Cost Report P12 sk_A.G Cost of Operations" xfId="6753"/>
    <cellStyle name="_Lisbon GDC Seat Costs 0809 v1 3_ZPS_C04_Q0200 Direct Cost Report P12 sk_A.G Cost of Operations 2" xfId="6754"/>
    <cellStyle name="_Lisbon GDC Seat Costs 0809 v1 3_ZPS_C04_Q0200 Direct Cost Report P12 sk_A.M Analysis of Indirect Detail" xfId="6755"/>
    <cellStyle name="_Lisbon GDC Seat Costs 0809 v1 3_ZPS_C04_Q0200 Direct Cost Report P12 sk_A1.  Major AFC var by contract" xfId="6756"/>
    <cellStyle name="_Lisbon GDC Seat Costs 0809 v1 3_ZPS_C04_Q0200 Direct Cost Report P12 sk_A1.  Major AFC var by contract 2" xfId="6757"/>
    <cellStyle name="_Lisbon GDC Seat Costs 0809 v1 3_ZPS_C04_Q0200 Direct Cost Report P12 sk_A1.  Major AFC var by contract_6.1 Contingency Allocation" xfId="6758"/>
    <cellStyle name="_Lisbon GDC Seat Costs 0809 v1 3_ZPS_C04_Q0200 Direct Cost Report P12 sk_A1.  Major AFC var by contract_6.1 Contingency Allocation 2" xfId="6759"/>
    <cellStyle name="_Lisbon GDC Seat Costs 0809 v1 3_ZPS_C04_Q0200 Direct Cost Report P12 sk_A1.  Major AFC var by contract_A.G Cost of Operations" xfId="6760"/>
    <cellStyle name="_Lisbon GDC Seat Costs 0809 v1 3_ZPS_C04_Q0200 Direct Cost Report P12 sk_A1.  Major AFC var by contract_A.G Cost of Operations 2" xfId="6761"/>
    <cellStyle name="_Lisbon GDC Seat Costs 0809 v1 3_ZPS_C04_Q0200 Direct Cost Report P12 sk_A1.  Major AFC var by contract_A.M Analysis of Indirect Detail" xfId="6762"/>
    <cellStyle name="_Lisbon GDC Seat Costs 0809 v1 3_ZPS_C04_Q0200 Direct Cost Report P12 sk_A6.Accruals - By WBS_cost centr" xfId="6763"/>
    <cellStyle name="_Lisbon GDC Seat Costs 0809 v1 3_ZPS_C04_Q0200 Direct Cost Report P12 sk_Data Input" xfId="6764"/>
    <cellStyle name="_Lisbon GDC Seat Costs 0809 v1 3_ZPS_C04_Q0200 Direct Cost Report P12 sk_P4 Accrual Calculation for Appendix" xfId="6765"/>
    <cellStyle name="_Lisbon GDC Seat Costs 0809 v1 3_ZPS_C04_Q0200 Direct Cost Report P12 sk_P4 Accrual Calculation for Appendix 2" xfId="6766"/>
    <cellStyle name="_Lisbon GDC Seat Costs 0809 v1 3_ZPS_C04_Q0200 Direct Cost Report P12 sk_P4 Accrual Calculation for Appendix_6.1 Contingency Allocation" xfId="6767"/>
    <cellStyle name="_Lisbon GDC Seat Costs 0809 v1 3_ZPS_C04_Q0200 Direct Cost Report P12 sk_P4 Accrual Calculation for Appendix_6.1 Contingency Allocation 2" xfId="6768"/>
    <cellStyle name="_Lisbon GDC Seat Costs 0809 v1 3_ZPS_C04_Q0200 Direct Cost Report P12 sk_P4 Accrual Calculation for Appendix_A.G Cost of Operations" xfId="6769"/>
    <cellStyle name="_Lisbon GDC Seat Costs 0809 v1 3_ZPS_C04_Q0200 Direct Cost Report P12 sk_P4 Accrual Calculation for Appendix_A.G Cost of Operations 2" xfId="6770"/>
    <cellStyle name="_Lisbon GDC Seat Costs 0809 v1 3_ZPS_C04_Q0200 Direct Cost Report P12 sk_P4 Accrual Calculation for Appendix_A.M Analysis of Indirect Detail" xfId="6771"/>
    <cellStyle name="_LOOKUP TABLE" xfId="6772"/>
    <cellStyle name="_Management Accounts P11 v6 240210 FINAL" xfId="6773"/>
    <cellStyle name="_Model 250108 1329" xfId="6774"/>
    <cellStyle name="_Model JB 1" xfId="6775"/>
    <cellStyle name="_Model JB 1 2" xfId="6776"/>
    <cellStyle name="_Multiple" xfId="6777"/>
    <cellStyle name="_Multiple 2" xfId="6778"/>
    <cellStyle name="_Multiple_Book1" xfId="6779"/>
    <cellStyle name="_Multiple_Book1 2" xfId="6780"/>
    <cellStyle name="_Multiple_csc" xfId="6781"/>
    <cellStyle name="_Multiple_csc 2" xfId="6782"/>
    <cellStyle name="_Multiple_European Utilities_UK_Power Generation_Gas_Water" xfId="6783"/>
    <cellStyle name="_Multiple_European Utilities_UK_Power Generation_Gas_Water 2" xfId="6784"/>
    <cellStyle name="_Multiple_Industrial Filtration" xfId="6785"/>
    <cellStyle name="_Multiple_Industry Project list" xfId="6786"/>
    <cellStyle name="_Multiple_Industry Project list 2" xfId="6787"/>
    <cellStyle name="_Multiple_Liou CSC Deadlines 5-12-03" xfId="6788"/>
    <cellStyle name="_Multiple_Liou CSC Deadlines 5-12-03 2" xfId="6789"/>
    <cellStyle name="_Multiple_List of companies in CSC's 2005 (v3)" xfId="6790"/>
    <cellStyle name="_Multiple_List of companies in CSC's 2005 (v3) 2" xfId="6791"/>
    <cellStyle name="_Multiple_Vladimira Mircheva deadlines" xfId="6792"/>
    <cellStyle name="_Multiple_Vladimira Mircheva deadlines 2" xfId="6793"/>
    <cellStyle name="_MultipleSpace" xfId="6794"/>
    <cellStyle name="_MultipleSpace 2" xfId="6795"/>
    <cellStyle name="_MultipleSpace_Book1" xfId="6796"/>
    <cellStyle name="_MultipleSpace_Book1 2" xfId="6797"/>
    <cellStyle name="_MultipleSpace_csc" xfId="6798"/>
    <cellStyle name="_MultipleSpace_csc 2" xfId="6799"/>
    <cellStyle name="_MultipleSpace_European Utilities_UK_Power Generation_Gas_Water" xfId="6800"/>
    <cellStyle name="_MultipleSpace_European Utilities_UK_Power Generation_Gas_Water 2" xfId="6801"/>
    <cellStyle name="_MultipleSpace_Industrial Filtration" xfId="6802"/>
    <cellStyle name="_MultipleSpace_Industry Project list" xfId="6803"/>
    <cellStyle name="_MultipleSpace_Industry Project list 2" xfId="6804"/>
    <cellStyle name="_MultipleSpace_Liou CSC Deadlines 5-12-03" xfId="6805"/>
    <cellStyle name="_MultipleSpace_Liou CSC Deadlines 5-12-03 2" xfId="6806"/>
    <cellStyle name="_MultipleSpace_List of companies in CSC's 2005 (v3)" xfId="6807"/>
    <cellStyle name="_MultipleSpace_List of companies in CSC's 2005 (v3) 2" xfId="6808"/>
    <cellStyle name="_MultipleSpace_Vladimira Mircheva deadlines" xfId="6809"/>
    <cellStyle name="_MultipleSpace_Vladimira Mircheva deadlines 2" xfId="6810"/>
    <cellStyle name="_P4 Accrual Calcs" xfId="6811"/>
    <cellStyle name="_P4 Accrual Calcs 2" xfId="6812"/>
    <cellStyle name="_P4 Accrual Calcs 2 2" xfId="6813"/>
    <cellStyle name="_P4 Accrual Calcs 3" xfId="6814"/>
    <cellStyle name="_P4 Accrual Calcs 3 2" xfId="6815"/>
    <cellStyle name="_P4 Accrual Calcs 3 2 2" xfId="6816"/>
    <cellStyle name="_P4 Accrual Calcs 3 3" xfId="6817"/>
    <cellStyle name="_P4 Accrual Calcs 3_6.1 Contingency Allocation" xfId="6818"/>
    <cellStyle name="_P4 Accrual Calcs 3_6.1 Contingency Allocation 2" xfId="6819"/>
    <cellStyle name="_P4 Accrual Calcs 3_6.1 Contingency Allocation 2 2" xfId="6820"/>
    <cellStyle name="_P4 Accrual Calcs 3_6.1 Contingency Allocation 3" xfId="6821"/>
    <cellStyle name="_P4 Accrual Calcs 3_6.1 Contingency Allocation 3 2" xfId="6822"/>
    <cellStyle name="_P4 Accrual Calcs 3_6.1 Contingency Allocation 4" xfId="6823"/>
    <cellStyle name="_P4 Accrual Calcs 3_A.G Cost of Operations" xfId="6824"/>
    <cellStyle name="_P4 Accrual Calcs 3_A.G Cost of Operations 2" xfId="6825"/>
    <cellStyle name="_P4 Accrual Calcs 3_A.G Cost of Operations 2 2" xfId="6826"/>
    <cellStyle name="_P4 Accrual Calcs 3_A.G Cost of Operations 3" xfId="6827"/>
    <cellStyle name="_P4 Accrual Calcs 3_A.G Cost of Operations 3 2" xfId="6828"/>
    <cellStyle name="_P4 Accrual Calcs 3_A.G Cost of Operations 4" xfId="6829"/>
    <cellStyle name="_P4 Accrual Calcs 3_A.I  CF - Op Acc &amp; A7.PBAs" xfId="6830"/>
    <cellStyle name="_P4 Accrual Calcs 3_A.I  CF - Op Acc &amp; A7.PBAs 2" xfId="6831"/>
    <cellStyle name="_P4 Accrual Calcs 3_A.I  CF - Op Acc &amp; A7.PBAs 2 2" xfId="6832"/>
    <cellStyle name="_P4 Accrual Calcs 3_A.I  CF - Op Acc &amp; A7.PBAs 3" xfId="6833"/>
    <cellStyle name="_P4 Accrual Calcs 3_A.I  CF - Op Acc &amp; A7.PBAs 3 2" xfId="6834"/>
    <cellStyle name="_P4 Accrual Calcs 3_A.I  CF - Op Acc &amp; A7.PBAs 4" xfId="6835"/>
    <cellStyle name="_P4 Accrual Calcs 3_A.M Analysis of Indirect Detail" xfId="6836"/>
    <cellStyle name="_P4 Accrual Calcs 3_A.M Analysis of Indirect Detail 2" xfId="6837"/>
    <cellStyle name="_P4 Accrual Calcs 4" xfId="6838"/>
    <cellStyle name="_P4 Accrual Calcs 4 2" xfId="6839"/>
    <cellStyle name="_P4 Accrual Calcs 5" xfId="6840"/>
    <cellStyle name="_P4 Accrual Calcs 5 2" xfId="6841"/>
    <cellStyle name="_P4 Accrual Calcs 6" xfId="6842"/>
    <cellStyle name="_Pennon 080206 v12" xfId="6843"/>
    <cellStyle name="_Percent" xfId="6844"/>
    <cellStyle name="_Percent 2" xfId="6845"/>
    <cellStyle name="_PercentSpace" xfId="6846"/>
    <cellStyle name="_PercentSpace 2" xfId="6847"/>
    <cellStyle name="_PIVOT by Project Number (2)" xfId="6848"/>
    <cellStyle name="_PIVOT by Project Number (2) 2" xfId="6849"/>
    <cellStyle name="_PIVOT by Project Number (2) 2 2" xfId="6850"/>
    <cellStyle name="_PIVOT by Project Number (2) 3" xfId="6851"/>
    <cellStyle name="_PIVOT by Project Number (2) 3 2" xfId="6852"/>
    <cellStyle name="_PIVOT by Project Number (2) 4" xfId="6853"/>
    <cellStyle name="_PIVOT by Project Number (2)_A6.Accruals - By WBS_cost centr" xfId="6854"/>
    <cellStyle name="_PIVOT by Project Number (2)_A6.Accruals - By WBS_cost centr 2" xfId="6855"/>
    <cellStyle name="_Project Zeus_Pricing_Baseline Comparison v0.01" xfId="6856"/>
    <cellStyle name="_R41 R42 Table" xfId="6857"/>
    <cellStyle name="_SCC CDS3a ICT 7 Yr DRAFT4" xfId="6858"/>
    <cellStyle name="_SCC CDS3a ICT 7 Yr DRAFT4 2" xfId="6859"/>
    <cellStyle name="_SCC CDS3a ICT 7 Yr DRAFTNorev" xfId="6860"/>
    <cellStyle name="_SCC CDS3a ICT 7 Yr DRAFTNorev 10" xfId="6861"/>
    <cellStyle name="_SCC CDS3a ICT 7 Yr DRAFTNorev 10 2" xfId="6862"/>
    <cellStyle name="_SCC CDS3a ICT 7 Yr DRAFTNorev 11" xfId="6863"/>
    <cellStyle name="_SCC CDS3a ICT 7 Yr DRAFTNorev 11 2" xfId="6864"/>
    <cellStyle name="_SCC CDS3a ICT 7 Yr DRAFTNorev 2" xfId="6865"/>
    <cellStyle name="_SCC CDS3a ICT 7 Yr DRAFTNorev 2 2" xfId="6866"/>
    <cellStyle name="_SCC CDS3a ICT 7 Yr DRAFTNorev 3" xfId="6867"/>
    <cellStyle name="_SCC CDS3a ICT 7 Yr DRAFTNorev 3 2" xfId="6868"/>
    <cellStyle name="_SCC CDS3a ICT 7 Yr DRAFTNorev 3 2 2" xfId="6869"/>
    <cellStyle name="_SCC CDS3a ICT 7 Yr DRAFTNorev 3 3" xfId="6870"/>
    <cellStyle name="_SCC CDS3a ICT 7 Yr DRAFTNorev 3_6.1 Contingency Allocation" xfId="6871"/>
    <cellStyle name="_SCC CDS3a ICT 7 Yr DRAFTNorev 3_6.1 Contingency Allocation 2" xfId="6872"/>
    <cellStyle name="_SCC CDS3a ICT 7 Yr DRAFTNorev 3_6.1 Contingency Allocation 2 2" xfId="6873"/>
    <cellStyle name="_SCC CDS3a ICT 7 Yr DRAFTNorev 3_6.1 Contingency Allocation 3" xfId="6874"/>
    <cellStyle name="_SCC CDS3a ICT 7 Yr DRAFTNorev 3_6.1 Contingency Allocation 3 2" xfId="6875"/>
    <cellStyle name="_SCC CDS3a ICT 7 Yr DRAFTNorev 3_6.1 Contingency Allocation 4" xfId="6876"/>
    <cellStyle name="_SCC CDS3a ICT 7 Yr DRAFTNorev 3_A.G Cost of Operations" xfId="6877"/>
    <cellStyle name="_SCC CDS3a ICT 7 Yr DRAFTNorev 3_A.G Cost of Operations 2" xfId="6878"/>
    <cellStyle name="_SCC CDS3a ICT 7 Yr DRAFTNorev 3_A.G Cost of Operations 2 2" xfId="6879"/>
    <cellStyle name="_SCC CDS3a ICT 7 Yr DRAFTNorev 3_A.G Cost of Operations 3" xfId="6880"/>
    <cellStyle name="_SCC CDS3a ICT 7 Yr DRAFTNorev 3_A.G Cost of Operations 3 2" xfId="6881"/>
    <cellStyle name="_SCC CDS3a ICT 7 Yr DRAFTNorev 3_A.G Cost of Operations 4" xfId="6882"/>
    <cellStyle name="_SCC CDS3a ICT 7 Yr DRAFTNorev 3_A.I  CF - Op Acc &amp; A7.PBAs" xfId="6883"/>
    <cellStyle name="_SCC CDS3a ICT 7 Yr DRAFTNorev 3_A.I  CF - Op Acc &amp; A7.PBAs 2" xfId="6884"/>
    <cellStyle name="_SCC CDS3a ICT 7 Yr DRAFTNorev 3_A.I  CF - Op Acc &amp; A7.PBAs 2 2" xfId="6885"/>
    <cellStyle name="_SCC CDS3a ICT 7 Yr DRAFTNorev 3_A.I  CF - Op Acc &amp; A7.PBAs 3" xfId="6886"/>
    <cellStyle name="_SCC CDS3a ICT 7 Yr DRAFTNorev 3_A.I  CF - Op Acc &amp; A7.PBAs 3 2" xfId="6887"/>
    <cellStyle name="_SCC CDS3a ICT 7 Yr DRAFTNorev 3_A.I  CF - Op Acc &amp; A7.PBAs 4" xfId="6888"/>
    <cellStyle name="_SCC CDS3a ICT 7 Yr DRAFTNorev 3_A.M Analysis of Indirect Detail" xfId="6889"/>
    <cellStyle name="_SCC CDS3a ICT 7 Yr DRAFTNorev 3_A.M Analysis of Indirect Detail 2" xfId="6890"/>
    <cellStyle name="_SCC CDS3a ICT 7 Yr DRAFTNorev 4" xfId="6891"/>
    <cellStyle name="_SCC CDS3a ICT 7 Yr DRAFTNorev 4 2" xfId="6892"/>
    <cellStyle name="_SCC CDS3a ICT 7 Yr DRAFTNorev 5" xfId="6893"/>
    <cellStyle name="_SCC CDS3a ICT 7 Yr DRAFTNorev 5 2" xfId="6894"/>
    <cellStyle name="_SCC CDS3a ICT 7 Yr DRAFTNorev 6" xfId="6895"/>
    <cellStyle name="_SCC CDS3a ICT 7 Yr DRAFTNorev 6 2" xfId="6896"/>
    <cellStyle name="_SCC CDS3a ICT 7 Yr DRAFTNorev 7" xfId="6897"/>
    <cellStyle name="_SCC CDS3a ICT 7 Yr DRAFTNorev 7 2" xfId="6898"/>
    <cellStyle name="_SCC CDS3a ICT 7 Yr DRAFTNorev 8" xfId="6899"/>
    <cellStyle name="_SCC CDS3a ICT 7 Yr DRAFTNorev 8 2" xfId="6900"/>
    <cellStyle name="_SCC CDS3a ICT 7 Yr DRAFTNorev 9" xfId="6901"/>
    <cellStyle name="_SCC CDS3a ICT 7 Yr DRAFTNorev 9 2" xfId="6902"/>
    <cellStyle name="_SCC CDS3a ICT 7 Yr DRAFTNorev_A6.Accruals - By WBS_cost centr" xfId="6903"/>
    <cellStyle name="_SCC CDS3a ICT 7 Yr DRAFTNorev_A6.Accruals - By WBS_cost centr 2" xfId="6904"/>
    <cellStyle name="_SCC CDS3a ICT 7 Yr DRAFTNorev_P4 Accrual Calculation for Appendix" xfId="6905"/>
    <cellStyle name="_SCC CDS3a ICT 7 Yr DRAFTNorev_P4 Accrual Calculation for Appendix 2" xfId="6906"/>
    <cellStyle name="_SCC CDS3a ICT 7 Yr DRAFTNorev_P4 Accrual Calculation for Appendix 2 2" xfId="6907"/>
    <cellStyle name="_SCC CDS3a ICT 7 Yr DRAFTNorev_P4 Accrual Calculation for Appendix 3" xfId="6908"/>
    <cellStyle name="_SCC CDS3a ICT 7 Yr DRAFTNorev_P4 Accrual Calculation for Appendix 3 2" xfId="6909"/>
    <cellStyle name="_SCC CDS3a ICT 7 Yr DRAFTNorev_P4 Accrual Calculation for Appendix 4" xfId="6910"/>
    <cellStyle name="_SCC_CORE_Cost_v1.28_Cost_1903_1700_AdjustedDRAFT" xfId="6911"/>
    <cellStyle name="_SCC_CORE_Cost_v1.28_Cost_1903_1700_AdjustedDRAFT 2" xfId="6912"/>
    <cellStyle name="_SCC_CORE_FIN_7Yrs1.28_1903_1700_GRPBAR_Adjusted_for Steve_3" xfId="6913"/>
    <cellStyle name="_SCC_CORE_FIN_7Yrs1.28_1903_1700_GRPBAR_Adjusted_for Steve_3 10" xfId="6914"/>
    <cellStyle name="_SCC_CORE_FIN_7Yrs1.28_1903_1700_GRPBAR_Adjusted_for Steve_3 10 2" xfId="6915"/>
    <cellStyle name="_SCC_CORE_FIN_7Yrs1.28_1903_1700_GRPBAR_Adjusted_for Steve_3 11" xfId="6916"/>
    <cellStyle name="_SCC_CORE_FIN_7Yrs1.28_1903_1700_GRPBAR_Adjusted_for Steve_3 11 2" xfId="6917"/>
    <cellStyle name="_SCC_CORE_FIN_7Yrs1.28_1903_1700_GRPBAR_Adjusted_for Steve_3 2" xfId="6918"/>
    <cellStyle name="_SCC_CORE_FIN_7Yrs1.28_1903_1700_GRPBAR_Adjusted_for Steve_3 2 2" xfId="6919"/>
    <cellStyle name="_SCC_CORE_FIN_7Yrs1.28_1903_1700_GRPBAR_Adjusted_for Steve_3 3" xfId="6920"/>
    <cellStyle name="_SCC_CORE_FIN_7Yrs1.28_1903_1700_GRPBAR_Adjusted_for Steve_3 3 2" xfId="6921"/>
    <cellStyle name="_SCC_CORE_FIN_7Yrs1.28_1903_1700_GRPBAR_Adjusted_for Steve_3 3 2 2" xfId="6922"/>
    <cellStyle name="_SCC_CORE_FIN_7Yrs1.28_1903_1700_GRPBAR_Adjusted_for Steve_3 3 3" xfId="6923"/>
    <cellStyle name="_SCC_CORE_FIN_7Yrs1.28_1903_1700_GRPBAR_Adjusted_for Steve_3 3_6.1 Contingency Allocation" xfId="6924"/>
    <cellStyle name="_SCC_CORE_FIN_7Yrs1.28_1903_1700_GRPBAR_Adjusted_for Steve_3 3_6.1 Contingency Allocation 2" xfId="6925"/>
    <cellStyle name="_SCC_CORE_FIN_7Yrs1.28_1903_1700_GRPBAR_Adjusted_for Steve_3 3_6.1 Contingency Allocation 2 2" xfId="6926"/>
    <cellStyle name="_SCC_CORE_FIN_7Yrs1.28_1903_1700_GRPBAR_Adjusted_for Steve_3 3_6.1 Contingency Allocation 3" xfId="6927"/>
    <cellStyle name="_SCC_CORE_FIN_7Yrs1.28_1903_1700_GRPBAR_Adjusted_for Steve_3 3_6.1 Contingency Allocation 3 2" xfId="6928"/>
    <cellStyle name="_SCC_CORE_FIN_7Yrs1.28_1903_1700_GRPBAR_Adjusted_for Steve_3 3_6.1 Contingency Allocation 4" xfId="6929"/>
    <cellStyle name="_SCC_CORE_FIN_7Yrs1.28_1903_1700_GRPBAR_Adjusted_for Steve_3 3_A.G Cost of Operations" xfId="6930"/>
    <cellStyle name="_SCC_CORE_FIN_7Yrs1.28_1903_1700_GRPBAR_Adjusted_for Steve_3 3_A.G Cost of Operations 2" xfId="6931"/>
    <cellStyle name="_SCC_CORE_FIN_7Yrs1.28_1903_1700_GRPBAR_Adjusted_for Steve_3 3_A.G Cost of Operations 2 2" xfId="6932"/>
    <cellStyle name="_SCC_CORE_FIN_7Yrs1.28_1903_1700_GRPBAR_Adjusted_for Steve_3 3_A.G Cost of Operations 3" xfId="6933"/>
    <cellStyle name="_SCC_CORE_FIN_7Yrs1.28_1903_1700_GRPBAR_Adjusted_for Steve_3 3_A.G Cost of Operations 3 2" xfId="6934"/>
    <cellStyle name="_SCC_CORE_FIN_7Yrs1.28_1903_1700_GRPBAR_Adjusted_for Steve_3 3_A.G Cost of Operations 4" xfId="6935"/>
    <cellStyle name="_SCC_CORE_FIN_7Yrs1.28_1903_1700_GRPBAR_Adjusted_for Steve_3 3_A.I  CF - Op Acc &amp; A7.PBAs" xfId="6936"/>
    <cellStyle name="_SCC_CORE_FIN_7Yrs1.28_1903_1700_GRPBAR_Adjusted_for Steve_3 3_A.I  CF - Op Acc &amp; A7.PBAs 2" xfId="6937"/>
    <cellStyle name="_SCC_CORE_FIN_7Yrs1.28_1903_1700_GRPBAR_Adjusted_for Steve_3 3_A.I  CF - Op Acc &amp; A7.PBAs 2 2" xfId="6938"/>
    <cellStyle name="_SCC_CORE_FIN_7Yrs1.28_1903_1700_GRPBAR_Adjusted_for Steve_3 3_A.I  CF - Op Acc &amp; A7.PBAs 3" xfId="6939"/>
    <cellStyle name="_SCC_CORE_FIN_7Yrs1.28_1903_1700_GRPBAR_Adjusted_for Steve_3 3_A.I  CF - Op Acc &amp; A7.PBAs 3 2" xfId="6940"/>
    <cellStyle name="_SCC_CORE_FIN_7Yrs1.28_1903_1700_GRPBAR_Adjusted_for Steve_3 3_A.I  CF - Op Acc &amp; A7.PBAs 4" xfId="6941"/>
    <cellStyle name="_SCC_CORE_FIN_7Yrs1.28_1903_1700_GRPBAR_Adjusted_for Steve_3 3_A.M Analysis of Indirect Detail" xfId="6942"/>
    <cellStyle name="_SCC_CORE_FIN_7Yrs1.28_1903_1700_GRPBAR_Adjusted_for Steve_3 3_A.M Analysis of Indirect Detail 2" xfId="6943"/>
    <cellStyle name="_SCC_CORE_FIN_7Yrs1.28_1903_1700_GRPBAR_Adjusted_for Steve_3 4" xfId="6944"/>
    <cellStyle name="_SCC_CORE_FIN_7Yrs1.28_1903_1700_GRPBAR_Adjusted_for Steve_3 4 2" xfId="6945"/>
    <cellStyle name="_SCC_CORE_FIN_7Yrs1.28_1903_1700_GRPBAR_Adjusted_for Steve_3 5" xfId="6946"/>
    <cellStyle name="_SCC_CORE_FIN_7Yrs1.28_1903_1700_GRPBAR_Adjusted_for Steve_3 5 2" xfId="6947"/>
    <cellStyle name="_SCC_CORE_FIN_7Yrs1.28_1903_1700_GRPBAR_Adjusted_for Steve_3 6" xfId="6948"/>
    <cellStyle name="_SCC_CORE_FIN_7Yrs1.28_1903_1700_GRPBAR_Adjusted_for Steve_3 6 2" xfId="6949"/>
    <cellStyle name="_SCC_CORE_FIN_7Yrs1.28_1903_1700_GRPBAR_Adjusted_for Steve_3 7" xfId="6950"/>
    <cellStyle name="_SCC_CORE_FIN_7Yrs1.28_1903_1700_GRPBAR_Adjusted_for Steve_3 7 2" xfId="6951"/>
    <cellStyle name="_SCC_CORE_FIN_7Yrs1.28_1903_1700_GRPBAR_Adjusted_for Steve_3 8" xfId="6952"/>
    <cellStyle name="_SCC_CORE_FIN_7Yrs1.28_1903_1700_GRPBAR_Adjusted_for Steve_3 8 2" xfId="6953"/>
    <cellStyle name="_SCC_CORE_FIN_7Yrs1.28_1903_1700_GRPBAR_Adjusted_for Steve_3 9" xfId="6954"/>
    <cellStyle name="_SCC_CORE_FIN_7Yrs1.28_1903_1700_GRPBAR_Adjusted_for Steve_3 9 2" xfId="6955"/>
    <cellStyle name="_SCC_CORE_FIN_7Yrs1.28_1903_1700_GRPBAR_Adjusted_for Steve_3_A6.Accruals - By WBS_cost centr" xfId="6956"/>
    <cellStyle name="_SCC_CORE_FIN_7Yrs1.28_1903_1700_GRPBAR_Adjusted_for Steve_3_A6.Accruals - By WBS_cost centr 2" xfId="6957"/>
    <cellStyle name="_SCC_CORE_FIN_7Yrs1.28_1903_1700_GRPBAR_Adjusted_for Steve_3_P4 Accrual Calculation for Appendix" xfId="6958"/>
    <cellStyle name="_SCC_CORE_FIN_7Yrs1.28_1903_1700_GRPBAR_Adjusted_for Steve_3_P4 Accrual Calculation for Appendix 2" xfId="6959"/>
    <cellStyle name="_SCC_CORE_FIN_7Yrs1.28_1903_1700_GRPBAR_Adjusted_for Steve_3_P4 Accrual Calculation for Appendix 2 2" xfId="6960"/>
    <cellStyle name="_SCC_CORE_FIN_7Yrs1.28_1903_1700_GRPBAR_Adjusted_for Steve_3_P4 Accrual Calculation for Appendix 3" xfId="6961"/>
    <cellStyle name="_SCC_CORE_FIN_7Yrs1.28_1903_1700_GRPBAR_Adjusted_for Steve_3_P4 Accrual Calculation for Appendix 3 2" xfId="6962"/>
    <cellStyle name="_SCC_CORE_FIN_7Yrs1.28_1903_1700_GRPBAR_Adjusted_for Steve_3_P4 Accrual Calculation for Appendix 4" xfId="6963"/>
    <cellStyle name="_SCC_ICT_Cost_v1.28_Cost_1903_1700_DRAFT" xfId="6964"/>
    <cellStyle name="_SCC_ICT_Cost_v1.28_Cost_1903_1700_DRAFT 2" xfId="6965"/>
    <cellStyle name="_SFIA Rate Card offshore v1d" xfId="6966"/>
    <cellStyle name="_Simon Group Projections 270206 v6" xfId="6967"/>
    <cellStyle name="_Singer model 06 09 24_V4" xfId="6968"/>
    <cellStyle name="_Singer model 06 09 24_V4 2" xfId="6969"/>
    <cellStyle name="_Stand Alone Depreciation Table" xfId="6970"/>
    <cellStyle name="_Stand Alone Depreciation Table 2" xfId="6971"/>
    <cellStyle name="_SubHeading" xfId="6972"/>
    <cellStyle name="_SubHeading_03 Admiral - Shares Outstanding" xfId="6973"/>
    <cellStyle name="_SubHeading_03 Admiral - Shares Outstanding_Model v23_PDAv1" xfId="6974"/>
    <cellStyle name="_SubHeading_03 Admiral - Shares Outstanding_Model v24" xfId="6975"/>
    <cellStyle name="_SubHeading_03 Admiral - Shares Outstanding_Model v28" xfId="6976"/>
    <cellStyle name="_SubHeading_GS India Budget_5-23-05" xfId="6977"/>
    <cellStyle name="_SubHeading_GS India Budget_5-23-05_Model v23_PDAv1" xfId="6978"/>
    <cellStyle name="_SubHeading_GS India Budget_5-23-05_Model v24" xfId="6979"/>
    <cellStyle name="_SubHeading_GS India Budget_5-23-05_Model v28" xfId="6980"/>
    <cellStyle name="_SubHeading_Industrials" xfId="6981"/>
    <cellStyle name="_SubHeading_Industrials_Model v23_PDAv1" xfId="6982"/>
    <cellStyle name="_SubHeading_Industrials_Model v24" xfId="6983"/>
    <cellStyle name="_SubHeading_Industrials_Model v28" xfId="6984"/>
    <cellStyle name="_SubHeading_List of companies in CSC's 2005 (v3)" xfId="6985"/>
    <cellStyle name="_SubHeading_prestemp" xfId="6986"/>
    <cellStyle name="_Table" xfId="6987"/>
    <cellStyle name="_Table_03 Admiral - Shares Outstanding" xfId="6988"/>
    <cellStyle name="_Table_03 Admiral - Shares Outstanding_ICB Capex Maker v09 20100127jd-frozen" xfId="6989"/>
    <cellStyle name="_Table_03 Admiral - Shares Outstanding_Model v23_PDAv1" xfId="6990"/>
    <cellStyle name="_Table_03 Admiral - Shares Outstanding_Model v23_PDAv1_ICB Capex Maker v09 20100127jd-frozen" xfId="6991"/>
    <cellStyle name="_Table_03 Admiral - Shares Outstanding_Model v24" xfId="6992"/>
    <cellStyle name="_Table_03 Admiral - Shares Outstanding_Model v24_ICB Capex Maker v09 20100127jd-frozen" xfId="6993"/>
    <cellStyle name="_Table_03 Admiral - Shares Outstanding_Model v28" xfId="6994"/>
    <cellStyle name="_Table_03 Admiral - Shares Outstanding_Model v28_ICB Capex Maker v09 20100127jd-frozen" xfId="6995"/>
    <cellStyle name="_Table_GS India Budget_5-23-05" xfId="6996"/>
    <cellStyle name="_Table_GS India Budget_5-23-05_ICB Capex Maker v09 20100127jd-frozen" xfId="6997"/>
    <cellStyle name="_Table_GS India Budget_5-23-05_Model v23_PDAv1" xfId="6998"/>
    <cellStyle name="_Table_GS India Budget_5-23-05_Model v23_PDAv1_ICB Capex Maker v09 20100127jd-frozen" xfId="6999"/>
    <cellStyle name="_Table_GS India Budget_5-23-05_Model v24" xfId="7000"/>
    <cellStyle name="_Table_GS India Budget_5-23-05_Model v24_ICB Capex Maker v09 20100127jd-frozen" xfId="7001"/>
    <cellStyle name="_Table_GS India Budget_5-23-05_Model v28" xfId="7002"/>
    <cellStyle name="_Table_GS India Budget_5-23-05_Model v28_ICB Capex Maker v09 20100127jd-frozen" xfId="7003"/>
    <cellStyle name="_Table_ICB Capex Maker v09 20100127jd-frozen" xfId="7004"/>
    <cellStyle name="_Table_Industrials" xfId="7005"/>
    <cellStyle name="_Table_Industrials_ICB Capex Maker v09 20100127jd-frozen" xfId="7006"/>
    <cellStyle name="_Table_Industrials_Model v23_PDAv1" xfId="7007"/>
    <cellStyle name="_Table_Industrials_Model v23_PDAv1_ICB Capex Maker v09 20100127jd-frozen" xfId="7008"/>
    <cellStyle name="_Table_Industrials_Model v24" xfId="7009"/>
    <cellStyle name="_Table_Industrials_Model v24_ICB Capex Maker v09 20100127jd-frozen" xfId="7010"/>
    <cellStyle name="_Table_Industrials_Model v28" xfId="7011"/>
    <cellStyle name="_Table_Industrials_Model v28_ICB Capex Maker v09 20100127jd-frozen" xfId="7012"/>
    <cellStyle name="_Table_List of companies in CSC's 2005 (v3)" xfId="7013"/>
    <cellStyle name="_Table_List of companies in CSC's 2005 (v3)_ICB Capex Maker v09 20100127jd-frozen" xfId="7014"/>
    <cellStyle name="_TableHead" xfId="7015"/>
    <cellStyle name="_TableHead_03 Admiral - Shares Outstanding" xfId="7016"/>
    <cellStyle name="_TableHead_03 Admiral - Shares Outstanding_ICB Capex Maker v09 20100127jd-frozen" xfId="7017"/>
    <cellStyle name="_TableHead_03 Admiral - Shares Outstanding_Model v23_PDAv1" xfId="7018"/>
    <cellStyle name="_TableHead_03 Admiral - Shares Outstanding_Model v23_PDAv1_ICB Capex Maker v09 20100127jd-frozen" xfId="7019"/>
    <cellStyle name="_TableHead_03 Admiral - Shares Outstanding_Model v24" xfId="7020"/>
    <cellStyle name="_TableHead_03 Admiral - Shares Outstanding_Model v24_ICB Capex Maker v09 20100127jd-frozen" xfId="7021"/>
    <cellStyle name="_TableHead_03 Admiral - Shares Outstanding_Model v28" xfId="7022"/>
    <cellStyle name="_TableHead_03 Admiral - Shares Outstanding_Model v28_ICB Capex Maker v09 20100127jd-frozen" xfId="7023"/>
    <cellStyle name="_TableHead_GS India Budget_5-23-05" xfId="7024"/>
    <cellStyle name="_TableHead_GS India Budget_5-23-05_ICB Capex Maker v09 20100127jd-frozen" xfId="7025"/>
    <cellStyle name="_TableHead_GS India Budget_5-23-05_Model v23_PDAv1" xfId="7026"/>
    <cellStyle name="_TableHead_GS India Budget_5-23-05_Model v23_PDAv1_ICB Capex Maker v09 20100127jd-frozen" xfId="7027"/>
    <cellStyle name="_TableHead_GS India Budget_5-23-05_Model v24" xfId="7028"/>
    <cellStyle name="_TableHead_GS India Budget_5-23-05_Model v24_ICB Capex Maker v09 20100127jd-frozen" xfId="7029"/>
    <cellStyle name="_TableHead_GS India Budget_5-23-05_Model v28" xfId="7030"/>
    <cellStyle name="_TableHead_GS India Budget_5-23-05_Model v28_ICB Capex Maker v09 20100127jd-frozen" xfId="7031"/>
    <cellStyle name="_TableHead_ICB Capex Maker v09 20100127jd-frozen" xfId="7032"/>
    <cellStyle name="_TableHead_Industrials" xfId="7033"/>
    <cellStyle name="_TableHead_Industrials_ICB Capex Maker v09 20100127jd-frozen" xfId="7034"/>
    <cellStyle name="_TableHead_Industrials_Model v23_PDAv1" xfId="7035"/>
    <cellStyle name="_TableHead_Industrials_Model v23_PDAv1_ICB Capex Maker v09 20100127jd-frozen" xfId="7036"/>
    <cellStyle name="_TableHead_Industrials_Model v24" xfId="7037"/>
    <cellStyle name="_TableHead_Industrials_Model v24_ICB Capex Maker v09 20100127jd-frozen" xfId="7038"/>
    <cellStyle name="_TableHead_Industrials_Model v28" xfId="7039"/>
    <cellStyle name="_TableHead_Industrials_Model v28_ICB Capex Maker v09 20100127jd-frozen" xfId="7040"/>
    <cellStyle name="_TableHead_List of companies in CSC's 2005 (v3)" xfId="7041"/>
    <cellStyle name="_TableHead_List of companies in CSC's 2005 (v3)_ICB Capex Maker v09 20100127jd-frozen" xfId="7042"/>
    <cellStyle name="_TableRowBorder" xfId="7043"/>
    <cellStyle name="_TableRowBorder 2" xfId="7044"/>
    <cellStyle name="_TableRowBorder_ICB Capex Maker v09 20100127jd-frozen" xfId="7045"/>
    <cellStyle name="_TableRowBorder_ICB Capex Maker v09 20100127jd-frozen 2" xfId="7046"/>
    <cellStyle name="_TableRowHead" xfId="7047"/>
    <cellStyle name="_TableRowHead_03 Admiral - Shares Outstanding" xfId="7048"/>
    <cellStyle name="_TableRowHead_03 Admiral - Shares Outstanding_Model v23_PDAv1" xfId="7049"/>
    <cellStyle name="_TableRowHead_03 Admiral - Shares Outstanding_Model v24" xfId="7050"/>
    <cellStyle name="_TableRowHead_03 Admiral - Shares Outstanding_Model v28" xfId="7051"/>
    <cellStyle name="_TableRowHead_GS India Budget_5-23-05" xfId="7052"/>
    <cellStyle name="_TableRowHead_GS India Budget_5-23-05_Model v23_PDAv1" xfId="7053"/>
    <cellStyle name="_TableRowHead_GS India Budget_5-23-05_Model v24" xfId="7054"/>
    <cellStyle name="_TableRowHead_GS India Budget_5-23-05_Model v28" xfId="7055"/>
    <cellStyle name="_TableRowHead_Industrials" xfId="7056"/>
    <cellStyle name="_TableRowHead_Industrials_Model v23_PDAv1" xfId="7057"/>
    <cellStyle name="_TableRowHead_Industrials_Model v24" xfId="7058"/>
    <cellStyle name="_TableRowHead_Industrials_Model v28" xfId="7059"/>
    <cellStyle name="_TableRowHead_List of companies in CSC's 2005 (v3)" xfId="7060"/>
    <cellStyle name="_TableSuperHead" xfId="7061"/>
    <cellStyle name="_TableSuperHead_03 Admiral - Shares Outstanding" xfId="7062"/>
    <cellStyle name="_TableSuperHead_03 Admiral - Shares Outstanding_Model v23_PDAv1" xfId="7063"/>
    <cellStyle name="_TableSuperHead_03 Admiral - Shares Outstanding_Model v24" xfId="7064"/>
    <cellStyle name="_TableSuperHead_03 Admiral - Shares Outstanding_Model v28" xfId="7065"/>
    <cellStyle name="_TableSuperHead_GS India Budget_5-23-05" xfId="7066"/>
    <cellStyle name="_TableSuperHead_GS India Budget_5-23-05_Model v23_PDAv1" xfId="7067"/>
    <cellStyle name="_TableSuperHead_GS India Budget_5-23-05_Model v24" xfId="7068"/>
    <cellStyle name="_TableSuperHead_GS India Budget_5-23-05_Model v28" xfId="7069"/>
    <cellStyle name="_TableSuperHead_Industrials" xfId="7070"/>
    <cellStyle name="_TableSuperHead_Industrials_Model v23_PDAv1" xfId="7071"/>
    <cellStyle name="_TableSuperHead_Industrials_Model v24" xfId="7072"/>
    <cellStyle name="_TableSuperHead_Industrials_Model v28" xfId="7073"/>
    <cellStyle name="_TableSuperHead_List of companies in CSC's 2005 (v3)" xfId="7074"/>
    <cellStyle name="_TNPM_Pricing_v1.5" xfId="7075"/>
    <cellStyle name="_TNPM_Pricing_v1.5 2" xfId="7076"/>
    <cellStyle name="=C:\WINNT35\SYSTEM32\COMMAND.COM" xfId="7077"/>
    <cellStyle name="=C:\WINNT35\SYSTEM32\COMMAND.COM 2" xfId="13163"/>
    <cellStyle name="=C:\WINNT35\SYSTEM32\COMMAND.COM 3" xfId="13164"/>
    <cellStyle name="ÊÝ [0.00]_åCF_" xfId="7078"/>
    <cellStyle name="ÊÝ_åCF_" xfId="7079"/>
    <cellStyle name="W_@íÊàó" xfId="7080"/>
    <cellStyle name="0,0_x000d__x000a_NA_x000d__x000a_" xfId="7081"/>
    <cellStyle name="1M" xfId="7082"/>
    <cellStyle name="1M 2" xfId="7083"/>
    <cellStyle name="1M 2 2" xfId="7084"/>
    <cellStyle name="1M 2_6.1 Contingency Allocation" xfId="7085"/>
    <cellStyle name="1M 3" xfId="7086"/>
    <cellStyle name="1M_6.1 Contingency Allocation" xfId="7087"/>
    <cellStyle name="20% - Accent1" xfId="320"/>
    <cellStyle name="20% - Accent1 10" xfId="651"/>
    <cellStyle name="20% - Accent1 10 2" xfId="1318"/>
    <cellStyle name="20% - Accent1 10 2 2" xfId="3315"/>
    <cellStyle name="20% - Accent1 10 2 2 2" xfId="15650"/>
    <cellStyle name="20% - Accent1 10 2 3" xfId="2746"/>
    <cellStyle name="20% - Accent1 10 2 3 2" xfId="16705"/>
    <cellStyle name="20% - Accent1 10 2 4" xfId="15302"/>
    <cellStyle name="20% - Accent1 10 2 5" xfId="19807"/>
    <cellStyle name="20% - Accent1 10 2 6" xfId="14495"/>
    <cellStyle name="20% - Accent1 10 3" xfId="3314"/>
    <cellStyle name="20% - Accent1 10 3 2" xfId="13888"/>
    <cellStyle name="20% - Accent1 10 4" xfId="2090"/>
    <cellStyle name="20% - Accent1 10 4 2" xfId="17631"/>
    <cellStyle name="20% - Accent1 10 5" xfId="18635"/>
    <cellStyle name="20% - Accent1 10 6" xfId="20707"/>
    <cellStyle name="20% - Accent1 10 7" xfId="20413"/>
    <cellStyle name="20% - Accent1 10 8" xfId="13468"/>
    <cellStyle name="20% - Accent1 11" xfId="933"/>
    <cellStyle name="20% - Accent1 11 2" xfId="1592"/>
    <cellStyle name="20% - Accent1 11 2 2" xfId="3317"/>
    <cellStyle name="20% - Accent1 11 2 2 2" xfId="19225"/>
    <cellStyle name="20% - Accent1 11 2 3" xfId="3020"/>
    <cellStyle name="20% - Accent1 11 2 3 2" xfId="17600"/>
    <cellStyle name="20% - Accent1 11 2 4" xfId="18832"/>
    <cellStyle name="20% - Accent1 11 2 5" xfId="19565"/>
    <cellStyle name="20% - Accent1 11 2 6" xfId="14758"/>
    <cellStyle name="20% - Accent1 11 3" xfId="3316"/>
    <cellStyle name="20% - Accent1 11 3 2" xfId="18743"/>
    <cellStyle name="20% - Accent1 11 4" xfId="2364"/>
    <cellStyle name="20% - Accent1 11 4 2" xfId="18721"/>
    <cellStyle name="20% - Accent1 11 5" xfId="18928"/>
    <cellStyle name="20% - Accent1 11 6" xfId="20139"/>
    <cellStyle name="20% - Accent1 11 7" xfId="14137"/>
    <cellStyle name="20% - Accent1 12" xfId="1213"/>
    <cellStyle name="20% - Accent1 12 2" xfId="3318"/>
    <cellStyle name="20% - Accent1 12 2 2" xfId="18871"/>
    <cellStyle name="20% - Accent1 12 3" xfId="2641"/>
    <cellStyle name="20% - Accent1 12 3 2" xfId="16625"/>
    <cellStyle name="20% - Accent1 12 4" xfId="17999"/>
    <cellStyle name="20% - Accent1 12 5" xfId="19912"/>
    <cellStyle name="20% - Accent1 12 6" xfId="14390"/>
    <cellStyle name="20% - Accent1 13" xfId="3319"/>
    <cellStyle name="20% - Accent1 13 2" xfId="15814"/>
    <cellStyle name="20% - Accent1 14" xfId="1963"/>
    <cellStyle name="20% - Accent1 14 2" xfId="18378"/>
    <cellStyle name="20% - Accent1 15" xfId="18560"/>
    <cellStyle name="20% - Accent1 16" xfId="20540"/>
    <cellStyle name="20% - Accent1 17" xfId="4752"/>
    <cellStyle name="20% - Accent1 2" xfId="18"/>
    <cellStyle name="20% - Accent1 2 2" xfId="19"/>
    <cellStyle name="20% - Accent1 2 2 2" xfId="20"/>
    <cellStyle name="20% - Accent1 2 2 3" xfId="21"/>
    <cellStyle name="20% - Accent1 2 3" xfId="346"/>
    <cellStyle name="20% - Accent1 2 4" xfId="441"/>
    <cellStyle name="20% - Accent1 2 5" xfId="16907"/>
    <cellStyle name="20% - Accent1 2 6" xfId="7088"/>
    <cellStyle name="20% - Accent1 2_SSP report" xfId="347"/>
    <cellStyle name="20% - Accent1 3" xfId="442"/>
    <cellStyle name="20% - Accent1 3 2" xfId="819"/>
    <cellStyle name="20% - Accent1 3 2 2" xfId="1097"/>
    <cellStyle name="20% - Accent1 3 2 2 2" xfId="1756"/>
    <cellStyle name="20% - Accent1 3 2 2 2 2" xfId="3322"/>
    <cellStyle name="20% - Accent1 3 2 2 2 2 2" xfId="16015"/>
    <cellStyle name="20% - Accent1 3 2 2 2 3" xfId="3184"/>
    <cellStyle name="20% - Accent1 3 2 2 2 3 2" xfId="18210"/>
    <cellStyle name="20% - Accent1 3 2 2 2 4" xfId="18956"/>
    <cellStyle name="20% - Accent1 3 2 2 2 5" xfId="19403"/>
    <cellStyle name="20% - Accent1 3 2 2 2 6" xfId="14911"/>
    <cellStyle name="20% - Accent1 3 2 2 3" xfId="3321"/>
    <cellStyle name="20% - Accent1 3 2 2 3 2" xfId="15938"/>
    <cellStyle name="20% - Accent1 3 2 2 4" xfId="2528"/>
    <cellStyle name="20% - Accent1 3 2 2 4 2" xfId="15850"/>
    <cellStyle name="20% - Accent1 3 2 2 5" xfId="16553"/>
    <cellStyle name="20% - Accent1 3 2 2 6" xfId="19975"/>
    <cellStyle name="20% - Accent1 3 2 2 7" xfId="14280"/>
    <cellStyle name="20% - Accent1 3 2 3" xfId="1482"/>
    <cellStyle name="20% - Accent1 3 2 3 2" xfId="3323"/>
    <cellStyle name="20% - Accent1 3 2 3 2 2" xfId="17775"/>
    <cellStyle name="20% - Accent1 3 2 3 3" xfId="2910"/>
    <cellStyle name="20% - Accent1 3 2 3 3 2" xfId="17207"/>
    <cellStyle name="20% - Accent1 3 2 3 4" xfId="18050"/>
    <cellStyle name="20% - Accent1 3 2 3 5" xfId="19675"/>
    <cellStyle name="20% - Accent1 3 2 3 6" xfId="14648"/>
    <cellStyle name="20% - Accent1 3 2 4" xfId="3320"/>
    <cellStyle name="20% - Accent1 3 2 4 2" xfId="15619"/>
    <cellStyle name="20% - Accent1 3 2 5" xfId="2254"/>
    <cellStyle name="20% - Accent1 3 2 5 2" xfId="18439"/>
    <cellStyle name="20% - Accent1 3 2 6" xfId="16120"/>
    <cellStyle name="20% - Accent1 3 2 7" xfId="20249"/>
    <cellStyle name="20% - Accent1 3 2 8" xfId="14031"/>
    <cellStyle name="20% - Accent1 3 3" xfId="13749"/>
    <cellStyle name="20% - Accent1 3 4" xfId="16908"/>
    <cellStyle name="20% - Accent1 3 5" xfId="7089"/>
    <cellStyle name="20% - Accent1 4" xfId="579"/>
    <cellStyle name="20% - Accent1 4 10" xfId="20469"/>
    <cellStyle name="20% - Accent1 4 11" xfId="7090"/>
    <cellStyle name="20% - Accent1 4 2" xfId="846"/>
    <cellStyle name="20% - Accent1 4 2 2" xfId="1120"/>
    <cellStyle name="20% - Accent1 4 2 2 2" xfId="1779"/>
    <cellStyle name="20% - Accent1 4 2 2 2 2" xfId="3327"/>
    <cellStyle name="20% - Accent1 4 2 2 2 2 2" xfId="16804"/>
    <cellStyle name="20% - Accent1 4 2 2 2 3" xfId="3207"/>
    <cellStyle name="20% - Accent1 4 2 2 2 3 2" xfId="15813"/>
    <cellStyle name="20% - Accent1 4 2 2 2 4" xfId="17598"/>
    <cellStyle name="20% - Accent1 4 2 2 2 5" xfId="19380"/>
    <cellStyle name="20% - Accent1 4 2 2 2 6" xfId="14934"/>
    <cellStyle name="20% - Accent1 4 2 2 3" xfId="3326"/>
    <cellStyle name="20% - Accent1 4 2 2 3 2" xfId="16803"/>
    <cellStyle name="20% - Accent1 4 2 2 4" xfId="2551"/>
    <cellStyle name="20% - Accent1 4 2 2 4 2" xfId="16581"/>
    <cellStyle name="20% - Accent1 4 2 2 5" xfId="18470"/>
    <cellStyle name="20% - Accent1 4 2 2 6" xfId="19952"/>
    <cellStyle name="20% - Accent1 4 2 2 7" xfId="14301"/>
    <cellStyle name="20% - Accent1 4 2 3" xfId="1505"/>
    <cellStyle name="20% - Accent1 4 2 3 2" xfId="3328"/>
    <cellStyle name="20% - Accent1 4 2 3 2 2" xfId="17752"/>
    <cellStyle name="20% - Accent1 4 2 3 3" xfId="2933"/>
    <cellStyle name="20% - Accent1 4 2 3 3 2" xfId="16231"/>
    <cellStyle name="20% - Accent1 4 2 3 4" xfId="17932"/>
    <cellStyle name="20% - Accent1 4 2 3 5" xfId="19652"/>
    <cellStyle name="20% - Accent1 4 2 3 6" xfId="14671"/>
    <cellStyle name="20% - Accent1 4 2 4" xfId="3325"/>
    <cellStyle name="20% - Accent1 4 2 4 2" xfId="16802"/>
    <cellStyle name="20% - Accent1 4 2 5" xfId="2277"/>
    <cellStyle name="20% - Accent1 4 2 5 2" xfId="15229"/>
    <cellStyle name="20% - Accent1 4 2 6" xfId="19107"/>
    <cellStyle name="20% - Accent1 4 2 7" xfId="20226"/>
    <cellStyle name="20% - Accent1 4 2 8" xfId="14051"/>
    <cellStyle name="20% - Accent1 4 3" xfId="702"/>
    <cellStyle name="20% - Accent1 4 3 2" xfId="1369"/>
    <cellStyle name="20% - Accent1 4 3 2 2" xfId="3330"/>
    <cellStyle name="20% - Accent1 4 3 2 2 2" xfId="16336"/>
    <cellStyle name="20% - Accent1 4 3 2 3" xfId="2797"/>
    <cellStyle name="20% - Accent1 4 3 2 3 2" xfId="16746"/>
    <cellStyle name="20% - Accent1 4 3 2 4" xfId="17981"/>
    <cellStyle name="20% - Accent1 4 3 2 5" xfId="19786"/>
    <cellStyle name="20% - Accent1 4 3 2 6" xfId="14546"/>
    <cellStyle name="20% - Accent1 4 3 3" xfId="3329"/>
    <cellStyle name="20% - Accent1 4 3 3 2" xfId="16335"/>
    <cellStyle name="20% - Accent1 4 3 4" xfId="2141"/>
    <cellStyle name="20% - Accent1 4 3 4 2" xfId="18040"/>
    <cellStyle name="20% - Accent1 4 3 5" xfId="17361"/>
    <cellStyle name="20% - Accent1 4 3 6" xfId="20362"/>
    <cellStyle name="20% - Accent1 4 3 7" xfId="13939"/>
    <cellStyle name="20% - Accent1 4 4" xfId="984"/>
    <cellStyle name="20% - Accent1 4 4 2" xfId="1643"/>
    <cellStyle name="20% - Accent1 4 4 2 2" xfId="3332"/>
    <cellStyle name="20% - Accent1 4 4 2 2 2" xfId="16337"/>
    <cellStyle name="20% - Accent1 4 4 2 3" xfId="3071"/>
    <cellStyle name="20% - Accent1 4 4 2 3 2" xfId="18058"/>
    <cellStyle name="20% - Accent1 4 4 2 4" xfId="17536"/>
    <cellStyle name="20% - Accent1 4 4 2 5" xfId="19514"/>
    <cellStyle name="20% - Accent1 4 4 2 6" xfId="14809"/>
    <cellStyle name="20% - Accent1 4 4 3" xfId="3331"/>
    <cellStyle name="20% - Accent1 4 4 3 2" xfId="18115"/>
    <cellStyle name="20% - Accent1 4 4 4" xfId="2415"/>
    <cellStyle name="20% - Accent1 4 4 4 2" xfId="15673"/>
    <cellStyle name="20% - Accent1 4 4 5" xfId="17414"/>
    <cellStyle name="20% - Accent1 4 4 6" xfId="20088"/>
    <cellStyle name="20% - Accent1 4 4 7" xfId="14188"/>
    <cellStyle name="20% - Accent1 4 5" xfId="1264"/>
    <cellStyle name="20% - Accent1 4 5 2" xfId="3333"/>
    <cellStyle name="20% - Accent1 4 5 2 2" xfId="16338"/>
    <cellStyle name="20% - Accent1 4 5 3" xfId="2692"/>
    <cellStyle name="20% - Accent1 4 5 3 2" xfId="16667"/>
    <cellStyle name="20% - Accent1 4 5 4" xfId="15377"/>
    <cellStyle name="20% - Accent1 4 5 5" xfId="19861"/>
    <cellStyle name="20% - Accent1 4 5 6" xfId="14441"/>
    <cellStyle name="20% - Accent1 4 6" xfId="3324"/>
    <cellStyle name="20% - Accent1 4 6 2" xfId="13833"/>
    <cellStyle name="20% - Accent1 4 7" xfId="2034"/>
    <cellStyle name="20% - Accent1 4 7 2" xfId="19199"/>
    <cellStyle name="20% - Accent1 4 8" xfId="18276"/>
    <cellStyle name="20% - Accent1 4 9" xfId="15665"/>
    <cellStyle name="20% - Accent1 5" xfId="769"/>
    <cellStyle name="20% - Accent1 5 2" xfId="1050"/>
    <cellStyle name="20% - Accent1 5 2 2" xfId="1709"/>
    <cellStyle name="20% - Accent1 5 2 2 2" xfId="3336"/>
    <cellStyle name="20% - Accent1 5 2 2 2 2" xfId="16339"/>
    <cellStyle name="20% - Accent1 5 2 2 3" xfId="3137"/>
    <cellStyle name="20% - Accent1 5 2 2 3 2" xfId="15906"/>
    <cellStyle name="20% - Accent1 5 2 2 4" xfId="17531"/>
    <cellStyle name="20% - Accent1 5 2 2 5" xfId="19450"/>
    <cellStyle name="20% - Accent1 5 2 2 6" xfId="13165"/>
    <cellStyle name="20% - Accent1 5 2 3" xfId="3335"/>
    <cellStyle name="20% - Accent1 5 2 3 2" xfId="17633"/>
    <cellStyle name="20% - Accent1 5 2 4" xfId="2481"/>
    <cellStyle name="20% - Accent1 5 2 4 2" xfId="16572"/>
    <cellStyle name="20% - Accent1 5 2 5" xfId="16397"/>
    <cellStyle name="20% - Accent1 5 2 6" xfId="20022"/>
    <cellStyle name="20% - Accent1 5 2 7" xfId="7092"/>
    <cellStyle name="20% - Accent1 5 3" xfId="1435"/>
    <cellStyle name="20% - Accent1 5 3 2" xfId="3337"/>
    <cellStyle name="20% - Accent1 5 3 2 2" xfId="16340"/>
    <cellStyle name="20% - Accent1 5 3 3" xfId="2863"/>
    <cellStyle name="20% - Accent1 5 3 3 2" xfId="16079"/>
    <cellStyle name="20% - Accent1 5 3 4" xfId="17968"/>
    <cellStyle name="20% - Accent1 5 3 5" xfId="19722"/>
    <cellStyle name="20% - Accent1 5 3 6" xfId="13166"/>
    <cellStyle name="20% - Accent1 5 4" xfId="3334"/>
    <cellStyle name="20% - Accent1 5 4 2" xfId="17977"/>
    <cellStyle name="20% - Accent1 5 5" xfId="2207"/>
    <cellStyle name="20% - Accent1 5 5 2" xfId="15459"/>
    <cellStyle name="20% - Accent1 5 6" xfId="17284"/>
    <cellStyle name="20% - Accent1 5 7" xfId="20296"/>
    <cellStyle name="20% - Accent1 5 8" xfId="7091"/>
    <cellStyle name="20% - Accent1 6" xfId="754"/>
    <cellStyle name="20% - Accent1 6 2" xfId="1035"/>
    <cellStyle name="20% - Accent1 6 2 2" xfId="1694"/>
    <cellStyle name="20% - Accent1 6 2 2 2" xfId="3340"/>
    <cellStyle name="20% - Accent1 6 2 2 2 2" xfId="16342"/>
    <cellStyle name="20% - Accent1 6 2 2 3" xfId="3122"/>
    <cellStyle name="20% - Accent1 6 2 2 3 2" xfId="15867"/>
    <cellStyle name="20% - Accent1 6 2 2 4" xfId="17422"/>
    <cellStyle name="20% - Accent1 6 2 2 5" xfId="19464"/>
    <cellStyle name="20% - Accent1 6 2 2 6" xfId="14860"/>
    <cellStyle name="20% - Accent1 6 2 3" xfId="3339"/>
    <cellStyle name="20% - Accent1 6 2 3 2" xfId="16341"/>
    <cellStyle name="20% - Accent1 6 2 4" xfId="2466"/>
    <cellStyle name="20% - Accent1 6 2 4 2" xfId="18453"/>
    <cellStyle name="20% - Accent1 6 2 5" xfId="17299"/>
    <cellStyle name="20% - Accent1 6 2 6" xfId="20037"/>
    <cellStyle name="20% - Accent1 6 2 7" xfId="13167"/>
    <cellStyle name="20% - Accent1 6 3" xfId="1420"/>
    <cellStyle name="20% - Accent1 6 3 2" xfId="3341"/>
    <cellStyle name="20% - Accent1 6 3 2 2" xfId="17897"/>
    <cellStyle name="20% - Accent1 6 3 3" xfId="2848"/>
    <cellStyle name="20% - Accent1 6 3 3 2" xfId="17859"/>
    <cellStyle name="20% - Accent1 6 3 4" xfId="15238"/>
    <cellStyle name="20% - Accent1 6 3 5" xfId="19737"/>
    <cellStyle name="20% - Accent1 6 3 6" xfId="14597"/>
    <cellStyle name="20% - Accent1 6 4" xfId="3338"/>
    <cellStyle name="20% - Accent1 6 4 2" xfId="17558"/>
    <cellStyle name="20% - Accent1 6 5" xfId="2192"/>
    <cellStyle name="20% - Accent1 6 5 2" xfId="15265"/>
    <cellStyle name="20% - Accent1 6 6" xfId="17091"/>
    <cellStyle name="20% - Accent1 6 7" xfId="20311"/>
    <cellStyle name="20% - Accent1 6 8" xfId="7093"/>
    <cellStyle name="20% - Accent1 7" xfId="890"/>
    <cellStyle name="20% - Accent1 7 2" xfId="1164"/>
    <cellStyle name="20% - Accent1 7 2 2" xfId="1823"/>
    <cellStyle name="20% - Accent1 7 2 2 2" xfId="3344"/>
    <cellStyle name="20% - Accent1 7 2 2 2 2" xfId="16343"/>
    <cellStyle name="20% - Accent1 7 2 2 3" xfId="3251"/>
    <cellStyle name="20% - Accent1 7 2 2 3 2" xfId="16320"/>
    <cellStyle name="20% - Accent1 7 2 2 4" xfId="15215"/>
    <cellStyle name="20% - Accent1 7 2 2 5" xfId="19336"/>
    <cellStyle name="20% - Accent1 7 2 2 6" xfId="14978"/>
    <cellStyle name="20% - Accent1 7 2 3" xfId="3343"/>
    <cellStyle name="20% - Accent1 7 2 3 2" xfId="18038"/>
    <cellStyle name="20% - Accent1 7 2 4" xfId="2595"/>
    <cellStyle name="20% - Accent1 7 2 4 2" xfId="15622"/>
    <cellStyle name="20% - Accent1 7 2 5" xfId="17337"/>
    <cellStyle name="20% - Accent1 7 2 6" xfId="20741"/>
    <cellStyle name="20% - Accent1 7 2 7" xfId="14344"/>
    <cellStyle name="20% - Accent1 7 3" xfId="1549"/>
    <cellStyle name="20% - Accent1 7 3 2" xfId="3345"/>
    <cellStyle name="20% - Accent1 7 3 2 2" xfId="16344"/>
    <cellStyle name="20% - Accent1 7 3 3" xfId="2977"/>
    <cellStyle name="20% - Accent1 7 3 3 2" xfId="15806"/>
    <cellStyle name="20% - Accent1 7 3 4" xfId="18000"/>
    <cellStyle name="20% - Accent1 7 3 5" xfId="19608"/>
    <cellStyle name="20% - Accent1 7 3 6" xfId="14715"/>
    <cellStyle name="20% - Accent1 7 4" xfId="3342"/>
    <cellStyle name="20% - Accent1 7 4 2" xfId="14094"/>
    <cellStyle name="20% - Accent1 7 5" xfId="2321"/>
    <cellStyle name="20% - Accent1 7 5 2" xfId="18345"/>
    <cellStyle name="20% - Accent1 7 6" xfId="18936"/>
    <cellStyle name="20% - Accent1 7 7" xfId="16909"/>
    <cellStyle name="20% - Accent1 7 8" xfId="20182"/>
    <cellStyle name="20% - Accent1 7 9" xfId="7094"/>
    <cellStyle name="20% - Accent1 8" xfId="886"/>
    <cellStyle name="20% - Accent1 8 2" xfId="1160"/>
    <cellStyle name="20% - Accent1 8 2 2" xfId="1819"/>
    <cellStyle name="20% - Accent1 8 2 2 2" xfId="3348"/>
    <cellStyle name="20% - Accent1 8 2 2 2 2" xfId="16346"/>
    <cellStyle name="20% - Accent1 8 2 2 3" xfId="3247"/>
    <cellStyle name="20% - Accent1 8 2 2 3 2" xfId="17440"/>
    <cellStyle name="20% - Accent1 8 2 2 4" xfId="15111"/>
    <cellStyle name="20% - Accent1 8 2 2 5" xfId="19340"/>
    <cellStyle name="20% - Accent1 8 2 2 6" xfId="14974"/>
    <cellStyle name="20% - Accent1 8 2 3" xfId="3347"/>
    <cellStyle name="20% - Accent1 8 2 3 2" xfId="16345"/>
    <cellStyle name="20% - Accent1 8 2 4" xfId="2591"/>
    <cellStyle name="20% - Accent1 8 2 4 2" xfId="18491"/>
    <cellStyle name="20% - Accent1 8 2 5" xfId="15285"/>
    <cellStyle name="20% - Accent1 8 2 6" xfId="20768"/>
    <cellStyle name="20% - Accent1 8 2 7" xfId="14340"/>
    <cellStyle name="20% - Accent1 8 3" xfId="1545"/>
    <cellStyle name="20% - Accent1 8 3 2" xfId="3349"/>
    <cellStyle name="20% - Accent1 8 3 2 2" xfId="17475"/>
    <cellStyle name="20% - Accent1 8 3 3" xfId="2973"/>
    <cellStyle name="20% - Accent1 8 3 3 2" xfId="18542"/>
    <cellStyle name="20% - Accent1 8 3 4" xfId="17930"/>
    <cellStyle name="20% - Accent1 8 3 5" xfId="19612"/>
    <cellStyle name="20% - Accent1 8 3 6" xfId="14711"/>
    <cellStyle name="20% - Accent1 8 4" xfId="3346"/>
    <cellStyle name="20% - Accent1 8 4 2" xfId="14090"/>
    <cellStyle name="20% - Accent1 8 5" xfId="2317"/>
    <cellStyle name="20% - Accent1 8 5 2" xfId="18528"/>
    <cellStyle name="20% - Accent1 8 6" xfId="18813"/>
    <cellStyle name="20% - Accent1 8 7" xfId="20643"/>
    <cellStyle name="20% - Accent1 8 8" xfId="20186"/>
    <cellStyle name="20% - Accent1 8 9" xfId="13293"/>
    <cellStyle name="20% - Accent1 9" xfId="907"/>
    <cellStyle name="20% - Accent1 9 2" xfId="1181"/>
    <cellStyle name="20% - Accent1 9 2 2" xfId="1840"/>
    <cellStyle name="20% - Accent1 9 2 2 2" xfId="3352"/>
    <cellStyle name="20% - Accent1 9 2 2 2 2" xfId="18078"/>
    <cellStyle name="20% - Accent1 9 2 2 3" xfId="3268"/>
    <cellStyle name="20% - Accent1 9 2 2 3 2" xfId="17460"/>
    <cellStyle name="20% - Accent1 9 2 2 4" xfId="17166"/>
    <cellStyle name="20% - Accent1 9 2 2 5" xfId="19319"/>
    <cellStyle name="20% - Accent1 9 2 2 6" xfId="14995"/>
    <cellStyle name="20% - Accent1 9 2 3" xfId="3351"/>
    <cellStyle name="20% - Accent1 9 2 3 2" xfId="17718"/>
    <cellStyle name="20% - Accent1 9 2 4" xfId="2612"/>
    <cellStyle name="20% - Accent1 9 2 4 2" xfId="18522"/>
    <cellStyle name="20% - Accent1 9 2 5" xfId="15261"/>
    <cellStyle name="20% - Accent1 9 2 6" xfId="20764"/>
    <cellStyle name="20% - Accent1 9 2 7" xfId="14361"/>
    <cellStyle name="20% - Accent1 9 3" xfId="1566"/>
    <cellStyle name="20% - Accent1 9 3 2" xfId="3353"/>
    <cellStyle name="20% - Accent1 9 3 2 2" xfId="17939"/>
    <cellStyle name="20% - Accent1 9 3 3" xfId="2994"/>
    <cellStyle name="20% - Accent1 9 3 3 2" xfId="19151"/>
    <cellStyle name="20% - Accent1 9 3 4" xfId="17529"/>
    <cellStyle name="20% - Accent1 9 3 5" xfId="19591"/>
    <cellStyle name="20% - Accent1 9 3 6" xfId="14732"/>
    <cellStyle name="20% - Accent1 9 4" xfId="3350"/>
    <cellStyle name="20% - Accent1 9 4 2" xfId="14111"/>
    <cellStyle name="20% - Accent1 9 5" xfId="2338"/>
    <cellStyle name="20% - Accent1 9 5 2" xfId="18435"/>
    <cellStyle name="20% - Accent1 9 6" xfId="16491"/>
    <cellStyle name="20% - Accent1 9 7" xfId="20670"/>
    <cellStyle name="20% - Accent1 9 8" xfId="20165"/>
    <cellStyle name="20% - Accent1 9 9" xfId="13390"/>
    <cellStyle name="20% - Accent2" xfId="324"/>
    <cellStyle name="20% - Accent2 10" xfId="653"/>
    <cellStyle name="20% - Accent2 10 2" xfId="1320"/>
    <cellStyle name="20% - Accent2 10 2 2" xfId="3355"/>
    <cellStyle name="20% - Accent2 10 2 2 2" xfId="17523"/>
    <cellStyle name="20% - Accent2 10 2 3" xfId="2748"/>
    <cellStyle name="20% - Accent2 10 2 3 2" xfId="17431"/>
    <cellStyle name="20% - Accent2 10 2 4" xfId="17727"/>
    <cellStyle name="20% - Accent2 10 2 5" xfId="19805"/>
    <cellStyle name="20% - Accent2 10 2 6" xfId="14497"/>
    <cellStyle name="20% - Accent2 10 3" xfId="3354"/>
    <cellStyle name="20% - Accent2 10 3 2" xfId="13890"/>
    <cellStyle name="20% - Accent2 10 4" xfId="2092"/>
    <cellStyle name="20% - Accent2 10 4 2" xfId="18102"/>
    <cellStyle name="20% - Accent2 10 5" xfId="18935"/>
    <cellStyle name="20% - Accent2 10 6" xfId="20708"/>
    <cellStyle name="20% - Accent2 10 7" xfId="20411"/>
    <cellStyle name="20% - Accent2 10 8" xfId="13469"/>
    <cellStyle name="20% - Accent2 11" xfId="935"/>
    <cellStyle name="20% - Accent2 11 2" xfId="1594"/>
    <cellStyle name="20% - Accent2 11 2 2" xfId="3357"/>
    <cellStyle name="20% - Accent2 11 2 2 2" xfId="17655"/>
    <cellStyle name="20% - Accent2 11 2 3" xfId="3022"/>
    <cellStyle name="20% - Accent2 11 2 3 2" xfId="16011"/>
    <cellStyle name="20% - Accent2 11 2 4" xfId="17575"/>
    <cellStyle name="20% - Accent2 11 2 5" xfId="19563"/>
    <cellStyle name="20% - Accent2 11 2 6" xfId="14760"/>
    <cellStyle name="20% - Accent2 11 3" xfId="3356"/>
    <cellStyle name="20% - Accent2 11 3 2" xfId="17862"/>
    <cellStyle name="20% - Accent2 11 4" xfId="2366"/>
    <cellStyle name="20% - Accent2 11 4 2" xfId="15975"/>
    <cellStyle name="20% - Accent2 11 5" xfId="19061"/>
    <cellStyle name="20% - Accent2 11 6" xfId="20137"/>
    <cellStyle name="20% - Accent2 11 7" xfId="14139"/>
    <cellStyle name="20% - Accent2 12" xfId="1215"/>
    <cellStyle name="20% - Accent2 12 2" xfId="3358"/>
    <cellStyle name="20% - Accent2 12 2 2" xfId="16105"/>
    <cellStyle name="20% - Accent2 12 3" xfId="2643"/>
    <cellStyle name="20% - Accent2 12 3 2" xfId="16626"/>
    <cellStyle name="20% - Accent2 12 4" xfId="17209"/>
    <cellStyle name="20% - Accent2 12 5" xfId="19910"/>
    <cellStyle name="20% - Accent2 12 6" xfId="14392"/>
    <cellStyle name="20% - Accent2 13" xfId="3359"/>
    <cellStyle name="20% - Accent2 13 2" xfId="18190"/>
    <cellStyle name="20% - Accent2 14" xfId="1965"/>
    <cellStyle name="20% - Accent2 14 2" xfId="17806"/>
    <cellStyle name="20% - Accent2 15" xfId="19145"/>
    <cellStyle name="20% - Accent2 16" xfId="20538"/>
    <cellStyle name="20% - Accent2 17" xfId="4754"/>
    <cellStyle name="20% - Accent2 2" xfId="22"/>
    <cellStyle name="20% - Accent2 2 2" xfId="23"/>
    <cellStyle name="20% - Accent2 2 2 2" xfId="24"/>
    <cellStyle name="20% - Accent2 2 2 3" xfId="25"/>
    <cellStyle name="20% - Accent2 2 3" xfId="348"/>
    <cellStyle name="20% - Accent2 2 4" xfId="443"/>
    <cellStyle name="20% - Accent2 2 5" xfId="16910"/>
    <cellStyle name="20% - Accent2 2 6" xfId="7095"/>
    <cellStyle name="20% - Accent2 2_SSP report" xfId="349"/>
    <cellStyle name="20% - Accent2 3" xfId="444"/>
    <cellStyle name="20% - Accent2 3 2" xfId="747"/>
    <cellStyle name="20% - Accent2 3 2 2" xfId="1028"/>
    <cellStyle name="20% - Accent2 3 2 2 2" xfId="1687"/>
    <cellStyle name="20% - Accent2 3 2 2 2 2" xfId="3362"/>
    <cellStyle name="20% - Accent2 3 2 2 2 2 2" xfId="18795"/>
    <cellStyle name="20% - Accent2 3 2 2 2 3" xfId="3115"/>
    <cellStyle name="20% - Accent2 3 2 2 2 3 2" xfId="16103"/>
    <cellStyle name="20% - Accent2 3 2 2 2 4" xfId="17934"/>
    <cellStyle name="20% - Accent2 3 2 2 2 5" xfId="19470"/>
    <cellStyle name="20% - Accent2 3 2 2 2 6" xfId="14853"/>
    <cellStyle name="20% - Accent2 3 2 2 3" xfId="3361"/>
    <cellStyle name="20% - Accent2 3 2 2 3 2" xfId="15656"/>
    <cellStyle name="20% - Accent2 3 2 2 4" xfId="2459"/>
    <cellStyle name="20% - Accent2 3 2 2 4 2" xfId="18544"/>
    <cellStyle name="20% - Accent2 3 2 2 5" xfId="17236"/>
    <cellStyle name="20% - Accent2 3 2 2 6" xfId="20044"/>
    <cellStyle name="20% - Accent2 3 2 2 7" xfId="14232"/>
    <cellStyle name="20% - Accent2 3 2 3" xfId="1413"/>
    <cellStyle name="20% - Accent2 3 2 3 2" xfId="3363"/>
    <cellStyle name="20% - Accent2 3 2 3 2 2" xfId="15996"/>
    <cellStyle name="20% - Accent2 3 2 3 3" xfId="2841"/>
    <cellStyle name="20% - Accent2 3 2 3 3 2" xfId="17823"/>
    <cellStyle name="20% - Accent2 3 2 3 4" xfId="17722"/>
    <cellStyle name="20% - Accent2 3 2 3 5" xfId="19744"/>
    <cellStyle name="20% - Accent2 3 2 3 6" xfId="14590"/>
    <cellStyle name="20% - Accent2 3 2 4" xfId="3360"/>
    <cellStyle name="20% - Accent2 3 2 4 2" xfId="19053"/>
    <cellStyle name="20% - Accent2 3 2 5" xfId="2185"/>
    <cellStyle name="20% - Accent2 3 2 5 2" xfId="15454"/>
    <cellStyle name="20% - Accent2 3 2 6" xfId="18302"/>
    <cellStyle name="20% - Accent2 3 2 7" xfId="20318"/>
    <cellStyle name="20% - Accent2 3 2 8" xfId="13982"/>
    <cellStyle name="20% - Accent2 3 3" xfId="13750"/>
    <cellStyle name="20% - Accent2 3 4" xfId="15560"/>
    <cellStyle name="20% - Accent2 3 5" xfId="7096"/>
    <cellStyle name="20% - Accent2 4" xfId="581"/>
    <cellStyle name="20% - Accent2 4 10" xfId="20467"/>
    <cellStyle name="20% - Accent2 4 11" xfId="7097"/>
    <cellStyle name="20% - Accent2 4 2" xfId="848"/>
    <cellStyle name="20% - Accent2 4 2 2" xfId="1122"/>
    <cellStyle name="20% - Accent2 4 2 2 2" xfId="1781"/>
    <cellStyle name="20% - Accent2 4 2 2 2 2" xfId="3367"/>
    <cellStyle name="20% - Accent2 4 2 2 2 2 2" xfId="18432"/>
    <cellStyle name="20% - Accent2 4 2 2 2 3" xfId="3209"/>
    <cellStyle name="20% - Accent2 4 2 2 2 3 2" xfId="15937"/>
    <cellStyle name="20% - Accent2 4 2 2 2 4" xfId="18074"/>
    <cellStyle name="20% - Accent2 4 2 2 2 5" xfId="19378"/>
    <cellStyle name="20% - Accent2 4 2 2 2 6" xfId="14936"/>
    <cellStyle name="20% - Accent2 4 2 2 3" xfId="3366"/>
    <cellStyle name="20% - Accent2 4 2 2 3 2" xfId="19166"/>
    <cellStyle name="20% - Accent2 4 2 2 4" xfId="2553"/>
    <cellStyle name="20% - Accent2 4 2 2 4 2" xfId="16583"/>
    <cellStyle name="20% - Accent2 4 2 2 5" xfId="18487"/>
    <cellStyle name="20% - Accent2 4 2 2 6" xfId="19950"/>
    <cellStyle name="20% - Accent2 4 2 2 7" xfId="14303"/>
    <cellStyle name="20% - Accent2 4 2 3" xfId="1507"/>
    <cellStyle name="20% - Accent2 4 2 3 2" xfId="3368"/>
    <cellStyle name="20% - Accent2 4 2 3 2 2" xfId="18783"/>
    <cellStyle name="20% - Accent2 4 2 3 3" xfId="2935"/>
    <cellStyle name="20% - Accent2 4 2 3 3 2" xfId="18684"/>
    <cellStyle name="20% - Accent2 4 2 3 4" xfId="17855"/>
    <cellStyle name="20% - Accent2 4 2 3 5" xfId="19650"/>
    <cellStyle name="20% - Accent2 4 2 3 6" xfId="14673"/>
    <cellStyle name="20% - Accent2 4 2 4" xfId="3365"/>
    <cellStyle name="20% - Accent2 4 2 4 2" xfId="15869"/>
    <cellStyle name="20% - Accent2 4 2 5" xfId="2279"/>
    <cellStyle name="20% - Accent2 4 2 5 2" xfId="17261"/>
    <cellStyle name="20% - Accent2 4 2 6" xfId="16159"/>
    <cellStyle name="20% - Accent2 4 2 7" xfId="20224"/>
    <cellStyle name="20% - Accent2 4 2 8" xfId="14053"/>
    <cellStyle name="20% - Accent2 4 3" xfId="704"/>
    <cellStyle name="20% - Accent2 4 3 2" xfId="1371"/>
    <cellStyle name="20% - Accent2 4 3 2 2" xfId="3370"/>
    <cellStyle name="20% - Accent2 4 3 2 2 2" xfId="15923"/>
    <cellStyle name="20% - Accent2 4 3 2 3" xfId="2799"/>
    <cellStyle name="20% - Accent2 4 3 2 3 2" xfId="16748"/>
    <cellStyle name="20% - Accent2 4 3 2 4" xfId="18133"/>
    <cellStyle name="20% - Accent2 4 3 2 5" xfId="19784"/>
    <cellStyle name="20% - Accent2 4 3 2 6" xfId="14548"/>
    <cellStyle name="20% - Accent2 4 3 3" xfId="3369"/>
    <cellStyle name="20% - Accent2 4 3 3 2" xfId="18166"/>
    <cellStyle name="20% - Accent2 4 3 4" xfId="2143"/>
    <cellStyle name="20% - Accent2 4 3 4 2" xfId="17477"/>
    <cellStyle name="20% - Accent2 4 3 5" xfId="17383"/>
    <cellStyle name="20% - Accent2 4 3 6" xfId="20360"/>
    <cellStyle name="20% - Accent2 4 3 7" xfId="13941"/>
    <cellStyle name="20% - Accent2 4 4" xfId="986"/>
    <cellStyle name="20% - Accent2 4 4 2" xfId="1645"/>
    <cellStyle name="20% - Accent2 4 4 2 2" xfId="3372"/>
    <cellStyle name="20% - Accent2 4 4 2 2 2" xfId="18513"/>
    <cellStyle name="20% - Accent2 4 4 2 3" xfId="3073"/>
    <cellStyle name="20% - Accent2 4 4 2 3 2" xfId="17581"/>
    <cellStyle name="20% - Accent2 4 4 2 4" xfId="17668"/>
    <cellStyle name="20% - Accent2 4 4 2 5" xfId="19512"/>
    <cellStyle name="20% - Accent2 4 4 2 6" xfId="14811"/>
    <cellStyle name="20% - Accent2 4 4 3" xfId="3371"/>
    <cellStyle name="20% - Accent2 4 4 3 2" xfId="18974"/>
    <cellStyle name="20% - Accent2 4 4 4" xfId="2417"/>
    <cellStyle name="20% - Accent2 4 4 4 2" xfId="18672"/>
    <cellStyle name="20% - Accent2 4 4 5" xfId="16514"/>
    <cellStyle name="20% - Accent2 4 4 6" xfId="20086"/>
    <cellStyle name="20% - Accent2 4 4 7" xfId="14190"/>
    <cellStyle name="20% - Accent2 4 5" xfId="1266"/>
    <cellStyle name="20% - Accent2 4 5 2" xfId="3373"/>
    <cellStyle name="20% - Accent2 4 5 2 2" xfId="18893"/>
    <cellStyle name="20% - Accent2 4 5 3" xfId="2694"/>
    <cellStyle name="20% - Accent2 4 5 3 2" xfId="16669"/>
    <cellStyle name="20% - Accent2 4 5 4" xfId="17339"/>
    <cellStyle name="20% - Accent2 4 5 5" xfId="19859"/>
    <cellStyle name="20% - Accent2 4 5 6" xfId="14443"/>
    <cellStyle name="20% - Accent2 4 6" xfId="3364"/>
    <cellStyle name="20% - Accent2 4 6 2" xfId="13835"/>
    <cellStyle name="20% - Accent2 4 7" xfId="2036"/>
    <cellStyle name="20% - Accent2 4 7 2" xfId="15314"/>
    <cellStyle name="20% - Accent2 4 8" xfId="18277"/>
    <cellStyle name="20% - Accent2 4 9" xfId="16911"/>
    <cellStyle name="20% - Accent2 5" xfId="771"/>
    <cellStyle name="20% - Accent2 5 2" xfId="1052"/>
    <cellStyle name="20% - Accent2 5 2 2" xfId="1711"/>
    <cellStyle name="20% - Accent2 5 2 2 2" xfId="3376"/>
    <cellStyle name="20% - Accent2 5 2 2 2 2" xfId="15942"/>
    <cellStyle name="20% - Accent2 5 2 2 3" xfId="3139"/>
    <cellStyle name="20% - Accent2 5 2 2 3 2" xfId="15932"/>
    <cellStyle name="20% - Accent2 5 2 2 4" xfId="17663"/>
    <cellStyle name="20% - Accent2 5 2 2 5" xfId="19448"/>
    <cellStyle name="20% - Accent2 5 2 2 6" xfId="13168"/>
    <cellStyle name="20% - Accent2 5 2 3" xfId="3375"/>
    <cellStyle name="20% - Accent2 5 2 3 2" xfId="18720"/>
    <cellStyle name="20% - Accent2 5 2 4" xfId="2483"/>
    <cellStyle name="20% - Accent2 5 2 4 2" xfId="18559"/>
    <cellStyle name="20% - Accent2 5 2 5" xfId="16520"/>
    <cellStyle name="20% - Accent2 5 2 6" xfId="20020"/>
    <cellStyle name="20% - Accent2 5 2 7" xfId="7099"/>
    <cellStyle name="20% - Accent2 5 3" xfId="1437"/>
    <cellStyle name="20% - Accent2 5 3 2" xfId="3377"/>
    <cellStyle name="20% - Accent2 5 3 2 2" xfId="18444"/>
    <cellStyle name="20% - Accent2 5 3 3" xfId="2865"/>
    <cellStyle name="20% - Accent2 5 3 3 2" xfId="16072"/>
    <cellStyle name="20% - Accent2 5 3 4" xfId="17889"/>
    <cellStyle name="20% - Accent2 5 3 5" xfId="19720"/>
    <cellStyle name="20% - Accent2 5 3 6" xfId="13169"/>
    <cellStyle name="20% - Accent2 5 4" xfId="3374"/>
    <cellStyle name="20% - Accent2 5 4 2" xfId="15831"/>
    <cellStyle name="20% - Accent2 5 5" xfId="2209"/>
    <cellStyle name="20% - Accent2 5 5 2" xfId="18882"/>
    <cellStyle name="20% - Accent2 5 6" xfId="17304"/>
    <cellStyle name="20% - Accent2 5 7" xfId="20294"/>
    <cellStyle name="20% - Accent2 5 8" xfId="7098"/>
    <cellStyle name="20% - Accent2 6" xfId="823"/>
    <cellStyle name="20% - Accent2 6 2" xfId="1101"/>
    <cellStyle name="20% - Accent2 6 2 2" xfId="1760"/>
    <cellStyle name="20% - Accent2 6 2 2 2" xfId="3380"/>
    <cellStyle name="20% - Accent2 6 2 2 2 2" xfId="18148"/>
    <cellStyle name="20% - Accent2 6 2 2 3" xfId="3188"/>
    <cellStyle name="20% - Accent2 6 2 2 3 2" xfId="15941"/>
    <cellStyle name="20% - Accent2 6 2 2 4" xfId="19082"/>
    <cellStyle name="20% - Accent2 6 2 2 5" xfId="19399"/>
    <cellStyle name="20% - Accent2 6 2 2 6" xfId="14915"/>
    <cellStyle name="20% - Accent2 6 2 3" xfId="3379"/>
    <cellStyle name="20% - Accent2 6 2 3 2" xfId="18784"/>
    <cellStyle name="20% - Accent2 6 2 4" xfId="2532"/>
    <cellStyle name="20% - Accent2 6 2 4 2" xfId="19096"/>
    <cellStyle name="20% - Accent2 6 2 5" xfId="18419"/>
    <cellStyle name="20% - Accent2 6 2 6" xfId="19971"/>
    <cellStyle name="20% - Accent2 6 2 7" xfId="13170"/>
    <cellStyle name="20% - Accent2 6 3" xfId="1486"/>
    <cellStyle name="20% - Accent2 6 3 2" xfId="3381"/>
    <cellStyle name="20% - Accent2 6 3 2 2" xfId="18348"/>
    <cellStyle name="20% - Accent2 6 3 3" xfId="2914"/>
    <cellStyle name="20% - Accent2 6 3 3 2" xfId="17279"/>
    <cellStyle name="20% - Accent2 6 3 4" xfId="17635"/>
    <cellStyle name="20% - Accent2 6 3 5" xfId="19671"/>
    <cellStyle name="20% - Accent2 6 3 6" xfId="14652"/>
    <cellStyle name="20% - Accent2 6 4" xfId="3378"/>
    <cellStyle name="20% - Accent2 6 4 2" xfId="18820"/>
    <cellStyle name="20% - Accent2 6 5" xfId="2258"/>
    <cellStyle name="20% - Accent2 6 5 2" xfId="17376"/>
    <cellStyle name="20% - Accent2 6 6" xfId="16155"/>
    <cellStyle name="20% - Accent2 6 7" xfId="20245"/>
    <cellStyle name="20% - Accent2 6 8" xfId="7100"/>
    <cellStyle name="20% - Accent2 7" xfId="892"/>
    <cellStyle name="20% - Accent2 7 2" xfId="1166"/>
    <cellStyle name="20% - Accent2 7 2 2" xfId="1825"/>
    <cellStyle name="20% - Accent2 7 2 2 2" xfId="3384"/>
    <cellStyle name="20% - Accent2 7 2 2 2 2" xfId="15837"/>
    <cellStyle name="20% - Accent2 7 2 2 3" xfId="3253"/>
    <cellStyle name="20% - Accent2 7 2 2 3 2" xfId="16321"/>
    <cellStyle name="20% - Accent2 7 2 2 4" xfId="17159"/>
    <cellStyle name="20% - Accent2 7 2 2 5" xfId="19334"/>
    <cellStyle name="20% - Accent2 7 2 2 6" xfId="14980"/>
    <cellStyle name="20% - Accent2 7 2 3" xfId="3383"/>
    <cellStyle name="20% - Accent2 7 2 3 2" xfId="18143"/>
    <cellStyle name="20% - Accent2 7 2 4" xfId="2597"/>
    <cellStyle name="20% - Accent2 7 2 4 2" xfId="18489"/>
    <cellStyle name="20% - Accent2 7 2 5" xfId="15237"/>
    <cellStyle name="20% - Accent2 7 2 6" xfId="20693"/>
    <cellStyle name="20% - Accent2 7 2 7" xfId="14346"/>
    <cellStyle name="20% - Accent2 7 3" xfId="1551"/>
    <cellStyle name="20% - Accent2 7 3 2" xfId="3385"/>
    <cellStyle name="20% - Accent2 7 3 2 2" xfId="15058"/>
    <cellStyle name="20% - Accent2 7 3 3" xfId="2979"/>
    <cellStyle name="20% - Accent2 7 3 3 2" xfId="18202"/>
    <cellStyle name="20% - Accent2 7 3 4" xfId="17419"/>
    <cellStyle name="20% - Accent2 7 3 5" xfId="19606"/>
    <cellStyle name="20% - Accent2 7 3 6" xfId="14717"/>
    <cellStyle name="20% - Accent2 7 4" xfId="3382"/>
    <cellStyle name="20% - Accent2 7 4 2" xfId="14096"/>
    <cellStyle name="20% - Accent2 7 5" xfId="2323"/>
    <cellStyle name="20% - Accent2 7 5 2" xfId="18872"/>
    <cellStyle name="20% - Accent2 7 6" xfId="19067"/>
    <cellStyle name="20% - Accent2 7 7" xfId="15614"/>
    <cellStyle name="20% - Accent2 7 8" xfId="20180"/>
    <cellStyle name="20% - Accent2 7 9" xfId="7101"/>
    <cellStyle name="20% - Accent2 8" xfId="888"/>
    <cellStyle name="20% - Accent2 8 2" xfId="1162"/>
    <cellStyle name="20% - Accent2 8 2 2" xfId="1821"/>
    <cellStyle name="20% - Accent2 8 2 2 2" xfId="3388"/>
    <cellStyle name="20% - Accent2 8 2 2 2 2" xfId="15872"/>
    <cellStyle name="20% - Accent2 8 2 2 3" xfId="3249"/>
    <cellStyle name="20% - Accent2 8 2 2 3 2" xfId="17626"/>
    <cellStyle name="20% - Accent2 8 2 2 4" xfId="17156"/>
    <cellStyle name="20% - Accent2 8 2 2 5" xfId="19338"/>
    <cellStyle name="20% - Accent2 8 2 2 6" xfId="14976"/>
    <cellStyle name="20% - Accent2 8 2 3" xfId="3387"/>
    <cellStyle name="20% - Accent2 8 2 3 2" xfId="18640"/>
    <cellStyle name="20% - Accent2 8 2 4" xfId="2593"/>
    <cellStyle name="20% - Accent2 8 2 4 2" xfId="18492"/>
    <cellStyle name="20% - Accent2 8 2 5" xfId="15388"/>
    <cellStyle name="20% - Accent2 8 2 6" xfId="20695"/>
    <cellStyle name="20% - Accent2 8 2 7" xfId="14342"/>
    <cellStyle name="20% - Accent2 8 3" xfId="1547"/>
    <cellStyle name="20% - Accent2 8 3 2" xfId="3389"/>
    <cellStyle name="20% - Accent2 8 3 2 2" xfId="18541"/>
    <cellStyle name="20% - Accent2 8 3 3" xfId="2975"/>
    <cellStyle name="20% - Accent2 8 3 3 2" xfId="19229"/>
    <cellStyle name="20% - Accent2 8 3 4" xfId="17853"/>
    <cellStyle name="20% - Accent2 8 3 5" xfId="19610"/>
    <cellStyle name="20% - Accent2 8 3 6" xfId="14713"/>
    <cellStyle name="20% - Accent2 8 4" xfId="3386"/>
    <cellStyle name="20% - Accent2 8 4 2" xfId="14092"/>
    <cellStyle name="20% - Accent2 8 5" xfId="2319"/>
    <cellStyle name="20% - Accent2 8 5 2" xfId="15643"/>
    <cellStyle name="20% - Accent2 8 6" xfId="18997"/>
    <cellStyle name="20% - Accent2 8 7" xfId="20644"/>
    <cellStyle name="20% - Accent2 8 8" xfId="20184"/>
    <cellStyle name="20% - Accent2 8 9" xfId="13294"/>
    <cellStyle name="20% - Accent2 9" xfId="909"/>
    <cellStyle name="20% - Accent2 9 2" xfId="1183"/>
    <cellStyle name="20% - Accent2 9 2 2" xfId="1842"/>
    <cellStyle name="20% - Accent2 9 2 2 2" xfId="3392"/>
    <cellStyle name="20% - Accent2 9 2 2 2 2" xfId="18851"/>
    <cellStyle name="20% - Accent2 9 2 2 3" xfId="3270"/>
    <cellStyle name="20% - Accent2 9 2 2 3 2" xfId="16330"/>
    <cellStyle name="20% - Accent2 9 2 2 4" xfId="19106"/>
    <cellStyle name="20% - Accent2 9 2 2 5" xfId="19317"/>
    <cellStyle name="20% - Accent2 9 2 2 6" xfId="14997"/>
    <cellStyle name="20% - Accent2 9 2 3" xfId="3391"/>
    <cellStyle name="20% - Accent2 9 2 3 2" xfId="19233"/>
    <cellStyle name="20% - Accent2 9 2 4" xfId="2614"/>
    <cellStyle name="20% - Accent2 9 2 4 2" xfId="18241"/>
    <cellStyle name="20% - Accent2 9 2 5" xfId="15109"/>
    <cellStyle name="20% - Accent2 9 2 6" xfId="20687"/>
    <cellStyle name="20% - Accent2 9 2 7" xfId="14363"/>
    <cellStyle name="20% - Accent2 9 3" xfId="1568"/>
    <cellStyle name="20% - Accent2 9 3 2" xfId="3393"/>
    <cellStyle name="20% - Accent2 9 3 2 2" xfId="15800"/>
    <cellStyle name="20% - Accent2 9 3 3" xfId="2996"/>
    <cellStyle name="20% - Accent2 9 3 3 2" xfId="18502"/>
    <cellStyle name="20% - Accent2 9 3 4" xfId="17661"/>
    <cellStyle name="20% - Accent2 9 3 5" xfId="19589"/>
    <cellStyle name="20% - Accent2 9 3 6" xfId="14734"/>
    <cellStyle name="20% - Accent2 9 4" xfId="3390"/>
    <cellStyle name="20% - Accent2 9 4 2" xfId="14113"/>
    <cellStyle name="20% - Accent2 9 5" xfId="2340"/>
    <cellStyle name="20% - Accent2 9 5 2" xfId="19070"/>
    <cellStyle name="20% - Accent2 9 6" xfId="16493"/>
    <cellStyle name="20% - Accent2 9 7" xfId="20669"/>
    <cellStyle name="20% - Accent2 9 8" xfId="20163"/>
    <cellStyle name="20% - Accent2 9 9" xfId="13389"/>
    <cellStyle name="20% - Accent3" xfId="328"/>
    <cellStyle name="20% - Accent3 10" xfId="655"/>
    <cellStyle name="20% - Accent3 10 2" xfId="1322"/>
    <cellStyle name="20% - Accent3 10 2 2" xfId="3395"/>
    <cellStyle name="20% - Accent3 10 2 2 2" xfId="18353"/>
    <cellStyle name="20% - Accent3 10 2 3" xfId="2750"/>
    <cellStyle name="20% - Accent3 10 2 3 2" xfId="16706"/>
    <cellStyle name="20% - Accent3 10 2 4" xfId="17952"/>
    <cellStyle name="20% - Accent3 10 2 5" xfId="19803"/>
    <cellStyle name="20% - Accent3 10 2 6" xfId="14499"/>
    <cellStyle name="20% - Accent3 10 3" xfId="3394"/>
    <cellStyle name="20% - Accent3 10 3 2" xfId="13892"/>
    <cellStyle name="20% - Accent3 10 4" xfId="2094"/>
    <cellStyle name="20% - Accent3 10 4 2" xfId="17547"/>
    <cellStyle name="20% - Accent3 10 5" xfId="17219"/>
    <cellStyle name="20% - Accent3 10 6" xfId="20709"/>
    <cellStyle name="20% - Accent3 10 7" xfId="20409"/>
    <cellStyle name="20% - Accent3 10 8" xfId="13470"/>
    <cellStyle name="20% - Accent3 11" xfId="937"/>
    <cellStyle name="20% - Accent3 11 2" xfId="1596"/>
    <cellStyle name="20% - Accent3 11 2 2" xfId="3397"/>
    <cellStyle name="20% - Accent3 11 2 2 2" xfId="16046"/>
    <cellStyle name="20% - Accent3 11 2 3" xfId="3024"/>
    <cellStyle name="20% - Accent3 11 2 3 2" xfId="16086"/>
    <cellStyle name="20% - Accent3 11 2 4" xfId="18052"/>
    <cellStyle name="20% - Accent3 11 2 5" xfId="19561"/>
    <cellStyle name="20% - Accent3 11 2 6" xfId="14762"/>
    <cellStyle name="20% - Accent3 11 3" xfId="3396"/>
    <cellStyle name="20% - Accent3 11 3 2" xfId="16013"/>
    <cellStyle name="20% - Accent3 11 4" xfId="2368"/>
    <cellStyle name="20% - Accent3 11 4 2" xfId="15826"/>
    <cellStyle name="20% - Accent3 11 5" xfId="18520"/>
    <cellStyle name="20% - Accent3 11 6" xfId="20135"/>
    <cellStyle name="20% - Accent3 11 7" xfId="14141"/>
    <cellStyle name="20% - Accent3 12" xfId="1217"/>
    <cellStyle name="20% - Accent3 12 2" xfId="3398"/>
    <cellStyle name="20% - Accent3 12 2 2" xfId="16065"/>
    <cellStyle name="20% - Accent3 12 3" xfId="2645"/>
    <cellStyle name="20% - Accent3 12 3 2" xfId="16627"/>
    <cellStyle name="20% - Accent3 12 4" xfId="17249"/>
    <cellStyle name="20% - Accent3 12 5" xfId="19908"/>
    <cellStyle name="20% - Accent3 12 6" xfId="14394"/>
    <cellStyle name="20% - Accent3 13" xfId="3399"/>
    <cellStyle name="20% - Accent3 13 2" xfId="18979"/>
    <cellStyle name="20% - Accent3 14" xfId="1967"/>
    <cellStyle name="20% - Accent3 14 2" xfId="17579"/>
    <cellStyle name="20% - Accent3 15" xfId="18780"/>
    <cellStyle name="20% - Accent3 16" xfId="20536"/>
    <cellStyle name="20% - Accent3 17" xfId="4756"/>
    <cellStyle name="20% - Accent3 2" xfId="26"/>
    <cellStyle name="20% - Accent3 2 2" xfId="27"/>
    <cellStyle name="20% - Accent3 2 2 2" xfId="28"/>
    <cellStyle name="20% - Accent3 2 2 3" xfId="29"/>
    <cellStyle name="20% - Accent3 2 3" xfId="350"/>
    <cellStyle name="20% - Accent3 2 4" xfId="445"/>
    <cellStyle name="20% - Accent3 2 5" xfId="15561"/>
    <cellStyle name="20% - Accent3 2 6" xfId="7102"/>
    <cellStyle name="20% - Accent3 2_SSP report" xfId="351"/>
    <cellStyle name="20% - Accent3 3" xfId="446"/>
    <cellStyle name="20% - Accent3 3 2" xfId="745"/>
    <cellStyle name="20% - Accent3 3 2 2" xfId="1026"/>
    <cellStyle name="20% - Accent3 3 2 2 2" xfId="1685"/>
    <cellStyle name="20% - Accent3 3 2 2 2 2" xfId="3402"/>
    <cellStyle name="20% - Accent3 3 2 2 2 2 2" xfId="15891"/>
    <cellStyle name="20% - Accent3 3 2 2 2 3" xfId="3113"/>
    <cellStyle name="20% - Accent3 3 2 2 2 3 2" xfId="16791"/>
    <cellStyle name="20% - Accent3 3 2 2 2 4" xfId="17713"/>
    <cellStyle name="20% - Accent3 3 2 2 2 5" xfId="19472"/>
    <cellStyle name="20% - Accent3 3 2 2 2 6" xfId="14851"/>
    <cellStyle name="20% - Accent3 3 2 2 3" xfId="3401"/>
    <cellStyle name="20% - Accent3 3 2 2 3 2" xfId="18388"/>
    <cellStyle name="20% - Accent3 3 2 2 4" xfId="2457"/>
    <cellStyle name="20% - Accent3 3 2 2 4 2" xfId="18267"/>
    <cellStyle name="20% - Accent3 3 2 2 5" xfId="17296"/>
    <cellStyle name="20% - Accent3 3 2 2 6" xfId="20046"/>
    <cellStyle name="20% - Accent3 3 2 2 7" xfId="14230"/>
    <cellStyle name="20% - Accent3 3 2 3" xfId="1411"/>
    <cellStyle name="20% - Accent3 3 2 3 2" xfId="3403"/>
    <cellStyle name="20% - Accent3 3 2 3 2 2" xfId="15987"/>
    <cellStyle name="20% - Accent3 3 2 3 3" xfId="2839"/>
    <cellStyle name="20% - Accent3 3 2 3 3 2" xfId="17686"/>
    <cellStyle name="20% - Accent3 3 2 3 4" xfId="17616"/>
    <cellStyle name="20% - Accent3 3 2 3 5" xfId="19746"/>
    <cellStyle name="20% - Accent3 3 2 3 6" xfId="14588"/>
    <cellStyle name="20% - Accent3 3 2 4" xfId="3400"/>
    <cellStyle name="20% - Accent3 3 2 4 2" xfId="18587"/>
    <cellStyle name="20% - Accent3 3 2 5" xfId="2183"/>
    <cellStyle name="20% - Accent3 3 2 5 2" xfId="15240"/>
    <cellStyle name="20% - Accent3 3 2 6" xfId="16469"/>
    <cellStyle name="20% - Accent3 3 2 7" xfId="20320"/>
    <cellStyle name="20% - Accent3 3 2 8" xfId="13980"/>
    <cellStyle name="20% - Accent3 3 3" xfId="13751"/>
    <cellStyle name="20% - Accent3 3 4" xfId="16912"/>
    <cellStyle name="20% - Accent3 3 5" xfId="7103"/>
    <cellStyle name="20% - Accent3 4" xfId="583"/>
    <cellStyle name="20% - Accent3 4 10" xfId="20465"/>
    <cellStyle name="20% - Accent3 4 11" xfId="7104"/>
    <cellStyle name="20% - Accent3 4 2" xfId="850"/>
    <cellStyle name="20% - Accent3 4 2 2" xfId="1124"/>
    <cellStyle name="20% - Accent3 4 2 2 2" xfId="1783"/>
    <cellStyle name="20% - Accent3 4 2 2 2 2" xfId="3407"/>
    <cellStyle name="20% - Accent3 4 2 2 2 2 2" xfId="15957"/>
    <cellStyle name="20% - Accent3 4 2 2 2 3" xfId="3211"/>
    <cellStyle name="20% - Accent3 4 2 2 2 3 2" xfId="17474"/>
    <cellStyle name="20% - Accent3 4 2 2 2 4" xfId="17519"/>
    <cellStyle name="20% - Accent3 4 2 2 2 5" xfId="19376"/>
    <cellStyle name="20% - Accent3 4 2 2 2 6" xfId="14938"/>
    <cellStyle name="20% - Accent3 4 2 2 3" xfId="3406"/>
    <cellStyle name="20% - Accent3 4 2 2 3 2" xfId="18946"/>
    <cellStyle name="20% - Accent3 4 2 2 4" xfId="2555"/>
    <cellStyle name="20% - Accent3 4 2 2 4 2" xfId="16585"/>
    <cellStyle name="20% - Accent3 4 2 2 5" xfId="15786"/>
    <cellStyle name="20% - Accent3 4 2 2 6" xfId="19948"/>
    <cellStyle name="20% - Accent3 4 2 2 7" xfId="14305"/>
    <cellStyle name="20% - Accent3 4 2 3" xfId="1509"/>
    <cellStyle name="20% - Accent3 4 2 3 2" xfId="3408"/>
    <cellStyle name="20% - Accent3 4 2 3 2 2" xfId="19152"/>
    <cellStyle name="20% - Accent3 4 2 3 3" xfId="2937"/>
    <cellStyle name="20% - Accent3 4 2 3 3 2" xfId="15917"/>
    <cellStyle name="20% - Accent3 4 2 3 4" xfId="18002"/>
    <cellStyle name="20% - Accent3 4 2 3 5" xfId="19648"/>
    <cellStyle name="20% - Accent3 4 2 3 6" xfId="14675"/>
    <cellStyle name="20% - Accent3 4 2 4" xfId="3405"/>
    <cellStyle name="20% - Accent3 4 2 4 2" xfId="15854"/>
    <cellStyle name="20% - Accent3 4 2 5" xfId="2281"/>
    <cellStyle name="20% - Accent3 4 2 5 2" xfId="17265"/>
    <cellStyle name="20% - Accent3 4 2 6" xfId="16126"/>
    <cellStyle name="20% - Accent3 4 2 7" xfId="20222"/>
    <cellStyle name="20% - Accent3 4 2 8" xfId="14055"/>
    <cellStyle name="20% - Accent3 4 3" xfId="706"/>
    <cellStyle name="20% - Accent3 4 3 2" xfId="1373"/>
    <cellStyle name="20% - Accent3 4 3 2 2" xfId="3410"/>
    <cellStyle name="20% - Accent3 4 3 2 2 2" xfId="15651"/>
    <cellStyle name="20% - Accent3 4 3 2 3" xfId="2801"/>
    <cellStyle name="20% - Accent3 4 3 2 3 2" xfId="16750"/>
    <cellStyle name="20% - Accent3 4 3 2 4" xfId="17902"/>
    <cellStyle name="20% - Accent3 4 3 2 5" xfId="19782"/>
    <cellStyle name="20% - Accent3 4 3 2 6" xfId="14550"/>
    <cellStyle name="20% - Accent3 4 3 3" xfId="3409"/>
    <cellStyle name="20% - Accent3 4 3 3 2" xfId="15875"/>
    <cellStyle name="20% - Accent3 4 3 4" xfId="2145"/>
    <cellStyle name="20% - Accent3 4 3 4 2" xfId="18247"/>
    <cellStyle name="20% - Accent3 4 3 5" xfId="17497"/>
    <cellStyle name="20% - Accent3 4 3 6" xfId="20358"/>
    <cellStyle name="20% - Accent3 4 3 7" xfId="13943"/>
    <cellStyle name="20% - Accent3 4 4" xfId="988"/>
    <cellStyle name="20% - Accent3 4 4 2" xfId="1647"/>
    <cellStyle name="20% - Accent3 4 4 2 2" xfId="3412"/>
    <cellStyle name="20% - Accent3 4 4 2 2 2" xfId="19224"/>
    <cellStyle name="20% - Accent3 4 4 2 3" xfId="3075"/>
    <cellStyle name="20% - Accent3 4 4 2 3 2" xfId="17845"/>
    <cellStyle name="20% - Accent3 4 4 2 4" xfId="17802"/>
    <cellStyle name="20% - Accent3 4 4 2 5" xfId="19510"/>
    <cellStyle name="20% - Accent3 4 4 2 6" xfId="14813"/>
    <cellStyle name="20% - Accent3 4 4 3" xfId="3411"/>
    <cellStyle name="20% - Accent3 4 4 3 2" xfId="19056"/>
    <cellStyle name="20% - Accent3 4 4 4" xfId="2419"/>
    <cellStyle name="20% - Accent3 4 4 4 2" xfId="18805"/>
    <cellStyle name="20% - Accent3 4 4 5" xfId="18324"/>
    <cellStyle name="20% - Accent3 4 4 6" xfId="20084"/>
    <cellStyle name="20% - Accent3 4 4 7" xfId="14192"/>
    <cellStyle name="20% - Accent3 4 5" xfId="1268"/>
    <cellStyle name="20% - Accent3 4 5 2" xfId="3413"/>
    <cellStyle name="20% - Accent3 4 5 2 2" xfId="15881"/>
    <cellStyle name="20% - Accent3 4 5 3" xfId="2696"/>
    <cellStyle name="20% - Accent3 4 5 3 2" xfId="16670"/>
    <cellStyle name="20% - Accent3 4 5 4" xfId="15486"/>
    <cellStyle name="20% - Accent3 4 5 5" xfId="19857"/>
    <cellStyle name="20% - Accent3 4 5 6" xfId="14445"/>
    <cellStyle name="20% - Accent3 4 6" xfId="3404"/>
    <cellStyle name="20% - Accent3 4 6 2" xfId="13837"/>
    <cellStyle name="20% - Accent3 4 7" xfId="2038"/>
    <cellStyle name="20% - Accent3 4 7 2" xfId="18907"/>
    <cellStyle name="20% - Accent3 4 8" xfId="16438"/>
    <cellStyle name="20% - Accent3 4 9" xfId="18144"/>
    <cellStyle name="20% - Accent3 5" xfId="773"/>
    <cellStyle name="20% - Accent3 5 2" xfId="1054"/>
    <cellStyle name="20% - Accent3 5 2 2" xfId="1713"/>
    <cellStyle name="20% - Accent3 5 2 2 2" xfId="3416"/>
    <cellStyle name="20% - Accent3 5 2 2 2 2" xfId="15939"/>
    <cellStyle name="20% - Accent3 5 2 2 3" xfId="3141"/>
    <cellStyle name="20% - Accent3 5 2 2 3 2" xfId="15054"/>
    <cellStyle name="20% - Accent3 5 2 2 4" xfId="17797"/>
    <cellStyle name="20% - Accent3 5 2 2 5" xfId="19446"/>
    <cellStyle name="20% - Accent3 5 2 2 6" xfId="13171"/>
    <cellStyle name="20% - Accent3 5 2 3" xfId="3415"/>
    <cellStyle name="20% - Accent3 5 2 3 2" xfId="15620"/>
    <cellStyle name="20% - Accent3 5 2 4" xfId="2485"/>
    <cellStyle name="20% - Accent3 5 2 4 2" xfId="16187"/>
    <cellStyle name="20% - Accent3 5 2 5" xfId="16522"/>
    <cellStyle name="20% - Accent3 5 2 6" xfId="20018"/>
    <cellStyle name="20% - Accent3 5 2 7" xfId="7106"/>
    <cellStyle name="20% - Accent3 5 3" xfId="1439"/>
    <cellStyle name="20% - Accent3 5 3 2" xfId="3417"/>
    <cellStyle name="20% - Accent3 5 3 2 2" xfId="16016"/>
    <cellStyle name="20% - Accent3 5 3 3" xfId="2867"/>
    <cellStyle name="20% - Accent3 5 3 3 2" xfId="16073"/>
    <cellStyle name="20% - Accent3 5 3 4" xfId="18030"/>
    <cellStyle name="20% - Accent3 5 3 5" xfId="19718"/>
    <cellStyle name="20% - Accent3 5 3 6" xfId="13172"/>
    <cellStyle name="20% - Accent3 5 4" xfId="3414"/>
    <cellStyle name="20% - Accent3 5 4 2" xfId="15815"/>
    <cellStyle name="20% - Accent3 5 5" xfId="2211"/>
    <cellStyle name="20% - Accent3 5 5 2" xfId="17247"/>
    <cellStyle name="20% - Accent3 5 6" xfId="18305"/>
    <cellStyle name="20% - Accent3 5 7" xfId="20292"/>
    <cellStyle name="20% - Accent3 5 8" xfId="7105"/>
    <cellStyle name="20% - Accent3 6" xfId="753"/>
    <cellStyle name="20% - Accent3 6 2" xfId="1034"/>
    <cellStyle name="20% - Accent3 6 2 2" xfId="1693"/>
    <cellStyle name="20% - Accent3 6 2 2 2" xfId="3420"/>
    <cellStyle name="20% - Accent3 6 2 2 2 2" xfId="17401"/>
    <cellStyle name="20% - Accent3 6 2 2 3" xfId="3121"/>
    <cellStyle name="20% - Accent3 6 2 2 3 2" xfId="19072"/>
    <cellStyle name="20% - Accent3 6 2 2 4" xfId="17393"/>
    <cellStyle name="20% - Accent3 6 2 2 5" xfId="19465"/>
    <cellStyle name="20% - Accent3 6 2 2 6" xfId="14859"/>
    <cellStyle name="20% - Accent3 6 2 3" xfId="3419"/>
    <cellStyle name="20% - Accent3 6 2 3 2" xfId="17789"/>
    <cellStyle name="20% - Accent3 6 2 4" xfId="2465"/>
    <cellStyle name="20% - Accent3 6 2 4 2" xfId="15953"/>
    <cellStyle name="20% - Accent3 6 2 5" xfId="17238"/>
    <cellStyle name="20% - Accent3 6 2 6" xfId="20038"/>
    <cellStyle name="20% - Accent3 6 2 7" xfId="13173"/>
    <cellStyle name="20% - Accent3 6 3" xfId="1419"/>
    <cellStyle name="20% - Accent3 6 3 2" xfId="3421"/>
    <cellStyle name="20% - Accent3 6 3 2 2" xfId="16805"/>
    <cellStyle name="20% - Accent3 6 3 3" xfId="2847"/>
    <cellStyle name="20% - Accent3 6 3 3 2" xfId="17520"/>
    <cellStyle name="20% - Accent3 6 3 4" xfId="15389"/>
    <cellStyle name="20% - Accent3 6 3 5" xfId="19738"/>
    <cellStyle name="20% - Accent3 6 3 6" xfId="14596"/>
    <cellStyle name="20% - Accent3 6 4" xfId="3418"/>
    <cellStyle name="20% - Accent3 6 4 2" xfId="18008"/>
    <cellStyle name="20% - Accent3 6 5" xfId="2191"/>
    <cellStyle name="20% - Accent3 6 5 2" xfId="17202"/>
    <cellStyle name="20% - Accent3 6 6" xfId="17090"/>
    <cellStyle name="20% - Accent3 6 7" xfId="20312"/>
    <cellStyle name="20% - Accent3 6 8" xfId="7107"/>
    <cellStyle name="20% - Accent3 7" xfId="894"/>
    <cellStyle name="20% - Accent3 7 2" xfId="1168"/>
    <cellStyle name="20% - Accent3 7 2 2" xfId="1827"/>
    <cellStyle name="20% - Accent3 7 2 2 2" xfId="3424"/>
    <cellStyle name="20% - Accent3 7 2 2 2 2" xfId="17759"/>
    <cellStyle name="20% - Accent3 7 2 2 3" xfId="3255"/>
    <cellStyle name="20% - Accent3 7 2 2 3 2" xfId="18097"/>
    <cellStyle name="20% - Accent3 7 2 2 4" xfId="15161"/>
    <cellStyle name="20% - Accent3 7 2 2 5" xfId="19332"/>
    <cellStyle name="20% - Accent3 7 2 2 6" xfId="14982"/>
    <cellStyle name="20% - Accent3 7 2 3" xfId="3423"/>
    <cellStyle name="20% - Accent3 7 2 3 2" xfId="18477"/>
    <cellStyle name="20% - Accent3 7 2 4" xfId="2599"/>
    <cellStyle name="20% - Accent3 7 2 4 2" xfId="15512"/>
    <cellStyle name="20% - Accent3 7 2 5" xfId="17105"/>
    <cellStyle name="20% - Accent3 7 2 6" xfId="20766"/>
    <cellStyle name="20% - Accent3 7 2 7" xfId="14348"/>
    <cellStyle name="20% - Accent3 7 3" xfId="1553"/>
    <cellStyle name="20% - Accent3 7 3 2" xfId="3425"/>
    <cellStyle name="20% - Accent3 7 3 2 2" xfId="18122"/>
    <cellStyle name="20% - Accent3 7 3 3" xfId="2981"/>
    <cellStyle name="20% - Accent3 7 3 3 2" xfId="17556"/>
    <cellStyle name="20% - Accent3 7 3 4" xfId="19181"/>
    <cellStyle name="20% - Accent3 7 3 5" xfId="19604"/>
    <cellStyle name="20% - Accent3 7 3 6" xfId="14719"/>
    <cellStyle name="20% - Accent3 7 4" xfId="3422"/>
    <cellStyle name="20% - Accent3 7 4 2" xfId="14098"/>
    <cellStyle name="20% - Accent3 7 5" xfId="2325"/>
    <cellStyle name="20% - Accent3 7 5 2" xfId="16004"/>
    <cellStyle name="20% - Accent3 7 6" xfId="18579"/>
    <cellStyle name="20% - Accent3 7 7" xfId="16913"/>
    <cellStyle name="20% - Accent3 7 8" xfId="20178"/>
    <cellStyle name="20% - Accent3 7 9" xfId="7108"/>
    <cellStyle name="20% - Accent3 8" xfId="906"/>
    <cellStyle name="20% - Accent3 8 2" xfId="1180"/>
    <cellStyle name="20% - Accent3 8 2 2" xfId="1839"/>
    <cellStyle name="20% - Accent3 8 2 2 2" xfId="3428"/>
    <cellStyle name="20% - Accent3 8 2 2 2 2" xfId="17906"/>
    <cellStyle name="20% - Accent3 8 2 2 3" xfId="3267"/>
    <cellStyle name="20% - Accent3 8 2 2 3 2" xfId="16328"/>
    <cellStyle name="20% - Accent3 8 2 2 4" xfId="18802"/>
    <cellStyle name="20% - Accent3 8 2 2 5" xfId="19320"/>
    <cellStyle name="20% - Accent3 8 2 2 6" xfId="14994"/>
    <cellStyle name="20% - Accent3 8 2 3" xfId="3427"/>
    <cellStyle name="20% - Accent3 8 2 3 2" xfId="17567"/>
    <cellStyle name="20% - Accent3 8 2 4" xfId="2611"/>
    <cellStyle name="20% - Accent3 8 2 4 2" xfId="18139"/>
    <cellStyle name="20% - Accent3 8 2 5" xfId="17132"/>
    <cellStyle name="20% - Accent3 8 2 6" xfId="20688"/>
    <cellStyle name="20% - Accent3 8 2 7" xfId="14360"/>
    <cellStyle name="20% - Accent3 8 3" xfId="1565"/>
    <cellStyle name="20% - Accent3 8 3 2" xfId="3429"/>
    <cellStyle name="20% - Accent3 8 3 2 2" xfId="17697"/>
    <cellStyle name="20% - Accent3 8 3 3" xfId="2993"/>
    <cellStyle name="20% - Accent3 8 3 3 2" xfId="19027"/>
    <cellStyle name="20% - Accent3 8 3 4" xfId="17948"/>
    <cellStyle name="20% - Accent3 8 3 5" xfId="19592"/>
    <cellStyle name="20% - Accent3 8 3 6" xfId="14731"/>
    <cellStyle name="20% - Accent3 8 4" xfId="3426"/>
    <cellStyle name="20% - Accent3 8 4 2" xfId="14110"/>
    <cellStyle name="20% - Accent3 8 5" xfId="2337"/>
    <cellStyle name="20% - Accent3 8 5 2" xfId="15522"/>
    <cellStyle name="20% - Accent3 8 6" xfId="16490"/>
    <cellStyle name="20% - Accent3 8 7" xfId="20645"/>
    <cellStyle name="20% - Accent3 8 8" xfId="20166"/>
    <cellStyle name="20% - Accent3 8 9" xfId="13295"/>
    <cellStyle name="20% - Accent3 9" xfId="911"/>
    <cellStyle name="20% - Accent3 9 2" xfId="1185"/>
    <cellStyle name="20% - Accent3 9 2 2" xfId="1844"/>
    <cellStyle name="20% - Accent3 9 2 2 2" xfId="3432"/>
    <cellStyle name="20% - Accent3 9 2 2 2 2" xfId="17614"/>
    <cellStyle name="20% - Accent3 9 2 2 3" xfId="3272"/>
    <cellStyle name="20% - Accent3 9 2 2 3 2" xfId="17711"/>
    <cellStyle name="20% - Accent3 9 2 2 4" xfId="15081"/>
    <cellStyle name="20% - Accent3 9 2 2 5" xfId="19315"/>
    <cellStyle name="20% - Accent3 9 2 2 6" xfId="14999"/>
    <cellStyle name="20% - Accent3 9 2 3" xfId="3431"/>
    <cellStyle name="20% - Accent3 9 2 3 2" xfId="17833"/>
    <cellStyle name="20% - Accent3 9 2 4" xfId="2616"/>
    <cellStyle name="20% - Accent3 9 2 4 2" xfId="16173"/>
    <cellStyle name="20% - Accent3 9 2 5" xfId="15364"/>
    <cellStyle name="20% - Accent3 9 2 6" xfId="20737"/>
    <cellStyle name="20% - Accent3 9 2 7" xfId="14365"/>
    <cellStyle name="20% - Accent3 9 3" xfId="1570"/>
    <cellStyle name="20% - Accent3 9 3 2" xfId="3433"/>
    <cellStyle name="20% - Accent3 9 3 2 2" xfId="17726"/>
    <cellStyle name="20% - Accent3 9 3 3" xfId="2998"/>
    <cellStyle name="20% - Accent3 9 3 3 2" xfId="18531"/>
    <cellStyle name="20% - Accent3 9 3 4" xfId="18014"/>
    <cellStyle name="20% - Accent3 9 3 5" xfId="19587"/>
    <cellStyle name="20% - Accent3 9 3 6" xfId="14736"/>
    <cellStyle name="20% - Accent3 9 4" xfId="3430"/>
    <cellStyle name="20% - Accent3 9 4 2" xfId="14115"/>
    <cellStyle name="20% - Accent3 9 5" xfId="2342"/>
    <cellStyle name="20% - Accent3 9 5 2" xfId="19040"/>
    <cellStyle name="20% - Accent3 9 6" xfId="16495"/>
    <cellStyle name="20% - Accent3 9 7" xfId="20668"/>
    <cellStyle name="20% - Accent3 9 8" xfId="20161"/>
    <cellStyle name="20% - Accent3 9 9" xfId="13388"/>
    <cellStyle name="20% - Accent4" xfId="332"/>
    <cellStyle name="20% - Accent4 10" xfId="657"/>
    <cellStyle name="20% - Accent4 10 2" xfId="1324"/>
    <cellStyle name="20% - Accent4 10 2 2" xfId="3435"/>
    <cellStyle name="20% - Accent4 10 2 2 2" xfId="17951"/>
    <cellStyle name="20% - Accent4 10 2 3" xfId="2752"/>
    <cellStyle name="20% - Accent4 10 2 3 2" xfId="16708"/>
    <cellStyle name="20% - Accent4 10 2 4" xfId="17872"/>
    <cellStyle name="20% - Accent4 10 2 5" xfId="19801"/>
    <cellStyle name="20% - Accent4 10 2 6" xfId="14501"/>
    <cellStyle name="20% - Accent4 10 3" xfId="3434"/>
    <cellStyle name="20% - Accent4 10 3 2" xfId="13894"/>
    <cellStyle name="20% - Accent4 10 4" xfId="2096"/>
    <cellStyle name="20% - Accent4 10 4 2" xfId="17678"/>
    <cellStyle name="20% - Accent4 10 5" xfId="17270"/>
    <cellStyle name="20% - Accent4 10 6" xfId="20710"/>
    <cellStyle name="20% - Accent4 10 7" xfId="20407"/>
    <cellStyle name="20% - Accent4 10 8" xfId="13471"/>
    <cellStyle name="20% - Accent4 11" xfId="939"/>
    <cellStyle name="20% - Accent4 11 2" xfId="1598"/>
    <cellStyle name="20% - Accent4 11 2 2" xfId="3437"/>
    <cellStyle name="20% - Accent4 11 2 2 2" xfId="17871"/>
    <cellStyle name="20% - Accent4 11 2 3" xfId="3026"/>
    <cellStyle name="20% - Accent4 11 2 3 2" xfId="16085"/>
    <cellStyle name="20% - Accent4 11 2 4" xfId="17501"/>
    <cellStyle name="20% - Accent4 11 2 5" xfId="19559"/>
    <cellStyle name="20% - Accent4 11 2 6" xfId="14764"/>
    <cellStyle name="20% - Accent4 11 3" xfId="3436"/>
    <cellStyle name="20% - Accent4 11 3 2" xfId="17532"/>
    <cellStyle name="20% - Accent4 11 4" xfId="2370"/>
    <cellStyle name="20% - Accent4 11 4 2" xfId="18355"/>
    <cellStyle name="20% - Accent4 11 5" xfId="18691"/>
    <cellStyle name="20% - Accent4 11 6" xfId="20133"/>
    <cellStyle name="20% - Accent4 11 7" xfId="14143"/>
    <cellStyle name="20% - Accent4 12" xfId="1219"/>
    <cellStyle name="20% - Accent4 12 2" xfId="3438"/>
    <cellStyle name="20% - Accent4 12 2 2" xfId="17664"/>
    <cellStyle name="20% - Accent4 12 3" xfId="2647"/>
    <cellStyle name="20% - Accent4 12 3 2" xfId="17397"/>
    <cellStyle name="20% - Accent4 12 4" xfId="17280"/>
    <cellStyle name="20% - Accent4 12 5" xfId="19906"/>
    <cellStyle name="20% - Accent4 12 6" xfId="14396"/>
    <cellStyle name="20% - Accent4 13" xfId="3439"/>
    <cellStyle name="20% - Accent4 13 2" xfId="18017"/>
    <cellStyle name="20% - Accent4 14" xfId="1969"/>
    <cellStyle name="20% - Accent4 14 2" xfId="18056"/>
    <cellStyle name="20% - Accent4 15" xfId="18809"/>
    <cellStyle name="20% - Accent4 16" xfId="20534"/>
    <cellStyle name="20% - Accent4 17" xfId="4758"/>
    <cellStyle name="20% - Accent4 2" xfId="30"/>
    <cellStyle name="20% - Accent4 2 2" xfId="31"/>
    <cellStyle name="20% - Accent4 2 2 2" xfId="32"/>
    <cellStyle name="20% - Accent4 2 2 3" xfId="33"/>
    <cellStyle name="20% - Accent4 2 3" xfId="352"/>
    <cellStyle name="20% - Accent4 2 4" xfId="447"/>
    <cellStyle name="20% - Accent4 2 5" xfId="15624"/>
    <cellStyle name="20% - Accent4 2 6" xfId="7109"/>
    <cellStyle name="20% - Accent4 2_SSP report" xfId="353"/>
    <cellStyle name="20% - Accent4 3" xfId="448"/>
    <cellStyle name="20% - Accent4 3 2" xfId="818"/>
    <cellStyle name="20% - Accent4 3 2 2" xfId="1096"/>
    <cellStyle name="20% - Accent4 3 2 2 2" xfId="1755"/>
    <cellStyle name="20% - Accent4 3 2 2 2 2" xfId="3442"/>
    <cellStyle name="20% - Accent4 3 2 2 2 2 2" xfId="15639"/>
    <cellStyle name="20% - Accent4 3 2 2 2 3" xfId="3183"/>
    <cellStyle name="20% - Accent4 3 2 2 2 3 2" xfId="18263"/>
    <cellStyle name="20% - Accent4 3 2 2 2 4" xfId="17147"/>
    <cellStyle name="20% - Accent4 3 2 2 2 5" xfId="19404"/>
    <cellStyle name="20% - Accent4 3 2 2 2 6" xfId="14910"/>
    <cellStyle name="20% - Accent4 3 2 2 3" xfId="3441"/>
    <cellStyle name="20% - Accent4 3 2 2 3 2" xfId="17435"/>
    <cellStyle name="20% - Accent4 3 2 2 4" xfId="2527"/>
    <cellStyle name="20% - Accent4 3 2 2 4 2" xfId="18402"/>
    <cellStyle name="20% - Accent4 3 2 2 5" xfId="16552"/>
    <cellStyle name="20% - Accent4 3 2 2 6" xfId="19976"/>
    <cellStyle name="20% - Accent4 3 2 2 7" xfId="14279"/>
    <cellStyle name="20% - Accent4 3 2 3" xfId="1481"/>
    <cellStyle name="20% - Accent4 3 2 3 2" xfId="3443"/>
    <cellStyle name="20% - Accent4 3 2 3 2 2" xfId="15636"/>
    <cellStyle name="20% - Accent4 3 2 3 3" xfId="2909"/>
    <cellStyle name="20% - Accent4 3 2 3 3 2" xfId="17352"/>
    <cellStyle name="20% - Accent4 3 2 3 4" xfId="17702"/>
    <cellStyle name="20% - Accent4 3 2 3 5" xfId="19676"/>
    <cellStyle name="20% - Accent4 3 2 3 6" xfId="14647"/>
    <cellStyle name="20% - Accent4 3 2 4" xfId="3440"/>
    <cellStyle name="20% - Accent4 3 2 4 2" xfId="17798"/>
    <cellStyle name="20% - Accent4 3 2 5" xfId="2253"/>
    <cellStyle name="20% - Accent4 3 2 5 2" xfId="15980"/>
    <cellStyle name="20% - Accent4 3 2 6" xfId="19143"/>
    <cellStyle name="20% - Accent4 3 2 7" xfId="20250"/>
    <cellStyle name="20% - Accent4 3 2 8" xfId="14030"/>
    <cellStyle name="20% - Accent4 3 3" xfId="13752"/>
    <cellStyle name="20% - Accent4 3 4" xfId="15629"/>
    <cellStyle name="20% - Accent4 3 5" xfId="7110"/>
    <cellStyle name="20% - Accent4 4" xfId="585"/>
    <cellStyle name="20% - Accent4 4 10" xfId="20463"/>
    <cellStyle name="20% - Accent4 4 11" xfId="7111"/>
    <cellStyle name="20% - Accent4 4 2" xfId="852"/>
    <cellStyle name="20% - Accent4 4 2 2" xfId="1126"/>
    <cellStyle name="20% - Accent4 4 2 2 2" xfId="1785"/>
    <cellStyle name="20% - Accent4 4 2 2 2 2" xfId="3447"/>
    <cellStyle name="20% - Accent4 4 2 2 2 2 2" xfId="15890"/>
    <cellStyle name="20% - Accent4 4 2 2 2 3" xfId="3213"/>
    <cellStyle name="20% - Accent4 4 2 2 2 3 2" xfId="17717"/>
    <cellStyle name="20% - Accent4 4 2 2 2 4" xfId="17651"/>
    <cellStyle name="20% - Accent4 4 2 2 2 5" xfId="19374"/>
    <cellStyle name="20% - Accent4 4 2 2 2 6" xfId="14940"/>
    <cellStyle name="20% - Accent4 4 2 2 3" xfId="3446"/>
    <cellStyle name="20% - Accent4 4 2 2 3 2" xfId="15924"/>
    <cellStyle name="20% - Accent4 4 2 2 4" xfId="2557"/>
    <cellStyle name="20% - Accent4 4 2 2 4 2" xfId="16587"/>
    <cellStyle name="20% - Accent4 4 2 2 5" xfId="18564"/>
    <cellStyle name="20% - Accent4 4 2 2 6" xfId="19946"/>
    <cellStyle name="20% - Accent4 4 2 2 7" xfId="14307"/>
    <cellStyle name="20% - Accent4 4 2 3" xfId="1511"/>
    <cellStyle name="20% - Accent4 4 2 3 2" xfId="3448"/>
    <cellStyle name="20% - Accent4 4 2 3 2 2" xfId="18551"/>
    <cellStyle name="20% - Accent4 4 2 3 3" xfId="2939"/>
    <cellStyle name="20% - Accent4 4 2 3 3 2" xfId="16053"/>
    <cellStyle name="20% - Accent4 4 2 3 4" xfId="17452"/>
    <cellStyle name="20% - Accent4 4 2 3 5" xfId="19646"/>
    <cellStyle name="20% - Accent4 4 2 3 6" xfId="14677"/>
    <cellStyle name="20% - Accent4 4 2 4" xfId="3445"/>
    <cellStyle name="20% - Accent4 4 2 4 2" xfId="18501"/>
    <cellStyle name="20% - Accent4 4 2 5" xfId="2283"/>
    <cellStyle name="20% - Accent4 4 2 5 2" xfId="16093"/>
    <cellStyle name="20% - Accent4 4 2 6" xfId="18632"/>
    <cellStyle name="20% - Accent4 4 2 7" xfId="20220"/>
    <cellStyle name="20% - Accent4 4 2 8" xfId="14057"/>
    <cellStyle name="20% - Accent4 4 3" xfId="708"/>
    <cellStyle name="20% - Accent4 4 3 2" xfId="1375"/>
    <cellStyle name="20% - Accent4 4 3 2 2" xfId="3450"/>
    <cellStyle name="20% - Accent4 4 3 2 2 2" xfId="15832"/>
    <cellStyle name="20% - Accent4 4 3 2 3" xfId="2803"/>
    <cellStyle name="20% - Accent4 4 3 2 3 2" xfId="16751"/>
    <cellStyle name="20% - Accent4 4 3 2 4" xfId="18042"/>
    <cellStyle name="20% - Accent4 4 3 2 5" xfId="19780"/>
    <cellStyle name="20% - Accent4 4 3 2 6" xfId="14552"/>
    <cellStyle name="20% - Accent4 4 3 3" xfId="3449"/>
    <cellStyle name="20% - Accent4 4 3 3 2" xfId="18589"/>
    <cellStyle name="20% - Accent4 4 3 4" xfId="2147"/>
    <cellStyle name="20% - Accent4 4 3 4 2" xfId="17941"/>
    <cellStyle name="20% - Accent4 4 3 5" xfId="17442"/>
    <cellStyle name="20% - Accent4 4 3 6" xfId="20356"/>
    <cellStyle name="20% - Accent4 4 3 7" xfId="13945"/>
    <cellStyle name="20% - Accent4 4 4" xfId="990"/>
    <cellStyle name="20% - Accent4 4 4 2" xfId="1649"/>
    <cellStyle name="20% - Accent4 4 4 2 2" xfId="3452"/>
    <cellStyle name="20% - Accent4 4 4 2 2 2" xfId="15943"/>
    <cellStyle name="20% - Accent4 4 4 2 3" xfId="3077"/>
    <cellStyle name="20% - Accent4 4 4 2 3 2" xfId="17993"/>
    <cellStyle name="20% - Accent4 4 4 2 4" xfId="15373"/>
    <cellStyle name="20% - Accent4 4 4 2 5" xfId="19508"/>
    <cellStyle name="20% - Accent4 4 4 2 6" xfId="14815"/>
    <cellStyle name="20% - Accent4 4 4 3" xfId="3451"/>
    <cellStyle name="20% - Accent4 4 4 3 2" xfId="18370"/>
    <cellStyle name="20% - Accent4 4 4 4" xfId="2421"/>
    <cellStyle name="20% - Accent4 4 4 4 2" xfId="19266"/>
    <cellStyle name="20% - Accent4 4 4 5" xfId="17232"/>
    <cellStyle name="20% - Accent4 4 4 6" xfId="20082"/>
    <cellStyle name="20% - Accent4 4 4 7" xfId="14194"/>
    <cellStyle name="20% - Accent4 4 5" xfId="1270"/>
    <cellStyle name="20% - Accent4 4 5 2" xfId="3453"/>
    <cellStyle name="20% - Accent4 4 5 2 2" xfId="18454"/>
    <cellStyle name="20% - Accent4 4 5 3" xfId="2698"/>
    <cellStyle name="20% - Accent4 4 5 3 2" xfId="16671"/>
    <cellStyle name="20% - Accent4 4 5 4" xfId="15225"/>
    <cellStyle name="20% - Accent4 4 5 5" xfId="19855"/>
    <cellStyle name="20% - Accent4 4 5 6" xfId="14447"/>
    <cellStyle name="20% - Accent4 4 6" xfId="3444"/>
    <cellStyle name="20% - Accent4 4 6 2" xfId="13839"/>
    <cellStyle name="20% - Accent4 4 7" xfId="2040"/>
    <cellStyle name="20% - Accent4 4 7 2" xfId="15068"/>
    <cellStyle name="20% - Accent4 4 8" xfId="18279"/>
    <cellStyle name="20% - Accent4 4 9" xfId="16914"/>
    <cellStyle name="20% - Accent4 5" xfId="775"/>
    <cellStyle name="20% - Accent4 5 2" xfId="1056"/>
    <cellStyle name="20% - Accent4 5 2 2" xfId="1715"/>
    <cellStyle name="20% - Accent4 5 2 2 2" xfId="3456"/>
    <cellStyle name="20% - Accent4 5 2 2 2 2" xfId="15841"/>
    <cellStyle name="20% - Accent4 5 2 2 3" xfId="3143"/>
    <cellStyle name="20% - Accent4 5 2 2 3 2" xfId="15851"/>
    <cellStyle name="20% - Accent4 5 2 2 4" xfId="17622"/>
    <cellStyle name="20% - Accent4 5 2 2 5" xfId="19444"/>
    <cellStyle name="20% - Accent4 5 2 2 6" xfId="13174"/>
    <cellStyle name="20% - Accent4 5 2 3" xfId="3455"/>
    <cellStyle name="20% - Accent4 5 2 3 2" xfId="18346"/>
    <cellStyle name="20% - Accent4 5 2 4" xfId="2487"/>
    <cellStyle name="20% - Accent4 5 2 4 2" xfId="16195"/>
    <cellStyle name="20% - Accent4 5 2 5" xfId="16524"/>
    <cellStyle name="20% - Accent4 5 2 6" xfId="20016"/>
    <cellStyle name="20% - Accent4 5 2 7" xfId="7113"/>
    <cellStyle name="20% - Accent4 5 3" xfId="1441"/>
    <cellStyle name="20% - Accent4 5 3 2" xfId="3457"/>
    <cellStyle name="20% - Accent4 5 3 2 2" xfId="18194"/>
    <cellStyle name="20% - Accent4 5 3 3" xfId="2869"/>
    <cellStyle name="20% - Accent4 5 3 3 2" xfId="16362"/>
    <cellStyle name="20% - Accent4 5 3 4" xfId="17594"/>
    <cellStyle name="20% - Accent4 5 3 5" xfId="19716"/>
    <cellStyle name="20% - Accent4 5 3 6" xfId="13175"/>
    <cellStyle name="20% - Accent4 5 4" xfId="3454"/>
    <cellStyle name="20% - Accent4 5 4 2" xfId="16032"/>
    <cellStyle name="20% - Accent4 5 5" xfId="2213"/>
    <cellStyle name="20% - Accent4 5 5 2" xfId="17286"/>
    <cellStyle name="20% - Accent4 5 6" xfId="16472"/>
    <cellStyle name="20% - Accent4 5 7" xfId="20290"/>
    <cellStyle name="20% - Accent4 5 8" xfId="7112"/>
    <cellStyle name="20% - Accent4 6" xfId="792"/>
    <cellStyle name="20% - Accent4 6 2" xfId="1071"/>
    <cellStyle name="20% - Accent4 6 2 2" xfId="1730"/>
    <cellStyle name="20% - Accent4 6 2 2 2" xfId="3460"/>
    <cellStyle name="20% - Accent4 6 2 2 2 2" xfId="16047"/>
    <cellStyle name="20% - Accent4 6 2 2 3" xfId="3158"/>
    <cellStyle name="20% - Accent4 6 2 2 3 2" xfId="17356"/>
    <cellStyle name="20% - Accent4 6 2 2 4" xfId="17638"/>
    <cellStyle name="20% - Accent4 6 2 2 5" xfId="19429"/>
    <cellStyle name="20% - Accent4 6 2 2 6" xfId="14885"/>
    <cellStyle name="20% - Accent4 6 2 3" xfId="3459"/>
    <cellStyle name="20% - Accent4 6 2 3 2" xfId="18212"/>
    <cellStyle name="20% - Accent4 6 2 4" xfId="2502"/>
    <cellStyle name="20% - Accent4 6 2 4 2" xfId="16573"/>
    <cellStyle name="20% - Accent4 6 2 5" xfId="16534"/>
    <cellStyle name="20% - Accent4 6 2 6" xfId="20001"/>
    <cellStyle name="20% - Accent4 6 2 7" xfId="13176"/>
    <cellStyle name="20% - Accent4 6 3" xfId="1456"/>
    <cellStyle name="20% - Accent4 6 3 2" xfId="3461"/>
    <cellStyle name="20% - Accent4 6 3 2 2" xfId="15907"/>
    <cellStyle name="20% - Accent4 6 3 3" xfId="2884"/>
    <cellStyle name="20% - Accent4 6 3 3 2" xfId="17908"/>
    <cellStyle name="20% - Accent4 6 3 4" xfId="17565"/>
    <cellStyle name="20% - Accent4 6 3 5" xfId="19701"/>
    <cellStyle name="20% - Accent4 6 3 6" xfId="14622"/>
    <cellStyle name="20% - Accent4 6 4" xfId="3458"/>
    <cellStyle name="20% - Accent4 6 4 2" xfId="18205"/>
    <cellStyle name="20% - Accent4 6 5" xfId="2228"/>
    <cellStyle name="20% - Accent4 6 5 2" xfId="18425"/>
    <cellStyle name="20% - Accent4 6 6" xfId="18309"/>
    <cellStyle name="20% - Accent4 6 7" xfId="20275"/>
    <cellStyle name="20% - Accent4 6 8" xfId="7114"/>
    <cellStyle name="20% - Accent4 7" xfId="896"/>
    <cellStyle name="20% - Accent4 7 2" xfId="1170"/>
    <cellStyle name="20% - Accent4 7 2 2" xfId="1829"/>
    <cellStyle name="20% - Accent4 7 2 2 2" xfId="3464"/>
    <cellStyle name="20% - Accent4 7 2 2 2 2" xfId="15892"/>
    <cellStyle name="20% - Accent4 7 2 2 3" xfId="3257"/>
    <cellStyle name="20% - Accent4 7 2 2 3 2" xfId="16323"/>
    <cellStyle name="20% - Accent4 7 2 2 4" xfId="15313"/>
    <cellStyle name="20% - Accent4 7 2 2 5" xfId="19330"/>
    <cellStyle name="20% - Accent4 7 2 2 6" xfId="14984"/>
    <cellStyle name="20% - Accent4 7 2 3" xfId="3463"/>
    <cellStyle name="20% - Accent4 7 2 3 2" xfId="18406"/>
    <cellStyle name="20% - Accent4 7 2 4" xfId="2601"/>
    <cellStyle name="20% - Accent4 7 2 4 2" xfId="18239"/>
    <cellStyle name="20% - Accent4 7 2 5" xfId="17129"/>
    <cellStyle name="20% - Accent4 7 2 6" xfId="20691"/>
    <cellStyle name="20% - Accent4 7 2 7" xfId="14350"/>
    <cellStyle name="20% - Accent4 7 3" xfId="1555"/>
    <cellStyle name="20% - Accent4 7 3 2" xfId="3465"/>
    <cellStyle name="20% - Accent4 7 3 2 2" xfId="15988"/>
    <cellStyle name="20% - Accent4 7 3 3" xfId="2983"/>
    <cellStyle name="20% - Accent4 7 3 3 2" xfId="18350"/>
    <cellStyle name="20% - Accent4 7 3 4" xfId="18163"/>
    <cellStyle name="20% - Accent4 7 3 5" xfId="19602"/>
    <cellStyle name="20% - Accent4 7 3 6" xfId="14721"/>
    <cellStyle name="20% - Accent4 7 4" xfId="3462"/>
    <cellStyle name="20% - Accent4 7 4 2" xfId="14100"/>
    <cellStyle name="20% - Accent4 7 5" xfId="2327"/>
    <cellStyle name="20% - Accent4 7 5 2" xfId="16056"/>
    <cellStyle name="20% - Accent4 7 6" xfId="18788"/>
    <cellStyle name="20% - Accent4 7 7" xfId="16915"/>
    <cellStyle name="20% - Accent4 7 8" xfId="20176"/>
    <cellStyle name="20% - Accent4 7 9" xfId="7115"/>
    <cellStyle name="20% - Accent4 8" xfId="904"/>
    <cellStyle name="20% - Accent4 8 2" xfId="1178"/>
    <cellStyle name="20% - Accent4 8 2 2" xfId="1837"/>
    <cellStyle name="20% - Accent4 8 2 2 2" xfId="3468"/>
    <cellStyle name="20% - Accent4 8 2 2 2 2" xfId="18767"/>
    <cellStyle name="20% - Accent4 8 2 2 3" xfId="3265"/>
    <cellStyle name="20% - Accent4 8 2 2 3 2" xfId="17809"/>
    <cellStyle name="20% - Accent4 8 2 2 4" xfId="17164"/>
    <cellStyle name="20% - Accent4 8 2 2 5" xfId="19322"/>
    <cellStyle name="20% - Accent4 8 2 2 6" xfId="14992"/>
    <cellStyle name="20% - Accent4 8 2 3" xfId="3467"/>
    <cellStyle name="20% - Accent4 8 2 3 2" xfId="15855"/>
    <cellStyle name="20% - Accent4 8 2 4" xfId="2609"/>
    <cellStyle name="20% - Accent4 8 2 4 2" xfId="18493"/>
    <cellStyle name="20% - Accent4 8 2 5" xfId="18770"/>
    <cellStyle name="20% - Accent4 8 2 6" xfId="20765"/>
    <cellStyle name="20% - Accent4 8 2 7" xfId="14358"/>
    <cellStyle name="20% - Accent4 8 3" xfId="1563"/>
    <cellStyle name="20% - Accent4 8 3 2" xfId="3469"/>
    <cellStyle name="20% - Accent4 8 3 2 2" xfId="15958"/>
    <cellStyle name="20% - Accent4 8 3 3" xfId="2991"/>
    <cellStyle name="20% - Accent4 8 3 3 2" xfId="15966"/>
    <cellStyle name="20% - Accent4 8 3 4" xfId="17723"/>
    <cellStyle name="20% - Accent4 8 3 5" xfId="19594"/>
    <cellStyle name="20% - Accent4 8 3 6" xfId="14729"/>
    <cellStyle name="20% - Accent4 8 4" xfId="3466"/>
    <cellStyle name="20% - Accent4 8 4 2" xfId="14108"/>
    <cellStyle name="20% - Accent4 8 5" xfId="2335"/>
    <cellStyle name="20% - Accent4 8 5 2" xfId="15847"/>
    <cellStyle name="20% - Accent4 8 6" xfId="18468"/>
    <cellStyle name="20% - Accent4 8 7" xfId="20646"/>
    <cellStyle name="20% - Accent4 8 8" xfId="20168"/>
    <cellStyle name="20% - Accent4 8 9" xfId="13296"/>
    <cellStyle name="20% - Accent4 9" xfId="913"/>
    <cellStyle name="20% - Accent4 9 2" xfId="1187"/>
    <cellStyle name="20% - Accent4 9 2 2" xfId="1846"/>
    <cellStyle name="20% - Accent4 9 2 2 2" xfId="3472"/>
    <cellStyle name="20% - Accent4 9 2 2 2 2" xfId="18948"/>
    <cellStyle name="20% - Accent4 9 2 2 3" xfId="3274"/>
    <cellStyle name="20% - Accent4 9 2 2 3 2" xfId="16332"/>
    <cellStyle name="20% - Accent4 9 2 2 4" xfId="17168"/>
    <cellStyle name="20% - Accent4 9 2 2 5" xfId="19313"/>
    <cellStyle name="20% - Accent4 9 2 2 6" xfId="15001"/>
    <cellStyle name="20% - Accent4 9 2 3" xfId="3471"/>
    <cellStyle name="20% - Accent4 9 2 3 2" xfId="18253"/>
    <cellStyle name="20% - Accent4 9 2 4" xfId="2618"/>
    <cellStyle name="20% - Accent4 9 2 4 2" xfId="16038"/>
    <cellStyle name="20% - Accent4 9 2 5" xfId="15474"/>
    <cellStyle name="20% - Accent4 9 2 6" xfId="20762"/>
    <cellStyle name="20% - Accent4 9 2 7" xfId="14367"/>
    <cellStyle name="20% - Accent4 9 3" xfId="1572"/>
    <cellStyle name="20% - Accent4 9 3 2" xfId="3473"/>
    <cellStyle name="20% - Accent4 9 3 2 2" xfId="18873"/>
    <cellStyle name="20% - Accent4 9 3 3" xfId="3000"/>
    <cellStyle name="20% - Accent4 9 3 3 2" xfId="18944"/>
    <cellStyle name="20% - Accent4 9 3 4" xfId="17765"/>
    <cellStyle name="20% - Accent4 9 3 5" xfId="19585"/>
    <cellStyle name="20% - Accent4 9 3 6" xfId="14738"/>
    <cellStyle name="20% - Accent4 9 4" xfId="3470"/>
    <cellStyle name="20% - Accent4 9 4 2" xfId="14117"/>
    <cellStyle name="20% - Accent4 9 5" xfId="2344"/>
    <cellStyle name="20% - Accent4 9 5 2" xfId="18510"/>
    <cellStyle name="20% - Accent4 9 6" xfId="16497"/>
    <cellStyle name="20% - Accent4 9 7" xfId="20666"/>
    <cellStyle name="20% - Accent4 9 8" xfId="20159"/>
    <cellStyle name="20% - Accent4 9 9" xfId="13382"/>
    <cellStyle name="20% - Accent5" xfId="336"/>
    <cellStyle name="20% - Accent5 10" xfId="659"/>
    <cellStyle name="20% - Accent5 10 2" xfId="1326"/>
    <cellStyle name="20% - Accent5 10 2 2" xfId="3475"/>
    <cellStyle name="20% - Accent5 10 2 2 2" xfId="18170"/>
    <cellStyle name="20% - Accent5 10 2 3" xfId="2754"/>
    <cellStyle name="20% - Accent5 10 2 3 2" xfId="17430"/>
    <cellStyle name="20% - Accent5 10 2 4" xfId="18018"/>
    <cellStyle name="20% - Accent5 10 2 5" xfId="19799"/>
    <cellStyle name="20% - Accent5 10 2 6" xfId="14503"/>
    <cellStyle name="20% - Accent5 10 3" xfId="3474"/>
    <cellStyle name="20% - Accent5 10 3 2" xfId="13896"/>
    <cellStyle name="20% - Accent5 10 4" xfId="2098"/>
    <cellStyle name="20% - Accent5 10 4 2" xfId="17814"/>
    <cellStyle name="20% - Accent5 10 5" xfId="19066"/>
    <cellStyle name="20% - Accent5 10 6" xfId="20711"/>
    <cellStyle name="20% - Accent5 10 7" xfId="20405"/>
    <cellStyle name="20% - Accent5 10 8" xfId="13472"/>
    <cellStyle name="20% - Accent5 11" xfId="941"/>
    <cellStyle name="20% - Accent5 11 2" xfId="1600"/>
    <cellStyle name="20% - Accent5 11 2 2" xfId="3477"/>
    <cellStyle name="20% - Accent5 11 2 2 2" xfId="15621"/>
    <cellStyle name="20% - Accent5 11 2 3" xfId="3028"/>
    <cellStyle name="20% - Accent5 11 2 3 2" xfId="16368"/>
    <cellStyle name="20% - Accent5 11 2 4" xfId="17637"/>
    <cellStyle name="20% - Accent5 11 2 5" xfId="19557"/>
    <cellStyle name="20% - Accent5 11 2 6" xfId="14766"/>
    <cellStyle name="20% - Accent5 11 3" xfId="3476"/>
    <cellStyle name="20% - Accent5 11 3 2" xfId="15816"/>
    <cellStyle name="20% - Accent5 11 4" xfId="2372"/>
    <cellStyle name="20% - Accent5 11 4 2" xfId="18149"/>
    <cellStyle name="20% - Accent5 11 5" xfId="19121"/>
    <cellStyle name="20% - Accent5 11 6" xfId="20131"/>
    <cellStyle name="20% - Accent5 11 7" xfId="14145"/>
    <cellStyle name="20% - Accent5 12" xfId="1221"/>
    <cellStyle name="20% - Accent5 12 2" xfId="3478"/>
    <cellStyle name="20% - Accent5 12 2 2" xfId="18354"/>
    <cellStyle name="20% - Accent5 12 3" xfId="2649"/>
    <cellStyle name="20% - Accent5 12 3 2" xfId="16630"/>
    <cellStyle name="20% - Accent5 12 4" xfId="15418"/>
    <cellStyle name="20% - Accent5 12 5" xfId="19904"/>
    <cellStyle name="20% - Accent5 12 6" xfId="14398"/>
    <cellStyle name="20% - Accent5 13" xfId="3479"/>
    <cellStyle name="20% - Accent5 13 2" xfId="16017"/>
    <cellStyle name="20% - Accent5 14" xfId="1971"/>
    <cellStyle name="20% - Accent5 14 2" xfId="17505"/>
    <cellStyle name="20% - Accent5 15" xfId="18932"/>
    <cellStyle name="20% - Accent5 16" xfId="20532"/>
    <cellStyle name="20% - Accent5 17" xfId="4760"/>
    <cellStyle name="20% - Accent5 2" xfId="34"/>
    <cellStyle name="20% - Accent5 2 2" xfId="35"/>
    <cellStyle name="20% - Accent5 2 2 2" xfId="36"/>
    <cellStyle name="20% - Accent5 2 2 3" xfId="37"/>
    <cellStyle name="20% - Accent5 2 3" xfId="354"/>
    <cellStyle name="20% - Accent5 2 4" xfId="449"/>
    <cellStyle name="20% - Accent5 2 5" xfId="16916"/>
    <cellStyle name="20% - Accent5 2 6" xfId="7116"/>
    <cellStyle name="20% - Accent5 2_SSP report" xfId="355"/>
    <cellStyle name="20% - Accent5 3" xfId="450"/>
    <cellStyle name="20% - Accent5 3 2" xfId="817"/>
    <cellStyle name="20% - Accent5 3 2 2" xfId="1095"/>
    <cellStyle name="20% - Accent5 3 2 2 2" xfId="1754"/>
    <cellStyle name="20% - Accent5 3 2 2 2 2" xfId="3482"/>
    <cellStyle name="20% - Accent5 3 2 2 2 2 2" xfId="16372"/>
    <cellStyle name="20% - Accent5 3 2 2 2 3" xfId="3182"/>
    <cellStyle name="20% - Accent5 3 2 2 2 3 2" xfId="19043"/>
    <cellStyle name="20% - Accent5 3 2 2 2 4" xfId="17146"/>
    <cellStyle name="20% - Accent5 3 2 2 2 5" xfId="19405"/>
    <cellStyle name="20% - Accent5 3 2 2 2 6" xfId="14909"/>
    <cellStyle name="20% - Accent5 3 2 2 3" xfId="3481"/>
    <cellStyle name="20% - Accent5 3 2 2 3 2" xfId="16371"/>
    <cellStyle name="20% - Accent5 3 2 2 4" xfId="2526"/>
    <cellStyle name="20% - Accent5 3 2 2 4 2" xfId="15984"/>
    <cellStyle name="20% - Accent5 3 2 2 5" xfId="16551"/>
    <cellStyle name="20% - Accent5 3 2 2 6" xfId="19977"/>
    <cellStyle name="20% - Accent5 3 2 2 7" xfId="14278"/>
    <cellStyle name="20% - Accent5 3 2 3" xfId="1480"/>
    <cellStyle name="20% - Accent5 3 2 3 2" xfId="3483"/>
    <cellStyle name="20% - Accent5 3 2 3 2 2" xfId="16373"/>
    <cellStyle name="20% - Accent5 3 2 3 3" xfId="2908"/>
    <cellStyle name="20% - Accent5 3 2 3 3 2" xfId="17773"/>
    <cellStyle name="20% - Accent5 3 2 3 4" xfId="17573"/>
    <cellStyle name="20% - Accent5 3 2 3 5" xfId="19677"/>
    <cellStyle name="20% - Accent5 3 2 3 6" xfId="14646"/>
    <cellStyle name="20% - Accent5 3 2 4" xfId="3480"/>
    <cellStyle name="20% - Accent5 3 2 4 2" xfId="16066"/>
    <cellStyle name="20% - Accent5 3 2 5" xfId="2252"/>
    <cellStyle name="20% - Accent5 3 2 5 2" xfId="19026"/>
    <cellStyle name="20% - Accent5 3 2 6" xfId="16153"/>
    <cellStyle name="20% - Accent5 3 2 7" xfId="20251"/>
    <cellStyle name="20% - Accent5 3 2 8" xfId="14029"/>
    <cellStyle name="20% - Accent5 3 3" xfId="13753"/>
    <cellStyle name="20% - Accent5 3 4" xfId="16917"/>
    <cellStyle name="20% - Accent5 3 5" xfId="7117"/>
    <cellStyle name="20% - Accent5 4" xfId="587"/>
    <cellStyle name="20% - Accent5 4 10" xfId="20461"/>
    <cellStyle name="20% - Accent5 4 11" xfId="7118"/>
    <cellStyle name="20% - Accent5 4 2" xfId="854"/>
    <cellStyle name="20% - Accent5 4 2 2" xfId="1128"/>
    <cellStyle name="20% - Accent5 4 2 2 2" xfId="1787"/>
    <cellStyle name="20% - Accent5 4 2 2 2 2" xfId="3487"/>
    <cellStyle name="20% - Accent5 4 2 2 2 2 2" xfId="18098"/>
    <cellStyle name="20% - Accent5 4 2 2 2 3" xfId="3215"/>
    <cellStyle name="20% - Accent5 4 2 2 2 3 2" xfId="17938"/>
    <cellStyle name="20% - Accent5 4 2 2 2 4" xfId="17785"/>
    <cellStyle name="20% - Accent5 4 2 2 2 5" xfId="19372"/>
    <cellStyle name="20% - Accent5 4 2 2 2 6" xfId="14942"/>
    <cellStyle name="20% - Accent5 4 2 2 3" xfId="3486"/>
    <cellStyle name="20% - Accent5 4 2 2 3 2" xfId="16374"/>
    <cellStyle name="20% - Accent5 4 2 2 4" xfId="2559"/>
    <cellStyle name="20% - Accent5 4 2 2 4 2" xfId="16589"/>
    <cellStyle name="20% - Accent5 4 2 2 5" xfId="17101"/>
    <cellStyle name="20% - Accent5 4 2 2 6" xfId="19944"/>
    <cellStyle name="20% - Accent5 4 2 2 7" xfId="14309"/>
    <cellStyle name="20% - Accent5 4 2 3" xfId="1513"/>
    <cellStyle name="20% - Accent5 4 2 3 2" xfId="3488"/>
    <cellStyle name="20% - Accent5 4 2 3 2 2" xfId="16106"/>
    <cellStyle name="20% - Accent5 4 2 3 3" xfId="2941"/>
    <cellStyle name="20% - Accent5 4 2 3 3 2" xfId="15766"/>
    <cellStyle name="20% - Accent5 4 2 3 4" xfId="17729"/>
    <cellStyle name="20% - Accent5 4 2 3 5" xfId="19644"/>
    <cellStyle name="20% - Accent5 4 2 3 6" xfId="14679"/>
    <cellStyle name="20% - Accent5 4 2 4" xfId="3485"/>
    <cellStyle name="20% - Accent5 4 2 4 2" xfId="17736"/>
    <cellStyle name="20% - Accent5 4 2 5" xfId="2285"/>
    <cellStyle name="20% - Accent5 4 2 5 2" xfId="19036"/>
    <cellStyle name="20% - Accent5 4 2 6" xfId="16161"/>
    <cellStyle name="20% - Accent5 4 2 7" xfId="20218"/>
    <cellStyle name="20% - Accent5 4 2 8" xfId="14059"/>
    <cellStyle name="20% - Accent5 4 3" xfId="710"/>
    <cellStyle name="20% - Accent5 4 3 2" xfId="1377"/>
    <cellStyle name="20% - Accent5 4 3 2 2" xfId="3490"/>
    <cellStyle name="20% - Accent5 4 3 2 2 2" xfId="18869"/>
    <cellStyle name="20% - Accent5 4 3 2 3" xfId="2805"/>
    <cellStyle name="20% - Accent5 4 3 2 3 2" xfId="16753"/>
    <cellStyle name="20% - Accent5 4 3 2 4" xfId="17479"/>
    <cellStyle name="20% - Accent5 4 3 2 5" xfId="19778"/>
    <cellStyle name="20% - Accent5 4 3 2 6" xfId="14554"/>
    <cellStyle name="20% - Accent5 4 3 3" xfId="3489"/>
    <cellStyle name="20% - Accent5 4 3 3 2" xfId="15909"/>
    <cellStyle name="20% - Accent5 4 3 4" xfId="2149"/>
    <cellStyle name="20% - Accent5 4 3 4 2" xfId="17865"/>
    <cellStyle name="20% - Accent5 4 3 5" xfId="17222"/>
    <cellStyle name="20% - Accent5 4 3 6" xfId="20354"/>
    <cellStyle name="20% - Accent5 4 3 7" xfId="13947"/>
    <cellStyle name="20% - Accent5 4 4" xfId="992"/>
    <cellStyle name="20% - Accent5 4 4 2" xfId="1651"/>
    <cellStyle name="20% - Accent5 4 4 2 2" xfId="3492"/>
    <cellStyle name="20% - Accent5 4 4 2 2 2" xfId="19099"/>
    <cellStyle name="20% - Accent5 4 4 2 3" xfId="3079"/>
    <cellStyle name="20% - Accent5 4 4 2 3 2" xfId="17353"/>
    <cellStyle name="20% - Accent5 4 4 2 4" xfId="15483"/>
    <cellStyle name="20% - Accent5 4 4 2 5" xfId="19506"/>
    <cellStyle name="20% - Accent5 4 4 2 6" xfId="14817"/>
    <cellStyle name="20% - Accent5 4 4 3" xfId="3491"/>
    <cellStyle name="20% - Accent5 4 4 3 2" xfId="15743"/>
    <cellStyle name="20% - Accent5 4 4 4" xfId="2423"/>
    <cellStyle name="20% - Accent5 4 4 4 2" xfId="15648"/>
    <cellStyle name="20% - Accent5 4 4 5" xfId="16129"/>
    <cellStyle name="20% - Accent5 4 4 6" xfId="20080"/>
    <cellStyle name="20% - Accent5 4 4 7" xfId="14196"/>
    <cellStyle name="20% - Accent5 4 5" xfId="1272"/>
    <cellStyle name="20% - Accent5 4 5 2" xfId="3493"/>
    <cellStyle name="20% - Accent5 4 5 2 2" xfId="15997"/>
    <cellStyle name="20% - Accent5 4 5 3" xfId="2700"/>
    <cellStyle name="20% - Accent5 4 5 3 2" xfId="17128"/>
    <cellStyle name="20% - Accent5 4 5 4" xfId="15175"/>
    <cellStyle name="20% - Accent5 4 5 5" xfId="19853"/>
    <cellStyle name="20% - Accent5 4 5 6" xfId="14449"/>
    <cellStyle name="20% - Accent5 4 6" xfId="3484"/>
    <cellStyle name="20% - Accent5 4 6 2" xfId="13841"/>
    <cellStyle name="20% - Accent5 4 7" xfId="2042"/>
    <cellStyle name="20% - Accent5 4 7 2" xfId="17082"/>
    <cellStyle name="20% - Accent5 4 8" xfId="16440"/>
    <cellStyle name="20% - Accent5 4 9" xfId="16918"/>
    <cellStyle name="20% - Accent5 5" xfId="777"/>
    <cellStyle name="20% - Accent5 5 2" xfId="1058"/>
    <cellStyle name="20% - Accent5 5 2 2" xfId="1717"/>
    <cellStyle name="20% - Accent5 5 2 2 2" xfId="3496"/>
    <cellStyle name="20% - Accent5 5 2 2 2 2" xfId="19041"/>
    <cellStyle name="20% - Accent5 5 2 2 3" xfId="3145"/>
    <cellStyle name="20% - Accent5 5 2 2 3 2" xfId="15954"/>
    <cellStyle name="20% - Accent5 5 2 2 4" xfId="18093"/>
    <cellStyle name="20% - Accent5 5 2 2 5" xfId="19442"/>
    <cellStyle name="20% - Accent5 5 2 2 6" xfId="13177"/>
    <cellStyle name="20% - Accent5 5 2 3" xfId="3495"/>
    <cellStyle name="20% - Accent5 5 2 3 2" xfId="15870"/>
    <cellStyle name="20% - Accent5 5 2 4" xfId="2489"/>
    <cellStyle name="20% - Accent5 5 2 4 2" xfId="18272"/>
    <cellStyle name="20% - Accent5 5 2 5" xfId="16526"/>
    <cellStyle name="20% - Accent5 5 2 6" xfId="20014"/>
    <cellStyle name="20% - Accent5 5 2 7" xfId="7120"/>
    <cellStyle name="20% - Accent5 5 3" xfId="1443"/>
    <cellStyle name="20% - Accent5 5 3 2" xfId="3497"/>
    <cellStyle name="20% - Accent5 5 3 2 2" xfId="18440"/>
    <cellStyle name="20% - Accent5 5 3 3" xfId="2871"/>
    <cellStyle name="20% - Accent5 5 3 3 2" xfId="16077"/>
    <cellStyle name="20% - Accent5 5 3 4" xfId="18070"/>
    <cellStyle name="20% - Accent5 5 3 5" xfId="19714"/>
    <cellStyle name="20% - Accent5 5 3 6" xfId="13178"/>
    <cellStyle name="20% - Accent5 5 4" xfId="3494"/>
    <cellStyle name="20% - Accent5 5 4 2" xfId="15887"/>
    <cellStyle name="20% - Accent5 5 5" xfId="2215"/>
    <cellStyle name="20% - Accent5 5 5 2" xfId="17118"/>
    <cellStyle name="20% - Accent5 5 6" xfId="16474"/>
    <cellStyle name="20% - Accent5 5 7" xfId="20288"/>
    <cellStyle name="20% - Accent5 5 8" xfId="7119"/>
    <cellStyle name="20% - Accent5 6" xfId="751"/>
    <cellStyle name="20% - Accent5 6 2" xfId="1032"/>
    <cellStyle name="20% - Accent5 6 2 2" xfId="1691"/>
    <cellStyle name="20% - Accent5 6 2 2 2" xfId="3500"/>
    <cellStyle name="20% - Accent5 6 2 2 2 2" xfId="17542"/>
    <cellStyle name="20% - Accent5 6 2 2 3" xfId="3119"/>
    <cellStyle name="20% - Accent5 6 2 2 3 2" xfId="18182"/>
    <cellStyle name="20% - Accent5 6 2 2 4" xfId="18004"/>
    <cellStyle name="20% - Accent5 6 2 2 5" xfId="19467"/>
    <cellStyle name="20% - Accent5 6 2 2 6" xfId="14857"/>
    <cellStyle name="20% - Accent5 6 2 3" xfId="3499"/>
    <cellStyle name="20% - Accent5 6 2 3 2" xfId="17627"/>
    <cellStyle name="20% - Accent5 6 2 4" xfId="2463"/>
    <cellStyle name="20% - Accent5 6 2 4 2" xfId="15849"/>
    <cellStyle name="20% - Accent5 6 2 5" xfId="17298"/>
    <cellStyle name="20% - Accent5 6 2 6" xfId="20040"/>
    <cellStyle name="20% - Accent5 6 2 7" xfId="13179"/>
    <cellStyle name="20% - Accent5 6 3" xfId="1417"/>
    <cellStyle name="20% - Accent5 6 3 2" xfId="3501"/>
    <cellStyle name="20% - Accent5 6 3 2 2" xfId="17881"/>
    <cellStyle name="20% - Accent5 6 3 3" xfId="2845"/>
    <cellStyle name="20% - Accent5 6 3 3 2" xfId="18075"/>
    <cellStyle name="20% - Accent5 6 3 4" xfId="15134"/>
    <cellStyle name="20% - Accent5 6 3 5" xfId="19740"/>
    <cellStyle name="20% - Accent5 6 3 6" xfId="14594"/>
    <cellStyle name="20% - Accent5 6 4" xfId="3498"/>
    <cellStyle name="20% - Accent5 6 4 2" xfId="17961"/>
    <cellStyle name="20% - Accent5 6 5" xfId="2189"/>
    <cellStyle name="20% - Accent5 6 5 2" xfId="18931"/>
    <cellStyle name="20% - Accent5 6 6" xfId="17088"/>
    <cellStyle name="20% - Accent5 6 7" xfId="20314"/>
    <cellStyle name="20% - Accent5 6 8" xfId="7121"/>
    <cellStyle name="20% - Accent5 7" xfId="898"/>
    <cellStyle name="20% - Accent5 7 2" xfId="1172"/>
    <cellStyle name="20% - Accent5 7 2 2" xfId="1831"/>
    <cellStyle name="20% - Accent5 7 2 2 2" xfId="3504"/>
    <cellStyle name="20% - Accent5 7 2 2 2 2" xfId="17810"/>
    <cellStyle name="20% - Accent5 7 2 2 3" xfId="3259"/>
    <cellStyle name="20% - Accent5 7 2 2 3 2" xfId="17541"/>
    <cellStyle name="20% - Accent5 7 2 2 4" xfId="17161"/>
    <cellStyle name="20% - Accent5 7 2 2 5" xfId="19328"/>
    <cellStyle name="20% - Accent5 7 2 2 6" xfId="14986"/>
    <cellStyle name="20% - Accent5 7 2 3" xfId="3503"/>
    <cellStyle name="20% - Accent5 7 2 3 2" xfId="18025"/>
    <cellStyle name="20% - Accent5 7 2 4" xfId="2603"/>
    <cellStyle name="20% - Accent5 7 2 4 2" xfId="15606"/>
    <cellStyle name="20% - Accent5 7 2 5" xfId="17130"/>
    <cellStyle name="20% - Accent5 7 2 6" xfId="19929"/>
    <cellStyle name="20% - Accent5 7 2 7" xfId="14352"/>
    <cellStyle name="20% - Accent5 7 3" xfId="1557"/>
    <cellStyle name="20% - Accent5 7 3 2" xfId="3505"/>
    <cellStyle name="20% - Accent5 7 3 2 2" xfId="17461"/>
    <cellStyle name="20% - Accent5 7 3 3" xfId="2985"/>
    <cellStyle name="20% - Accent5 7 3 3 2" xfId="15740"/>
    <cellStyle name="20% - Accent5 7 3 4" xfId="17564"/>
    <cellStyle name="20% - Accent5 7 3 5" xfId="19600"/>
    <cellStyle name="20% - Accent5 7 3 6" xfId="14723"/>
    <cellStyle name="20% - Accent5 7 4" xfId="3502"/>
    <cellStyle name="20% - Accent5 7 4 2" xfId="14102"/>
    <cellStyle name="20% - Accent5 7 5" xfId="2329"/>
    <cellStyle name="20% - Accent5 7 5 2" xfId="19126"/>
    <cellStyle name="20% - Accent5 7 6" xfId="18968"/>
    <cellStyle name="20% - Accent5 7 7" xfId="16919"/>
    <cellStyle name="20% - Accent5 7 8" xfId="20174"/>
    <cellStyle name="20% - Accent5 7 9" xfId="7122"/>
    <cellStyle name="20% - Accent5 8" xfId="884"/>
    <cellStyle name="20% - Accent5 8 2" xfId="1158"/>
    <cellStyle name="20% - Accent5 8 2 2" xfId="1817"/>
    <cellStyle name="20% - Accent5 8 2 2 2" xfId="3508"/>
    <cellStyle name="20% - Accent5 8 2 2 2 2" xfId="15796"/>
    <cellStyle name="20% - Accent5 8 2 2 3" xfId="3245"/>
    <cellStyle name="20% - Accent5 8 2 2 3 2" xfId="16318"/>
    <cellStyle name="20% - Accent5 8 2 2 4" xfId="17154"/>
    <cellStyle name="20% - Accent5 8 2 2 5" xfId="19342"/>
    <cellStyle name="20% - Accent5 8 2 2 6" xfId="14972"/>
    <cellStyle name="20% - Accent5 8 2 3" xfId="3507"/>
    <cellStyle name="20% - Accent5 8 2 3 2" xfId="15645"/>
    <cellStyle name="20% - Accent5 8 2 4" xfId="2589"/>
    <cellStyle name="20% - Accent5 8 2 4 2" xfId="18235"/>
    <cellStyle name="20% - Accent5 8 2 5" xfId="19011"/>
    <cellStyle name="20% - Accent5 8 2 6" xfId="20743"/>
    <cellStyle name="20% - Accent5 8 2 7" xfId="14338"/>
    <cellStyle name="20% - Accent5 8 3" xfId="1543"/>
    <cellStyle name="20% - Accent5 8 3 2" xfId="3509"/>
    <cellStyle name="20% - Accent5 8 3 2 2" xfId="18155"/>
    <cellStyle name="20% - Accent5 8 3 3" xfId="2971"/>
    <cellStyle name="20% - Accent5 8 3 3 2" xfId="15899"/>
    <cellStyle name="20% - Accent5 8 3 4" xfId="18382"/>
    <cellStyle name="20% - Accent5 8 3 5" xfId="19614"/>
    <cellStyle name="20% - Accent5 8 3 6" xfId="14709"/>
    <cellStyle name="20% - Accent5 8 4" xfId="3506"/>
    <cellStyle name="20% - Accent5 8 4 2" xfId="14088"/>
    <cellStyle name="20% - Accent5 8 5" xfId="2315"/>
    <cellStyle name="20% - Accent5 8 5 2" xfId="15950"/>
    <cellStyle name="20% - Accent5 8 6" xfId="16488"/>
    <cellStyle name="20% - Accent5 8 7" xfId="20647"/>
    <cellStyle name="20% - Accent5 8 8" xfId="20188"/>
    <cellStyle name="20% - Accent5 8 9" xfId="13297"/>
    <cellStyle name="20% - Accent5 9" xfId="915"/>
    <cellStyle name="20% - Accent5 9 2" xfId="1189"/>
    <cellStyle name="20% - Accent5 9 2 2" xfId="1848"/>
    <cellStyle name="20% - Accent5 9 2 2 2" xfId="3512"/>
    <cellStyle name="20% - Accent5 9 2 2 2 2" xfId="15797"/>
    <cellStyle name="20% - Accent5 9 2 2 3" xfId="3276"/>
    <cellStyle name="20% - Accent5 9 2 2 3 2" xfId="16333"/>
    <cellStyle name="20% - Accent5 9 2 2 4" xfId="15447"/>
    <cellStyle name="20% - Accent5 9 2 2 5" xfId="19311"/>
    <cellStyle name="20% - Accent5 9 2 2 6" xfId="15003"/>
    <cellStyle name="20% - Accent5 9 2 3" xfId="3511"/>
    <cellStyle name="20% - Accent5 9 2 3 2" xfId="18060"/>
    <cellStyle name="20% - Accent5 9 2 4" xfId="2620"/>
    <cellStyle name="20% - Accent5 9 2 4 2" xfId="18567"/>
    <cellStyle name="20% - Accent5 9 2 5" xfId="19202"/>
    <cellStyle name="20% - Accent5 9 2 6" xfId="20685"/>
    <cellStyle name="20% - Accent5 9 2 7" xfId="14369"/>
    <cellStyle name="20% - Accent5 9 3" xfId="1574"/>
    <cellStyle name="20% - Accent5 9 3 2" xfId="3513"/>
    <cellStyle name="20% - Accent5 9 3 2 2" xfId="17921"/>
    <cellStyle name="20% - Accent5 9 3 3" xfId="3002"/>
    <cellStyle name="20% - Accent5 9 3 3 2" xfId="17895"/>
    <cellStyle name="20% - Accent5 9 3 4" xfId="15340"/>
    <cellStyle name="20% - Accent5 9 3 5" xfId="19583"/>
    <cellStyle name="20% - Accent5 9 3 6" xfId="14740"/>
    <cellStyle name="20% - Accent5 9 4" xfId="3510"/>
    <cellStyle name="20% - Accent5 9 4 2" xfId="14119"/>
    <cellStyle name="20% - Accent5 9 5" xfId="2346"/>
    <cellStyle name="20% - Accent5 9 5 2" xfId="15808"/>
    <cellStyle name="20% - Accent5 9 6" xfId="16499"/>
    <cellStyle name="20% - Accent5 9 7" xfId="20664"/>
    <cellStyle name="20% - Accent5 9 8" xfId="20157"/>
    <cellStyle name="20% - Accent5 9 9" xfId="13368"/>
    <cellStyle name="20% - Accent6" xfId="340"/>
    <cellStyle name="20% - Accent6 10" xfId="661"/>
    <cellStyle name="20% - Accent6 10 2" xfId="1328"/>
    <cellStyle name="20% - Accent6 10 2 2" xfId="3515"/>
    <cellStyle name="20% - Accent6 10 2 2 2" xfId="15798"/>
    <cellStyle name="20% - Accent6 10 2 3" xfId="2756"/>
    <cellStyle name="20% - Accent6 10 2 3 2" xfId="17301"/>
    <cellStyle name="20% - Accent6 10 2 4" xfId="17070"/>
    <cellStyle name="20% - Accent6 10 2 5" xfId="19797"/>
    <cellStyle name="20% - Accent6 10 2 6" xfId="14505"/>
    <cellStyle name="20% - Accent6 10 3" xfId="3514"/>
    <cellStyle name="20% - Accent6 10 3 2" xfId="13898"/>
    <cellStyle name="20% - Accent6 10 4" xfId="2100"/>
    <cellStyle name="20% - Accent6 10 4 2" xfId="17588"/>
    <cellStyle name="20% - Accent6 10 5" xfId="18886"/>
    <cellStyle name="20% - Accent6 10 6" xfId="20723"/>
    <cellStyle name="20% - Accent6 10 7" xfId="20403"/>
    <cellStyle name="20% - Accent6 10 8" xfId="13526"/>
    <cellStyle name="20% - Accent6 11" xfId="943"/>
    <cellStyle name="20% - Accent6 11 2" xfId="1602"/>
    <cellStyle name="20% - Accent6 11 2 2" xfId="3517"/>
    <cellStyle name="20% - Accent6 11 2 2 2" xfId="17509"/>
    <cellStyle name="20% - Accent6 11 2 3" xfId="3030"/>
    <cellStyle name="20% - Accent6 11 2 3 2" xfId="16369"/>
    <cellStyle name="20% - Accent6 11 2 4" xfId="17769"/>
    <cellStyle name="20% - Accent6 11 2 5" xfId="19555"/>
    <cellStyle name="20% - Accent6 11 2 6" xfId="14768"/>
    <cellStyle name="20% - Accent6 11 3" xfId="3516"/>
    <cellStyle name="20% - Accent6 11 3 2" xfId="17583"/>
    <cellStyle name="20% - Accent6 11 4" xfId="2374"/>
    <cellStyle name="20% - Accent6 11 4 2" xfId="19207"/>
    <cellStyle name="20% - Accent6 11 5" xfId="18637"/>
    <cellStyle name="20% - Accent6 11 6" xfId="20129"/>
    <cellStyle name="20% - Accent6 11 7" xfId="14147"/>
    <cellStyle name="20% - Accent6 12" xfId="1223"/>
    <cellStyle name="20% - Accent6 12 2" xfId="3518"/>
    <cellStyle name="20% - Accent6 12 2 2" xfId="16108"/>
    <cellStyle name="20% - Accent6 12 3" xfId="2651"/>
    <cellStyle name="20% - Accent6 12 3 2" xfId="16632"/>
    <cellStyle name="20% - Accent6 12 4" xfId="17288"/>
    <cellStyle name="20% - Accent6 12 5" xfId="19902"/>
    <cellStyle name="20% - Accent6 12 6" xfId="14400"/>
    <cellStyle name="20% - Accent6 13" xfId="3519"/>
    <cellStyle name="20% - Accent6 13 2" xfId="18960"/>
    <cellStyle name="20% - Accent6 14" xfId="1973"/>
    <cellStyle name="20% - Accent6 14 2" xfId="17640"/>
    <cellStyle name="20% - Accent6 15" xfId="18859"/>
    <cellStyle name="20% - Accent6 16" xfId="20530"/>
    <cellStyle name="20% - Accent6 17" xfId="4762"/>
    <cellStyle name="20% - Accent6 2" xfId="38"/>
    <cellStyle name="20% - Accent6 2 2" xfId="39"/>
    <cellStyle name="20% - Accent6 2 2 2" xfId="40"/>
    <cellStyle name="20% - Accent6 2 2 3" xfId="41"/>
    <cellStyle name="20% - Accent6 2 3" xfId="356"/>
    <cellStyle name="20% - Accent6 2 4" xfId="451"/>
    <cellStyle name="20% - Accent6 2 5" xfId="16920"/>
    <cellStyle name="20% - Accent6 2 6" xfId="7123"/>
    <cellStyle name="20% - Accent6 2_SSP report" xfId="357"/>
    <cellStyle name="20% - Accent6 3" xfId="452"/>
    <cellStyle name="20% - Accent6 3 2" xfId="743"/>
    <cellStyle name="20% - Accent6 3 2 2" xfId="1024"/>
    <cellStyle name="20% - Accent6 3 2 2 2" xfId="1683"/>
    <cellStyle name="20% - Accent6 3 2 2 2 2" xfId="3522"/>
    <cellStyle name="20% - Accent6 3 2 2 2 2 2" xfId="18429"/>
    <cellStyle name="20% - Accent6 3 2 2 2 3" xfId="3111"/>
    <cellStyle name="20% - Accent6 3 2 2 2 3 2" xfId="16302"/>
    <cellStyle name="20% - Accent6 3 2 2 2 4" xfId="17820"/>
    <cellStyle name="20% - Accent6 3 2 2 2 5" xfId="19474"/>
    <cellStyle name="20% - Accent6 3 2 2 2 6" xfId="14849"/>
    <cellStyle name="20% - Accent6 3 2 2 3" xfId="3521"/>
    <cellStyle name="20% - Accent6 3 2 2 3 2" xfId="18962"/>
    <cellStyle name="20% - Accent6 3 2 2 4" xfId="2455"/>
    <cellStyle name="20% - Accent6 3 2 2 4 2" xfId="18397"/>
    <cellStyle name="20% - Accent6 3 2 2 5" xfId="17315"/>
    <cellStyle name="20% - Accent6 3 2 2 6" xfId="20048"/>
    <cellStyle name="20% - Accent6 3 2 2 7" xfId="14228"/>
    <cellStyle name="20% - Accent6 3 2 3" xfId="1409"/>
    <cellStyle name="20% - Accent6 3 2 3 2" xfId="3523"/>
    <cellStyle name="20% - Accent6 3 2 3 2 2" xfId="19157"/>
    <cellStyle name="20% - Accent6 3 2 3 3" xfId="2837"/>
    <cellStyle name="20% - Accent6 3 2 3 3 2" xfId="17555"/>
    <cellStyle name="20% - Accent6 3 2 3 4" xfId="18600"/>
    <cellStyle name="20% - Accent6 3 2 3 5" xfId="19748"/>
    <cellStyle name="20% - Accent6 3 2 3 6" xfId="14586"/>
    <cellStyle name="20% - Accent6 3 2 4" xfId="3520"/>
    <cellStyle name="20% - Accent6 3 2 4 2" xfId="19004"/>
    <cellStyle name="20% - Accent6 3 2 5" xfId="2181"/>
    <cellStyle name="20% - Accent6 3 2 5 2" xfId="15136"/>
    <cellStyle name="20% - Accent6 3 2 6" xfId="18300"/>
    <cellStyle name="20% - Accent6 3 2 7" xfId="20322"/>
    <cellStyle name="20% - Accent6 3 2 8" xfId="13978"/>
    <cellStyle name="20% - Accent6 3 3" xfId="13754"/>
    <cellStyle name="20% - Accent6 3 4" xfId="15615"/>
    <cellStyle name="20% - Accent6 3 5" xfId="7124"/>
    <cellStyle name="20% - Accent6 4" xfId="589"/>
    <cellStyle name="20% - Accent6 4 10" xfId="7125"/>
    <cellStyle name="20% - Accent6 4 2" xfId="856"/>
    <cellStyle name="20% - Accent6 4 2 2" xfId="1130"/>
    <cellStyle name="20% - Accent6 4 2 2 2" xfId="1789"/>
    <cellStyle name="20% - Accent6 4 2 2 2 2" xfId="3527"/>
    <cellStyle name="20% - Accent6 4 2 2 2 2 2" xfId="18922"/>
    <cellStyle name="20% - Accent6 4 2 2 2 3" xfId="3217"/>
    <cellStyle name="20% - Accent6 4 2 2 2 3 2" xfId="17522"/>
    <cellStyle name="20% - Accent6 4 2 2 2 4" xfId="17455"/>
    <cellStyle name="20% - Accent6 4 2 2 2 5" xfId="19370"/>
    <cellStyle name="20% - Accent6 4 2 2 2 6" xfId="14944"/>
    <cellStyle name="20% - Accent6 4 2 2 3" xfId="3526"/>
    <cellStyle name="20% - Accent6 4 2 2 3 2" xfId="15839"/>
    <cellStyle name="20% - Accent6 4 2 2 4" xfId="2561"/>
    <cellStyle name="20% - Accent6 4 2 2 4 2" xfId="16591"/>
    <cellStyle name="20% - Accent6 4 2 2 5" xfId="17385"/>
    <cellStyle name="20% - Accent6 4 2 2 6" xfId="19942"/>
    <cellStyle name="20% - Accent6 4 2 2 7" xfId="13180"/>
    <cellStyle name="20% - Accent6 4 2 3" xfId="1515"/>
    <cellStyle name="20% - Accent6 4 2 3 2" xfId="3528"/>
    <cellStyle name="20% - Accent6 4 2 3 2 2" xfId="15952"/>
    <cellStyle name="20% - Accent6 4 2 3 3" xfId="2943"/>
    <cellStyle name="20% - Accent6 4 2 3 3 2" xfId="18371"/>
    <cellStyle name="20% - Accent6 4 2 3 4" xfId="17954"/>
    <cellStyle name="20% - Accent6 4 2 3 5" xfId="19642"/>
    <cellStyle name="20% - Accent6 4 2 3 6" xfId="14681"/>
    <cellStyle name="20% - Accent6 4 2 4" xfId="3525"/>
    <cellStyle name="20% - Accent6 4 2 4 2" xfId="18259"/>
    <cellStyle name="20% - Accent6 4 2 5" xfId="2287"/>
    <cellStyle name="20% - Accent6 4 2 5 2" xfId="18180"/>
    <cellStyle name="20% - Accent6 4 2 6" xfId="16128"/>
    <cellStyle name="20% - Accent6 4 2 7" xfId="20216"/>
    <cellStyle name="20% - Accent6 4 2 8" xfId="7126"/>
    <cellStyle name="20% - Accent6 4 3" xfId="712"/>
    <cellStyle name="20% - Accent6 4 3 2" xfId="1379"/>
    <cellStyle name="20% - Accent6 4 3 2 2" xfId="3530"/>
    <cellStyle name="20% - Accent6 4 3 2 2 2" xfId="19124"/>
    <cellStyle name="20% - Accent6 4 3 2 3" xfId="2807"/>
    <cellStyle name="20% - Accent6 4 3 2 3 2" xfId="18612"/>
    <cellStyle name="20% - Accent6 4 3 2 4" xfId="18248"/>
    <cellStyle name="20% - Accent6 4 3 2 5" xfId="19776"/>
    <cellStyle name="20% - Accent6 4 3 2 6" xfId="14556"/>
    <cellStyle name="20% - Accent6 4 3 3" xfId="3529"/>
    <cellStyle name="20% - Accent6 4 3 3 2" xfId="18761"/>
    <cellStyle name="20% - Accent6 4 3 4" xfId="2151"/>
    <cellStyle name="20% - Accent6 4 3 4 2" xfId="18011"/>
    <cellStyle name="20% - Accent6 4 3 5" xfId="17224"/>
    <cellStyle name="20% - Accent6 4 3 6" xfId="20352"/>
    <cellStyle name="20% - Accent6 4 3 7" xfId="13181"/>
    <cellStyle name="20% - Accent6 4 4" xfId="994"/>
    <cellStyle name="20% - Accent6 4 4 2" xfId="1653"/>
    <cellStyle name="20% - Accent6 4 4 2 2" xfId="3532"/>
    <cellStyle name="20% - Accent6 4 4 2 2 2" xfId="18837"/>
    <cellStyle name="20% - Accent6 4 4 2 3" xfId="3081"/>
    <cellStyle name="20% - Accent6 4 4 2 3 2" xfId="17359"/>
    <cellStyle name="20% - Accent6 4 4 2 4" xfId="15065"/>
    <cellStyle name="20% - Accent6 4 4 2 5" xfId="19504"/>
    <cellStyle name="20% - Accent6 4 4 2 6" xfId="14819"/>
    <cellStyle name="20% - Accent6 4 4 3" xfId="3531"/>
    <cellStyle name="20% - Accent6 4 4 3 2" xfId="15919"/>
    <cellStyle name="20% - Accent6 4 4 4" xfId="2425"/>
    <cellStyle name="20% - Accent6 4 4 4 2" xfId="16090"/>
    <cellStyle name="20% - Accent6 4 4 5" xfId="18881"/>
    <cellStyle name="20% - Accent6 4 4 6" xfId="20078"/>
    <cellStyle name="20% - Accent6 4 4 7" xfId="14198"/>
    <cellStyle name="20% - Accent6 4 5" xfId="1274"/>
    <cellStyle name="20% - Accent6 4 5 2" xfId="3533"/>
    <cellStyle name="20% - Accent6 4 5 2 2" xfId="19232"/>
    <cellStyle name="20% - Accent6 4 5 3" xfId="2702"/>
    <cellStyle name="20% - Accent6 4 5 3 2" xfId="16674"/>
    <cellStyle name="20% - Accent6 4 5 4" xfId="15326"/>
    <cellStyle name="20% - Accent6 4 5 5" xfId="19851"/>
    <cellStyle name="20% - Accent6 4 5 6" xfId="14451"/>
    <cellStyle name="20% - Accent6 4 6" xfId="3524"/>
    <cellStyle name="20% - Accent6 4 6 2" xfId="18441"/>
    <cellStyle name="20% - Accent6 4 7" xfId="2044"/>
    <cellStyle name="20% - Accent6 4 7 2" xfId="15509"/>
    <cellStyle name="20% - Accent6 4 8" xfId="18282"/>
    <cellStyle name="20% - Accent6 4 9" xfId="20459"/>
    <cellStyle name="20% - Accent6 5" xfId="779"/>
    <cellStyle name="20% - Accent6 5 2" xfId="1060"/>
    <cellStyle name="20% - Accent6 5 2 2" xfId="1719"/>
    <cellStyle name="20% - Accent6 5 2 2 2" xfId="3536"/>
    <cellStyle name="20% - Accent6 5 2 2 2 2" xfId="18192"/>
    <cellStyle name="20% - Accent6 5 2 2 3" xfId="3147"/>
    <cellStyle name="20% - Accent6 5 2 2 3 2" xfId="18973"/>
    <cellStyle name="20% - Accent6 5 2 2 4" xfId="17537"/>
    <cellStyle name="20% - Accent6 5 2 2 5" xfId="19440"/>
    <cellStyle name="20% - Accent6 5 2 2 6" xfId="14875"/>
    <cellStyle name="20% - Accent6 5 2 3" xfId="3535"/>
    <cellStyle name="20% - Accent6 5 2 3 2" xfId="15802"/>
    <cellStyle name="20% - Accent6 5 2 4" xfId="2491"/>
    <cellStyle name="20% - Accent6 5 2 4 2" xfId="16273"/>
    <cellStyle name="20% - Accent6 5 2 5" xfId="16528"/>
    <cellStyle name="20% - Accent6 5 2 6" xfId="20012"/>
    <cellStyle name="20% - Accent6 5 2 7" xfId="13182"/>
    <cellStyle name="20% - Accent6 5 3" xfId="1445"/>
    <cellStyle name="20% - Accent6 5 3 2" xfId="3537"/>
    <cellStyle name="20% - Accent6 5 3 2 2" xfId="18407"/>
    <cellStyle name="20% - Accent6 5 3 3" xfId="2873"/>
    <cellStyle name="20% - Accent6 5 3 3 2" xfId="16363"/>
    <cellStyle name="20% - Accent6 5 3 4" xfId="17515"/>
    <cellStyle name="20% - Accent6 5 3 5" xfId="19712"/>
    <cellStyle name="20% - Accent6 5 3 6" xfId="14612"/>
    <cellStyle name="20% - Accent6 5 4" xfId="3534"/>
    <cellStyle name="20% - Accent6 5 4 2" xfId="19035"/>
    <cellStyle name="20% - Accent6 5 5" xfId="2217"/>
    <cellStyle name="20% - Accent6 5 5 2" xfId="17120"/>
    <cellStyle name="20% - Accent6 5 6" xfId="18306"/>
    <cellStyle name="20% - Accent6 5 7" xfId="20286"/>
    <cellStyle name="20% - Accent6 5 8" xfId="7127"/>
    <cellStyle name="20% - Accent6 6" xfId="821"/>
    <cellStyle name="20% - Accent6 6 2" xfId="1099"/>
    <cellStyle name="20% - Accent6 6 2 2" xfId="1758"/>
    <cellStyle name="20% - Accent6 6 2 2 2" xfId="3540"/>
    <cellStyle name="20% - Accent6 6 2 2 2 2" xfId="19029"/>
    <cellStyle name="20% - Accent6 6 2 2 3" xfId="3186"/>
    <cellStyle name="20% - Accent6 6 2 2 3 2" xfId="15830"/>
    <cellStyle name="20% - Accent6 6 2 2 4" xfId="17148"/>
    <cellStyle name="20% - Accent6 6 2 2 5" xfId="19401"/>
    <cellStyle name="20% - Accent6 6 2 2 6" xfId="14913"/>
    <cellStyle name="20% - Accent6 6 2 3" xfId="3539"/>
    <cellStyle name="20% - Accent6 6 2 3 2" xfId="16049"/>
    <cellStyle name="20% - Accent6 6 2 4" xfId="2530"/>
    <cellStyle name="20% - Accent6 6 2 4 2" xfId="18548"/>
    <cellStyle name="20% - Accent6 6 2 5" xfId="18373"/>
    <cellStyle name="20% - Accent6 6 2 6" xfId="19973"/>
    <cellStyle name="20% - Accent6 6 2 7" xfId="14282"/>
    <cellStyle name="20% - Accent6 6 3" xfId="1484"/>
    <cellStyle name="20% - Accent6 6 3 2" xfId="3541"/>
    <cellStyle name="20% - Accent6 6 3 2 2" xfId="18255"/>
    <cellStyle name="20% - Accent6 6 3 3" xfId="2912"/>
    <cellStyle name="20% - Accent6 6 3 3 2" xfId="17250"/>
    <cellStyle name="20% - Accent6 6 3 4" xfId="17499"/>
    <cellStyle name="20% - Accent6 6 3 5" xfId="19673"/>
    <cellStyle name="20% - Accent6 6 3 6" xfId="14650"/>
    <cellStyle name="20% - Accent6 6 4" xfId="3538"/>
    <cellStyle name="20% - Accent6 6 4 2" xfId="14033"/>
    <cellStyle name="20% - Accent6 6 5" xfId="2256"/>
    <cellStyle name="20% - Accent6 6 5 2" xfId="15846"/>
    <cellStyle name="20% - Accent6 6 6" xfId="19020"/>
    <cellStyle name="20% - Accent6 6 7" xfId="16921"/>
    <cellStyle name="20% - Accent6 6 8" xfId="20247"/>
    <cellStyle name="20% - Accent6 6 9" xfId="7128"/>
    <cellStyle name="20% - Accent6 7" xfId="900"/>
    <cellStyle name="20% - Accent6 7 2" xfId="1174"/>
    <cellStyle name="20% - Accent6 7 2 2" xfId="1833"/>
    <cellStyle name="20% - Accent6 7 2 2 2" xfId="3544"/>
    <cellStyle name="20% - Accent6 7 2 2 2 2" xfId="15991"/>
    <cellStyle name="20% - Accent6 7 2 2 3" xfId="3261"/>
    <cellStyle name="20% - Accent6 7 2 2 3 2" xfId="16326"/>
    <cellStyle name="20% - Accent6 7 2 2 4" xfId="17162"/>
    <cellStyle name="20% - Accent6 7 2 2 5" xfId="19326"/>
    <cellStyle name="20% - Accent6 7 2 2 6" xfId="14988"/>
    <cellStyle name="20% - Accent6 7 2 3" xfId="3543"/>
    <cellStyle name="20% - Accent6 7 2 3 2" xfId="15894"/>
    <cellStyle name="20% - Accent6 7 2 4" xfId="2605"/>
    <cellStyle name="20% - Accent6 7 2 4 2" xfId="15511"/>
    <cellStyle name="20% - Accent6 7 2 5" xfId="15339"/>
    <cellStyle name="20% - Accent6 7 2 6" xfId="19927"/>
    <cellStyle name="20% - Accent6 7 2 7" xfId="14354"/>
    <cellStyle name="20% - Accent6 7 3" xfId="1559"/>
    <cellStyle name="20% - Accent6 7 3 2" xfId="3545"/>
    <cellStyle name="20% - Accent6 7 3 2 2" xfId="18174"/>
    <cellStyle name="20% - Accent6 7 3 3" xfId="2987"/>
    <cellStyle name="20% - Accent6 7 3 3 2" xfId="15993"/>
    <cellStyle name="20% - Accent6 7 3 4" xfId="17694"/>
    <cellStyle name="20% - Accent6 7 3 5" xfId="19598"/>
    <cellStyle name="20% - Accent6 7 3 6" xfId="14725"/>
    <cellStyle name="20% - Accent6 7 4" xfId="3542"/>
    <cellStyle name="20% - Accent6 7 4 2" xfId="14104"/>
    <cellStyle name="20% - Accent6 7 5" xfId="2331"/>
    <cellStyle name="20% - Accent6 7 5 2" xfId="18714"/>
    <cellStyle name="20% - Accent6 7 6" xfId="18915"/>
    <cellStyle name="20% - Accent6 7 7" xfId="20648"/>
    <cellStyle name="20% - Accent6 7 8" xfId="20172"/>
    <cellStyle name="20% - Accent6 7 9" xfId="13298"/>
    <cellStyle name="20% - Accent6 8" xfId="887"/>
    <cellStyle name="20% - Accent6 8 2" xfId="1161"/>
    <cellStyle name="20% - Accent6 8 2 2" xfId="1820"/>
    <cellStyle name="20% - Accent6 8 2 2 2" xfId="3548"/>
    <cellStyle name="20% - Accent6 8 2 2 2 2" xfId="15960"/>
    <cellStyle name="20% - Accent6 8 2 2 3" xfId="3248"/>
    <cellStyle name="20% - Accent6 8 2 2 3 2" xfId="16801"/>
    <cellStyle name="20% - Accent6 8 2 2 4" xfId="15366"/>
    <cellStyle name="20% - Accent6 8 2 2 5" xfId="19339"/>
    <cellStyle name="20% - Accent6 8 2 2 6" xfId="14975"/>
    <cellStyle name="20% - Accent6 8 2 3" xfId="3547"/>
    <cellStyle name="20% - Accent6 8 2 3 2" xfId="15916"/>
    <cellStyle name="20% - Accent6 8 2 4" xfId="2592"/>
    <cellStyle name="20% - Accent6 8 2 4 2" xfId="18237"/>
    <cellStyle name="20% - Accent6 8 2 5" xfId="15133"/>
    <cellStyle name="20% - Accent6 8 2 6" xfId="20742"/>
    <cellStyle name="20% - Accent6 8 2 7" xfId="14341"/>
    <cellStyle name="20% - Accent6 8 3" xfId="1546"/>
    <cellStyle name="20% - Accent6 8 3 2" xfId="3549"/>
    <cellStyle name="20% - Accent6 8 3 2 2" xfId="18839"/>
    <cellStyle name="20% - Accent6 8 3 3" xfId="2974"/>
    <cellStyle name="20% - Accent6 8 3 3 2" xfId="18855"/>
    <cellStyle name="20% - Accent6 8 3 4" xfId="17514"/>
    <cellStyle name="20% - Accent6 8 3 5" xfId="19611"/>
    <cellStyle name="20% - Accent6 8 3 6" xfId="14712"/>
    <cellStyle name="20% - Accent6 8 4" xfId="3546"/>
    <cellStyle name="20% - Accent6 8 4 2" xfId="14091"/>
    <cellStyle name="20% - Accent6 8 5" xfId="2318"/>
    <cellStyle name="20% - Accent6 8 5 2" xfId="18508"/>
    <cellStyle name="20% - Accent6 8 6" xfId="19120"/>
    <cellStyle name="20% - Accent6 8 7" xfId="20663"/>
    <cellStyle name="20% - Accent6 8 8" xfId="20185"/>
    <cellStyle name="20% - Accent6 8 9" xfId="13367"/>
    <cellStyle name="20% - Accent6 9" xfId="917"/>
    <cellStyle name="20% - Accent6 9 2" xfId="1191"/>
    <cellStyle name="20% - Accent6 9 2 2" xfId="1850"/>
    <cellStyle name="20% - Accent6 9 2 2 2" xfId="3552"/>
    <cellStyle name="20% - Accent6 9 2 2 2 2" xfId="18177"/>
    <cellStyle name="20% - Accent6 9 2 2 3" xfId="3278"/>
    <cellStyle name="20% - Accent6 9 2 2 3 2" xfId="17920"/>
    <cellStyle name="20% - Accent6 9 2 2 4" xfId="17171"/>
    <cellStyle name="20% - Accent6 9 2 2 5" xfId="19309"/>
    <cellStyle name="20% - Accent6 9 2 2 6" xfId="15005"/>
    <cellStyle name="20% - Accent6 9 2 3" xfId="3551"/>
    <cellStyle name="20% - Accent6 9 2 3 2" xfId="18897"/>
    <cellStyle name="20% - Accent6 9 2 4" xfId="2622"/>
    <cellStyle name="20% - Accent6 9 2 4 2" xfId="16615"/>
    <cellStyle name="20% - Accent6 9 2 5" xfId="17127"/>
    <cellStyle name="20% - Accent6 9 2 6" xfId="20735"/>
    <cellStyle name="20% - Accent6 9 2 7" xfId="14371"/>
    <cellStyle name="20% - Accent6 9 3" xfId="1576"/>
    <cellStyle name="20% - Accent6 9 3 2" xfId="3553"/>
    <cellStyle name="20% - Accent6 9 3 2 2" xfId="15582"/>
    <cellStyle name="20% - Accent6 9 3 3" xfId="3004"/>
    <cellStyle name="20% - Accent6 9 3 3 2" xfId="17687"/>
    <cellStyle name="20% - Accent6 9 3 4" xfId="18124"/>
    <cellStyle name="20% - Accent6 9 3 5" xfId="19581"/>
    <cellStyle name="20% - Accent6 9 3 6" xfId="14742"/>
    <cellStyle name="20% - Accent6 9 4" xfId="3550"/>
    <cellStyle name="20% - Accent6 9 4 2" xfId="14121"/>
    <cellStyle name="20% - Accent6 9 5" xfId="2348"/>
    <cellStyle name="20% - Accent6 9 5 2" xfId="15253"/>
    <cellStyle name="20% - Accent6 9 6" xfId="16501"/>
    <cellStyle name="20% - Accent6 9 7" xfId="20712"/>
    <cellStyle name="20% - Accent6 9 8" xfId="20155"/>
    <cellStyle name="20% - Accent6 9 9" xfId="13473"/>
    <cellStyle name="2M" xfId="7129"/>
    <cellStyle name="2M 2" xfId="7130"/>
    <cellStyle name="2M 2 2" xfId="7131"/>
    <cellStyle name="2M 2_6.1 Contingency Allocation" xfId="7132"/>
    <cellStyle name="2M 3" xfId="7133"/>
    <cellStyle name="2M_6.1 Contingency Allocation" xfId="7134"/>
    <cellStyle name="2nd head" xfId="7135"/>
    <cellStyle name="3M" xfId="7136"/>
    <cellStyle name="3M 2" xfId="7137"/>
    <cellStyle name="3M 2 2" xfId="7138"/>
    <cellStyle name="3M 2_6.1 Contingency Allocation" xfId="7139"/>
    <cellStyle name="3M 3" xfId="7140"/>
    <cellStyle name="3M_6.1 Contingency Allocation" xfId="7141"/>
    <cellStyle name="40% - Accent1" xfId="321"/>
    <cellStyle name="40% - Accent1 10" xfId="652"/>
    <cellStyle name="40% - Accent1 10 2" xfId="1319"/>
    <cellStyle name="40% - Accent1 10 2 2" xfId="3555"/>
    <cellStyle name="40% - Accent1 10 2 2 2" xfId="15819"/>
    <cellStyle name="40% - Accent1 10 2 3" xfId="2747"/>
    <cellStyle name="40% - Accent1 10 2 3 2" xfId="17488"/>
    <cellStyle name="40% - Accent1 10 2 4" xfId="17139"/>
    <cellStyle name="40% - Accent1 10 2 5" xfId="19806"/>
    <cellStyle name="40% - Accent1 10 2 6" xfId="14496"/>
    <cellStyle name="40% - Accent1 10 3" xfId="3554"/>
    <cellStyle name="40% - Accent1 10 3 2" xfId="13889"/>
    <cellStyle name="40% - Accent1 10 4" xfId="2091"/>
    <cellStyle name="40% - Accent1 10 4 2" xfId="17740"/>
    <cellStyle name="40% - Accent1 10 5" xfId="17410"/>
    <cellStyle name="40% - Accent1 10 6" xfId="20713"/>
    <cellStyle name="40% - Accent1 10 7" xfId="20412"/>
    <cellStyle name="40% - Accent1 10 8" xfId="13474"/>
    <cellStyle name="40% - Accent1 11" xfId="934"/>
    <cellStyle name="40% - Accent1 11 2" xfId="1593"/>
    <cellStyle name="40% - Accent1 11 2 2" xfId="3557"/>
    <cellStyle name="40% - Accent1 11 2 2 2" xfId="15062"/>
    <cellStyle name="40% - Accent1 11 2 3" xfId="3021"/>
    <cellStyle name="40% - Accent1 11 2 3 2" xfId="17716"/>
    <cellStyle name="40% - Accent1 11 2 4" xfId="19142"/>
    <cellStyle name="40% - Accent1 11 2 5" xfId="19564"/>
    <cellStyle name="40% - Accent1 11 2 6" xfId="14759"/>
    <cellStyle name="40% - Accent1 11 3" xfId="3556"/>
    <cellStyle name="40% - Accent1 11 3 2" xfId="19006"/>
    <cellStyle name="40% - Accent1 11 4" xfId="2365"/>
    <cellStyle name="40% - Accent1 11 4 2" xfId="18768"/>
    <cellStyle name="40% - Accent1 11 5" xfId="18748"/>
    <cellStyle name="40% - Accent1 11 6" xfId="20138"/>
    <cellStyle name="40% - Accent1 11 7" xfId="14138"/>
    <cellStyle name="40% - Accent1 12" xfId="1214"/>
    <cellStyle name="40% - Accent1 12 2" xfId="3558"/>
    <cellStyle name="40% - Accent1 12 2 2" xfId="16020"/>
    <cellStyle name="40% - Accent1 12 3" xfId="2642"/>
    <cellStyle name="40% - Accent1 12 3 2" xfId="17349"/>
    <cellStyle name="40% - Accent1 12 4" xfId="17779"/>
    <cellStyle name="40% - Accent1 12 5" xfId="19911"/>
    <cellStyle name="40% - Accent1 12 6" xfId="14391"/>
    <cellStyle name="40% - Accent1 13" xfId="3559"/>
    <cellStyle name="40% - Accent1 13 2" xfId="18364"/>
    <cellStyle name="40% - Accent1 14" xfId="1964"/>
    <cellStyle name="40% - Accent1 14 2" xfId="18023"/>
    <cellStyle name="40% - Accent1 15" xfId="18603"/>
    <cellStyle name="40% - Accent1 16" xfId="20539"/>
    <cellStyle name="40% - Accent1 17" xfId="4753"/>
    <cellStyle name="40% - Accent1 2" xfId="42"/>
    <cellStyle name="40% - Accent1 2 2" xfId="43"/>
    <cellStyle name="40% - Accent1 2 2 2" xfId="44"/>
    <cellStyle name="40% - Accent1 2 2 3" xfId="45"/>
    <cellStyle name="40% - Accent1 2 3" xfId="358"/>
    <cellStyle name="40% - Accent1 2 4" xfId="453"/>
    <cellStyle name="40% - Accent1 2 5" xfId="16922"/>
    <cellStyle name="40% - Accent1 2 6" xfId="7142"/>
    <cellStyle name="40% - Accent1 2_SSP report" xfId="359"/>
    <cellStyle name="40% - Accent1 3" xfId="454"/>
    <cellStyle name="40% - Accent1 3 2" xfId="788"/>
    <cellStyle name="40% - Accent1 3 2 2" xfId="1067"/>
    <cellStyle name="40% - Accent1 3 2 2 2" xfId="1726"/>
    <cellStyle name="40% - Accent1 3 2 2 2 2" xfId="3562"/>
    <cellStyle name="40% - Accent1 3 2 2 2 2 2" xfId="15880"/>
    <cellStyle name="40% - Accent1 3 2 2 2 3" xfId="3154"/>
    <cellStyle name="40% - Accent1 3 2 2 2 3 2" xfId="15617"/>
    <cellStyle name="40% - Accent1 3 2 2 2 4" xfId="18053"/>
    <cellStyle name="40% - Accent1 3 2 2 2 5" xfId="19433"/>
    <cellStyle name="40% - Accent1 3 2 2 2 6" xfId="14881"/>
    <cellStyle name="40% - Accent1 3 2 2 3" xfId="3561"/>
    <cellStyle name="40% - Accent1 3 2 2 3 2" xfId="18661"/>
    <cellStyle name="40% - Accent1 3 2 2 4" xfId="2498"/>
    <cellStyle name="40% - Accent1 3 2 2 4 2" xfId="18359"/>
    <cellStyle name="40% - Accent1 3 2 2 5" xfId="18331"/>
    <cellStyle name="40% - Accent1 3 2 2 6" xfId="20005"/>
    <cellStyle name="40% - Accent1 3 2 2 7" xfId="14253"/>
    <cellStyle name="40% - Accent1 3 2 3" xfId="1452"/>
    <cellStyle name="40% - Accent1 3 2 3 2" xfId="3563"/>
    <cellStyle name="40% - Accent1 3 2 3 2 2" xfId="15774"/>
    <cellStyle name="40% - Accent1 3 2 3 3" xfId="2880"/>
    <cellStyle name="40% - Accent1 3 2 3 3 2" xfId="17061"/>
    <cellStyle name="40% - Accent1 3 2 3 4" xfId="19182"/>
    <cellStyle name="40% - Accent1 3 2 3 5" xfId="19705"/>
    <cellStyle name="40% - Accent1 3 2 3 6" xfId="14618"/>
    <cellStyle name="40% - Accent1 3 2 4" xfId="3560"/>
    <cellStyle name="40% - Accent1 3 2 4 2" xfId="16375"/>
    <cellStyle name="40% - Accent1 3 2 5" xfId="2224"/>
    <cellStyle name="40% - Accent1 3 2 5 2" xfId="16091"/>
    <cellStyle name="40% - Accent1 3 2 6" xfId="17294"/>
    <cellStyle name="40% - Accent1 3 2 7" xfId="20279"/>
    <cellStyle name="40% - Accent1 3 2 8" xfId="14004"/>
    <cellStyle name="40% - Accent1 3 3" xfId="13755"/>
    <cellStyle name="40% - Accent1 3 4" xfId="16923"/>
    <cellStyle name="40% - Accent1 3 5" xfId="7143"/>
    <cellStyle name="40% - Accent1 4" xfId="580"/>
    <cellStyle name="40% - Accent1 4 10" xfId="20468"/>
    <cellStyle name="40% - Accent1 4 11" xfId="7144"/>
    <cellStyle name="40% - Accent1 4 2" xfId="847"/>
    <cellStyle name="40% - Accent1 4 2 2" xfId="1121"/>
    <cellStyle name="40% - Accent1 4 2 2 2" xfId="1780"/>
    <cellStyle name="40% - Accent1 4 2 2 2 2" xfId="3567"/>
    <cellStyle name="40% - Accent1 4 2 2 2 2 2" xfId="15871"/>
    <cellStyle name="40% - Accent1 4 2 2 2 3" xfId="3208"/>
    <cellStyle name="40% - Accent1 4 2 2 2 3 2" xfId="15618"/>
    <cellStyle name="40% - Accent1 4 2 2 2 4" xfId="17714"/>
    <cellStyle name="40% - Accent1 4 2 2 2 5" xfId="19379"/>
    <cellStyle name="40% - Accent1 4 2 2 2 6" xfId="14935"/>
    <cellStyle name="40% - Accent1 4 2 2 3" xfId="3566"/>
    <cellStyle name="40% - Accent1 4 2 2 3 2" xfId="18260"/>
    <cellStyle name="40% - Accent1 4 2 2 4" xfId="2552"/>
    <cellStyle name="40% - Accent1 4 2 2 4 2" xfId="16582"/>
    <cellStyle name="40% - Accent1 4 2 2 5" xfId="18233"/>
    <cellStyle name="40% - Accent1 4 2 2 6" xfId="19951"/>
    <cellStyle name="40% - Accent1 4 2 2 7" xfId="14302"/>
    <cellStyle name="40% - Accent1 4 2 3" xfId="1506"/>
    <cellStyle name="40% - Accent1 4 2 3 2" xfId="3568"/>
    <cellStyle name="40% - Accent1 4 2 3 2 2" xfId="18728"/>
    <cellStyle name="40% - Accent1 4 2 3 3" xfId="2934"/>
    <cellStyle name="40% - Accent1 4 2 3 3 2" xfId="15963"/>
    <cellStyle name="40% - Accent1 4 2 3 4" xfId="17516"/>
    <cellStyle name="40% - Accent1 4 2 3 5" xfId="19651"/>
    <cellStyle name="40% - Accent1 4 2 3 6" xfId="14672"/>
    <cellStyle name="40% - Accent1 4 2 4" xfId="3565"/>
    <cellStyle name="40% - Accent1 4 2 4 2" xfId="15998"/>
    <cellStyle name="40% - Accent1 4 2 5" xfId="2278"/>
    <cellStyle name="40% - Accent1 4 2 5 2" xfId="17248"/>
    <cellStyle name="40% - Accent1 4 2 6" xfId="16125"/>
    <cellStyle name="40% - Accent1 4 2 7" xfId="20225"/>
    <cellStyle name="40% - Accent1 4 2 8" xfId="14052"/>
    <cellStyle name="40% - Accent1 4 3" xfId="703"/>
    <cellStyle name="40% - Accent1 4 3 2" xfId="1370"/>
    <cellStyle name="40% - Accent1 4 3 2 2" xfId="3570"/>
    <cellStyle name="40% - Accent1 4 3 2 2 2" xfId="18961"/>
    <cellStyle name="40% - Accent1 4 3 2 3" xfId="2798"/>
    <cellStyle name="40% - Accent1 4 3 2 3 2" xfId="16747"/>
    <cellStyle name="40% - Accent1 4 3 2 4" xfId="18134"/>
    <cellStyle name="40% - Accent1 4 3 2 5" xfId="19785"/>
    <cellStyle name="40% - Accent1 4 3 2 6" xfId="14547"/>
    <cellStyle name="40% - Accent1 4 3 3" xfId="3569"/>
    <cellStyle name="40% - Accent1 4 3 3 2" xfId="18450"/>
    <cellStyle name="40% - Accent1 4 3 4" xfId="2142"/>
    <cellStyle name="40% - Accent1 4 3 4 2" xfId="17827"/>
    <cellStyle name="40% - Accent1 4 3 5" xfId="17073"/>
    <cellStyle name="40% - Accent1 4 3 6" xfId="20361"/>
    <cellStyle name="40% - Accent1 4 3 7" xfId="13940"/>
    <cellStyle name="40% - Accent1 4 4" xfId="985"/>
    <cellStyle name="40% - Accent1 4 4 2" xfId="1644"/>
    <cellStyle name="40% - Accent1 4 4 2 2" xfId="3572"/>
    <cellStyle name="40% - Accent1 4 4 2 2 2" xfId="15925"/>
    <cellStyle name="40% - Accent1 4 4 2 3" xfId="3072"/>
    <cellStyle name="40% - Accent1 4 4 2 3 2" xfId="17919"/>
    <cellStyle name="40% - Accent1 4 4 2 4" xfId="17875"/>
    <cellStyle name="40% - Accent1 4 4 2 5" xfId="19513"/>
    <cellStyle name="40% - Accent1 4 4 2 6" xfId="14810"/>
    <cellStyle name="40% - Accent1 4 4 3" xfId="3571"/>
    <cellStyle name="40% - Accent1 4 4 3 2" xfId="18529"/>
    <cellStyle name="40% - Accent1 4 4 4" xfId="2416"/>
    <cellStyle name="40% - Accent1 4 4 4 2" xfId="15674"/>
    <cellStyle name="40% - Accent1 4 4 5" xfId="17335"/>
    <cellStyle name="40% - Accent1 4 4 6" xfId="20087"/>
    <cellStyle name="40% - Accent1 4 4 7" xfId="14189"/>
    <cellStyle name="40% - Accent1 4 5" xfId="1265"/>
    <cellStyle name="40% - Accent1 4 5 2" xfId="3573"/>
    <cellStyle name="40% - Accent1 4 5 2 2" xfId="18808"/>
    <cellStyle name="40% - Accent1 4 5 3" xfId="2693"/>
    <cellStyle name="40% - Accent1 4 5 3 2" xfId="16668"/>
    <cellStyle name="40% - Accent1 4 5 4" xfId="17387"/>
    <cellStyle name="40% - Accent1 4 5 5" xfId="19860"/>
    <cellStyle name="40% - Accent1 4 5 6" xfId="14442"/>
    <cellStyle name="40% - Accent1 4 6" xfId="3564"/>
    <cellStyle name="40% - Accent1 4 6 2" xfId="13834"/>
    <cellStyle name="40% - Accent1 4 7" xfId="2035"/>
    <cellStyle name="40% - Accent1 4 7 2" xfId="17199"/>
    <cellStyle name="40% - Accent1 4 8" xfId="16437"/>
    <cellStyle name="40% - Accent1 4 9" xfId="16924"/>
    <cellStyle name="40% - Accent1 5" xfId="770"/>
    <cellStyle name="40% - Accent1 5 2" xfId="1051"/>
    <cellStyle name="40% - Accent1 5 2 2" xfId="1710"/>
    <cellStyle name="40% - Accent1 5 2 2 2" xfId="3576"/>
    <cellStyle name="40% - Accent1 5 2 2 2 2" xfId="15833"/>
    <cellStyle name="40% - Accent1 5 2 2 3" xfId="3138"/>
    <cellStyle name="40% - Accent1 5 2 2 3 2" xfId="18762"/>
    <cellStyle name="40% - Accent1 5 2 2 4" xfId="17870"/>
    <cellStyle name="40% - Accent1 5 2 2 5" xfId="19449"/>
    <cellStyle name="40% - Accent1 5 2 2 6" xfId="13183"/>
    <cellStyle name="40% - Accent1 5 2 3" xfId="3575"/>
    <cellStyle name="40% - Accent1 5 2 3 2" xfId="15883"/>
    <cellStyle name="40% - Accent1 5 2 4" xfId="2482"/>
    <cellStyle name="40% - Accent1 5 2 4 2" xfId="16140"/>
    <cellStyle name="40% - Accent1 5 2 5" xfId="16519"/>
    <cellStyle name="40% - Accent1 5 2 6" xfId="20021"/>
    <cellStyle name="40% - Accent1 5 2 7" xfId="7146"/>
    <cellStyle name="40% - Accent1 5 3" xfId="1436"/>
    <cellStyle name="40% - Accent1 5 3 2" xfId="3577"/>
    <cellStyle name="40% - Accent1 5 3 2 2" xfId="18854"/>
    <cellStyle name="40% - Accent1 5 3 3" xfId="2864"/>
    <cellStyle name="40% - Accent1 5 3 3 2" xfId="16074"/>
    <cellStyle name="40% - Accent1 5 3 4" xfId="17550"/>
    <cellStyle name="40% - Accent1 5 3 5" xfId="19721"/>
    <cellStyle name="40% - Accent1 5 3 6" xfId="13184"/>
    <cellStyle name="40% - Accent1 5 4" xfId="3574"/>
    <cellStyle name="40% - Accent1 5 4 2" xfId="18211"/>
    <cellStyle name="40% - Accent1 5 5" xfId="2208"/>
    <cellStyle name="40% - Accent1 5 5 2" xfId="15510"/>
    <cellStyle name="40% - Accent1 5 6" xfId="17289"/>
    <cellStyle name="40% - Accent1 5 7" xfId="20295"/>
    <cellStyle name="40% - Accent1 5 8" xfId="7145"/>
    <cellStyle name="40% - Accent1 6" xfId="768"/>
    <cellStyle name="40% - Accent1 6 2" xfId="1049"/>
    <cellStyle name="40% - Accent1 6 2 2" xfId="1708"/>
    <cellStyle name="40% - Accent1 6 2 2 2" xfId="3580"/>
    <cellStyle name="40% - Accent1 6 2 2 2 2" xfId="18842"/>
    <cellStyle name="40% - Accent1 6 2 2 3" xfId="3136"/>
    <cellStyle name="40% - Accent1 6 2 2 3 2" xfId="16063"/>
    <cellStyle name="40% - Accent1 6 2 2 4" xfId="17950"/>
    <cellStyle name="40% - Accent1 6 2 2 5" xfId="19451"/>
    <cellStyle name="40% - Accent1 6 2 2 6" xfId="14874"/>
    <cellStyle name="40% - Accent1 6 2 3" xfId="3579"/>
    <cellStyle name="40% - Accent1 6 2 3 2" xfId="18459"/>
    <cellStyle name="40% - Accent1 6 2 4" xfId="2480"/>
    <cellStyle name="40% - Accent1 6 2 4 2" xfId="16571"/>
    <cellStyle name="40% - Accent1 6 2 5" xfId="16358"/>
    <cellStyle name="40% - Accent1 6 2 6" xfId="20023"/>
    <cellStyle name="40% - Accent1 6 2 7" xfId="13185"/>
    <cellStyle name="40% - Accent1 6 3" xfId="1434"/>
    <cellStyle name="40% - Accent1 6 3 2" xfId="3581"/>
    <cellStyle name="40% - Accent1 6 3 2 2" xfId="15878"/>
    <cellStyle name="40% - Accent1 6 3 3" xfId="2862"/>
    <cellStyle name="40% - Accent1 6 3 3 2" xfId="16061"/>
    <cellStyle name="40% - Accent1 6 3 4" xfId="18105"/>
    <cellStyle name="40% - Accent1 6 3 5" xfId="19723"/>
    <cellStyle name="40% - Accent1 6 3 6" xfId="14611"/>
    <cellStyle name="40% - Accent1 6 4" xfId="3578"/>
    <cellStyle name="40% - Accent1 6 4 2" xfId="15944"/>
    <cellStyle name="40% - Accent1 6 5" xfId="2206"/>
    <cellStyle name="40% - Accent1 6 5 2" xfId="17246"/>
    <cellStyle name="40% - Accent1 6 6" xfId="17272"/>
    <cellStyle name="40% - Accent1 6 7" xfId="20297"/>
    <cellStyle name="40% - Accent1 6 8" xfId="7147"/>
    <cellStyle name="40% - Accent1 7" xfId="891"/>
    <cellStyle name="40% - Accent1 7 2" xfId="1165"/>
    <cellStyle name="40% - Accent1 7 2 2" xfId="1824"/>
    <cellStyle name="40% - Accent1 7 2 2 2" xfId="3584"/>
    <cellStyle name="40% - Accent1 7 2 2 2 2" xfId="15989"/>
    <cellStyle name="40% - Accent1 7 2 2 3" xfId="3252"/>
    <cellStyle name="40% - Accent1 7 2 2 3 2" xfId="17735"/>
    <cellStyle name="40% - Accent1 7 2 2 4" xfId="17158"/>
    <cellStyle name="40% - Accent1 7 2 2 5" xfId="19335"/>
    <cellStyle name="40% - Accent1 7 2 2 6" xfId="14979"/>
    <cellStyle name="40% - Accent1 7 2 3" xfId="3583"/>
    <cellStyle name="40% - Accent1 7 2 3 2" xfId="15893"/>
    <cellStyle name="40% - Accent1 7 2 4" xfId="2596"/>
    <cellStyle name="40% - Accent1 7 2 4 2" xfId="15627"/>
    <cellStyle name="40% - Accent1 7 2 5" xfId="17336"/>
    <cellStyle name="40% - Accent1 7 2 6" xfId="20694"/>
    <cellStyle name="40% - Accent1 7 2 7" xfId="14345"/>
    <cellStyle name="40% - Accent1 7 3" xfId="1550"/>
    <cellStyle name="40% - Accent1 7 3 2" xfId="3585"/>
    <cellStyle name="40% - Accent1 7 3 2 2" xfId="15885"/>
    <cellStyle name="40% - Accent1 7 3 3" xfId="2978"/>
    <cellStyle name="40% - Accent1 7 3 3 2" xfId="15911"/>
    <cellStyle name="40% - Accent1 7 3 4" xfId="17780"/>
    <cellStyle name="40% - Accent1 7 3 5" xfId="19607"/>
    <cellStyle name="40% - Accent1 7 3 6" xfId="14716"/>
    <cellStyle name="40% - Accent1 7 4" xfId="3582"/>
    <cellStyle name="40% - Accent1 7 4 2" xfId="14095"/>
    <cellStyle name="40% - Accent1 7 5" xfId="2322"/>
    <cellStyle name="40% - Accent1 7 5 2" xfId="15799"/>
    <cellStyle name="40% - Accent1 7 6" xfId="18756"/>
    <cellStyle name="40% - Accent1 7 7" xfId="16925"/>
    <cellStyle name="40% - Accent1 7 8" xfId="20181"/>
    <cellStyle name="40% - Accent1 7 9" xfId="7148"/>
    <cellStyle name="40% - Accent1 8" xfId="889"/>
    <cellStyle name="40% - Accent1 8 2" xfId="1163"/>
    <cellStyle name="40% - Accent1 8 2 2" xfId="1822"/>
    <cellStyle name="40% - Accent1 8 2 2 2" xfId="3588"/>
    <cellStyle name="40% - Accent1 8 2 2 2 2" xfId="15959"/>
    <cellStyle name="40% - Accent1 8 2 2 3" xfId="3250"/>
    <cellStyle name="40% - Accent1 8 2 2 3 2" xfId="16319"/>
    <cellStyle name="40% - Accent1 8 2 2 4" xfId="17157"/>
    <cellStyle name="40% - Accent1 8 2 2 5" xfId="19337"/>
    <cellStyle name="40% - Accent1 8 2 2 6" xfId="14977"/>
    <cellStyle name="40% - Accent1 8 2 3" xfId="3587"/>
    <cellStyle name="40% - Accent1 8 2 3 2" xfId="18895"/>
    <cellStyle name="40% - Accent1 8 2 4" xfId="2594"/>
    <cellStyle name="40% - Accent1 8 2 4 2" xfId="18490"/>
    <cellStyle name="40% - Accent1 8 2 5" xfId="15498"/>
    <cellStyle name="40% - Accent1 8 2 6" xfId="20767"/>
    <cellStyle name="40% - Accent1 8 2 7" xfId="14343"/>
    <cellStyle name="40% - Accent1 8 3" xfId="1548"/>
    <cellStyle name="40% - Accent1 8 3 2" xfId="3589"/>
    <cellStyle name="40% - Accent1 8 3 2 2" xfId="18716"/>
    <cellStyle name="40% - Accent1 8 3 3" xfId="2976"/>
    <cellStyle name="40% - Accent1 8 3 3 2" xfId="19037"/>
    <cellStyle name="40% - Accent1 8 3 4" xfId="17646"/>
    <cellStyle name="40% - Accent1 8 3 5" xfId="19609"/>
    <cellStyle name="40% - Accent1 8 3 6" xfId="14714"/>
    <cellStyle name="40% - Accent1 8 4" xfId="3586"/>
    <cellStyle name="40% - Accent1 8 4 2" xfId="14093"/>
    <cellStyle name="40% - Accent1 8 5" xfId="2320"/>
    <cellStyle name="40% - Accent1 8 5 2" xfId="15599"/>
    <cellStyle name="40% - Accent1 8 6" xfId="18636"/>
    <cellStyle name="40% - Accent1 8 7" xfId="20649"/>
    <cellStyle name="40% - Accent1 8 8" xfId="20183"/>
    <cellStyle name="40% - Accent1 8 9" xfId="13299"/>
    <cellStyle name="40% - Accent1 9" xfId="908"/>
    <cellStyle name="40% - Accent1 9 2" xfId="1182"/>
    <cellStyle name="40% - Accent1 9 2 2" xfId="1841"/>
    <cellStyle name="40% - Accent1 9 2 2 2" xfId="3592"/>
    <cellStyle name="40% - Accent1 9 2 2 2 2" xfId="15888"/>
    <cellStyle name="40% - Accent1 9 2 2 3" xfId="3269"/>
    <cellStyle name="40% - Accent1 9 2 2 3 2" xfId="16329"/>
    <cellStyle name="40% - Accent1 9 2 2 4" xfId="17167"/>
    <cellStyle name="40% - Accent1 9 2 2 5" xfId="19318"/>
    <cellStyle name="40% - Accent1 9 2 2 6" xfId="14996"/>
    <cellStyle name="40% - Accent1 9 2 3" xfId="3591"/>
    <cellStyle name="40% - Accent1 9 2 3 2" xfId="18769"/>
    <cellStyle name="40% - Accent1 9 2 4" xfId="2613"/>
    <cellStyle name="40% - Accent1 9 2 4 2" xfId="18566"/>
    <cellStyle name="40% - Accent1 9 2 5" xfId="17133"/>
    <cellStyle name="40% - Accent1 9 2 6" xfId="20738"/>
    <cellStyle name="40% - Accent1 9 2 7" xfId="14362"/>
    <cellStyle name="40% - Accent1 9 3" xfId="1567"/>
    <cellStyle name="40% - Accent1 9 3 2" xfId="3593"/>
    <cellStyle name="40% - Accent1 9 3 2 2" xfId="19223"/>
    <cellStyle name="40% - Accent1 9 3 3" xfId="2995"/>
    <cellStyle name="40% - Accent1 9 3 3 2" xfId="15921"/>
    <cellStyle name="40% - Accent1 9 3 4" xfId="17868"/>
    <cellStyle name="40% - Accent1 9 3 5" xfId="19590"/>
    <cellStyle name="40% - Accent1 9 3 6" xfId="14733"/>
    <cellStyle name="40% - Accent1 9 4" xfId="3590"/>
    <cellStyle name="40% - Accent1 9 4 2" xfId="14112"/>
    <cellStyle name="40% - Accent1 9 5" xfId="2339"/>
    <cellStyle name="40% - Accent1 9 5 2" xfId="18265"/>
    <cellStyle name="40% - Accent1 9 6" xfId="16492"/>
    <cellStyle name="40% - Accent1 9 7" xfId="20662"/>
    <cellStyle name="40% - Accent1 9 8" xfId="20164"/>
    <cellStyle name="40% - Accent1 9 9" xfId="13366"/>
    <cellStyle name="40% - Accent2" xfId="325"/>
    <cellStyle name="40% - Accent2 10" xfId="654"/>
    <cellStyle name="40% - Accent2 10 2" xfId="1321"/>
    <cellStyle name="40% - Accent2 10 2 2" xfId="3595"/>
    <cellStyle name="40% - Accent2 10 2 2 2" xfId="15817"/>
    <cellStyle name="40% - Accent2 10 2 3" xfId="2749"/>
    <cellStyle name="40% - Accent2 10 2 3 2" xfId="17351"/>
    <cellStyle name="40% - Accent2 10 2 4" xfId="18089"/>
    <cellStyle name="40% - Accent2 10 2 5" xfId="19804"/>
    <cellStyle name="40% - Accent2 10 2 6" xfId="14498"/>
    <cellStyle name="40% - Accent2 10 3" xfId="3594"/>
    <cellStyle name="40% - Accent2 10 3 2" xfId="13891"/>
    <cellStyle name="40% - Accent2 10 4" xfId="2093"/>
    <cellStyle name="40% - Accent2 10 4 2" xfId="17965"/>
    <cellStyle name="40% - Accent2 10 5" xfId="18755"/>
    <cellStyle name="40% - Accent2 10 6" xfId="20714"/>
    <cellStyle name="40% - Accent2 10 7" xfId="20410"/>
    <cellStyle name="40% - Accent2 10 8" xfId="13475"/>
    <cellStyle name="40% - Accent2 11" xfId="936"/>
    <cellStyle name="40% - Accent2 11 2" xfId="1595"/>
    <cellStyle name="40% - Accent2 11 2 2" xfId="3597"/>
    <cellStyle name="40% - Accent2 11 2 2 2" xfId="18390"/>
    <cellStyle name="40% - Accent2 11 2 3" xfId="3023"/>
    <cellStyle name="40% - Accent2 11 2 3 2" xfId="16044"/>
    <cellStyle name="40% - Accent2 11 2 4" xfId="17704"/>
    <cellStyle name="40% - Accent2 11 2 5" xfId="19562"/>
    <cellStyle name="40% - Accent2 11 2 6" xfId="14761"/>
    <cellStyle name="40% - Accent2 11 3" xfId="3596"/>
    <cellStyle name="40% - Accent2 11 3 2" xfId="18822"/>
    <cellStyle name="40% - Accent2 11 4" xfId="2367"/>
    <cellStyle name="40% - Accent2 11 4 2" xfId="19129"/>
    <cellStyle name="40% - Accent2 11 5" xfId="18878"/>
    <cellStyle name="40% - Accent2 11 6" xfId="20136"/>
    <cellStyle name="40% - Accent2 11 7" xfId="14140"/>
    <cellStyle name="40% - Accent2 12" xfId="1216"/>
    <cellStyle name="40% - Accent2 12 2" xfId="3598"/>
    <cellStyle name="40% - Accent2 12 2 2" xfId="16018"/>
    <cellStyle name="40% - Accent2 12 3" xfId="2644"/>
    <cellStyle name="40% - Accent2 12 3 2" xfId="17350"/>
    <cellStyle name="40% - Accent2 12 4" xfId="17211"/>
    <cellStyle name="40% - Accent2 12 5" xfId="19909"/>
    <cellStyle name="40% - Accent2 12 6" xfId="14393"/>
    <cellStyle name="40% - Accent2 13" xfId="3599"/>
    <cellStyle name="40% - Accent2 13 2" xfId="16067"/>
    <cellStyle name="40% - Accent2 14" xfId="1966"/>
    <cellStyle name="40% - Accent2 14 2" xfId="17457"/>
    <cellStyle name="40% - Accent2 15" xfId="19022"/>
    <cellStyle name="40% - Accent2 16" xfId="20537"/>
    <cellStyle name="40% - Accent2 17" xfId="4755"/>
    <cellStyle name="40% - Accent2 2" xfId="46"/>
    <cellStyle name="40% - Accent2 2 2" xfId="47"/>
    <cellStyle name="40% - Accent2 2 2 2" xfId="48"/>
    <cellStyle name="40% - Accent2 2 2 3" xfId="49"/>
    <cellStyle name="40% - Accent2 2 3" xfId="360"/>
    <cellStyle name="40% - Accent2 2 4" xfId="455"/>
    <cellStyle name="40% - Accent2 2 5" xfId="16926"/>
    <cellStyle name="40% - Accent2 2 6" xfId="7149"/>
    <cellStyle name="40% - Accent2 2_SSP report" xfId="361"/>
    <cellStyle name="40% - Accent2 3" xfId="456"/>
    <cellStyle name="40% - Accent2 3 2" xfId="746"/>
    <cellStyle name="40% - Accent2 3 2 2" xfId="1027"/>
    <cellStyle name="40% - Accent2 3 2 2 2" xfId="1686"/>
    <cellStyle name="40% - Accent2 3 2 2 2 2" xfId="3602"/>
    <cellStyle name="40% - Accent2 3 2 2 2 2 2" xfId="18782"/>
    <cellStyle name="40% - Accent2 3 2 2 2 3" xfId="3114"/>
    <cellStyle name="40% - Accent2 3 2 2 2 3 2" xfId="17439"/>
    <cellStyle name="40% - Accent2 3 2 2 2 4" xfId="18073"/>
    <cellStyle name="40% - Accent2 3 2 2 2 5" xfId="19471"/>
    <cellStyle name="40% - Accent2 3 2 2 2 6" xfId="14852"/>
    <cellStyle name="40% - Accent2 3 2 2 3" xfId="3601"/>
    <cellStyle name="40% - Accent2 3 2 2 3 2" xfId="16107"/>
    <cellStyle name="40% - Accent2 3 2 2 4" xfId="2458"/>
    <cellStyle name="40% - Accent2 3 2 2 4 2" xfId="18641"/>
    <cellStyle name="40% - Accent2 3 2 2 5" xfId="17316"/>
    <cellStyle name="40% - Accent2 3 2 2 6" xfId="20045"/>
    <cellStyle name="40% - Accent2 3 2 2 7" xfId="14231"/>
    <cellStyle name="40% - Accent2 3 2 3" xfId="1412"/>
    <cellStyle name="40% - Accent2 3 2 3 2" xfId="3603"/>
    <cellStyle name="40% - Accent2 3 2 3 2 2" xfId="18168"/>
    <cellStyle name="40% - Accent2 3 2 3 3" xfId="2840"/>
    <cellStyle name="40% - Accent2 3 2 3 3 2" xfId="18035"/>
    <cellStyle name="40% - Accent2 3 2 3 4" xfId="17610"/>
    <cellStyle name="40% - Accent2 3 2 3 5" xfId="19745"/>
    <cellStyle name="40% - Accent2 3 2 3 6" xfId="14589"/>
    <cellStyle name="40% - Accent2 3 2 4" xfId="3600"/>
    <cellStyle name="40% - Accent2 3 2 4 2" xfId="16400"/>
    <cellStyle name="40% - Accent2 3 2 5" xfId="2184"/>
    <cellStyle name="40% - Accent2 3 2 5 2" xfId="15501"/>
    <cellStyle name="40% - Accent2 3 2 6" xfId="16470"/>
    <cellStyle name="40% - Accent2 3 2 7" xfId="20319"/>
    <cellStyle name="40% - Accent2 3 2 8" xfId="13981"/>
    <cellStyle name="40% - Accent2 3 3" xfId="13756"/>
    <cellStyle name="40% - Accent2 3 4" xfId="16927"/>
    <cellStyle name="40% - Accent2 3 5" xfId="7150"/>
    <cellStyle name="40% - Accent2 4" xfId="582"/>
    <cellStyle name="40% - Accent2 4 10" xfId="20466"/>
    <cellStyle name="40% - Accent2 4 11" xfId="7151"/>
    <cellStyle name="40% - Accent2 4 2" xfId="849"/>
    <cellStyle name="40% - Accent2 4 2 2" xfId="1123"/>
    <cellStyle name="40% - Accent2 4 2 2 2" xfId="1782"/>
    <cellStyle name="40% - Accent2 4 2 2 2 2" xfId="3607"/>
    <cellStyle name="40% - Accent2 4 2 2 2 2 2" xfId="18261"/>
    <cellStyle name="40% - Accent2 4 2 2 2 3" xfId="3210"/>
    <cellStyle name="40% - Accent2 4 2 2 2 3 2" xfId="17825"/>
    <cellStyle name="40% - Accent2 4 2 2 2 4" xfId="17935"/>
    <cellStyle name="40% - Accent2 4 2 2 2 5" xfId="19377"/>
    <cellStyle name="40% - Accent2 4 2 2 2 6" xfId="14937"/>
    <cellStyle name="40% - Accent2 4 2 2 3" xfId="3606"/>
    <cellStyle name="40% - Accent2 4 2 2 3 2" xfId="15999"/>
    <cellStyle name="40% - Accent2 4 2 2 4" xfId="2554"/>
    <cellStyle name="40% - Accent2 4 2 2 4 2" xfId="16584"/>
    <cellStyle name="40% - Accent2 4 2 2 5" xfId="18485"/>
    <cellStyle name="40% - Accent2 4 2 2 6" xfId="19949"/>
    <cellStyle name="40% - Accent2 4 2 2 7" xfId="14304"/>
    <cellStyle name="40% - Accent2 4 2 3" xfId="1508"/>
    <cellStyle name="40% - Accent2 4 2 3 2" xfId="3608"/>
    <cellStyle name="40% - Accent2 4 2 3 2 2" xfId="15050"/>
    <cellStyle name="40% - Accent2 4 2 3 3" xfId="2936"/>
    <cellStyle name="40% - Accent2 4 2 3 3 2" xfId="15859"/>
    <cellStyle name="40% - Accent2 4 2 3 4" xfId="17648"/>
    <cellStyle name="40% - Accent2 4 2 3 5" xfId="19649"/>
    <cellStyle name="40% - Accent2 4 2 3 6" xfId="14674"/>
    <cellStyle name="40% - Accent2 4 2 4" xfId="3605"/>
    <cellStyle name="40% - Accent2 4 2 4 2" xfId="18535"/>
    <cellStyle name="40% - Accent2 4 2 5" xfId="2280"/>
    <cellStyle name="40% - Accent2 4 2 5 2" xfId="17277"/>
    <cellStyle name="40% - Accent2 4 2 6" xfId="18987"/>
    <cellStyle name="40% - Accent2 4 2 7" xfId="20223"/>
    <cellStyle name="40% - Accent2 4 2 8" xfId="14054"/>
    <cellStyle name="40% - Accent2 4 3" xfId="705"/>
    <cellStyle name="40% - Accent2 4 3 2" xfId="1372"/>
    <cellStyle name="40% - Accent2 4 3 2 2" xfId="3610"/>
    <cellStyle name="40% - Accent2 4 3 2 2 2" xfId="18456"/>
    <cellStyle name="40% - Accent2 4 3 2 3" xfId="2800"/>
    <cellStyle name="40% - Accent2 4 3 2 3 2" xfId="16749"/>
    <cellStyle name="40% - Accent2 4 3 2 4" xfId="17563"/>
    <cellStyle name="40% - Accent2 4 3 2 5" xfId="19783"/>
    <cellStyle name="40% - Accent2 4 3 2 6" xfId="14549"/>
    <cellStyle name="40% - Accent2 4 3 3" xfId="3609"/>
    <cellStyle name="40% - Accent2 4 3 3 2" xfId="15061"/>
    <cellStyle name="40% - Accent2 4 3 4" xfId="2144"/>
    <cellStyle name="40% - Accent2 4 3 4 2" xfId="17604"/>
    <cellStyle name="40% - Accent2 4 3 5" xfId="17363"/>
    <cellStyle name="40% - Accent2 4 3 6" xfId="20359"/>
    <cellStyle name="40% - Accent2 4 3 7" xfId="13942"/>
    <cellStyle name="40% - Accent2 4 4" xfId="987"/>
    <cellStyle name="40% - Accent2 4 4 2" xfId="1646"/>
    <cellStyle name="40% - Accent2 4 4 2 2" xfId="3612"/>
    <cellStyle name="40% - Accent2 4 4 2 2 2" xfId="18167"/>
    <cellStyle name="40% - Accent2 4 4 2 3" xfId="3074"/>
    <cellStyle name="40% - Accent2 4 4 2 3 2" xfId="17507"/>
    <cellStyle name="40% - Accent2 4 4 2 4" xfId="18021"/>
    <cellStyle name="40% - Accent2 4 4 2 5" xfId="19511"/>
    <cellStyle name="40% - Accent2 4 4 2 6" xfId="14812"/>
    <cellStyle name="40% - Accent2 4 4 3" xfId="3611"/>
    <cellStyle name="40% - Accent2 4 4 3 2" xfId="18537"/>
    <cellStyle name="40% - Accent2 4 4 4" xfId="2418"/>
    <cellStyle name="40% - Accent2 4 4 4 2" xfId="18374"/>
    <cellStyle name="40% - Accent2 4 4 5" xfId="17415"/>
    <cellStyle name="40% - Accent2 4 4 6" xfId="20085"/>
    <cellStyle name="40% - Accent2 4 4 7" xfId="14191"/>
    <cellStyle name="40% - Accent2 4 5" xfId="1267"/>
    <cellStyle name="40% - Accent2 4 5 2" xfId="3613"/>
    <cellStyle name="40% - Accent2 4 5 2 2" xfId="15926"/>
    <cellStyle name="40% - Accent2 4 5 3" xfId="2695"/>
    <cellStyle name="40% - Accent2 4 5 3 2" xfId="18696"/>
    <cellStyle name="40% - Accent2 4 5 4" xfId="15780"/>
    <cellStyle name="40% - Accent2 4 5 5" xfId="19858"/>
    <cellStyle name="40% - Accent2 4 5 6" xfId="14444"/>
    <cellStyle name="40% - Accent2 4 6" xfId="3604"/>
    <cellStyle name="40% - Accent2 4 6 2" xfId="13836"/>
    <cellStyle name="40% - Accent2 4 7" xfId="2037"/>
    <cellStyle name="40% - Accent2 4 7 2" xfId="19084"/>
    <cellStyle name="40% - Accent2 4 8" xfId="18278"/>
    <cellStyle name="40% - Accent2 4 9" xfId="16928"/>
    <cellStyle name="40% - Accent2 5" xfId="772"/>
    <cellStyle name="40% - Accent2 5 2" xfId="1053"/>
    <cellStyle name="40% - Accent2 5 2 2" xfId="1712"/>
    <cellStyle name="40% - Accent2 5 2 2 2" xfId="3616"/>
    <cellStyle name="40% - Accent2 5 2 2 2 2" xfId="15884"/>
    <cellStyle name="40% - Accent2 5 2 2 3" xfId="3140"/>
    <cellStyle name="40% - Accent2 5 2 2 3 2" xfId="19042"/>
    <cellStyle name="40% - Accent2 5 2 2 4" xfId="18016"/>
    <cellStyle name="40% - Accent2 5 2 2 5" xfId="19447"/>
    <cellStyle name="40% - Accent2 5 2 2 6" xfId="13186"/>
    <cellStyle name="40% - Accent2 5 2 3" xfId="3615"/>
    <cellStyle name="40% - Accent2 5 2 3 2" xfId="18360"/>
    <cellStyle name="40% - Accent2 5 2 4" xfId="2484"/>
    <cellStyle name="40% - Accent2 5 2 4 2" xfId="16174"/>
    <cellStyle name="40% - Accent2 5 2 5" xfId="16521"/>
    <cellStyle name="40% - Accent2 5 2 6" xfId="20019"/>
    <cellStyle name="40% - Accent2 5 2 7" xfId="7153"/>
    <cellStyle name="40% - Accent2 5 3" xfId="1438"/>
    <cellStyle name="40% - Accent2 5 3 2" xfId="3617"/>
    <cellStyle name="40% - Accent2 5 3 2 2" xfId="15834"/>
    <cellStyle name="40% - Accent2 5 3 3" xfId="2866"/>
    <cellStyle name="40% - Accent2 5 3 3 2" xfId="16360"/>
    <cellStyle name="40% - Accent2 5 3 4" xfId="17681"/>
    <cellStyle name="40% - Accent2 5 3 5" xfId="19719"/>
    <cellStyle name="40% - Accent2 5 3 6" xfId="13187"/>
    <cellStyle name="40% - Accent2 5 4" xfId="3614"/>
    <cellStyle name="40% - Accent2 5 4 2" xfId="19112"/>
    <cellStyle name="40% - Accent2 5 5" xfId="2210"/>
    <cellStyle name="40% - Accent2 5 5 2" xfId="15571"/>
    <cellStyle name="40% - Accent2 5 6" xfId="17310"/>
    <cellStyle name="40% - Accent2 5 7" xfId="20293"/>
    <cellStyle name="40% - Accent2 5 8" xfId="7152"/>
    <cellStyle name="40% - Accent2 6" xfId="793"/>
    <cellStyle name="40% - Accent2 6 2" xfId="1072"/>
    <cellStyle name="40% - Accent2 6 2 2" xfId="1731"/>
    <cellStyle name="40% - Accent2 6 2 2 2" xfId="3620"/>
    <cellStyle name="40% - Accent2 6 2 2 2 2" xfId="16023"/>
    <cellStyle name="40% - Accent2 6 2 2 3" xfId="3159"/>
    <cellStyle name="40% - Accent2 6 2 2 3 2" xfId="16794"/>
    <cellStyle name="40% - Accent2 6 2 2 4" xfId="17989"/>
    <cellStyle name="40% - Accent2 6 2 2 5" xfId="19428"/>
    <cellStyle name="40% - Accent2 6 2 2 6" xfId="14886"/>
    <cellStyle name="40% - Accent2 6 2 3" xfId="3619"/>
    <cellStyle name="40% - Accent2 6 2 3 2" xfId="15945"/>
    <cellStyle name="40% - Accent2 6 2 4" xfId="2503"/>
    <cellStyle name="40% - Accent2 6 2 4 2" xfId="18394"/>
    <cellStyle name="40% - Accent2 6 2 5" xfId="18333"/>
    <cellStyle name="40% - Accent2 6 2 6" xfId="20000"/>
    <cellStyle name="40% - Accent2 6 2 7" xfId="13188"/>
    <cellStyle name="40% - Accent2 6 3" xfId="1457"/>
    <cellStyle name="40% - Accent2 6 3 2" xfId="3621"/>
    <cellStyle name="40% - Accent2 6 3 2 2" xfId="19127"/>
    <cellStyle name="40% - Accent2 6 3 3" xfId="2885"/>
    <cellStyle name="40% - Accent2 6 3 3 2" xfId="16772"/>
    <cellStyle name="40% - Accent2 6 3 4" xfId="17904"/>
    <cellStyle name="40% - Accent2 6 3 5" xfId="19700"/>
    <cellStyle name="40% - Accent2 6 3 6" xfId="14623"/>
    <cellStyle name="40% - Accent2 6 4" xfId="3618"/>
    <cellStyle name="40% - Accent2 6 4 2" xfId="19164"/>
    <cellStyle name="40% - Accent2 6 5" xfId="2229"/>
    <cellStyle name="40% - Accent2 6 5 2" xfId="18179"/>
    <cellStyle name="40% - Accent2 6 6" xfId="16477"/>
    <cellStyle name="40% - Accent2 6 7" xfId="20274"/>
    <cellStyle name="40% - Accent2 6 8" xfId="7154"/>
    <cellStyle name="40% - Accent2 7" xfId="893"/>
    <cellStyle name="40% - Accent2 7 2" xfId="1167"/>
    <cellStyle name="40% - Accent2 7 2 2" xfId="1826"/>
    <cellStyle name="40% - Accent2 7 2 2 2" xfId="3624"/>
    <cellStyle name="40% - Accent2 7 2 2 2 2" xfId="18847"/>
    <cellStyle name="40% - Accent2 7 2 2 3" xfId="3254"/>
    <cellStyle name="40% - Accent2 7 2 2 3 2" xfId="16322"/>
    <cellStyle name="40% - Accent2 7 2 2 4" xfId="15476"/>
    <cellStyle name="40% - Accent2 7 2 2 5" xfId="19333"/>
    <cellStyle name="40% - Accent2 7 2 2 6" xfId="14981"/>
    <cellStyle name="40% - Accent2 7 2 3" xfId="3623"/>
    <cellStyle name="40% - Accent2 7 2 3 2" xfId="15051"/>
    <cellStyle name="40% - Accent2 7 2 4" xfId="2598"/>
    <cellStyle name="40% - Accent2 7 2 4 2" xfId="15550"/>
    <cellStyle name="40% - Accent2 7 2 5" xfId="17104"/>
    <cellStyle name="40% - Accent2 7 2 6" xfId="20692"/>
    <cellStyle name="40% - Accent2 7 2 7" xfId="14347"/>
    <cellStyle name="40% - Accent2 7 3" xfId="1552"/>
    <cellStyle name="40% - Accent2 7 3 2" xfId="3625"/>
    <cellStyle name="40% - Accent2 7 3 2 2" xfId="18433"/>
    <cellStyle name="40% - Accent2 7 3 3" xfId="2980"/>
    <cellStyle name="40% - Accent2 7 3 3 2" xfId="18414"/>
    <cellStyle name="40% - Accent2 7 3 4" xfId="17481"/>
    <cellStyle name="40% - Accent2 7 3 5" xfId="19605"/>
    <cellStyle name="40% - Accent2 7 3 6" xfId="14718"/>
    <cellStyle name="40% - Accent2 7 4" xfId="3622"/>
    <cellStyle name="40% - Accent2 7 4 2" xfId="14097"/>
    <cellStyle name="40% - Accent2 7 5" xfId="2324"/>
    <cellStyle name="40% - Accent2 7 5 2" xfId="15934"/>
    <cellStyle name="40% - Accent2 7 6" xfId="18887"/>
    <cellStyle name="40% - Accent2 7 7" xfId="16929"/>
    <cellStyle name="40% - Accent2 7 8" xfId="20179"/>
    <cellStyle name="40% - Accent2 7 9" xfId="7155"/>
    <cellStyle name="40% - Accent2 8" xfId="885"/>
    <cellStyle name="40% - Accent2 8 2" xfId="1159"/>
    <cellStyle name="40% - Accent2 8 2 2" xfId="1818"/>
    <cellStyle name="40% - Accent2 8 2 2 2" xfId="3628"/>
    <cellStyle name="40% - Accent2 8 2 2 2 2" xfId="18404"/>
    <cellStyle name="40% - Accent2 8 2 2 3" xfId="3246"/>
    <cellStyle name="40% - Accent2 8 2 2 3 2" xfId="16800"/>
    <cellStyle name="40% - Accent2 8 2 2 4" xfId="17155"/>
    <cellStyle name="40% - Accent2 8 2 2 5" xfId="19341"/>
    <cellStyle name="40% - Accent2 8 2 2 6" xfId="14973"/>
    <cellStyle name="40% - Accent2 8 2 3" xfId="3627"/>
    <cellStyle name="40% - Accent2 8 2 3 2" xfId="15838"/>
    <cellStyle name="40% - Accent2 8 2 4" xfId="2590"/>
    <cellStyle name="40% - Accent2 8 2 4 2" xfId="18236"/>
    <cellStyle name="40% - Accent2 8 2 5" xfId="15602"/>
    <cellStyle name="40% - Accent2 8 2 6" xfId="20696"/>
    <cellStyle name="40% - Accent2 8 2 7" xfId="14339"/>
    <cellStyle name="40% - Accent2 8 3" xfId="1544"/>
    <cellStyle name="40% - Accent2 8 3 2" xfId="3629"/>
    <cellStyle name="40% - Accent2 8 3 2 2" xfId="15951"/>
    <cellStyle name="40% - Accent2 8 3 3" xfId="2972"/>
    <cellStyle name="40% - Accent2 8 3 3 2" xfId="18940"/>
    <cellStyle name="40% - Accent2 8 3 4" xfId="18069"/>
    <cellStyle name="40% - Accent2 8 3 5" xfId="19613"/>
    <cellStyle name="40% - Accent2 8 3 6" xfId="14710"/>
    <cellStyle name="40% - Accent2 8 4" xfId="3626"/>
    <cellStyle name="40% - Accent2 8 4 2" xfId="14089"/>
    <cellStyle name="40% - Accent2 8 5" xfId="2316"/>
    <cellStyle name="40% - Accent2 8 5 2" xfId="19002"/>
    <cellStyle name="40% - Accent2 8 6" xfId="18690"/>
    <cellStyle name="40% - Accent2 8 7" xfId="20650"/>
    <cellStyle name="40% - Accent2 8 8" xfId="20187"/>
    <cellStyle name="40% - Accent2 8 9" xfId="13300"/>
    <cellStyle name="40% - Accent2 9" xfId="910"/>
    <cellStyle name="40% - Accent2 9 2" xfId="1184"/>
    <cellStyle name="40% - Accent2 9 2 2" xfId="1843"/>
    <cellStyle name="40% - Accent2 9 2 2 2" xfId="3632"/>
    <cellStyle name="40% - Accent2 9 2 2 2 2" xfId="18199"/>
    <cellStyle name="40% - Accent2 9 2 2 3" xfId="3271"/>
    <cellStyle name="40% - Accent2 9 2 2 3 2" xfId="17582"/>
    <cellStyle name="40% - Accent2 9 2 2 4" xfId="15185"/>
    <cellStyle name="40% - Accent2 9 2 2 5" xfId="19316"/>
    <cellStyle name="40% - Accent2 9 2 2 6" xfId="14998"/>
    <cellStyle name="40% - Accent2 9 2 3" xfId="3631"/>
    <cellStyle name="40% - Accent2 9 2 3 2" xfId="18817"/>
    <cellStyle name="40% - Accent2 9 2 4" xfId="2615"/>
    <cellStyle name="40% - Accent2 9 2 4 2" xfId="16139"/>
    <cellStyle name="40% - Accent2 9 2 5" xfId="17134"/>
    <cellStyle name="40% - Accent2 9 2 6" xfId="20763"/>
    <cellStyle name="40% - Accent2 9 2 7" xfId="14364"/>
    <cellStyle name="40% - Accent2 9 3" xfId="1569"/>
    <cellStyle name="40% - Accent2 9 3 2" xfId="3633"/>
    <cellStyle name="40% - Accent2 9 3 2 2" xfId="18347"/>
    <cellStyle name="40% - Accent2 9 3 3" xfId="2997"/>
    <cellStyle name="40% - Accent2 9 3 3 2" xfId="15972"/>
    <cellStyle name="40% - Accent2 9 3 4" xfId="16227"/>
    <cellStyle name="40% - Accent2 9 3 5" xfId="19588"/>
    <cellStyle name="40% - Accent2 9 3 6" xfId="14735"/>
    <cellStyle name="40% - Accent2 9 4" xfId="3630"/>
    <cellStyle name="40% - Accent2 9 4 2" xfId="14114"/>
    <cellStyle name="40% - Accent2 9 5" xfId="2341"/>
    <cellStyle name="40% - Accent2 9 5 2" xfId="18700"/>
    <cellStyle name="40% - Accent2 9 6" xfId="16494"/>
    <cellStyle name="40% - Accent2 9 7" xfId="20661"/>
    <cellStyle name="40% - Accent2 9 8" xfId="20162"/>
    <cellStyle name="40% - Accent2 9 9" xfId="13365"/>
    <cellStyle name="40% - Accent3" xfId="329"/>
    <cellStyle name="40% - Accent3 10" xfId="656"/>
    <cellStyle name="40% - Accent3 10 2" xfId="1323"/>
    <cellStyle name="40% - Accent3 10 2 2" xfId="3635"/>
    <cellStyle name="40% - Accent3 10 2 2 2" xfId="19161"/>
    <cellStyle name="40% - Accent3 10 2 3" xfId="2751"/>
    <cellStyle name="40% - Accent3 10 2 3 2" xfId="16707"/>
    <cellStyle name="40% - Accent3 10 2 4" xfId="17533"/>
    <cellStyle name="40% - Accent3 10 2 5" xfId="19802"/>
    <cellStyle name="40% - Accent3 10 2 6" xfId="14500"/>
    <cellStyle name="40% - Accent3 10 3" xfId="3634"/>
    <cellStyle name="40% - Accent3 10 3 2" xfId="13893"/>
    <cellStyle name="40% - Accent3 10 4" xfId="2095"/>
    <cellStyle name="40% - Accent3 10 4 2" xfId="17886"/>
    <cellStyle name="40% - Accent3 10 5" xfId="17257"/>
    <cellStyle name="40% - Accent3 10 6" xfId="20715"/>
    <cellStyle name="40% - Accent3 10 7" xfId="20408"/>
    <cellStyle name="40% - Accent3 10 8" xfId="13476"/>
    <cellStyle name="40% - Accent3 11" xfId="938"/>
    <cellStyle name="40% - Accent3 11 2" xfId="1597"/>
    <cellStyle name="40% - Accent3 11 2 2" xfId="3637"/>
    <cellStyle name="40% - Accent3 11 2 2 2" xfId="18191"/>
    <cellStyle name="40% - Accent3 11 2 3" xfId="3025"/>
    <cellStyle name="40% - Accent3 11 2 3 2" xfId="16043"/>
    <cellStyle name="40% - Accent3 11 2 4" xfId="17913"/>
    <cellStyle name="40% - Accent3 11 2 5" xfId="19560"/>
    <cellStyle name="40% - Accent3 11 2 6" xfId="14763"/>
    <cellStyle name="40% - Accent3 11 3" xfId="3636"/>
    <cellStyle name="40% - Accent3 11 3 2" xfId="15801"/>
    <cellStyle name="40% - Accent3 11 4" xfId="2369"/>
    <cellStyle name="40% - Accent3 11 4 2" xfId="19030"/>
    <cellStyle name="40% - Accent3 11 5" xfId="16502"/>
    <cellStyle name="40% - Accent3 11 6" xfId="20134"/>
    <cellStyle name="40% - Accent3 11 7" xfId="14142"/>
    <cellStyle name="40% - Accent3 12" xfId="1218"/>
    <cellStyle name="40% - Accent3 12 2" xfId="3638"/>
    <cellStyle name="40% - Accent3 12 2 2" xfId="18389"/>
    <cellStyle name="40% - Accent3 12 3" xfId="2646"/>
    <cellStyle name="40% - Accent3 12 3 2" xfId="16628"/>
    <cellStyle name="40% - Accent3 12 4" xfId="17263"/>
    <cellStyle name="40% - Accent3 12 5" xfId="19907"/>
    <cellStyle name="40% - Accent3 12 6" xfId="14395"/>
    <cellStyle name="40% - Accent3 13" xfId="3639"/>
    <cellStyle name="40% - Accent3 13 2" xfId="18213"/>
    <cellStyle name="40% - Accent3 14" xfId="1968"/>
    <cellStyle name="40% - Accent3 14 2" xfId="17708"/>
    <cellStyle name="40% - Accent3 15" xfId="19085"/>
    <cellStyle name="40% - Accent3 16" xfId="20535"/>
    <cellStyle name="40% - Accent3 17" xfId="4757"/>
    <cellStyle name="40% - Accent3 2" xfId="50"/>
    <cellStyle name="40% - Accent3 2 2" xfId="51"/>
    <cellStyle name="40% - Accent3 2 2 2" xfId="52"/>
    <cellStyle name="40% - Accent3 2 2 3" xfId="53"/>
    <cellStyle name="40% - Accent3 2 3" xfId="362"/>
    <cellStyle name="40% - Accent3 2 4" xfId="457"/>
    <cellStyle name="40% - Accent3 2 5" xfId="16930"/>
    <cellStyle name="40% - Accent3 2 6" xfId="7156"/>
    <cellStyle name="40% - Accent3 2_SSP report" xfId="363"/>
    <cellStyle name="40% - Accent3 3" xfId="458"/>
    <cellStyle name="40% - Accent3 3 2" xfId="744"/>
    <cellStyle name="40% - Accent3 3 2 2" xfId="1025"/>
    <cellStyle name="40% - Accent3 3 2 2 2" xfId="1684"/>
    <cellStyle name="40% - Accent3 3 2 2 2 2" xfId="3642"/>
    <cellStyle name="40% - Accent3 3 2 2 2 2 2" xfId="18254"/>
    <cellStyle name="40% - Accent3 3 2 2 2 3" xfId="3112"/>
    <cellStyle name="40% - Accent3 3 2 2 2 3 2" xfId="16790"/>
    <cellStyle name="40% - Accent3 3 2 2 2 4" xfId="17597"/>
    <cellStyle name="40% - Accent3 3 2 2 2 5" xfId="19473"/>
    <cellStyle name="40% - Accent3 3 2 2 2 6" xfId="14850"/>
    <cellStyle name="40% - Accent3 3 2 2 3" xfId="3641"/>
    <cellStyle name="40% - Accent3 3 2 2 3 2" xfId="19153"/>
    <cellStyle name="40% - Accent3 3 2 2 4" xfId="2456"/>
    <cellStyle name="40% - Accent3 3 2 2 4 2" xfId="16058"/>
    <cellStyle name="40% - Accent3 3 2 2 5" xfId="17235"/>
    <cellStyle name="40% - Accent3 3 2 2 6" xfId="20047"/>
    <cellStyle name="40% - Accent3 3 2 2 7" xfId="14229"/>
    <cellStyle name="40% - Accent3 3 2 3" xfId="1410"/>
    <cellStyle name="40% - Accent3 3 2 3 2" xfId="3643"/>
    <cellStyle name="40% - Accent3 3 2 3 2 2" xfId="18428"/>
    <cellStyle name="40% - Accent3 3 2 3 3" xfId="2838"/>
    <cellStyle name="40% - Accent3 3 2 3 3 2" xfId="17894"/>
    <cellStyle name="40% - Accent3 3 2 3 4" xfId="15604"/>
    <cellStyle name="40% - Accent3 3 2 3 5" xfId="19747"/>
    <cellStyle name="40% - Accent3 3 2 3 6" xfId="14587"/>
    <cellStyle name="40% - Accent3 3 2 4" xfId="3640"/>
    <cellStyle name="40% - Accent3 3 2 4 2" xfId="16048"/>
    <cellStyle name="40% - Accent3 3 2 5" xfId="2182"/>
    <cellStyle name="40% - Accent3 3 2 5 2" xfId="15391"/>
    <cellStyle name="40% - Accent3 3 2 6" xfId="18301"/>
    <cellStyle name="40% - Accent3 3 2 7" xfId="20321"/>
    <cellStyle name="40% - Accent3 3 2 8" xfId="13979"/>
    <cellStyle name="40% - Accent3 3 3" xfId="13757"/>
    <cellStyle name="40% - Accent3 3 4" xfId="16931"/>
    <cellStyle name="40% - Accent3 3 5" xfId="7157"/>
    <cellStyle name="40% - Accent3 4" xfId="584"/>
    <cellStyle name="40% - Accent3 4 10" xfId="20464"/>
    <cellStyle name="40% - Accent3 4 11" xfId="7158"/>
    <cellStyle name="40% - Accent3 4 2" xfId="851"/>
    <cellStyle name="40% - Accent3 4 2 2" xfId="1125"/>
    <cellStyle name="40% - Accent3 4 2 2 2" xfId="1784"/>
    <cellStyle name="40% - Accent3 4 2 2 2 2" xfId="3647"/>
    <cellStyle name="40% - Accent3 4 2 2 2 2 2" xfId="15856"/>
    <cellStyle name="40% - Accent3 4 2 2 2 3" xfId="3212"/>
    <cellStyle name="40% - Accent3 4 2 2 2 3 2" xfId="16797"/>
    <cellStyle name="40% - Accent3 4 2 2 2 4" xfId="17858"/>
    <cellStyle name="40% - Accent3 4 2 2 2 5" xfId="19375"/>
    <cellStyle name="40% - Accent3 4 2 2 2 6" xfId="14939"/>
    <cellStyle name="40% - Accent3 4 2 2 3" xfId="3646"/>
    <cellStyle name="40% - Accent3 4 2 2 3 2" xfId="18173"/>
    <cellStyle name="40% - Accent3 4 2 2 4" xfId="2556"/>
    <cellStyle name="40% - Accent3 4 2 2 4 2" xfId="16586"/>
    <cellStyle name="40% - Accent3 4 2 2 5" xfId="17285"/>
    <cellStyle name="40% - Accent3 4 2 2 6" xfId="19947"/>
    <cellStyle name="40% - Accent3 4 2 2 7" xfId="14306"/>
    <cellStyle name="40% - Accent3 4 2 3" xfId="1510"/>
    <cellStyle name="40% - Accent3 4 2 3 2" xfId="3648"/>
    <cellStyle name="40% - Accent3 4 2 3 2 2" xfId="18590"/>
    <cellStyle name="40% - Accent3 4 2 3 3" xfId="2938"/>
    <cellStyle name="40% - Accent3 4 2 3 3 2" xfId="17750"/>
    <cellStyle name="40% - Accent3 4 2 3 4" xfId="17782"/>
    <cellStyle name="40% - Accent3 4 2 3 5" xfId="19647"/>
    <cellStyle name="40% - Accent3 4 2 3 6" xfId="14676"/>
    <cellStyle name="40% - Accent3 4 2 4" xfId="3645"/>
    <cellStyle name="40% - Accent3 4 2 4 2" xfId="15990"/>
    <cellStyle name="40% - Accent3 4 2 5" xfId="2282"/>
    <cellStyle name="40% - Accent3 4 2 5 2" xfId="15490"/>
    <cellStyle name="40% - Accent3 4 2 6" xfId="16160"/>
    <cellStyle name="40% - Accent3 4 2 7" xfId="20221"/>
    <cellStyle name="40% - Accent3 4 2 8" xfId="14056"/>
    <cellStyle name="40% - Accent3 4 3" xfId="707"/>
    <cellStyle name="40% - Accent3 4 3 2" xfId="1374"/>
    <cellStyle name="40% - Accent3 4 3 2 2" xfId="3650"/>
    <cellStyle name="40% - Accent3 4 3 2 2 2" xfId="18349"/>
    <cellStyle name="40% - Accent3 4 3 2 3" xfId="2802"/>
    <cellStyle name="40% - Accent3 4 3 2 3 2" xfId="18909"/>
    <cellStyle name="40% - Accent3 4 3 2 4" xfId="17693"/>
    <cellStyle name="40% - Accent3 4 3 2 5" xfId="19781"/>
    <cellStyle name="40% - Accent3 4 3 2 6" xfId="14551"/>
    <cellStyle name="40% - Accent3 4 3 3" xfId="3649"/>
    <cellStyle name="40% - Accent3 4 3 3 2" xfId="15052"/>
    <cellStyle name="40% - Accent3 4 3 4" xfId="2146"/>
    <cellStyle name="40% - Accent3 4 3 4 2" xfId="18081"/>
    <cellStyle name="40% - Accent3 4 3 5" xfId="17763"/>
    <cellStyle name="40% - Accent3 4 3 6" xfId="20357"/>
    <cellStyle name="40% - Accent3 4 3 7" xfId="13944"/>
    <cellStyle name="40% - Accent3 4 4" xfId="989"/>
    <cellStyle name="40% - Accent3 4 4 2" xfId="1648"/>
    <cellStyle name="40% - Accent3 4 4 2 2" xfId="3652"/>
    <cellStyle name="40% - Accent3 4 4 2 2 2" xfId="19074"/>
    <cellStyle name="40% - Accent3 4 4 2 3" xfId="3076"/>
    <cellStyle name="40% - Accent3 4 4 2 3 2" xfId="17642"/>
    <cellStyle name="40% - Accent3 4 4 2 4" xfId="15118"/>
    <cellStyle name="40% - Accent3 4 4 2 5" xfId="19509"/>
    <cellStyle name="40% - Accent3 4 4 2 6" xfId="14814"/>
    <cellStyle name="40% - Accent3 4 4 3" xfId="3651"/>
    <cellStyle name="40% - Accent3 4 4 3 2" xfId="18963"/>
    <cellStyle name="40% - Accent3 4 4 4" xfId="2420"/>
    <cellStyle name="40% - Accent3 4 4 4 2" xfId="19268"/>
    <cellStyle name="40% - Accent3 4 4 5" xfId="18325"/>
    <cellStyle name="40% - Accent3 4 4 6" xfId="20083"/>
    <cellStyle name="40% - Accent3 4 4 7" xfId="14193"/>
    <cellStyle name="40% - Accent3 4 5" xfId="1269"/>
    <cellStyle name="40% - Accent3 4 5 2" xfId="3653"/>
    <cellStyle name="40% - Accent3 4 5 2 2" xfId="18176"/>
    <cellStyle name="40% - Accent3 4 5 3" xfId="2697"/>
    <cellStyle name="40% - Accent3 4 5 3 2" xfId="19220"/>
    <cellStyle name="40% - Accent3 4 5 4" xfId="17340"/>
    <cellStyle name="40% - Accent3 4 5 5" xfId="19856"/>
    <cellStyle name="40% - Accent3 4 5 6" xfId="14446"/>
    <cellStyle name="40% - Accent3 4 6" xfId="3644"/>
    <cellStyle name="40% - Accent3 4 6 2" xfId="13838"/>
    <cellStyle name="40% - Accent3 4 7" xfId="2039"/>
    <cellStyle name="40% - Accent3 4 7 2" xfId="15171"/>
    <cellStyle name="40% - Accent3 4 8" xfId="16439"/>
    <cellStyle name="40% - Accent3 4 9" xfId="16932"/>
    <cellStyle name="40% - Accent3 5" xfId="774"/>
    <cellStyle name="40% - Accent3 5 2" xfId="1055"/>
    <cellStyle name="40% - Accent3 5 2 2" xfId="1714"/>
    <cellStyle name="40% - Accent3 5 2 2 2" xfId="3656"/>
    <cellStyle name="40% - Accent3 5 2 2 2 2" xfId="15818"/>
    <cellStyle name="40% - Accent3 5 2 2 3" xfId="3142"/>
    <cellStyle name="40% - Accent3 5 2 2 3 2" xfId="18921"/>
    <cellStyle name="40% - Accent3 5 2 2 4" xfId="17454"/>
    <cellStyle name="40% - Accent3 5 2 2 5" xfId="19445"/>
    <cellStyle name="40% - Accent3 5 2 2 6" xfId="13189"/>
    <cellStyle name="40% - Accent3 5 2 3" xfId="3655"/>
    <cellStyle name="40% - Accent3 5 2 3 2" xfId="18171"/>
    <cellStyle name="40% - Accent3 5 2 4" xfId="2486"/>
    <cellStyle name="40% - Accent3 5 2 4 2" xfId="16207"/>
    <cellStyle name="40% - Accent3 5 2 5" xfId="16523"/>
    <cellStyle name="40% - Accent3 5 2 6" xfId="20017"/>
    <cellStyle name="40% - Accent3 5 2 7" xfId="7160"/>
    <cellStyle name="40% - Accent3 5 3" xfId="1440"/>
    <cellStyle name="40% - Accent3 5 3 2" xfId="3657"/>
    <cellStyle name="40% - Accent3 5 3 2 2" xfId="19130"/>
    <cellStyle name="40% - Accent3 5 3 3" xfId="2868"/>
    <cellStyle name="40% - Accent3 5 3 3 2" xfId="16361"/>
    <cellStyle name="40% - Accent3 5 3 4" xfId="17817"/>
    <cellStyle name="40% - Accent3 5 3 5" xfId="19717"/>
    <cellStyle name="40% - Accent3 5 3 6" xfId="13190"/>
    <cellStyle name="40% - Accent3 5 4" xfId="3654"/>
    <cellStyle name="40% - Accent3 5 4 2" xfId="15531"/>
    <cellStyle name="40% - Accent3 5 5" xfId="2212"/>
    <cellStyle name="40% - Accent3 5 5 2" xfId="15788"/>
    <cellStyle name="40% - Accent3 5 6" xfId="17413"/>
    <cellStyle name="40% - Accent3 5 7" xfId="20291"/>
    <cellStyle name="40% - Accent3 5 8" xfId="7159"/>
    <cellStyle name="40% - Accent3 6" xfId="752"/>
    <cellStyle name="40% - Accent3 6 2" xfId="1033"/>
    <cellStyle name="40% - Accent3 6 2 2" xfId="1692"/>
    <cellStyle name="40% - Accent3 6 2 2 2" xfId="3660"/>
    <cellStyle name="40% - Accent3 6 2 2 2 2" xfId="16068"/>
    <cellStyle name="40% - Accent3 6 2 2 3" xfId="3120"/>
    <cellStyle name="40% - Accent3 6 2 2 3 2" xfId="15995"/>
    <cellStyle name="40% - Accent3 6 2 2 4" xfId="17784"/>
    <cellStyle name="40% - Accent3 6 2 2 5" xfId="19466"/>
    <cellStyle name="40% - Accent3 6 2 2 6" xfId="14858"/>
    <cellStyle name="40% - Accent3 6 2 3" xfId="3659"/>
    <cellStyle name="40% - Accent3 6 2 3 2" xfId="16019"/>
    <cellStyle name="40% - Accent3 6 2 4" xfId="2464"/>
    <cellStyle name="40% - Accent3 6 2 4 2" xfId="18699"/>
    <cellStyle name="40% - Accent3 6 2 5" xfId="17318"/>
    <cellStyle name="40% - Accent3 6 2 6" xfId="20039"/>
    <cellStyle name="40% - Accent3 6 2 7" xfId="13191"/>
    <cellStyle name="40% - Accent3 6 3" xfId="1418"/>
    <cellStyle name="40% - Accent3 6 3 2" xfId="3661"/>
    <cellStyle name="40% - Accent3 6 3 2 2" xfId="17847"/>
    <cellStyle name="40% - Accent3 6 3 3" xfId="2846"/>
    <cellStyle name="40% - Accent3 6 3 3 2" xfId="17936"/>
    <cellStyle name="40% - Accent3 6 3 4" xfId="17617"/>
    <cellStyle name="40% - Accent3 6 3 5" xfId="19739"/>
    <cellStyle name="40% - Accent3 6 3 6" xfId="14595"/>
    <cellStyle name="40% - Accent3 6 4" xfId="3658"/>
    <cellStyle name="40% - Accent3 6 4 2" xfId="18408"/>
    <cellStyle name="40% - Accent3 6 5" xfId="2190"/>
    <cellStyle name="40% - Accent3 6 5 2" xfId="15537"/>
    <cellStyle name="40% - Accent3 6 6" xfId="17089"/>
    <cellStyle name="40% - Accent3 6 7" xfId="20313"/>
    <cellStyle name="40% - Accent3 6 8" xfId="7161"/>
    <cellStyle name="40% - Accent3 7" xfId="895"/>
    <cellStyle name="40% - Accent3 7 2" xfId="1169"/>
    <cellStyle name="40% - Accent3 7 2 2" xfId="1828"/>
    <cellStyle name="40% - Accent3 7 2 2 2" xfId="3664"/>
    <cellStyle name="40% - Accent3 7 2 2 2 2" xfId="18818"/>
    <cellStyle name="40% - Accent3 7 2 2 3" xfId="3256"/>
    <cellStyle name="40% - Accent3 7 2 2 3 2" xfId="17960"/>
    <cellStyle name="40% - Accent3 7 2 2 4" xfId="19200"/>
    <cellStyle name="40% - Accent3 7 2 2 5" xfId="19331"/>
    <cellStyle name="40% - Accent3 7 2 2 6" xfId="14983"/>
    <cellStyle name="40% - Accent3 7 2 3" xfId="3663"/>
    <cellStyle name="40% - Accent3 7 2 3 2" xfId="16001"/>
    <cellStyle name="40% - Accent3 7 2 4" xfId="2600"/>
    <cellStyle name="40% - Accent3 7 2 4 2" xfId="18238"/>
    <cellStyle name="40% - Accent3 7 2 5" xfId="18648"/>
    <cellStyle name="40% - Accent3 7 2 6" xfId="20740"/>
    <cellStyle name="40% - Accent3 7 2 7" xfId="14349"/>
    <cellStyle name="40% - Accent3 7 3" xfId="1554"/>
    <cellStyle name="40% - Accent3 7 3 2" xfId="3665"/>
    <cellStyle name="40% - Accent3 7 3 2 2" xfId="17994"/>
    <cellStyle name="40% - Accent3 7 3 3" xfId="2982"/>
    <cellStyle name="40% - Accent3 7 3 3 2" xfId="16070"/>
    <cellStyle name="40% - Accent3 7 3 4" xfId="17756"/>
    <cellStyle name="40% - Accent3 7 3 5" xfId="19603"/>
    <cellStyle name="40% - Accent3 7 3 6" xfId="14720"/>
    <cellStyle name="40% - Accent3 7 4" xfId="3662"/>
    <cellStyle name="40% - Accent3 7 4 2" xfId="14099"/>
    <cellStyle name="40% - Accent3 7 5" xfId="2326"/>
    <cellStyle name="40% - Accent3 7 5 2" xfId="15440"/>
    <cellStyle name="40% - Accent3 7 6" xfId="18665"/>
    <cellStyle name="40% - Accent3 7 7" xfId="16933"/>
    <cellStyle name="40% - Accent3 7 8" xfId="20177"/>
    <cellStyle name="40% - Accent3 7 9" xfId="7162"/>
    <cellStyle name="40% - Accent3 8" xfId="905"/>
    <cellStyle name="40% - Accent3 8 2" xfId="1179"/>
    <cellStyle name="40% - Accent3 8 2 2" xfId="1838"/>
    <cellStyle name="40% - Accent3 8 2 2 2" xfId="3668"/>
    <cellStyle name="40% - Accent3 8 2 2 2 2" xfId="15946"/>
    <cellStyle name="40% - Accent3 8 2 2 3" xfId="3266"/>
    <cellStyle name="40% - Accent3 8 2 2 3 2" xfId="16327"/>
    <cellStyle name="40% - Accent3 8 2 2 4" xfId="17165"/>
    <cellStyle name="40% - Accent3 8 2 2 5" xfId="19321"/>
    <cellStyle name="40% - Accent3 8 2 2 6" xfId="14993"/>
    <cellStyle name="40% - Accent3 8 2 3" xfId="3667"/>
    <cellStyle name="40% - Accent3 8 2 3 2" xfId="16031"/>
    <cellStyle name="40% - Accent3 8 2 4" xfId="2610"/>
    <cellStyle name="40% - Accent3 8 2 4 2" xfId="18488"/>
    <cellStyle name="40% - Accent3 8 2 5" xfId="15533"/>
    <cellStyle name="40% - Accent3 8 2 6" xfId="20739"/>
    <cellStyle name="40% - Accent3 8 2 7" xfId="14359"/>
    <cellStyle name="40% - Accent3 8 3" xfId="1564"/>
    <cellStyle name="40% - Accent3 8 3 2" xfId="3669"/>
    <cellStyle name="40% - Accent3 8 3 2 2" xfId="16003"/>
    <cellStyle name="40% - Accent3 8 3 3" xfId="2992"/>
    <cellStyle name="40% - Accent3 8 3 3 2" xfId="16021"/>
    <cellStyle name="40% - Accent3 8 3 4" xfId="18161"/>
    <cellStyle name="40% - Accent3 8 3 5" xfId="19593"/>
    <cellStyle name="40% - Accent3 8 3 6" xfId="14730"/>
    <cellStyle name="40% - Accent3 8 4" xfId="3666"/>
    <cellStyle name="40% - Accent3 8 4 2" xfId="14109"/>
    <cellStyle name="40% - Accent3 8 5" xfId="2336"/>
    <cellStyle name="40% - Accent3 8 5 2" xfId="18540"/>
    <cellStyle name="40% - Accent3 8 6" xfId="16489"/>
    <cellStyle name="40% - Accent3 8 7" xfId="20651"/>
    <cellStyle name="40% - Accent3 8 8" xfId="20167"/>
    <cellStyle name="40% - Accent3 8 9" xfId="13301"/>
    <cellStyle name="40% - Accent3 9" xfId="912"/>
    <cellStyle name="40% - Accent3 9 2" xfId="1186"/>
    <cellStyle name="40% - Accent3 9 2 2" xfId="1845"/>
    <cellStyle name="40% - Accent3 9 2 2 2" xfId="3672"/>
    <cellStyle name="40% - Accent3 9 2 2 2 2" xfId="15947"/>
    <cellStyle name="40% - Accent3 9 2 2 3" xfId="3273"/>
    <cellStyle name="40% - Accent3 9 2 2 3 2" xfId="16331"/>
    <cellStyle name="40% - Accent3 9 2 2 4" xfId="15337"/>
    <cellStyle name="40% - Accent3 9 2 2 5" xfId="19314"/>
    <cellStyle name="40% - Accent3 9 2 2 6" xfId="15000"/>
    <cellStyle name="40% - Accent3 9 2 3" xfId="3671"/>
    <cellStyle name="40% - Accent3 9 2 3 2" xfId="15658"/>
    <cellStyle name="40% - Accent3 9 2 4" xfId="2617"/>
    <cellStyle name="40% - Accent3 9 2 4 2" xfId="16613"/>
    <cellStyle name="40% - Accent3 9 2 5" xfId="15213"/>
    <cellStyle name="40% - Accent3 9 2 6" xfId="20686"/>
    <cellStyle name="40% - Accent3 9 2 7" xfId="14366"/>
    <cellStyle name="40% - Accent3 9 3" xfId="1571"/>
    <cellStyle name="40% - Accent3 9 3 2" xfId="3673"/>
    <cellStyle name="40% - Accent3 9 3 2 2" xfId="16806"/>
    <cellStyle name="40% - Accent3 9 3 3" xfId="2999"/>
    <cellStyle name="40% - Accent3 9 3 3 2" xfId="15821"/>
    <cellStyle name="40% - Accent3 9 3 4" xfId="17795"/>
    <cellStyle name="40% - Accent3 9 3 5" xfId="19586"/>
    <cellStyle name="40% - Accent3 9 3 6" xfId="14737"/>
    <cellStyle name="40% - Accent3 9 4" xfId="3670"/>
    <cellStyle name="40% - Accent3 9 4 2" xfId="14116"/>
    <cellStyle name="40% - Accent3 9 5" xfId="2343"/>
    <cellStyle name="40% - Accent3 9 5 2" xfId="18550"/>
    <cellStyle name="40% - Accent3 9 6" xfId="16496"/>
    <cellStyle name="40% - Accent3 9 7" xfId="20660"/>
    <cellStyle name="40% - Accent3 9 8" xfId="20160"/>
    <cellStyle name="40% - Accent3 9 9" xfId="13364"/>
    <cellStyle name="40% - Accent4" xfId="333"/>
    <cellStyle name="40% - Accent4 10" xfId="658"/>
    <cellStyle name="40% - Accent4 10 2" xfId="1325"/>
    <cellStyle name="40% - Accent4 10 2 2" xfId="3675"/>
    <cellStyle name="40% - Accent4 10 2 2 2" xfId="18843"/>
    <cellStyle name="40% - Accent4 10 2 3" xfId="2753"/>
    <cellStyle name="40% - Accent4 10 2 3 2" xfId="17487"/>
    <cellStyle name="40% - Accent4 10 2 4" xfId="17665"/>
    <cellStyle name="40% - Accent4 10 2 5" xfId="19800"/>
    <cellStyle name="40% - Accent4 10 2 6" xfId="14502"/>
    <cellStyle name="40% - Accent4 10 3" xfId="3674"/>
    <cellStyle name="40% - Accent4 10 3 2" xfId="13895"/>
    <cellStyle name="40% - Accent4 10 4" xfId="2097"/>
    <cellStyle name="40% - Accent4 10 4 2" xfId="18027"/>
    <cellStyle name="40% - Accent4 10 5" xfId="17273"/>
    <cellStyle name="40% - Accent4 10 6" xfId="20716"/>
    <cellStyle name="40% - Accent4 10 7" xfId="20406"/>
    <cellStyle name="40% - Accent4 10 8" xfId="13477"/>
    <cellStyle name="40% - Accent4 11" xfId="940"/>
    <cellStyle name="40% - Accent4 11 2" xfId="1599"/>
    <cellStyle name="40% - Accent4 11 2 2" xfId="3677"/>
    <cellStyle name="40% - Accent4 11 2 2 2" xfId="18742"/>
    <cellStyle name="40% - Accent4 11 2 3" xfId="3027"/>
    <cellStyle name="40% - Accent4 11 2 3 2" xfId="16083"/>
    <cellStyle name="40% - Accent4 11 2 4" xfId="17840"/>
    <cellStyle name="40% - Accent4 11 2 5" xfId="19558"/>
    <cellStyle name="40% - Accent4 11 2 6" xfId="14765"/>
    <cellStyle name="40% - Accent4 11 3" xfId="3676"/>
    <cellStyle name="40% - Accent4 11 3 2" xfId="15840"/>
    <cellStyle name="40% - Accent4 11 4" xfId="2371"/>
    <cellStyle name="40% - Accent4 11 4 2" xfId="15468"/>
    <cellStyle name="40% - Accent4 11 5" xfId="18814"/>
    <cellStyle name="40% - Accent4 11 6" xfId="20132"/>
    <cellStyle name="40% - Accent4 11 7" xfId="14144"/>
    <cellStyle name="40% - Accent4 12" xfId="1220"/>
    <cellStyle name="40% - Accent4 12 2" xfId="3678"/>
    <cellStyle name="40% - Accent4 12 2 2" xfId="15776"/>
    <cellStyle name="40% - Accent4 12 3" xfId="2648"/>
    <cellStyle name="40% - Accent4 12 3 2" xfId="16629"/>
    <cellStyle name="40% - Accent4 12 4" xfId="17281"/>
    <cellStyle name="40% - Accent4 12 5" xfId="19905"/>
    <cellStyle name="40% - Accent4 12 6" xfId="14397"/>
    <cellStyle name="40% - Accent4 13" xfId="3679"/>
    <cellStyle name="40% - Accent4 13 2" xfId="15948"/>
    <cellStyle name="40% - Accent4 14" xfId="1970"/>
    <cellStyle name="40% - Accent4 14 2" xfId="17917"/>
    <cellStyle name="40% - Accent4 15" xfId="19114"/>
    <cellStyle name="40% - Accent4 16" xfId="20533"/>
    <cellStyle name="40% - Accent4 17" xfId="4759"/>
    <cellStyle name="40% - Accent4 2" xfId="54"/>
    <cellStyle name="40% - Accent4 2 2" xfId="55"/>
    <cellStyle name="40% - Accent4 2 2 2" xfId="56"/>
    <cellStyle name="40% - Accent4 2 2 3" xfId="57"/>
    <cellStyle name="40% - Accent4 2 3" xfId="364"/>
    <cellStyle name="40% - Accent4 2 4" xfId="459"/>
    <cellStyle name="40% - Accent4 2 5" xfId="16934"/>
    <cellStyle name="40% - Accent4 2 6" xfId="7163"/>
    <cellStyle name="40% - Accent4 2_SSP report" xfId="365"/>
    <cellStyle name="40% - Accent4 3" xfId="460"/>
    <cellStyle name="40% - Accent4 3 2" xfId="787"/>
    <cellStyle name="40% - Accent4 3 2 2" xfId="1066"/>
    <cellStyle name="40% - Accent4 3 2 2 2" xfId="1725"/>
    <cellStyle name="40% - Accent4 3 2 2 2 2" xfId="3682"/>
    <cellStyle name="40% - Accent4 3 2 2 2 2 2" xfId="19155"/>
    <cellStyle name="40% - Accent4 3 2 2 2 3" xfId="3153"/>
    <cellStyle name="40% - Accent4 3 2 2 2 3 2" xfId="15812"/>
    <cellStyle name="40% - Accent4 3 2 2 2 4" xfId="17705"/>
    <cellStyle name="40% - Accent4 3 2 2 2 5" xfId="19434"/>
    <cellStyle name="40% - Accent4 3 2 2 2 6" xfId="14880"/>
    <cellStyle name="40% - Accent4 3 2 2 3" xfId="3681"/>
    <cellStyle name="40% - Accent4 3 2 2 3 2" xfId="16807"/>
    <cellStyle name="40% - Accent4 3 2 2 4" xfId="2497"/>
    <cellStyle name="40% - Accent4 3 2 2 4 2" xfId="18457"/>
    <cellStyle name="40% - Accent4 3 2 2 5" xfId="18330"/>
    <cellStyle name="40% - Accent4 3 2 2 6" xfId="20006"/>
    <cellStyle name="40% - Accent4 3 2 2 7" xfId="14252"/>
    <cellStyle name="40% - Accent4 3 2 3" xfId="1451"/>
    <cellStyle name="40% - Accent4 3 2 3 2" xfId="3683"/>
    <cellStyle name="40% - Accent4 3 2 3 2 2" xfId="18164"/>
    <cellStyle name="40% - Accent4 3 2 3 3" xfId="2879"/>
    <cellStyle name="40% - Accent4 3 2 3 3 2" xfId="16188"/>
    <cellStyle name="40% - Accent4 3 2 3 4" xfId="17482"/>
    <cellStyle name="40% - Accent4 3 2 3 5" xfId="19706"/>
    <cellStyle name="40% - Accent4 3 2 3 6" xfId="14617"/>
    <cellStyle name="40% - Accent4 3 2 4" xfId="3680"/>
    <cellStyle name="40% - Accent4 3 2 4 2" xfId="15551"/>
    <cellStyle name="40% - Accent4 3 2 5" xfId="2223"/>
    <cellStyle name="40% - Accent4 3 2 5 2" xfId="17122"/>
    <cellStyle name="40% - Accent4 3 2 6" xfId="17229"/>
    <cellStyle name="40% - Accent4 3 2 7" xfId="20280"/>
    <cellStyle name="40% - Accent4 3 2 8" xfId="14003"/>
    <cellStyle name="40% - Accent4 3 3" xfId="13758"/>
    <cellStyle name="40% - Accent4 3 4" xfId="16935"/>
    <cellStyle name="40% - Accent4 3 5" xfId="7164"/>
    <cellStyle name="40% - Accent4 4" xfId="586"/>
    <cellStyle name="40% - Accent4 4 10" xfId="20462"/>
    <cellStyle name="40% - Accent4 4 11" xfId="7165"/>
    <cellStyle name="40% - Accent4 4 2" xfId="853"/>
    <cellStyle name="40% - Accent4 4 2 2" xfId="1127"/>
    <cellStyle name="40% - Accent4 4 2 2 2" xfId="1786"/>
    <cellStyle name="40% - Accent4 4 2 2 2 2" xfId="3687"/>
    <cellStyle name="40% - Accent4 4 2 2 2 2 2" xfId="15744"/>
    <cellStyle name="40% - Accent4 4 2 2 2 3" xfId="3214"/>
    <cellStyle name="40% - Accent4 4 2 2 2 3 2" xfId="18077"/>
    <cellStyle name="40% - Accent4 4 2 2 2 4" xfId="18005"/>
    <cellStyle name="40% - Accent4 4 2 2 2 5" xfId="19373"/>
    <cellStyle name="40% - Accent4 4 2 2 2 6" xfId="14941"/>
    <cellStyle name="40% - Accent4 4 2 2 3" xfId="3686"/>
    <cellStyle name="40% - Accent4 4 2 2 3 2" xfId="15949"/>
    <cellStyle name="40% - Accent4 4 2 2 4" xfId="2558"/>
    <cellStyle name="40% - Accent4 4 2 2 4 2" xfId="16588"/>
    <cellStyle name="40% - Accent4 4 2 2 5" xfId="17100"/>
    <cellStyle name="40% - Accent4 4 2 2 6" xfId="19945"/>
    <cellStyle name="40% - Accent4 4 2 2 7" xfId="14308"/>
    <cellStyle name="40% - Accent4 4 2 3" xfId="1512"/>
    <cellStyle name="40% - Accent4 4 2 3 2" xfId="3688"/>
    <cellStyle name="40% - Accent4 4 2 3 2 2" xfId="15552"/>
    <cellStyle name="40% - Accent4 4 2 3 3" xfId="2940"/>
    <cellStyle name="40% - Accent4 4 2 3 3 2" xfId="18763"/>
    <cellStyle name="40% - Accent4 4 2 3 4" xfId="17620"/>
    <cellStyle name="40% - Accent4 4 2 3 5" xfId="19645"/>
    <cellStyle name="40% - Accent4 4 2 3 6" xfId="14678"/>
    <cellStyle name="40% - Accent4 4 2 4" xfId="3685"/>
    <cellStyle name="40% - Accent4 4 2 4 2" xfId="19235"/>
    <cellStyle name="40% - Accent4 4 2 5" xfId="2284"/>
    <cellStyle name="40% - Accent4 4 2 5 2" xfId="18870"/>
    <cellStyle name="40% - Accent4 4 2 6" xfId="16127"/>
    <cellStyle name="40% - Accent4 4 2 7" xfId="20219"/>
    <cellStyle name="40% - Accent4 4 2 8" xfId="14058"/>
    <cellStyle name="40% - Accent4 4 3" xfId="709"/>
    <cellStyle name="40% - Accent4 4 3 2" xfId="1376"/>
    <cellStyle name="40% - Accent4 4 3 2 2" xfId="3690"/>
    <cellStyle name="40% - Accent4 4 3 2 2 2" xfId="18867"/>
    <cellStyle name="40% - Accent4 4 3 2 3" xfId="2804"/>
    <cellStyle name="40% - Accent4 4 3 2 3 2" xfId="16752"/>
    <cellStyle name="40% - Accent4 4 3 2 4" xfId="17829"/>
    <cellStyle name="40% - Accent4 4 3 2 5" xfId="19779"/>
    <cellStyle name="40% - Accent4 4 3 2 6" xfId="14553"/>
    <cellStyle name="40% - Accent4 4 3 3" xfId="3689"/>
    <cellStyle name="40% - Accent4 4 3 3 2" xfId="18845"/>
    <cellStyle name="40% - Accent4 4 3 4" xfId="2148"/>
    <cellStyle name="40% - Accent4 4 3 4 2" xfId="17526"/>
    <cellStyle name="40% - Accent4 4 3 5" xfId="17221"/>
    <cellStyle name="40% - Accent4 4 3 6" xfId="20355"/>
    <cellStyle name="40% - Accent4 4 3 7" xfId="13946"/>
    <cellStyle name="40% - Accent4 4 4" xfId="991"/>
    <cellStyle name="40% - Accent4 4 4 2" xfId="1650"/>
    <cellStyle name="40% - Accent4 4 4 2 2" xfId="3692"/>
    <cellStyle name="40% - Accent4 4 4 2 2 2" xfId="15601"/>
    <cellStyle name="40% - Accent4 4 4 2 3" xfId="3078"/>
    <cellStyle name="40% - Accent4 4 4 2 3 2" xfId="17774"/>
    <cellStyle name="40% - Accent4 4 4 2 4" xfId="15222"/>
    <cellStyle name="40% - Accent4 4 4 2 5" xfId="19507"/>
    <cellStyle name="40% - Accent4 4 4 2 6" xfId="14816"/>
    <cellStyle name="40% - Accent4 4 4 3" xfId="3691"/>
    <cellStyle name="40% - Accent4 4 4 3 2" xfId="18405"/>
    <cellStyle name="40% - Accent4 4 4 4" xfId="2422"/>
    <cellStyle name="40% - Accent4 4 4 4 2" xfId="19264"/>
    <cellStyle name="40% - Accent4 4 4 5" xfId="17233"/>
    <cellStyle name="40% - Accent4 4 4 6" xfId="20081"/>
    <cellStyle name="40% - Accent4 4 4 7" xfId="14195"/>
    <cellStyle name="40% - Accent4 4 5" xfId="1271"/>
    <cellStyle name="40% - Accent4 4 5 2" xfId="3693"/>
    <cellStyle name="40% - Accent4 4 5 2 2" xfId="15573"/>
    <cellStyle name="40% - Accent4 4 5 3" xfId="2699"/>
    <cellStyle name="40% - Accent4 4 5 3 2" xfId="16672"/>
    <cellStyle name="40% - Accent4 4 5 4" xfId="15436"/>
    <cellStyle name="40% - Accent4 4 5 5" xfId="19854"/>
    <cellStyle name="40% - Accent4 4 5 6" xfId="14448"/>
    <cellStyle name="40% - Accent4 4 6" xfId="3684"/>
    <cellStyle name="40% - Accent4 4 6 2" xfId="13840"/>
    <cellStyle name="40% - Accent4 4 7" xfId="2041"/>
    <cellStyle name="40% - Accent4 4 7 2" xfId="15322"/>
    <cellStyle name="40% - Accent4 4 8" xfId="18280"/>
    <cellStyle name="40% - Accent4 4 9" xfId="16936"/>
    <cellStyle name="40% - Accent4 5" xfId="776"/>
    <cellStyle name="40% - Accent4 5 2" xfId="1057"/>
    <cellStyle name="40% - Accent4 5 2 2" xfId="1716"/>
    <cellStyle name="40% - Accent4 5 2 2 2" xfId="3696"/>
    <cellStyle name="40% - Accent4 5 2 2 2 2" xfId="15858"/>
    <cellStyle name="40% - Accent4 5 2 2 3" xfId="3144"/>
    <cellStyle name="40% - Accent4 5 2 2 3 2" xfId="19132"/>
    <cellStyle name="40% - Accent4 5 2 2 4" xfId="17731"/>
    <cellStyle name="40% - Accent4 5 2 2 5" xfId="19443"/>
    <cellStyle name="40% - Accent4 5 2 2 6" xfId="13192"/>
    <cellStyle name="40% - Accent4 5 2 3" xfId="3695"/>
    <cellStyle name="40% - Accent4 5 2 3 2" xfId="15886"/>
    <cellStyle name="40% - Accent4 5 2 4" xfId="2488"/>
    <cellStyle name="40% - Accent4 5 2 4 2" xfId="16208"/>
    <cellStyle name="40% - Accent4 5 2 5" xfId="16525"/>
    <cellStyle name="40% - Accent4 5 2 6" xfId="20015"/>
    <cellStyle name="40% - Accent4 5 2 7" xfId="7167"/>
    <cellStyle name="40% - Accent4 5 3" xfId="1442"/>
    <cellStyle name="40% - Accent4 5 3 2" xfId="3697"/>
    <cellStyle name="40% - Accent4 5 3 2 2" xfId="18271"/>
    <cellStyle name="40% - Accent4 5 3 3" xfId="2870"/>
    <cellStyle name="40% - Accent4 5 3 3 2" xfId="16078"/>
    <cellStyle name="40% - Accent4 5 3 4" xfId="18158"/>
    <cellStyle name="40% - Accent4 5 3 5" xfId="19715"/>
    <cellStyle name="40% - Accent4 5 3 6" xfId="13193"/>
    <cellStyle name="40% - Accent4 5 4" xfId="3694"/>
    <cellStyle name="40% - Accent4 5 4 2" xfId="15590"/>
    <cellStyle name="40% - Accent4 5 5" xfId="2214"/>
    <cellStyle name="40% - Accent4 5 5 2" xfId="15278"/>
    <cellStyle name="40% - Accent4 5 6" xfId="16473"/>
    <cellStyle name="40% - Accent4 5 7" xfId="20289"/>
    <cellStyle name="40% - Accent4 5 8" xfId="7166"/>
    <cellStyle name="40% - Accent4 6" xfId="822"/>
    <cellStyle name="40% - Accent4 6 2" xfId="1100"/>
    <cellStyle name="40% - Accent4 6 2 2" xfId="1759"/>
    <cellStyle name="40% - Accent4 6 2 2 2" xfId="3700"/>
    <cellStyle name="40% - Accent4 6 2 2 2 2" xfId="15585"/>
    <cellStyle name="40% - Accent4 6 2 2 3" xfId="3187"/>
    <cellStyle name="40% - Accent4 6 2 2 3 2" xfId="19158"/>
    <cellStyle name="40% - Accent4 6 2 2 4" xfId="17149"/>
    <cellStyle name="40% - Accent4 6 2 2 5" xfId="19400"/>
    <cellStyle name="40% - Accent4 6 2 2 6" xfId="14914"/>
    <cellStyle name="40% - Accent4 6 2 3" xfId="3699"/>
    <cellStyle name="40% - Accent4 6 2 3 2" xfId="17357"/>
    <cellStyle name="40% - Accent4 6 2 4" xfId="2531"/>
    <cellStyle name="40% - Accent4 6 2 4 2" xfId="18458"/>
    <cellStyle name="40% - Accent4 6 2 5" xfId="16555"/>
    <cellStyle name="40% - Accent4 6 2 6" xfId="19972"/>
    <cellStyle name="40% - Accent4 6 2 7" xfId="13194"/>
    <cellStyle name="40% - Accent4 6 3" xfId="1485"/>
    <cellStyle name="40% - Accent4 6 3 2" xfId="3701"/>
    <cellStyle name="40% - Accent4 6 3 2 2" xfId="16052"/>
    <cellStyle name="40% - Accent4 6 3 3" xfId="2913"/>
    <cellStyle name="40% - Accent4 6 3 3 2" xfId="17262"/>
    <cellStyle name="40% - Accent4 6 3 4" xfId="17838"/>
    <cellStyle name="40% - Accent4 6 3 5" xfId="19672"/>
    <cellStyle name="40% - Accent4 6 3 6" xfId="14651"/>
    <cellStyle name="40% - Accent4 6 4" xfId="3698"/>
    <cellStyle name="40% - Accent4 6 4 2" xfId="15962"/>
    <cellStyle name="40% - Accent4 6 5" xfId="2257"/>
    <cellStyle name="40% - Accent4 6 5 2" xfId="18976"/>
    <cellStyle name="40% - Accent4 6 6" xfId="16121"/>
    <cellStyle name="40% - Accent4 6 7" xfId="20246"/>
    <cellStyle name="40% - Accent4 6 8" xfId="7168"/>
    <cellStyle name="40% - Accent4 7" xfId="897"/>
    <cellStyle name="40% - Accent4 7 2" xfId="1171"/>
    <cellStyle name="40% - Accent4 7 2 2" xfId="1830"/>
    <cellStyle name="40% - Accent4 7 2 2 2" xfId="3704"/>
    <cellStyle name="40% - Accent4 7 2 2 2 2" xfId="18530"/>
    <cellStyle name="40% - Accent4 7 2 2 3" xfId="3258"/>
    <cellStyle name="40% - Accent4 7 2 2 3 2" xfId="16324"/>
    <cellStyle name="40% - Accent4 7 2 2 4" xfId="17160"/>
    <cellStyle name="40% - Accent4 7 2 2 5" xfId="19329"/>
    <cellStyle name="40% - Accent4 7 2 2 6" xfId="14985"/>
    <cellStyle name="40% - Accent4 7 2 3" xfId="3703"/>
    <cellStyle name="40% - Accent4 7 2 3 2" xfId="18642"/>
    <cellStyle name="40% - Accent4 7 2 4" xfId="2602"/>
    <cellStyle name="40% - Accent4 7 2 4 2" xfId="18494"/>
    <cellStyle name="40% - Accent4 7 2 5" xfId="15450"/>
    <cellStyle name="40% - Accent4 7 2 6" xfId="19930"/>
    <cellStyle name="40% - Accent4 7 2 7" xfId="14351"/>
    <cellStyle name="40% - Accent4 7 3" xfId="1556"/>
    <cellStyle name="40% - Accent4 7 3 2" xfId="3705"/>
    <cellStyle name="40% - Accent4 7 3 2 2" xfId="15929"/>
    <cellStyle name="40% - Accent4 7 3 3" xfId="2984"/>
    <cellStyle name="40% - Accent4 7 3 3 2" xfId="18256"/>
    <cellStyle name="40% - Accent4 7 3 4" xfId="17982"/>
    <cellStyle name="40% - Accent4 7 3 5" xfId="19601"/>
    <cellStyle name="40% - Accent4 7 3 6" xfId="14722"/>
    <cellStyle name="40% - Accent4 7 4" xfId="3702"/>
    <cellStyle name="40% - Accent4 7 4 2" xfId="14101"/>
    <cellStyle name="40% - Accent4 7 5" xfId="2328"/>
    <cellStyle name="40% - Accent4 7 5 2" xfId="15904"/>
    <cellStyle name="40% - Accent4 7 6" xfId="19092"/>
    <cellStyle name="40% - Accent4 7 7" xfId="16937"/>
    <cellStyle name="40% - Accent4 7 8" xfId="20175"/>
    <cellStyle name="40% - Accent4 7 9" xfId="7169"/>
    <cellStyle name="40% - Accent4 8" xfId="902"/>
    <cellStyle name="40% - Accent4 8 2" xfId="1176"/>
    <cellStyle name="40% - Accent4 8 2 2" xfId="1835"/>
    <cellStyle name="40% - Accent4 8 2 2 2" xfId="3708"/>
    <cellStyle name="40% - Accent4 8 2 2 2 2" xfId="18451"/>
    <cellStyle name="40% - Accent4 8 2 2 3" xfId="3263"/>
    <cellStyle name="40% - Accent4 8 2 2 3 2" xfId="17673"/>
    <cellStyle name="40% - Accent4 8 2 2 4" xfId="18679"/>
    <cellStyle name="40% - Accent4 8 2 2 5" xfId="19324"/>
    <cellStyle name="40% - Accent4 8 2 2 6" xfId="14990"/>
    <cellStyle name="40% - Accent4 8 2 3" xfId="3707"/>
    <cellStyle name="40% - Accent4 8 2 3 2" xfId="19032"/>
    <cellStyle name="40% - Accent4 8 2 4" xfId="2607"/>
    <cellStyle name="40% - Accent4 8 2 4 2" xfId="15548"/>
    <cellStyle name="40% - Accent4 8 2 5" xfId="15083"/>
    <cellStyle name="40% - Accent4 8 2 6" xfId="20690"/>
    <cellStyle name="40% - Accent4 8 2 7" xfId="14356"/>
    <cellStyle name="40% - Accent4 8 3" xfId="1561"/>
    <cellStyle name="40% - Accent4 8 3 2" xfId="3709"/>
    <cellStyle name="40% - Accent4 8 3 2 2" xfId="19034"/>
    <cellStyle name="40% - Accent4 8 3 3" xfId="2989"/>
    <cellStyle name="40% - Accent4 8 3 3 2" xfId="15861"/>
    <cellStyle name="40% - Accent4 8 3 4" xfId="17830"/>
    <cellStyle name="40% - Accent4 8 3 5" xfId="19596"/>
    <cellStyle name="40% - Accent4 8 3 6" xfId="14727"/>
    <cellStyle name="40% - Accent4 8 4" xfId="3706"/>
    <cellStyle name="40% - Accent4 8 4 2" xfId="14106"/>
    <cellStyle name="40% - Accent4 8 5" xfId="2333"/>
    <cellStyle name="40% - Accent4 8 5 2" xfId="18449"/>
    <cellStyle name="40% - Accent4 8 6" xfId="19048"/>
    <cellStyle name="40% - Accent4 8 7" xfId="20652"/>
    <cellStyle name="40% - Accent4 8 8" xfId="20170"/>
    <cellStyle name="40% - Accent4 8 9" xfId="13302"/>
    <cellStyle name="40% - Accent4 9" xfId="914"/>
    <cellStyle name="40% - Accent4 9 2" xfId="1188"/>
    <cellStyle name="40% - Accent4 9 2 2" xfId="1847"/>
    <cellStyle name="40% - Accent4 9 2 2 2" xfId="3712"/>
    <cellStyle name="40% - Accent4 9 2 2 2 2" xfId="18358"/>
    <cellStyle name="40% - Accent4 9 2 2 3" xfId="3275"/>
    <cellStyle name="40% - Accent4 9 2 2 3 2" xfId="18059"/>
    <cellStyle name="40% - Accent4 9 2 2 4" xfId="17169"/>
    <cellStyle name="40% - Accent4 9 2 2 5" xfId="19312"/>
    <cellStyle name="40% - Accent4 9 2 2 6" xfId="15002"/>
    <cellStyle name="40% - Accent4 9 2 3" xfId="3711"/>
    <cellStyle name="40% - Accent4 9 2 3 2" xfId="18507"/>
    <cellStyle name="40% - Accent4 9 2 4" xfId="2619"/>
    <cellStyle name="40% - Accent4 9 2 4 2" xfId="16010"/>
    <cellStyle name="40% - Accent4 9 2 5" xfId="15159"/>
    <cellStyle name="40% - Accent4 9 2 6" xfId="20736"/>
    <cellStyle name="40% - Accent4 9 2 7" xfId="14368"/>
    <cellStyle name="40% - Accent4 9 3" xfId="1573"/>
    <cellStyle name="40% - Accent4 9 3 2" xfId="3713"/>
    <cellStyle name="40% - Accent4 9 3 2 2" xfId="18553"/>
    <cellStyle name="40% - Accent4 9 3 3" xfId="3001"/>
    <cellStyle name="40% - Accent4 9 3 3 2" xfId="15940"/>
    <cellStyle name="40% - Accent4 9 3 4" xfId="17342"/>
    <cellStyle name="40% - Accent4 9 3 5" xfId="19584"/>
    <cellStyle name="40% - Accent4 9 3 6" xfId="14739"/>
    <cellStyle name="40% - Accent4 9 4" xfId="3710"/>
    <cellStyle name="40% - Accent4 9 4 2" xfId="14118"/>
    <cellStyle name="40% - Accent4 9 5" xfId="2345"/>
    <cellStyle name="40% - Accent4 9 5 2" xfId="15055"/>
    <cellStyle name="40% - Accent4 9 6" xfId="16498"/>
    <cellStyle name="40% - Accent4 9 7" xfId="20659"/>
    <cellStyle name="40% - Accent4 9 8" xfId="20158"/>
    <cellStyle name="40% - Accent4 9 9" xfId="13363"/>
    <cellStyle name="40% - Accent5" xfId="337"/>
    <cellStyle name="40% - Accent5 10" xfId="660"/>
    <cellStyle name="40% - Accent5 10 2" xfId="1327"/>
    <cellStyle name="40% - Accent5 10 2 2" xfId="3715"/>
    <cellStyle name="40% - Accent5 10 2 2 2" xfId="19001"/>
    <cellStyle name="40% - Accent5 10 2 3" xfId="2755"/>
    <cellStyle name="40% - Accent5 10 2 3 2" xfId="16709"/>
    <cellStyle name="40% - Accent5 10 2 4" xfId="17799"/>
    <cellStyle name="40% - Accent5 10 2 5" xfId="19798"/>
    <cellStyle name="40% - Accent5 10 2 6" xfId="14504"/>
    <cellStyle name="40% - Accent5 10 3" xfId="3714"/>
    <cellStyle name="40% - Accent5 10 3 2" xfId="13897"/>
    <cellStyle name="40% - Accent5 10 4" xfId="2099"/>
    <cellStyle name="40% - Accent5 10 4 2" xfId="17465"/>
    <cellStyle name="40% - Accent5 10 5" xfId="15785"/>
    <cellStyle name="40% - Accent5 10 6" xfId="20717"/>
    <cellStyle name="40% - Accent5 10 7" xfId="20404"/>
    <cellStyle name="40% - Accent5 10 8" xfId="13478"/>
    <cellStyle name="40% - Accent5 11" xfId="942"/>
    <cellStyle name="40% - Accent5 11 2" xfId="1601"/>
    <cellStyle name="40% - Accent5 11 2 2" xfId="3717"/>
    <cellStyle name="40% - Accent5 11 2 2 2" xfId="19148"/>
    <cellStyle name="40% - Accent5 11 2 3" xfId="3029"/>
    <cellStyle name="40% - Accent5 11 2 3 2" xfId="16084"/>
    <cellStyle name="40% - Accent5 11 2 4" xfId="17988"/>
    <cellStyle name="40% - Accent5 11 2 5" xfId="19556"/>
    <cellStyle name="40% - Accent5 11 2 6" xfId="14767"/>
    <cellStyle name="40% - Accent5 11 3" xfId="3716"/>
    <cellStyle name="40% - Accent5 11 3 2" xfId="18660"/>
    <cellStyle name="40% - Accent5 11 4" xfId="2373"/>
    <cellStyle name="40% - Accent5 11 4 2" xfId="15154"/>
    <cellStyle name="40% - Accent5 11 5" xfId="18998"/>
    <cellStyle name="40% - Accent5 11 6" xfId="20130"/>
    <cellStyle name="40% - Accent5 11 7" xfId="14146"/>
    <cellStyle name="40% - Accent5 12" xfId="1222"/>
    <cellStyle name="40% - Accent5 12 2" xfId="3718"/>
    <cellStyle name="40% - Accent5 12 2 2" xfId="15581"/>
    <cellStyle name="40% - Accent5 12 3" xfId="2650"/>
    <cellStyle name="40% - Accent5 12 3 2" xfId="16631"/>
    <cellStyle name="40% - Accent5 12 4" xfId="19075"/>
    <cellStyle name="40% - Accent5 12 5" xfId="19903"/>
    <cellStyle name="40% - Accent5 12 6" xfId="14399"/>
    <cellStyle name="40% - Accent5 13" xfId="3719"/>
    <cellStyle name="40% - Accent5 13 2" xfId="15544"/>
    <cellStyle name="40% - Accent5 14" xfId="1972"/>
    <cellStyle name="40% - Accent5 14 2" xfId="17843"/>
    <cellStyle name="40% - Accent5 15" xfId="18753"/>
    <cellStyle name="40% - Accent5 16" xfId="20531"/>
    <cellStyle name="40% - Accent5 17" xfId="4761"/>
    <cellStyle name="40% - Accent5 2" xfId="58"/>
    <cellStyle name="40% - Accent5 2 2" xfId="59"/>
    <cellStyle name="40% - Accent5 2 2 2" xfId="60"/>
    <cellStyle name="40% - Accent5 2 2 3" xfId="61"/>
    <cellStyle name="40% - Accent5 2 3" xfId="366"/>
    <cellStyle name="40% - Accent5 2 4" xfId="461"/>
    <cellStyle name="40% - Accent5 2 5" xfId="16938"/>
    <cellStyle name="40% - Accent5 2 6" xfId="7170"/>
    <cellStyle name="40% - Accent5 2_SSP report" xfId="367"/>
    <cellStyle name="40% - Accent5 3" xfId="462"/>
    <cellStyle name="40% - Accent5 3 2" xfId="786"/>
    <cellStyle name="40% - Accent5 3 2 2" xfId="1065"/>
    <cellStyle name="40% - Accent5 3 2 2 2" xfId="1724"/>
    <cellStyle name="40% - Accent5 3 2 2 2 2" xfId="3722"/>
    <cellStyle name="40% - Accent5 3 2 2 2 2 2" xfId="15803"/>
    <cellStyle name="40% - Accent5 3 2 2 2 3" xfId="3152"/>
    <cellStyle name="40% - Accent5 3 2 2 2 3 2" xfId="18740"/>
    <cellStyle name="40% - Accent5 3 2 2 2 4" xfId="17576"/>
    <cellStyle name="40% - Accent5 3 2 2 2 5" xfId="19435"/>
    <cellStyle name="40% - Accent5 3 2 2 2 6" xfId="14879"/>
    <cellStyle name="40% - Accent5 3 2 2 3" xfId="3721"/>
    <cellStyle name="40% - Accent5 3 2 2 3 2" xfId="18722"/>
    <cellStyle name="40% - Accent5 3 2 2 4" xfId="2496"/>
    <cellStyle name="40% - Accent5 3 2 2 4 2" xfId="18534"/>
    <cellStyle name="40% - Accent5 3 2 2 5" xfId="16531"/>
    <cellStyle name="40% - Accent5 3 2 2 6" xfId="20007"/>
    <cellStyle name="40% - Accent5 3 2 2 7" xfId="14251"/>
    <cellStyle name="40% - Accent5 3 2 3" xfId="1450"/>
    <cellStyle name="40% - Accent5 3 2 3 2" xfId="3723"/>
    <cellStyle name="40% - Accent5 3 2 3 2 2" xfId="18193"/>
    <cellStyle name="40% - Accent5 3 2 3 3" xfId="2878"/>
    <cellStyle name="40% - Accent5 3 2 3 3 2" xfId="17570"/>
    <cellStyle name="40% - Accent5 3 2 3 4" xfId="17420"/>
    <cellStyle name="40% - Accent5 3 2 3 5" xfId="19707"/>
    <cellStyle name="40% - Accent5 3 2 3 6" xfId="14616"/>
    <cellStyle name="40% - Accent5 3 2 4" xfId="3720"/>
    <cellStyle name="40% - Accent5 3 2 4 2" xfId="15794"/>
    <cellStyle name="40% - Accent5 3 2 5" xfId="2222"/>
    <cellStyle name="40% - Accent5 3 2 5 2" xfId="17372"/>
    <cellStyle name="40% - Accent5 3 2 6" xfId="17313"/>
    <cellStyle name="40% - Accent5 3 2 7" xfId="20281"/>
    <cellStyle name="40% - Accent5 3 2 8" xfId="14002"/>
    <cellStyle name="40% - Accent5 3 3" xfId="13759"/>
    <cellStyle name="40% - Accent5 3 4" xfId="16939"/>
    <cellStyle name="40% - Accent5 3 5" xfId="7171"/>
    <cellStyle name="40% - Accent5 4" xfId="588"/>
    <cellStyle name="40% - Accent5 4 10" xfId="20460"/>
    <cellStyle name="40% - Accent5 4 11" xfId="7172"/>
    <cellStyle name="40% - Accent5 4 2" xfId="855"/>
    <cellStyle name="40% - Accent5 4 2 2" xfId="1129"/>
    <cellStyle name="40% - Accent5 4 2 2 2" xfId="1788"/>
    <cellStyle name="40% - Accent5 4 2 2 2 2" xfId="3727"/>
    <cellStyle name="40% - Accent5 4 2 2 2 2 2" xfId="16071"/>
    <cellStyle name="40% - Accent5 4 2 2 2 3" xfId="3216"/>
    <cellStyle name="40% - Accent5 4 2 2 2 3 2" xfId="17601"/>
    <cellStyle name="40% - Accent5 4 2 2 2 4" xfId="17394"/>
    <cellStyle name="40% - Accent5 4 2 2 2 5" xfId="19371"/>
    <cellStyle name="40% - Accent5 4 2 2 2 6" xfId="14943"/>
    <cellStyle name="40% - Accent5 4 2 2 3" xfId="3726"/>
    <cellStyle name="40% - Accent5 4 2 2 3 2" xfId="15745"/>
    <cellStyle name="40% - Accent5 4 2 2 4" xfId="2560"/>
    <cellStyle name="40% - Accent5 4 2 2 4 2" xfId="16590"/>
    <cellStyle name="40% - Accent5 4 2 2 5" xfId="17102"/>
    <cellStyle name="40% - Accent5 4 2 2 6" xfId="19943"/>
    <cellStyle name="40% - Accent5 4 2 2 7" xfId="14310"/>
    <cellStyle name="40% - Accent5 4 2 3" xfId="1514"/>
    <cellStyle name="40% - Accent5 4 2 3 2" xfId="3728"/>
    <cellStyle name="40% - Accent5 4 2 3 2 2" xfId="18838"/>
    <cellStyle name="40% - Accent5 4 2 3 3" xfId="2942"/>
    <cellStyle name="40% - Accent5 4 2 3 3 2" xfId="18200"/>
    <cellStyle name="40% - Accent5 4 2 3 4" xfId="18091"/>
    <cellStyle name="40% - Accent5 4 2 3 5" xfId="19643"/>
    <cellStyle name="40% - Accent5 4 2 3 6" xfId="14680"/>
    <cellStyle name="40% - Accent5 4 2 4" xfId="3725"/>
    <cellStyle name="40% - Accent5 4 2 4 2" xfId="15583"/>
    <cellStyle name="40% - Accent5 4 2 5" xfId="2286"/>
    <cellStyle name="40% - Accent5 4 2 5 2" xfId="15653"/>
    <cellStyle name="40% - Accent5 4 2 6" xfId="18930"/>
    <cellStyle name="40% - Accent5 4 2 7" xfId="20217"/>
    <cellStyle name="40% - Accent5 4 2 8" xfId="14060"/>
    <cellStyle name="40% - Accent5 4 3" xfId="711"/>
    <cellStyle name="40% - Accent5 4 3 2" xfId="1378"/>
    <cellStyle name="40% - Accent5 4 3 2 2" xfId="3730"/>
    <cellStyle name="40% - Accent5 4 3 2 2 2" xfId="15771"/>
    <cellStyle name="40% - Accent5 4 3 2 3" xfId="2806"/>
    <cellStyle name="40% - Accent5 4 3 2 3 2" xfId="16754"/>
    <cellStyle name="40% - Accent5 4 3 2 4" xfId="17606"/>
    <cellStyle name="40% - Accent5 4 3 2 5" xfId="19777"/>
    <cellStyle name="40% - Accent5 4 3 2 6" xfId="14555"/>
    <cellStyle name="40% - Accent5 4 3 3" xfId="3729"/>
    <cellStyle name="40% - Accent5 4 3 3 2" xfId="19113"/>
    <cellStyle name="40% - Accent5 4 3 4" xfId="2150"/>
    <cellStyle name="40% - Accent5 4 3 4 2" xfId="17658"/>
    <cellStyle name="40% - Accent5 4 3 5" xfId="17223"/>
    <cellStyle name="40% - Accent5 4 3 6" xfId="20353"/>
    <cellStyle name="40% - Accent5 4 3 7" xfId="13948"/>
    <cellStyle name="40% - Accent5 4 4" xfId="993"/>
    <cellStyle name="40% - Accent5 4 4 2" xfId="1652"/>
    <cellStyle name="40% - Accent5 4 4 2 2" xfId="3732"/>
    <cellStyle name="40% - Accent5 4 4 2 2 2" xfId="15994"/>
    <cellStyle name="40% - Accent5 4 4 2 3" xfId="3080"/>
    <cellStyle name="40% - Accent5 4 4 2 3 2" xfId="17327"/>
    <cellStyle name="40% - Accent5 4 4 2 4" xfId="15167"/>
    <cellStyle name="40% - Accent5 4 4 2 5" xfId="19505"/>
    <cellStyle name="40% - Accent5 4 4 2 6" xfId="14818"/>
    <cellStyle name="40% - Accent5 4 4 3" xfId="3731"/>
    <cellStyle name="40% - Accent5 4 4 3 2" xfId="15896"/>
    <cellStyle name="40% - Accent5 4 4 4" xfId="2424"/>
    <cellStyle name="40% - Accent5 4 4 4 2" xfId="15968"/>
    <cellStyle name="40% - Accent5 4 4 5" xfId="16163"/>
    <cellStyle name="40% - Accent5 4 4 6" xfId="20079"/>
    <cellStyle name="40% - Accent5 4 4 7" xfId="14197"/>
    <cellStyle name="40% - Accent5 4 5" xfId="1273"/>
    <cellStyle name="40% - Accent5 4 5 2" xfId="3733"/>
    <cellStyle name="40% - Accent5 4 5 2 2" xfId="18532"/>
    <cellStyle name="40% - Accent5 4 5 3" xfId="2701"/>
    <cellStyle name="40% - Accent5 4 5 3 2" xfId="16673"/>
    <cellStyle name="40% - Accent5 4 5 4" xfId="15071"/>
    <cellStyle name="40% - Accent5 4 5 5" xfId="19852"/>
    <cellStyle name="40% - Accent5 4 5 6" xfId="14450"/>
    <cellStyle name="40% - Accent5 4 6" xfId="3724"/>
    <cellStyle name="40% - Accent5 4 6 2" xfId="13842"/>
    <cellStyle name="40% - Accent5 4 7" xfId="2043"/>
    <cellStyle name="40% - Accent5 4 7 2" xfId="15432"/>
    <cellStyle name="40% - Accent5 4 8" xfId="18281"/>
    <cellStyle name="40% - Accent5 4 9" xfId="16940"/>
    <cellStyle name="40% - Accent5 5" xfId="778"/>
    <cellStyle name="40% - Accent5 5 2" xfId="1059"/>
    <cellStyle name="40% - Accent5 5 2 2" xfId="1718"/>
    <cellStyle name="40% - Accent5 5 2 2 2" xfId="3736"/>
    <cellStyle name="40% - Accent5 5 2 2 2 2" xfId="15967"/>
    <cellStyle name="40% - Accent5 5 2 2 3" xfId="3146"/>
    <cellStyle name="40% - Accent5 5 2 2 3 2" xfId="16014"/>
    <cellStyle name="40% - Accent5 5 2 2 4" xfId="17956"/>
    <cellStyle name="40% - Accent5 5 2 2 5" xfId="19441"/>
    <cellStyle name="40% - Accent5 5 2 2 6" xfId="13195"/>
    <cellStyle name="40% - Accent5 5 2 3" xfId="3735"/>
    <cellStyle name="40% - Accent5 5 2 3 2" xfId="19156"/>
    <cellStyle name="40% - Accent5 5 2 4" xfId="2490"/>
    <cellStyle name="40% - Accent5 5 2 4 2" xfId="16270"/>
    <cellStyle name="40% - Accent5 5 2 5" xfId="16527"/>
    <cellStyle name="40% - Accent5 5 2 6" xfId="20013"/>
    <cellStyle name="40% - Accent5 5 2 7" xfId="7174"/>
    <cellStyle name="40% - Accent5 5 3" xfId="1444"/>
    <cellStyle name="40% - Accent5 5 3 2" xfId="3737"/>
    <cellStyle name="40% - Accent5 5 3 2 2" xfId="16022"/>
    <cellStyle name="40% - Accent5 5 3 3" xfId="2872"/>
    <cellStyle name="40% - Accent5 5 3 3 2" xfId="16075"/>
    <cellStyle name="40% - Accent5 5 3 4" xfId="17931"/>
    <cellStyle name="40% - Accent5 5 3 5" xfId="19713"/>
    <cellStyle name="40% - Accent5 5 3 6" xfId="13196"/>
    <cellStyle name="40% - Accent5 5 4" xfId="3734"/>
    <cellStyle name="40% - Accent5 5 4 2" xfId="15862"/>
    <cellStyle name="40% - Accent5 5 5" xfId="2216"/>
    <cellStyle name="40% - Accent5 5 5 2" xfId="17119"/>
    <cellStyle name="40% - Accent5 5 6" xfId="16475"/>
    <cellStyle name="40% - Accent5 5 7" xfId="20287"/>
    <cellStyle name="40% - Accent5 5 8" xfId="7173"/>
    <cellStyle name="40% - Accent5 6" xfId="750"/>
    <cellStyle name="40% - Accent5 6 2" xfId="1031"/>
    <cellStyle name="40% - Accent5 6 2 2" xfId="1690"/>
    <cellStyle name="40% - Accent5 6 2 2 2" xfId="3740"/>
    <cellStyle name="40% - Accent5 6 2 2 2 2" xfId="15922"/>
    <cellStyle name="40% - Accent5 6 2 2 3" xfId="3118"/>
    <cellStyle name="40% - Accent5 6 2 2 3 2" xfId="15655"/>
    <cellStyle name="40% - Accent5 6 2 2 4" xfId="17650"/>
    <cellStyle name="40% - Accent5 6 2 2 5" xfId="20671"/>
    <cellStyle name="40% - Accent5 6 2 2 6" xfId="14856"/>
    <cellStyle name="40% - Accent5 6 2 3" xfId="3739"/>
    <cellStyle name="40% - Accent5 6 2 3 2" xfId="19028"/>
    <cellStyle name="40% - Accent5 6 2 4" xfId="2462"/>
    <cellStyle name="40% - Accent5 6 2 4 2" xfId="15057"/>
    <cellStyle name="40% - Accent5 6 2 5" xfId="17237"/>
    <cellStyle name="40% - Accent5 6 2 6" xfId="20041"/>
    <cellStyle name="40% - Accent5 6 2 7" xfId="13197"/>
    <cellStyle name="40% - Accent5 6 3" xfId="1416"/>
    <cellStyle name="40% - Accent5 6 3 2" xfId="3741"/>
    <cellStyle name="40% - Accent5 6 3 2 2" xfId="18533"/>
    <cellStyle name="40% - Accent5 6 3 3" xfId="2844"/>
    <cellStyle name="40% - Accent5 6 3 3 2" xfId="17715"/>
    <cellStyle name="40% - Accent5 6 3 4" xfId="15286"/>
    <cellStyle name="40% - Accent5 6 3 5" xfId="19741"/>
    <cellStyle name="40% - Accent5 6 3 6" xfId="14593"/>
    <cellStyle name="40% - Accent5 6 4" xfId="3738"/>
    <cellStyle name="40% - Accent5 6 4 2" xfId="18715"/>
    <cellStyle name="40% - Accent5 6 5" xfId="2188"/>
    <cellStyle name="40% - Accent5 6 5 2" xfId="15343"/>
    <cellStyle name="40% - Accent5 6 6" xfId="18304"/>
    <cellStyle name="40% - Accent5 6 7" xfId="20315"/>
    <cellStyle name="40% - Accent5 6 8" xfId="7175"/>
    <cellStyle name="40% - Accent5 7" xfId="899"/>
    <cellStyle name="40% - Accent5 7 2" xfId="1173"/>
    <cellStyle name="40% - Accent5 7 2 2" xfId="1832"/>
    <cellStyle name="40% - Accent5 7 2 2 2" xfId="3744"/>
    <cellStyle name="40% - Accent5 7 2 2 2 2" xfId="15822"/>
    <cellStyle name="40% - Accent5 7 2 2 3" xfId="3260"/>
    <cellStyle name="40% - Accent5 7 2 2 3 2" xfId="16325"/>
    <cellStyle name="40% - Accent5 7 2 2 4" xfId="15420"/>
    <cellStyle name="40% - Accent5 7 2 2 5" xfId="19327"/>
    <cellStyle name="40% - Accent5 7 2 2 6" xfId="14987"/>
    <cellStyle name="40% - Accent5 7 2 3" xfId="3743"/>
    <cellStyle name="40% - Accent5 7 2 3 2" xfId="18172"/>
    <cellStyle name="40% - Accent5 7 2 4" xfId="2604"/>
    <cellStyle name="40% - Accent5 7 2 4 2" xfId="15549"/>
    <cellStyle name="40% - Accent5 7 2 5" xfId="15187"/>
    <cellStyle name="40% - Accent5 7 2 6" xfId="19928"/>
    <cellStyle name="40% - Accent5 7 2 7" xfId="14353"/>
    <cellStyle name="40% - Accent5 7 3" xfId="1558"/>
    <cellStyle name="40% - Accent5 7 3 2" xfId="3745"/>
    <cellStyle name="40% - Accent5 7 3 2 2" xfId="18765"/>
    <cellStyle name="40% - Accent5 7 3 3" xfId="2986"/>
    <cellStyle name="40% - Accent5 7 3 3 2" xfId="15895"/>
    <cellStyle name="40% - Accent5 7 3 4" xfId="17903"/>
    <cellStyle name="40% - Accent5 7 3 5" xfId="19599"/>
    <cellStyle name="40% - Accent5 7 3 6" xfId="14724"/>
    <cellStyle name="40% - Accent5 7 4" xfId="3742"/>
    <cellStyle name="40% - Accent5 7 4 2" xfId="14103"/>
    <cellStyle name="40% - Accent5 7 5" xfId="2330"/>
    <cellStyle name="40% - Accent5 7 5 2" xfId="18201"/>
    <cellStyle name="40% - Accent5 7 6" xfId="18616"/>
    <cellStyle name="40% - Accent5 7 7" xfId="16941"/>
    <cellStyle name="40% - Accent5 7 8" xfId="20173"/>
    <cellStyle name="40% - Accent5 7 9" xfId="7176"/>
    <cellStyle name="40% - Accent5 8" xfId="883"/>
    <cellStyle name="40% - Accent5 8 2" xfId="1157"/>
    <cellStyle name="40% - Accent5 8 2 2" xfId="1816"/>
    <cellStyle name="40% - Accent5 8 2 2 2" xfId="3748"/>
    <cellStyle name="40% - Accent5 8 2 2 2 2" xfId="17753"/>
    <cellStyle name="40% - Accent5 8 2 2 3" xfId="3244"/>
    <cellStyle name="40% - Accent5 8 2 2 3 2" xfId="16317"/>
    <cellStyle name="40% - Accent5 8 2 2 4" xfId="15263"/>
    <cellStyle name="40% - Accent5 8 2 2 5" xfId="19343"/>
    <cellStyle name="40% - Accent5 8 2 2 6" xfId="14971"/>
    <cellStyle name="40% - Accent5 8 2 3" xfId="3747"/>
    <cellStyle name="40% - Accent5 8 2 3 2" xfId="15584"/>
    <cellStyle name="40% - Accent5 8 2 4" xfId="2588"/>
    <cellStyle name="40% - Accent5 8 2 4 2" xfId="18234"/>
    <cellStyle name="40% - Accent5 8 2 5" xfId="19134"/>
    <cellStyle name="40% - Accent5 8 2 6" xfId="20769"/>
    <cellStyle name="40% - Accent5 8 2 7" xfId="14337"/>
    <cellStyle name="40% - Accent5 8 3" xfId="1542"/>
    <cellStyle name="40% - Accent5 8 3 2" xfId="3749"/>
    <cellStyle name="40% - Accent5 8 3 2 2" xfId="18116"/>
    <cellStyle name="40% - Accent5 8 3 3" xfId="2970"/>
    <cellStyle name="40% - Accent5 8 3 3 2" xfId="18431"/>
    <cellStyle name="40% - Accent5 8 3 4" xfId="17593"/>
    <cellStyle name="40% - Accent5 8 3 5" xfId="19615"/>
    <cellStyle name="40% - Accent5 8 3 6" xfId="14708"/>
    <cellStyle name="40% - Accent5 8 4" xfId="3746"/>
    <cellStyle name="40% - Accent5 8 4 2" xfId="14087"/>
    <cellStyle name="40% - Accent5 8 5" xfId="2314"/>
    <cellStyle name="40% - Accent5 8 5 2" xfId="18726"/>
    <cellStyle name="40% - Accent5 8 6" xfId="18519"/>
    <cellStyle name="40% - Accent5 8 7" xfId="20653"/>
    <cellStyle name="40% - Accent5 8 8" xfId="20189"/>
    <cellStyle name="40% - Accent5 8 9" xfId="13303"/>
    <cellStyle name="40% - Accent5 9" xfId="916"/>
    <cellStyle name="40% - Accent5 9 2" xfId="1190"/>
    <cellStyle name="40% - Accent5 9 2 2" xfId="1849"/>
    <cellStyle name="40% - Accent5 9 2 2 2" xfId="3752"/>
    <cellStyle name="40% - Accent5 9 2 2 2 2" xfId="18169"/>
    <cellStyle name="40% - Accent5 9 2 2 3" xfId="3277"/>
    <cellStyle name="40% - Accent5 9 2 2 3 2" xfId="16334"/>
    <cellStyle name="40% - Accent5 9 2 2 4" xfId="17170"/>
    <cellStyle name="40% - Accent5 9 2 2 5" xfId="19310"/>
    <cellStyle name="40% - Accent5 9 2 2 6" xfId="15004"/>
    <cellStyle name="40% - Accent5 9 2 3" xfId="3751"/>
    <cellStyle name="40% - Accent5 9 2 3 2" xfId="18584"/>
    <cellStyle name="40% - Accent5 9 2 4" xfId="2621"/>
    <cellStyle name="40% - Accent5 9 2 4 2" xfId="16614"/>
    <cellStyle name="40% - Accent5 9 2 5" xfId="15311"/>
    <cellStyle name="40% - Accent5 9 2 6" xfId="20761"/>
    <cellStyle name="40% - Accent5 9 2 7" xfId="14370"/>
    <cellStyle name="40% - Accent5 9 3" xfId="1575"/>
    <cellStyle name="40% - Accent5 9 3 2" xfId="3753"/>
    <cellStyle name="40% - Accent5 9 3 2 2" xfId="15775"/>
    <cellStyle name="40% - Accent5 9 3 3" xfId="3003"/>
    <cellStyle name="40% - Accent5 9 3 3 2" xfId="16041"/>
    <cellStyle name="40% - Accent5 9 3 4" xfId="18709"/>
    <cellStyle name="40% - Accent5 9 3 5" xfId="19582"/>
    <cellStyle name="40% - Accent5 9 3 6" xfId="14741"/>
    <cellStyle name="40% - Accent5 9 4" xfId="3750"/>
    <cellStyle name="40% - Accent5 9 4 2" xfId="14120"/>
    <cellStyle name="40% - Accent5 9 5" xfId="2347"/>
    <cellStyle name="40% - Accent5 9 5 2" xfId="19098"/>
    <cellStyle name="40% - Accent5 9 6" xfId="16500"/>
    <cellStyle name="40% - Accent5 9 7" xfId="20657"/>
    <cellStyle name="40% - Accent5 9 8" xfId="20156"/>
    <cellStyle name="40% - Accent5 9 9" xfId="13337"/>
    <cellStyle name="40% - Accent6" xfId="341"/>
    <cellStyle name="40% - Accent6 10" xfId="662"/>
    <cellStyle name="40% - Accent6 10 2" xfId="1329"/>
    <cellStyle name="40% - Accent6 10 2 2" xfId="3755"/>
    <cellStyle name="40% - Accent6 10 2 2 2" xfId="16000"/>
    <cellStyle name="40% - Accent6 10 2 3" xfId="2757"/>
    <cellStyle name="40% - Accent6 10 2 3 2" xfId="17321"/>
    <cellStyle name="40% - Accent6 10 2 4" xfId="17698"/>
    <cellStyle name="40% - Accent6 10 2 5" xfId="19796"/>
    <cellStyle name="40% - Accent6 10 2 6" xfId="14506"/>
    <cellStyle name="40% - Accent6 10 3" xfId="3754"/>
    <cellStyle name="40% - Accent6 10 3 2" xfId="13899"/>
    <cellStyle name="40% - Accent6 10 4" xfId="2101"/>
    <cellStyle name="40% - Accent6 10 4 2" xfId="18379"/>
    <cellStyle name="40% - Accent6 10 5" xfId="18664"/>
    <cellStyle name="40% - Accent6 10 6" xfId="20718"/>
    <cellStyle name="40% - Accent6 10 7" xfId="20402"/>
    <cellStyle name="40% - Accent6 10 8" xfId="13479"/>
    <cellStyle name="40% - Accent6 11" xfId="944"/>
    <cellStyle name="40% - Accent6 11 2" xfId="1603"/>
    <cellStyle name="40% - Accent6 11 2 2" xfId="3757"/>
    <cellStyle name="40% - Accent6 11 2 2 2" xfId="15634"/>
    <cellStyle name="40% - Accent6 11 2 3" xfId="3031"/>
    <cellStyle name="40% - Accent6 11 2 3 2" xfId="16370"/>
    <cellStyle name="40% - Accent6 11 2 4" xfId="17344"/>
    <cellStyle name="40% - Accent6 11 2 5" xfId="19554"/>
    <cellStyle name="40% - Accent6 11 2 6" xfId="14769"/>
    <cellStyle name="40% - Accent6 11 3" xfId="3756"/>
    <cellStyle name="40% - Accent6 11 3 2" xfId="15969"/>
    <cellStyle name="40% - Accent6 11 4" xfId="2375"/>
    <cellStyle name="40% - Accent6 11 4 2" xfId="15768"/>
    <cellStyle name="40% - Accent6 11 5" xfId="18937"/>
    <cellStyle name="40% - Accent6 11 6" xfId="20128"/>
    <cellStyle name="40% - Accent6 11 7" xfId="14148"/>
    <cellStyle name="40% - Accent6 12" xfId="1224"/>
    <cellStyle name="40% - Accent6 12 2" xfId="3758"/>
    <cellStyle name="40% - Accent6 12 2 2" xfId="18991"/>
    <cellStyle name="40% - Accent6 12 3" xfId="2652"/>
    <cellStyle name="40% - Accent6 12 3 2" xfId="16633"/>
    <cellStyle name="40% - Accent6 12 4" xfId="17302"/>
    <cellStyle name="40% - Accent6 12 5" xfId="19901"/>
    <cellStyle name="40% - Accent6 12 6" xfId="14401"/>
    <cellStyle name="40% - Accent6 13" xfId="3759"/>
    <cellStyle name="40% - Accent6 13 2" xfId="18198"/>
    <cellStyle name="40% - Accent6 14" xfId="1974"/>
    <cellStyle name="40% - Accent6 14 2" xfId="17991"/>
    <cellStyle name="40% - Accent6 15" xfId="18464"/>
    <cellStyle name="40% - Accent6 16" xfId="20529"/>
    <cellStyle name="40% - Accent6 17" xfId="4763"/>
    <cellStyle name="40% - Accent6 2" xfId="62"/>
    <cellStyle name="40% - Accent6 2 2" xfId="63"/>
    <cellStyle name="40% - Accent6 2 2 2" xfId="64"/>
    <cellStyle name="40% - Accent6 2 2 3" xfId="65"/>
    <cellStyle name="40% - Accent6 2 3" xfId="368"/>
    <cellStyle name="40% - Accent6 2 4" xfId="463"/>
    <cellStyle name="40% - Accent6 2 5" xfId="16942"/>
    <cellStyle name="40% - Accent6 2 6" xfId="7177"/>
    <cellStyle name="40% - Accent6 2_SSP report" xfId="369"/>
    <cellStyle name="40% - Accent6 3" xfId="464"/>
    <cellStyle name="40% - Accent6 3 2" xfId="742"/>
    <cellStyle name="40% - Accent6 3 2 2" xfId="1023"/>
    <cellStyle name="40% - Accent6 3 2 2 2" xfId="1682"/>
    <cellStyle name="40% - Accent6 3 2 2 2 2" xfId="3762"/>
    <cellStyle name="40% - Accent6 3 2 2 2 2 2" xfId="15877"/>
    <cellStyle name="40% - Accent6 3 2 2 2 3" xfId="3110"/>
    <cellStyle name="40% - Accent6 3 2 2 2 3 2" xfId="16301"/>
    <cellStyle name="40% - Accent6 3 2 2 2 4" xfId="18033"/>
    <cellStyle name="40% - Accent6 3 2 2 2 5" xfId="19475"/>
    <cellStyle name="40% - Accent6 3 2 2 2 6" xfId="14848"/>
    <cellStyle name="40% - Accent6 3 2 2 3" xfId="3761"/>
    <cellStyle name="40% - Accent6 3 2 2 3 2" xfId="15903"/>
    <cellStyle name="40% - Accent6 3 2 2 4" xfId="2454"/>
    <cellStyle name="40% - Accent6 3 2 2 4 2" xfId="16007"/>
    <cellStyle name="40% - Accent6 3 2 2 5" xfId="17295"/>
    <cellStyle name="40% - Accent6 3 2 2 6" xfId="20049"/>
    <cellStyle name="40% - Accent6 3 2 2 7" xfId="14227"/>
    <cellStyle name="40% - Accent6 3 2 3" xfId="1408"/>
    <cellStyle name="40% - Accent6 3 2 3 2" xfId="3763"/>
    <cellStyle name="40% - Accent6 3 2 3 2 2" xfId="15927"/>
    <cellStyle name="40% - Accent6 3 2 3 3" xfId="2836"/>
    <cellStyle name="40% - Accent6 3 2 3 3 2" xfId="17974"/>
    <cellStyle name="40% - Accent6 3 2 3 4" xfId="17909"/>
    <cellStyle name="40% - Accent6 3 2 3 5" xfId="19749"/>
    <cellStyle name="40% - Accent6 3 2 3 6" xfId="14585"/>
    <cellStyle name="40% - Accent6 3 2 4" xfId="3760"/>
    <cellStyle name="40% - Accent6 3 2 4 2" xfId="16410"/>
    <cellStyle name="40% - Accent6 3 2 5" xfId="2180"/>
    <cellStyle name="40% - Accent6 3 2 5 2" xfId="15288"/>
    <cellStyle name="40% - Accent6 3 2 6" xfId="16468"/>
    <cellStyle name="40% - Accent6 3 2 7" xfId="20323"/>
    <cellStyle name="40% - Accent6 3 2 8" xfId="13977"/>
    <cellStyle name="40% - Accent6 3 3" xfId="13760"/>
    <cellStyle name="40% - Accent6 3 4" xfId="16943"/>
    <cellStyle name="40% - Accent6 3 5" xfId="7178"/>
    <cellStyle name="40% - Accent6 4" xfId="590"/>
    <cellStyle name="40% - Accent6 4 10" xfId="20458"/>
    <cellStyle name="40% - Accent6 4 11" xfId="7179"/>
    <cellStyle name="40% - Accent6 4 2" xfId="857"/>
    <cellStyle name="40% - Accent6 4 2 2" xfId="1131"/>
    <cellStyle name="40% - Accent6 4 2 2 2" xfId="1790"/>
    <cellStyle name="40% - Accent6 4 2 2 2 2" xfId="3767"/>
    <cellStyle name="40% - Accent6 4 2 2 2 2 2" xfId="15835"/>
    <cellStyle name="40% - Accent6 4 2 2 2 3" xfId="3218"/>
    <cellStyle name="40% - Accent6 4 2 2 2 3 2" xfId="16303"/>
    <cellStyle name="40% - Accent6 4 2 2 2 4" xfId="17623"/>
    <cellStyle name="40% - Accent6 4 2 2 2 5" xfId="19369"/>
    <cellStyle name="40% - Accent6 4 2 2 2 6" xfId="14945"/>
    <cellStyle name="40% - Accent6 4 2 2 3" xfId="3766"/>
    <cellStyle name="40% - Accent6 4 2 2 3 2" xfId="18257"/>
    <cellStyle name="40% - Accent6 4 2 2 4" xfId="2562"/>
    <cellStyle name="40% - Accent6 4 2 2 4 2" xfId="16592"/>
    <cellStyle name="40% - Accent6 4 2 2 5" xfId="17416"/>
    <cellStyle name="40% - Accent6 4 2 2 6" xfId="19941"/>
    <cellStyle name="40% - Accent6 4 2 2 7" xfId="14311"/>
    <cellStyle name="40% - Accent6 4 2 3" xfId="1516"/>
    <cellStyle name="40% - Accent6 4 2 3 2" xfId="3768"/>
    <cellStyle name="40% - Accent6 4 2 3 2 2" xfId="19039"/>
    <cellStyle name="40% - Accent6 4 2 3 3" xfId="2944"/>
    <cellStyle name="40% - Accent6 4 2 3 3 2" xfId="15978"/>
    <cellStyle name="40% - Accent6 4 2 3 4" xfId="17535"/>
    <cellStyle name="40% - Accent6 4 2 3 5" xfId="19641"/>
    <cellStyle name="40% - Accent6 4 2 3 6" xfId="14682"/>
    <cellStyle name="40% - Accent6 4 2 4" xfId="3765"/>
    <cellStyle name="40% - Accent6 4 2 4 2" xfId="18393"/>
    <cellStyle name="40% - Accent6 4 2 5" xfId="2288"/>
    <cellStyle name="40% - Accent6 4 2 5 2" xfId="18434"/>
    <cellStyle name="40% - Accent6 4 2 6" xfId="16162"/>
    <cellStyle name="40% - Accent6 4 2 7" xfId="20215"/>
    <cellStyle name="40% - Accent6 4 2 8" xfId="14061"/>
    <cellStyle name="40% - Accent6 4 3" xfId="713"/>
    <cellStyle name="40% - Accent6 4 3 2" xfId="1380"/>
    <cellStyle name="40% - Accent6 4 3 2 2" xfId="3770"/>
    <cellStyle name="40% - Accent6 4 3 2 2 2" xfId="17559"/>
    <cellStyle name="40% - Accent6 4 3 2 3" xfId="2808"/>
    <cellStyle name="40% - Accent6 4 3 2 3 2" xfId="16755"/>
    <cellStyle name="40% - Accent6 4 3 2 4" xfId="18083"/>
    <cellStyle name="40% - Accent6 4 3 2 5" xfId="19775"/>
    <cellStyle name="40% - Accent6 4 3 2 6" xfId="14557"/>
    <cellStyle name="40% - Accent6 4 3 3" xfId="3769"/>
    <cellStyle name="40% - Accent6 4 3 3 2" xfId="16347"/>
    <cellStyle name="40% - Accent6 4 3 4" xfId="2152"/>
    <cellStyle name="40% - Accent6 4 3 4 2" xfId="17792"/>
    <cellStyle name="40% - Accent6 4 3 5" xfId="16456"/>
    <cellStyle name="40% - Accent6 4 3 6" xfId="20351"/>
    <cellStyle name="40% - Accent6 4 3 7" xfId="13949"/>
    <cellStyle name="40% - Accent6 4 4" xfId="995"/>
    <cellStyle name="40% - Accent6 4 4 2" xfId="1654"/>
    <cellStyle name="40% - Accent6 4 4 2 2" xfId="3772"/>
    <cellStyle name="40% - Accent6 4 4 2 2 2" xfId="16348"/>
    <cellStyle name="40% - Accent6 4 4 2 3" xfId="3082"/>
    <cellStyle name="40% - Accent6 4 4 2 3 2" xfId="17586"/>
    <cellStyle name="40% - Accent6 4 4 2 4" xfId="15320"/>
    <cellStyle name="40% - Accent6 4 4 2 5" xfId="19503"/>
    <cellStyle name="40% - Accent6 4 4 2 6" xfId="14820"/>
    <cellStyle name="40% - Accent6 4 4 3" xfId="3771"/>
    <cellStyle name="40% - Accent6 4 4 3 2" xfId="16069"/>
    <cellStyle name="40% - Accent6 4 4 4" xfId="2426"/>
    <cellStyle name="40% - Accent6 4 4 4 2" xfId="18222"/>
    <cellStyle name="40% - Accent6 4 4 5" xfId="16130"/>
    <cellStyle name="40% - Accent6 4 4 6" xfId="20077"/>
    <cellStyle name="40% - Accent6 4 4 7" xfId="14199"/>
    <cellStyle name="40% - Accent6 4 5" xfId="1275"/>
    <cellStyle name="40% - Accent6 4 5 2" xfId="3773"/>
    <cellStyle name="40% - Accent6 4 5 2 2" xfId="16349"/>
    <cellStyle name="40% - Accent6 4 5 3" xfId="2703"/>
    <cellStyle name="40% - Accent6 4 5 3 2" xfId="16675"/>
    <cellStyle name="40% - Accent6 4 5 4" xfId="18898"/>
    <cellStyle name="40% - Accent6 4 5 5" xfId="19850"/>
    <cellStyle name="40% - Accent6 4 5 6" xfId="14452"/>
    <cellStyle name="40% - Accent6 4 6" xfId="3764"/>
    <cellStyle name="40% - Accent6 4 6 2" xfId="13843"/>
    <cellStyle name="40% - Accent6 4 7" xfId="2045"/>
    <cellStyle name="40% - Accent6 4 7 2" xfId="18602"/>
    <cellStyle name="40% - Accent6 4 8" xfId="16441"/>
    <cellStyle name="40% - Accent6 4 9" xfId="16944"/>
    <cellStyle name="40% - Accent6 5" xfId="780"/>
    <cellStyle name="40% - Accent6 5 2" xfId="1061"/>
    <cellStyle name="40% - Accent6 5 2 2" xfId="1720"/>
    <cellStyle name="40% - Accent6 5 2 2 2" xfId="3776"/>
    <cellStyle name="40% - Accent6 5 2 2 2 2" xfId="16089"/>
    <cellStyle name="40% - Accent6 5 2 2 3" xfId="3148"/>
    <cellStyle name="40% - Accent6 5 2 2 3 2" xfId="15874"/>
    <cellStyle name="40% - Accent6 5 2 2 4" xfId="17876"/>
    <cellStyle name="40% - Accent6 5 2 2 5" xfId="19439"/>
    <cellStyle name="40% - Accent6 5 2 2 6" xfId="13198"/>
    <cellStyle name="40% - Accent6 5 2 3" xfId="3775"/>
    <cellStyle name="40% - Accent6 5 2 3 2" xfId="17689"/>
    <cellStyle name="40% - Accent6 5 2 4" xfId="2492"/>
    <cellStyle name="40% - Accent6 5 2 4 2" xfId="16098"/>
    <cellStyle name="40% - Accent6 5 2 5" xfId="16529"/>
    <cellStyle name="40% - Accent6 5 2 6" xfId="20011"/>
    <cellStyle name="40% - Accent6 5 2 7" xfId="7181"/>
    <cellStyle name="40% - Accent6 5 3" xfId="1446"/>
    <cellStyle name="40% - Accent6 5 3 2" xfId="3777"/>
    <cellStyle name="40% - Accent6 5 3 2 2" xfId="18739"/>
    <cellStyle name="40% - Accent6 5 3 3" xfId="2874"/>
    <cellStyle name="40% - Accent6 5 3 3 2" xfId="16076"/>
    <cellStyle name="40% - Accent6 5 3 4" xfId="17854"/>
    <cellStyle name="40% - Accent6 5 3 5" xfId="19711"/>
    <cellStyle name="40% - Accent6 5 3 6" xfId="13199"/>
    <cellStyle name="40% - Accent6 5 4" xfId="3774"/>
    <cellStyle name="40% - Accent6 5 4 2" xfId="17898"/>
    <cellStyle name="40% - Accent6 5 5" xfId="2218"/>
    <cellStyle name="40% - Accent6 5 5 2" xfId="17374"/>
    <cellStyle name="40% - Accent6 5 6" xfId="18307"/>
    <cellStyle name="40% - Accent6 5 7" xfId="20285"/>
    <cellStyle name="40% - Accent6 5 8" xfId="7180"/>
    <cellStyle name="40% - Accent6 6" xfId="791"/>
    <cellStyle name="40% - Accent6 6 2" xfId="1070"/>
    <cellStyle name="40% - Accent6 6 2 2" xfId="1729"/>
    <cellStyle name="40% - Accent6 6 2 2 2" xfId="3780"/>
    <cellStyle name="40% - Accent6 6 2 2 2 2" xfId="15897"/>
    <cellStyle name="40% - Accent6 6 2 2 3" xfId="3157"/>
    <cellStyle name="40% - Accent6 6 2 2 3 2" xfId="16793"/>
    <cellStyle name="40% - Accent6 6 2 2 4" xfId="17841"/>
    <cellStyle name="40% - Accent6 6 2 2 5" xfId="19430"/>
    <cellStyle name="40% - Accent6 6 2 2 6" xfId="14884"/>
    <cellStyle name="40% - Accent6 6 2 3" xfId="3779"/>
    <cellStyle name="40% - Accent6 6 2 3 2" xfId="15772"/>
    <cellStyle name="40% - Accent6 6 2 4" xfId="2501"/>
    <cellStyle name="40% - Accent6 6 2 4 2" xfId="19024"/>
    <cellStyle name="40% - Accent6 6 2 5" xfId="18332"/>
    <cellStyle name="40% - Accent6 6 2 6" xfId="20002"/>
    <cellStyle name="40% - Accent6 6 2 7" xfId="13200"/>
    <cellStyle name="40% - Accent6 6 3" xfId="1455"/>
    <cellStyle name="40% - Accent6 6 3 2" xfId="3781"/>
    <cellStyle name="40% - Accent6 6 3 2 2" xfId="18413"/>
    <cellStyle name="40% - Accent6 6 3 3" xfId="2883"/>
    <cellStyle name="40% - Accent6 6 3 3 2" xfId="18047"/>
    <cellStyle name="40% - Accent6 6 3 4" xfId="17983"/>
    <cellStyle name="40% - Accent6 6 3 5" xfId="19702"/>
    <cellStyle name="40% - Accent6 6 3 6" xfId="14621"/>
    <cellStyle name="40% - Accent6 6 4" xfId="3778"/>
    <cellStyle name="40% - Accent6 6 4 2" xfId="18852"/>
    <cellStyle name="40% - Accent6 6 5" xfId="2227"/>
    <cellStyle name="40% - Accent6 6 5 2" xfId="15652"/>
    <cellStyle name="40% - Accent6 6 6" xfId="18308"/>
    <cellStyle name="40% - Accent6 6 7" xfId="20276"/>
    <cellStyle name="40% - Accent6 6 8" xfId="7182"/>
    <cellStyle name="40% - Accent6 7" xfId="901"/>
    <cellStyle name="40% - Accent6 7 2" xfId="1175"/>
    <cellStyle name="40% - Accent6 7 2 2" xfId="1834"/>
    <cellStyle name="40% - Accent6 7 2 2 2" xfId="3784"/>
    <cellStyle name="40% - Accent6 7 2 2 2 2" xfId="19031"/>
    <cellStyle name="40% - Accent6 7 2 2 3" xfId="3262"/>
    <cellStyle name="40% - Accent6 7 2 2 3 2" xfId="17880"/>
    <cellStyle name="40% - Accent6 7 2 2 4" xfId="17163"/>
    <cellStyle name="40% - Accent6 7 2 2 5" xfId="19325"/>
    <cellStyle name="40% - Accent6 7 2 2 6" xfId="14989"/>
    <cellStyle name="40% - Accent6 7 2 3" xfId="3783"/>
    <cellStyle name="40% - Accent6 7 2 3 2" xfId="18250"/>
    <cellStyle name="40% - Accent6 7 2 4" xfId="2606"/>
    <cellStyle name="40% - Accent6 7 2 4 2" xfId="18240"/>
    <cellStyle name="40% - Accent6 7 2 5" xfId="17131"/>
    <cellStyle name="40% - Accent6 7 2 6" xfId="19926"/>
    <cellStyle name="40% - Accent6 7 2 7" xfId="14355"/>
    <cellStyle name="40% - Accent6 7 3" xfId="1560"/>
    <cellStyle name="40% - Accent6 7 3 2" xfId="3785"/>
    <cellStyle name="40% - Accent6 7 3 2 2" xfId="18206"/>
    <cellStyle name="40% - Accent6 7 3 3" xfId="2988"/>
    <cellStyle name="40% - Accent6 7 3 3 2" xfId="15769"/>
    <cellStyle name="40% - Accent6 7 3 4" xfId="18043"/>
    <cellStyle name="40% - Accent6 7 3 5" xfId="19597"/>
    <cellStyle name="40% - Accent6 7 3 6" xfId="14726"/>
    <cellStyle name="40% - Accent6 7 4" xfId="3782"/>
    <cellStyle name="40% - Accent6 7 4 2" xfId="14105"/>
    <cellStyle name="40% - Accent6 7 5" xfId="2332"/>
    <cellStyle name="40% - Accent6 7 5 2" xfId="15981"/>
    <cellStyle name="40% - Accent6 7 6" xfId="18734"/>
    <cellStyle name="40% - Accent6 7 7" xfId="16945"/>
    <cellStyle name="40% - Accent6 7 8" xfId="20171"/>
    <cellStyle name="40% - Accent6 7 9" xfId="7183"/>
    <cellStyle name="40% - Accent6 8" xfId="903"/>
    <cellStyle name="40% - Accent6 8 2" xfId="1177"/>
    <cellStyle name="40% - Accent6 8 2 2" xfId="1836"/>
    <cellStyle name="40% - Accent6 8 2 2 2" xfId="3788"/>
    <cellStyle name="40% - Accent6 8 2 2 2 2" xfId="18849"/>
    <cellStyle name="40% - Accent6 8 2 2 3" xfId="3264"/>
    <cellStyle name="40% - Accent6 8 2 2 3 2" xfId="18024"/>
    <cellStyle name="40% - Accent6 8 2 2 4" xfId="15542"/>
    <cellStyle name="40% - Accent6 8 2 2 5" xfId="19323"/>
    <cellStyle name="40% - Accent6 8 2 2 6" xfId="14991"/>
    <cellStyle name="40% - Accent6 8 2 3" xfId="3787"/>
    <cellStyle name="40% - Accent6 8 2 3 2" xfId="18399"/>
    <cellStyle name="40% - Accent6 8 2 4" xfId="2608"/>
    <cellStyle name="40% - Accent6 8 2 4 2" xfId="18495"/>
    <cellStyle name="40% - Accent6 8 2 5" xfId="18949"/>
    <cellStyle name="40% - Accent6 8 2 6" xfId="20689"/>
    <cellStyle name="40% - Accent6 8 2 7" xfId="14357"/>
    <cellStyle name="40% - Accent6 8 3" xfId="1562"/>
    <cellStyle name="40% - Accent6 8 3 2" xfId="3789"/>
    <cellStyle name="40% - Accent6 8 3 2 2" xfId="19009"/>
    <cellStyle name="40% - Accent6 8 3 3" xfId="2990"/>
    <cellStyle name="40% - Accent6 8 3 3 2" xfId="18846"/>
    <cellStyle name="40% - Accent6 8 3 4" xfId="17611"/>
    <cellStyle name="40% - Accent6 8 3 5" xfId="19595"/>
    <cellStyle name="40% - Accent6 8 3 6" xfId="14728"/>
    <cellStyle name="40% - Accent6 8 4" xfId="3786"/>
    <cellStyle name="40% - Accent6 8 4 2" xfId="14107"/>
    <cellStyle name="40% - Accent6 8 5" xfId="2334"/>
    <cellStyle name="40% - Accent6 8 5 2" xfId="18725"/>
    <cellStyle name="40% - Accent6 8 6" xfId="18864"/>
    <cellStyle name="40% - Accent6 8 7" xfId="20654"/>
    <cellStyle name="40% - Accent6 8 8" xfId="20169"/>
    <cellStyle name="40% - Accent6 8 9" xfId="13304"/>
    <cellStyle name="40% - Accent6 9" xfId="918"/>
    <cellStyle name="40% - Accent6 9 2" xfId="1192"/>
    <cellStyle name="40% - Accent6 9 2 2" xfId="1851"/>
    <cellStyle name="40% - Accent6 9 2 2 2" xfId="3792"/>
    <cellStyle name="40% - Accent6 9 2 2 2 2" xfId="15823"/>
    <cellStyle name="40% - Accent6 9 2 2 3" xfId="3279"/>
    <cellStyle name="40% - Accent6 9 2 2 3 2" xfId="17508"/>
    <cellStyle name="40% - Accent6 9 2 2 4" xfId="15508"/>
    <cellStyle name="40% - Accent6 9 2 2 5" xfId="19308"/>
    <cellStyle name="40% - Accent6 9 2 2 6" xfId="15006"/>
    <cellStyle name="40% - Accent6 9 2 3" xfId="3791"/>
    <cellStyle name="40% - Accent6 9 2 3 2" xfId="15882"/>
    <cellStyle name="40% - Accent6 9 2 4" xfId="2623"/>
    <cellStyle name="40% - Accent6 9 2 4 2" xfId="16099"/>
    <cellStyle name="40% - Accent6 9 2 5" xfId="17135"/>
    <cellStyle name="40% - Accent6 9 2 6" xfId="20684"/>
    <cellStyle name="40% - Accent6 9 2 7" xfId="14372"/>
    <cellStyle name="40% - Accent6 9 3" xfId="1577"/>
    <cellStyle name="40% - Accent6 9 3 2" xfId="3793"/>
    <cellStyle name="40% - Accent6 9 3 2 2" xfId="15913"/>
    <cellStyle name="40% - Accent6 9 3 3" xfId="3005"/>
    <cellStyle name="40% - Accent6 9 3 3 2" xfId="18036"/>
    <cellStyle name="40% - Accent6 9 3 4" xfId="17761"/>
    <cellStyle name="40% - Accent6 9 3 5" xfId="19580"/>
    <cellStyle name="40% - Accent6 9 3 6" xfId="14743"/>
    <cellStyle name="40% - Accent6 9 4" xfId="3790"/>
    <cellStyle name="40% - Accent6 9 4 2" xfId="14122"/>
    <cellStyle name="40% - Accent6 9 5" xfId="2349"/>
    <cellStyle name="40% - Accent6 9 5 2" xfId="15102"/>
    <cellStyle name="40% - Accent6 9 6" xfId="18706"/>
    <cellStyle name="40% - Accent6 9 7" xfId="20702"/>
    <cellStyle name="40% - Accent6 9 8" xfId="20154"/>
    <cellStyle name="40% - Accent6 9 9" xfId="13441"/>
    <cellStyle name="4M" xfId="7184"/>
    <cellStyle name="4M 2" xfId="7185"/>
    <cellStyle name="4M 2 2" xfId="7186"/>
    <cellStyle name="4M 2_6.1 Contingency Allocation" xfId="20943"/>
    <cellStyle name="4M 3" xfId="7187"/>
    <cellStyle name="4M_6.1 Contingency Allocation" xfId="20944"/>
    <cellStyle name="5x indented GHG Textfiels" xfId="66"/>
    <cellStyle name="60% - Accent1" xfId="322" builtinId="32" customBuiltin="1"/>
    <cellStyle name="60% - Accent1 10" xfId="13525"/>
    <cellStyle name="60% - Accent1 2" xfId="67"/>
    <cellStyle name="60% - Accent1 2 2" xfId="68"/>
    <cellStyle name="60% - Accent1 2 2 2" xfId="69"/>
    <cellStyle name="60% - Accent1 2 2 3" xfId="70"/>
    <cellStyle name="60% - Accent1 2 3" xfId="370"/>
    <cellStyle name="60% - Accent1 2 4" xfId="465"/>
    <cellStyle name="60% - Accent1 2 5" xfId="16946"/>
    <cellStyle name="60% - Accent1 2 6" xfId="7188"/>
    <cellStyle name="60% - Accent1 2_SSP report" xfId="371"/>
    <cellStyle name="60% - Accent1 3" xfId="466"/>
    <cellStyle name="60% - Accent1 3 2" xfId="13761"/>
    <cellStyle name="60% - Accent1 3 3" xfId="16947"/>
    <cellStyle name="60% - Accent1 3 4" xfId="7189"/>
    <cellStyle name="60% - Accent1 4" xfId="3794"/>
    <cellStyle name="60% - Accent1 4 2" xfId="16948"/>
    <cellStyle name="60% - Accent1 4 3" xfId="20827"/>
    <cellStyle name="60% - Accent1 4 4" xfId="20800"/>
    <cellStyle name="60% - Accent1 4 5" xfId="7190"/>
    <cellStyle name="60% - Accent1 5" xfId="7191"/>
    <cellStyle name="60% - Accent1 6" xfId="7192"/>
    <cellStyle name="60% - Accent1 7" xfId="13305"/>
    <cellStyle name="60% - Accent1 8" xfId="13442"/>
    <cellStyle name="60% - Accent1 9" xfId="13480"/>
    <cellStyle name="60% - Accent2" xfId="326" builtinId="36" customBuiltin="1"/>
    <cellStyle name="60% - Accent2 10" xfId="13524"/>
    <cellStyle name="60% - Accent2 2" xfId="71"/>
    <cellStyle name="60% - Accent2 2 2" xfId="72"/>
    <cellStyle name="60% - Accent2 2 2 2" xfId="73"/>
    <cellStyle name="60% - Accent2 2 2 3" xfId="74"/>
    <cellStyle name="60% - Accent2 2 3" xfId="372"/>
    <cellStyle name="60% - Accent2 2 4" xfId="467"/>
    <cellStyle name="60% - Accent2 2 5" xfId="16949"/>
    <cellStyle name="60% - Accent2 2 6" xfId="7193"/>
    <cellStyle name="60% - Accent2 2_SSP report" xfId="373"/>
    <cellStyle name="60% - Accent2 3" xfId="468"/>
    <cellStyle name="60% - Accent2 3 2" xfId="13762"/>
    <cellStyle name="60% - Accent2 3 3" xfId="16950"/>
    <cellStyle name="60% - Accent2 3 4" xfId="7194"/>
    <cellStyle name="60% - Accent2 4" xfId="3795"/>
    <cellStyle name="60% - Accent2 4 2" xfId="16951"/>
    <cellStyle name="60% - Accent2 4 3" xfId="20828"/>
    <cellStyle name="60% - Accent2 4 4" xfId="20814"/>
    <cellStyle name="60% - Accent2 4 5" xfId="7195"/>
    <cellStyle name="60% - Accent2 5" xfId="7196"/>
    <cellStyle name="60% - Accent2 6" xfId="7197"/>
    <cellStyle name="60% - Accent2 7" xfId="13306"/>
    <cellStyle name="60% - Accent2 8" xfId="13443"/>
    <cellStyle name="60% - Accent2 9" xfId="13481"/>
    <cellStyle name="60% - Accent3" xfId="330" builtinId="40" customBuiltin="1"/>
    <cellStyle name="60% - Accent3 10" xfId="13523"/>
    <cellStyle name="60% - Accent3 2" xfId="75"/>
    <cellStyle name="60% - Accent3 2 2" xfId="76"/>
    <cellStyle name="60% - Accent3 2 2 2" xfId="77"/>
    <cellStyle name="60% - Accent3 2 2 3" xfId="78"/>
    <cellStyle name="60% - Accent3 2 3" xfId="374"/>
    <cellStyle name="60% - Accent3 2 4" xfId="469"/>
    <cellStyle name="60% - Accent3 2 5" xfId="16952"/>
    <cellStyle name="60% - Accent3 2 6" xfId="7198"/>
    <cellStyle name="60% - Accent3 2_SSP report" xfId="375"/>
    <cellStyle name="60% - Accent3 3" xfId="470"/>
    <cellStyle name="60% - Accent3 3 2" xfId="13763"/>
    <cellStyle name="60% - Accent3 3 3" xfId="16953"/>
    <cellStyle name="60% - Accent3 3 4" xfId="7199"/>
    <cellStyle name="60% - Accent3 4" xfId="3796"/>
    <cellStyle name="60% - Accent3 4 2" xfId="16954"/>
    <cellStyle name="60% - Accent3 4 3" xfId="20829"/>
    <cellStyle name="60% - Accent3 4 4" xfId="20850"/>
    <cellStyle name="60% - Accent3 4 5" xfId="7200"/>
    <cellStyle name="60% - Accent3 5" xfId="7201"/>
    <cellStyle name="60% - Accent3 6" xfId="7202"/>
    <cellStyle name="60% - Accent3 7" xfId="13307"/>
    <cellStyle name="60% - Accent3 8" xfId="13444"/>
    <cellStyle name="60% - Accent3 9" xfId="13482"/>
    <cellStyle name="60% - Accent4" xfId="334" builtinId="44" customBuiltin="1"/>
    <cellStyle name="60% - Accent4 10" xfId="13522"/>
    <cellStyle name="60% - Accent4 2" xfId="79"/>
    <cellStyle name="60% - Accent4 2 2" xfId="80"/>
    <cellStyle name="60% - Accent4 2 2 2" xfId="81"/>
    <cellStyle name="60% - Accent4 2 2 3" xfId="82"/>
    <cellStyle name="60% - Accent4 2 3" xfId="376"/>
    <cellStyle name="60% - Accent4 2 4" xfId="471"/>
    <cellStyle name="60% - Accent4 2 5" xfId="16955"/>
    <cellStyle name="60% - Accent4 2 6" xfId="7203"/>
    <cellStyle name="60% - Accent4 2_SSP report" xfId="377"/>
    <cellStyle name="60% - Accent4 3" xfId="472"/>
    <cellStyle name="60% - Accent4 3 2" xfId="13764"/>
    <cellStyle name="60% - Accent4 3 3" xfId="16956"/>
    <cellStyle name="60% - Accent4 3 4" xfId="7204"/>
    <cellStyle name="60% - Accent4 4" xfId="3797"/>
    <cellStyle name="60% - Accent4 4 2" xfId="16957"/>
    <cellStyle name="60% - Accent4 4 3" xfId="20830"/>
    <cellStyle name="60% - Accent4 4 4" xfId="20797"/>
    <cellStyle name="60% - Accent4 4 5" xfId="7205"/>
    <cellStyle name="60% - Accent4 5" xfId="7206"/>
    <cellStyle name="60% - Accent4 6" xfId="7207"/>
    <cellStyle name="60% - Accent4 7" xfId="13308"/>
    <cellStyle name="60% - Accent4 8" xfId="13445"/>
    <cellStyle name="60% - Accent4 9" xfId="13483"/>
    <cellStyle name="60% - Accent5" xfId="338" builtinId="48" customBuiltin="1"/>
    <cellStyle name="60% - Accent5 10" xfId="13521"/>
    <cellStyle name="60% - Accent5 2" xfId="83"/>
    <cellStyle name="60% - Accent5 2 2" xfId="84"/>
    <cellStyle name="60% - Accent5 2 2 2" xfId="85"/>
    <cellStyle name="60% - Accent5 2 2 3" xfId="86"/>
    <cellStyle name="60% - Accent5 2 3" xfId="378"/>
    <cellStyle name="60% - Accent5 2 4" xfId="473"/>
    <cellStyle name="60% - Accent5 2 5" xfId="16958"/>
    <cellStyle name="60% - Accent5 2 6" xfId="7208"/>
    <cellStyle name="60% - Accent5 2_SSP report" xfId="379"/>
    <cellStyle name="60% - Accent5 3" xfId="474"/>
    <cellStyle name="60% - Accent5 3 2" xfId="13765"/>
    <cellStyle name="60% - Accent5 3 3" xfId="16959"/>
    <cellStyle name="60% - Accent5 3 4" xfId="7209"/>
    <cellStyle name="60% - Accent5 4" xfId="3798"/>
    <cellStyle name="60% - Accent5 4 2" xfId="16960"/>
    <cellStyle name="60% - Accent5 4 3" xfId="20831"/>
    <cellStyle name="60% - Accent5 4 4" xfId="20810"/>
    <cellStyle name="60% - Accent5 4 5" xfId="7210"/>
    <cellStyle name="60% - Accent5 5" xfId="7211"/>
    <cellStyle name="60% - Accent5 6" xfId="7212"/>
    <cellStyle name="60% - Accent5 7" xfId="13309"/>
    <cellStyle name="60% - Accent5 8" xfId="13446"/>
    <cellStyle name="60% - Accent5 9" xfId="13484"/>
    <cellStyle name="60% - Accent6" xfId="342" builtinId="52" customBuiltin="1"/>
    <cellStyle name="60% - Accent6 10" xfId="13520"/>
    <cellStyle name="60% - Accent6 2" xfId="87"/>
    <cellStyle name="60% - Accent6 2 2" xfId="88"/>
    <cellStyle name="60% - Accent6 2 2 2" xfId="89"/>
    <cellStyle name="60% - Accent6 2 2 3" xfId="90"/>
    <cellStyle name="60% - Accent6 2 3" xfId="380"/>
    <cellStyle name="60% - Accent6 2 4" xfId="475"/>
    <cellStyle name="60% - Accent6 2 5" xfId="16961"/>
    <cellStyle name="60% - Accent6 2 6" xfId="7213"/>
    <cellStyle name="60% - Accent6 2_SSP report" xfId="381"/>
    <cellStyle name="60% - Accent6 3" xfId="476"/>
    <cellStyle name="60% - Accent6 3 2" xfId="13766"/>
    <cellStyle name="60% - Accent6 3 3" xfId="16962"/>
    <cellStyle name="60% - Accent6 3 4" xfId="7214"/>
    <cellStyle name="60% - Accent6 4" xfId="3799"/>
    <cellStyle name="60% - Accent6 4 2" xfId="16963"/>
    <cellStyle name="60% - Accent6 4 3" xfId="20832"/>
    <cellStyle name="60% - Accent6 4 4" xfId="20822"/>
    <cellStyle name="60% - Accent6 4 5" xfId="7215"/>
    <cellStyle name="60% - Accent6 5" xfId="7216"/>
    <cellStyle name="60% - Accent6 6" xfId="7217"/>
    <cellStyle name="60% - Accent6 7" xfId="13310"/>
    <cellStyle name="60% - Accent6 8" xfId="13447"/>
    <cellStyle name="60% - Accent6 9" xfId="13485"/>
    <cellStyle name="a_data" xfId="13311"/>
    <cellStyle name="a_formula" xfId="13312"/>
    <cellStyle name="a_input" xfId="13313"/>
    <cellStyle name="Accent1" xfId="319" builtinId="29" customBuiltin="1"/>
    <cellStyle name="Accent1 - 20%" xfId="7218"/>
    <cellStyle name="Accent1 - 40%" xfId="7219"/>
    <cellStyle name="Accent1 - 60%" xfId="7220"/>
    <cellStyle name="Accent1 10" xfId="7221"/>
    <cellStyle name="Accent1 11" xfId="7222"/>
    <cellStyle name="Accent1 12" xfId="7223"/>
    <cellStyle name="Accent1 13" xfId="7224"/>
    <cellStyle name="Accent1 14" xfId="7225"/>
    <cellStyle name="Accent1 15" xfId="7226"/>
    <cellStyle name="Accent1 16" xfId="7227"/>
    <cellStyle name="Accent1 17" xfId="7228"/>
    <cellStyle name="Accent1 18" xfId="7229"/>
    <cellStyle name="Accent1 19" xfId="7230"/>
    <cellStyle name="Accent1 2" xfId="91"/>
    <cellStyle name="Accent1 2 2" xfId="92"/>
    <cellStyle name="Accent1 2 2 2" xfId="93"/>
    <cellStyle name="Accent1 2 2 3" xfId="94"/>
    <cellStyle name="Accent1 2 3" xfId="382"/>
    <cellStyle name="Accent1 2 4" xfId="477"/>
    <cellStyle name="Accent1 2 5" xfId="16964"/>
    <cellStyle name="Accent1 2 6" xfId="7231"/>
    <cellStyle name="Accent1 2_SSP report" xfId="383"/>
    <cellStyle name="Accent1 20" xfId="13314"/>
    <cellStyle name="Accent1 21" xfId="13448"/>
    <cellStyle name="Accent1 22" xfId="13486"/>
    <cellStyle name="Accent1 23" xfId="13519"/>
    <cellStyle name="Accent1 24" xfId="13531"/>
    <cellStyle name="Accent1 25" xfId="13549"/>
    <cellStyle name="Accent1 26" xfId="13604"/>
    <cellStyle name="Accent1 27" xfId="13615"/>
    <cellStyle name="Accent1 3" xfId="478"/>
    <cellStyle name="Accent1 3 2" xfId="13767"/>
    <cellStyle name="Accent1 3 3" xfId="16965"/>
    <cellStyle name="Accent1 3 4" xfId="7232"/>
    <cellStyle name="Accent1 4" xfId="3800"/>
    <cellStyle name="Accent1 4 2" xfId="16966"/>
    <cellStyle name="Accent1 4 3" xfId="20833"/>
    <cellStyle name="Accent1 4 4" xfId="20854"/>
    <cellStyle name="Accent1 4 5" xfId="7233"/>
    <cellStyle name="Accent1 5" xfId="7234"/>
    <cellStyle name="Accent1 6" xfId="7235"/>
    <cellStyle name="Accent1 7" xfId="7236"/>
    <cellStyle name="Accent1 8" xfId="7237"/>
    <cellStyle name="Accent1 9" xfId="7238"/>
    <cellStyle name="Accent2" xfId="323" builtinId="33" customBuiltin="1"/>
    <cellStyle name="Accent2 - 20%" xfId="7239"/>
    <cellStyle name="Accent2 - 40%" xfId="7240"/>
    <cellStyle name="Accent2 - 60%" xfId="7241"/>
    <cellStyle name="Accent2 10" xfId="7242"/>
    <cellStyle name="Accent2 11" xfId="7243"/>
    <cellStyle name="Accent2 12" xfId="7244"/>
    <cellStyle name="Accent2 13" xfId="7245"/>
    <cellStyle name="Accent2 14" xfId="7246"/>
    <cellStyle name="Accent2 15" xfId="7247"/>
    <cellStyle name="Accent2 16" xfId="7248"/>
    <cellStyle name="Accent2 17" xfId="7249"/>
    <cellStyle name="Accent2 18" xfId="7250"/>
    <cellStyle name="Accent2 19" xfId="7251"/>
    <cellStyle name="Accent2 2" xfId="95"/>
    <cellStyle name="Accent2 2 2" xfId="96"/>
    <cellStyle name="Accent2 2 2 2" xfId="97"/>
    <cellStyle name="Accent2 2 2 3" xfId="98"/>
    <cellStyle name="Accent2 2 3" xfId="384"/>
    <cellStyle name="Accent2 2 4" xfId="479"/>
    <cellStyle name="Accent2 2 5" xfId="16967"/>
    <cellStyle name="Accent2 2 6" xfId="7252"/>
    <cellStyle name="Accent2 2_SSP report" xfId="385"/>
    <cellStyle name="Accent2 20" xfId="13315"/>
    <cellStyle name="Accent2 21" xfId="13449"/>
    <cellStyle name="Accent2 22" xfId="13487"/>
    <cellStyle name="Accent2 23" xfId="13518"/>
    <cellStyle name="Accent2 24" xfId="13532"/>
    <cellStyle name="Accent2 25" xfId="13550"/>
    <cellStyle name="Accent2 26" xfId="13605"/>
    <cellStyle name="Accent2 27" xfId="13616"/>
    <cellStyle name="Accent2 3" xfId="480"/>
    <cellStyle name="Accent2 3 2" xfId="13768"/>
    <cellStyle name="Accent2 3 3" xfId="16968"/>
    <cellStyle name="Accent2 3 4" xfId="7253"/>
    <cellStyle name="Accent2 4" xfId="3801"/>
    <cellStyle name="Accent2 4 2" xfId="16969"/>
    <cellStyle name="Accent2 4 3" xfId="20834"/>
    <cellStyle name="Accent2 4 4" xfId="20792"/>
    <cellStyle name="Accent2 4 5" xfId="7254"/>
    <cellStyle name="Accent2 5" xfId="7255"/>
    <cellStyle name="Accent2 6" xfId="7256"/>
    <cellStyle name="Accent2 7" xfId="7257"/>
    <cellStyle name="Accent2 8" xfId="7258"/>
    <cellStyle name="Accent2 9" xfId="7259"/>
    <cellStyle name="Accent3" xfId="327" builtinId="37" customBuiltin="1"/>
    <cellStyle name="Accent3 - 20%" xfId="7260"/>
    <cellStyle name="Accent3 - 40%" xfId="7261"/>
    <cellStyle name="Accent3 - 60%" xfId="7262"/>
    <cellStyle name="Accent3 10" xfId="7263"/>
    <cellStyle name="Accent3 11" xfId="7264"/>
    <cellStyle name="Accent3 12" xfId="7265"/>
    <cellStyle name="Accent3 13" xfId="7266"/>
    <cellStyle name="Accent3 14" xfId="7267"/>
    <cellStyle name="Accent3 15" xfId="7268"/>
    <cellStyle name="Accent3 16" xfId="7269"/>
    <cellStyle name="Accent3 17" xfId="7270"/>
    <cellStyle name="Accent3 18" xfId="7271"/>
    <cellStyle name="Accent3 19" xfId="7272"/>
    <cellStyle name="Accent3 2" xfId="99"/>
    <cellStyle name="Accent3 2 2" xfId="100"/>
    <cellStyle name="Accent3 2 2 2" xfId="101"/>
    <cellStyle name="Accent3 2 2 3" xfId="102"/>
    <cellStyle name="Accent3 2 3" xfId="386"/>
    <cellStyle name="Accent3 2 4" xfId="481"/>
    <cellStyle name="Accent3 2 5" xfId="16970"/>
    <cellStyle name="Accent3 2 6" xfId="7273"/>
    <cellStyle name="Accent3 2_SSP report" xfId="387"/>
    <cellStyle name="Accent3 20" xfId="13316"/>
    <cellStyle name="Accent3 21" xfId="13450"/>
    <cellStyle name="Accent3 22" xfId="13488"/>
    <cellStyle name="Accent3 23" xfId="13517"/>
    <cellStyle name="Accent3 24" xfId="13533"/>
    <cellStyle name="Accent3 25" xfId="13551"/>
    <cellStyle name="Accent3 26" xfId="13606"/>
    <cellStyle name="Accent3 27" xfId="13617"/>
    <cellStyle name="Accent3 3" xfId="482"/>
    <cellStyle name="Accent3 3 2" xfId="13769"/>
    <cellStyle name="Accent3 3 3" xfId="16971"/>
    <cellStyle name="Accent3 3 4" xfId="7274"/>
    <cellStyle name="Accent3 4" xfId="3802"/>
    <cellStyle name="Accent3 4 2" xfId="16972"/>
    <cellStyle name="Accent3 4 3" xfId="20835"/>
    <cellStyle name="Accent3 4 4" xfId="20796"/>
    <cellStyle name="Accent3 4 5" xfId="7275"/>
    <cellStyle name="Accent3 5" xfId="7276"/>
    <cellStyle name="Accent3 6" xfId="7277"/>
    <cellStyle name="Accent3 7" xfId="7278"/>
    <cellStyle name="Accent3 8" xfId="7279"/>
    <cellStyle name="Accent3 9" xfId="7280"/>
    <cellStyle name="Accent4" xfId="331" builtinId="41" customBuiltin="1"/>
    <cellStyle name="Accent4 - 20%" xfId="7281"/>
    <cellStyle name="Accent4 - 40%" xfId="7282"/>
    <cellStyle name="Accent4 - 60%" xfId="7283"/>
    <cellStyle name="Accent4 10" xfId="7284"/>
    <cellStyle name="Accent4 11" xfId="7285"/>
    <cellStyle name="Accent4 12" xfId="7286"/>
    <cellStyle name="Accent4 13" xfId="7287"/>
    <cellStyle name="Accent4 14" xfId="7288"/>
    <cellStyle name="Accent4 15" xfId="7289"/>
    <cellStyle name="Accent4 16" xfId="7290"/>
    <cellStyle name="Accent4 17" xfId="7291"/>
    <cellStyle name="Accent4 18" xfId="7292"/>
    <cellStyle name="Accent4 19" xfId="7293"/>
    <cellStyle name="Accent4 2" xfId="103"/>
    <cellStyle name="Accent4 2 2" xfId="104"/>
    <cellStyle name="Accent4 2 2 2" xfId="105"/>
    <cellStyle name="Accent4 2 2 3" xfId="106"/>
    <cellStyle name="Accent4 2 3" xfId="388"/>
    <cellStyle name="Accent4 2 4" xfId="483"/>
    <cellStyle name="Accent4 2 5" xfId="16973"/>
    <cellStyle name="Accent4 2 6" xfId="7294"/>
    <cellStyle name="Accent4 2_SSP report" xfId="389"/>
    <cellStyle name="Accent4 20" xfId="13317"/>
    <cellStyle name="Accent4 21" xfId="13451"/>
    <cellStyle name="Accent4 22" xfId="13489"/>
    <cellStyle name="Accent4 23" xfId="13516"/>
    <cellStyle name="Accent4 24" xfId="13534"/>
    <cellStyle name="Accent4 25" xfId="13552"/>
    <cellStyle name="Accent4 26" xfId="13607"/>
    <cellStyle name="Accent4 27" xfId="13618"/>
    <cellStyle name="Accent4 3" xfId="484"/>
    <cellStyle name="Accent4 3 2" xfId="13770"/>
    <cellStyle name="Accent4 3 3" xfId="16974"/>
    <cellStyle name="Accent4 3 4" xfId="7295"/>
    <cellStyle name="Accent4 4" xfId="3803"/>
    <cellStyle name="Accent4 4 2" xfId="16975"/>
    <cellStyle name="Accent4 4 3" xfId="20836"/>
    <cellStyle name="Accent4 4 4" xfId="20808"/>
    <cellStyle name="Accent4 4 5" xfId="7296"/>
    <cellStyle name="Accent4 5" xfId="7297"/>
    <cellStyle name="Accent4 6" xfId="7298"/>
    <cellStyle name="Accent4 7" xfId="7299"/>
    <cellStyle name="Accent4 8" xfId="7300"/>
    <cellStyle name="Accent4 9" xfId="7301"/>
    <cellStyle name="Accent5" xfId="335" builtinId="45" customBuiltin="1"/>
    <cellStyle name="Accent5 - 20%" xfId="7302"/>
    <cellStyle name="Accent5 - 40%" xfId="7303"/>
    <cellStyle name="Accent5 - 60%" xfId="7304"/>
    <cellStyle name="Accent5 10" xfId="7305"/>
    <cellStyle name="Accent5 11" xfId="7306"/>
    <cellStyle name="Accent5 12" xfId="7307"/>
    <cellStyle name="Accent5 13" xfId="7308"/>
    <cellStyle name="Accent5 14" xfId="7309"/>
    <cellStyle name="Accent5 15" xfId="7310"/>
    <cellStyle name="Accent5 16" xfId="7311"/>
    <cellStyle name="Accent5 17" xfId="7312"/>
    <cellStyle name="Accent5 18" xfId="7313"/>
    <cellStyle name="Accent5 19" xfId="7314"/>
    <cellStyle name="Accent5 2" xfId="107"/>
    <cellStyle name="Accent5 2 2" xfId="108"/>
    <cellStyle name="Accent5 2 2 2" xfId="109"/>
    <cellStyle name="Accent5 2 2 3" xfId="110"/>
    <cellStyle name="Accent5 2 3" xfId="390"/>
    <cellStyle name="Accent5 2 4" xfId="485"/>
    <cellStyle name="Accent5 2 5" xfId="19219"/>
    <cellStyle name="Accent5 2 6" xfId="7315"/>
    <cellStyle name="Accent5 2_SSP report" xfId="391"/>
    <cellStyle name="Accent5 20" xfId="13318"/>
    <cellStyle name="Accent5 21" xfId="13452"/>
    <cellStyle name="Accent5 22" xfId="13490"/>
    <cellStyle name="Accent5 23" xfId="13515"/>
    <cellStyle name="Accent5 24" xfId="13535"/>
    <cellStyle name="Accent5 25" xfId="13553"/>
    <cellStyle name="Accent5 26" xfId="13608"/>
    <cellStyle name="Accent5 27" xfId="13619"/>
    <cellStyle name="Accent5 3" xfId="486"/>
    <cellStyle name="Accent5 3 2" xfId="13771"/>
    <cellStyle name="Accent5 3 3" xfId="16976"/>
    <cellStyle name="Accent5 3 4" xfId="7316"/>
    <cellStyle name="Accent5 4" xfId="3804"/>
    <cellStyle name="Accent5 4 2" xfId="16977"/>
    <cellStyle name="Accent5 4 3" xfId="20837"/>
    <cellStyle name="Accent5 4 4" xfId="20819"/>
    <cellStyle name="Accent5 4 5" xfId="7317"/>
    <cellStyle name="Accent5 5" xfId="7318"/>
    <cellStyle name="Accent5 6" xfId="7319"/>
    <cellStyle name="Accent5 7" xfId="7320"/>
    <cellStyle name="Accent5 8" xfId="7321"/>
    <cellStyle name="Accent5 9" xfId="7322"/>
    <cellStyle name="Accent6" xfId="339" builtinId="49" customBuiltin="1"/>
    <cellStyle name="Accent6 - 20%" xfId="7323"/>
    <cellStyle name="Accent6 - 40%" xfId="7324"/>
    <cellStyle name="Accent6 - 60%" xfId="7325"/>
    <cellStyle name="Accent6 10" xfId="7326"/>
    <cellStyle name="Accent6 11" xfId="7327"/>
    <cellStyle name="Accent6 12" xfId="7328"/>
    <cellStyle name="Accent6 13" xfId="7329"/>
    <cellStyle name="Accent6 14" xfId="7330"/>
    <cellStyle name="Accent6 15" xfId="7331"/>
    <cellStyle name="Accent6 16" xfId="7332"/>
    <cellStyle name="Accent6 17" xfId="7333"/>
    <cellStyle name="Accent6 18" xfId="7334"/>
    <cellStyle name="Accent6 19" xfId="7335"/>
    <cellStyle name="Accent6 2" xfId="111"/>
    <cellStyle name="Accent6 2 2" xfId="112"/>
    <cellStyle name="Accent6 2 2 2" xfId="113"/>
    <cellStyle name="Accent6 2 2 3" xfId="114"/>
    <cellStyle name="Accent6 2 3" xfId="392"/>
    <cellStyle name="Accent6 2 4" xfId="487"/>
    <cellStyle name="Accent6 2 5" xfId="16978"/>
    <cellStyle name="Accent6 2 6" xfId="7336"/>
    <cellStyle name="Accent6 2_SSP report" xfId="393"/>
    <cellStyle name="Accent6 20" xfId="13319"/>
    <cellStyle name="Accent6 21" xfId="13453"/>
    <cellStyle name="Accent6 22" xfId="13491"/>
    <cellStyle name="Accent6 23" xfId="13514"/>
    <cellStyle name="Accent6 24" xfId="13536"/>
    <cellStyle name="Accent6 25" xfId="13554"/>
    <cellStyle name="Accent6 26" xfId="13609"/>
    <cellStyle name="Accent6 27" xfId="13620"/>
    <cellStyle name="Accent6 3" xfId="488"/>
    <cellStyle name="Accent6 3 2" xfId="13772"/>
    <cellStyle name="Accent6 3 3" xfId="16979"/>
    <cellStyle name="Accent6 3 4" xfId="7337"/>
    <cellStyle name="Accent6 4" xfId="3805"/>
    <cellStyle name="Accent6 4 2" xfId="16980"/>
    <cellStyle name="Accent6 4 3" xfId="20838"/>
    <cellStyle name="Accent6 4 4" xfId="20853"/>
    <cellStyle name="Accent6 4 5" xfId="7338"/>
    <cellStyle name="Accent6 5" xfId="7339"/>
    <cellStyle name="Accent6 6" xfId="7340"/>
    <cellStyle name="Accent6 7" xfId="7341"/>
    <cellStyle name="Accent6 8" xfId="7342"/>
    <cellStyle name="Accent6 9" xfId="7343"/>
    <cellStyle name="Actual" xfId="7344"/>
    <cellStyle name="Actual 2" xfId="7345"/>
    <cellStyle name="Actual 2 2" xfId="7346"/>
    <cellStyle name="Actual 3" xfId="7347"/>
    <cellStyle name="Actual Date" xfId="7348"/>
    <cellStyle name="Actual Date 2" xfId="7349"/>
    <cellStyle name="Actual Date 3" xfId="7350"/>
    <cellStyle name="Actual Date_6.1 Contingency Allocation" xfId="7351"/>
    <cellStyle name="Actual_ICB Capex Maker v09 20100127jd-frozen" xfId="7352"/>
    <cellStyle name="Adjustable" xfId="7353"/>
    <cellStyle name="adjusted" xfId="7354"/>
    <cellStyle name="ag" xfId="7355"/>
    <cellStyle name="AggblueCels_1x" xfId="20938"/>
    <cellStyle name="AnalysisRequired" xfId="13320"/>
    <cellStyle name="Arial 10" xfId="7356"/>
    <cellStyle name="Arial 10 2" xfId="7357"/>
    <cellStyle name="Arial 12" xfId="7358"/>
    <cellStyle name="Arial Narrow" xfId="7359"/>
    <cellStyle name="Arial Narrow 2" xfId="7360"/>
    <cellStyle name="Arial Narrow 2 2" xfId="7361"/>
    <cellStyle name="Arial Narrow 2 2 2" xfId="7362"/>
    <cellStyle name="Arial Narrow 2 3" xfId="7363"/>
    <cellStyle name="Arial Narrow 2_6.1 Contingency Allocation" xfId="7364"/>
    <cellStyle name="Arial Narrow 3" xfId="7365"/>
    <cellStyle name="Arial Narrow 3 2" xfId="7366"/>
    <cellStyle name="Arial Narrow 4" xfId="7367"/>
    <cellStyle name="Arial Narrow 4 2" xfId="7368"/>
    <cellStyle name="Arial Narrow_6.1 Contingency Allocation" xfId="7369"/>
    <cellStyle name="assumption 1" xfId="7370"/>
    <cellStyle name="Assumption 2" xfId="7371"/>
    <cellStyle name="Assumption 2 2" xfId="7372"/>
    <cellStyle name="Assumption 3" xfId="7373"/>
    <cellStyle name="Assumption Date" xfId="7374"/>
    <cellStyle name="Assumption Date 2" xfId="7375"/>
    <cellStyle name="Auto" xfId="7376"/>
    <cellStyle name="AutoFormat Options" xfId="7377"/>
    <cellStyle name="b" xfId="7378"/>
    <cellStyle name="Bad" xfId="309" builtinId="27" customBuiltin="1"/>
    <cellStyle name="Bad 10" xfId="13537"/>
    <cellStyle name="Bad 2" xfId="115"/>
    <cellStyle name="Bad 2 2" xfId="116"/>
    <cellStyle name="Bad 2 2 2" xfId="117"/>
    <cellStyle name="Bad 2 2 3" xfId="118"/>
    <cellStyle name="Bad 2 3" xfId="394"/>
    <cellStyle name="Bad 2 4" xfId="489"/>
    <cellStyle name="Bad 2 5" xfId="16981"/>
    <cellStyle name="Bad 2 6" xfId="7379"/>
    <cellStyle name="Bad 2_SSP report" xfId="395"/>
    <cellStyle name="Bad 3" xfId="490"/>
    <cellStyle name="Bad 3 2" xfId="784"/>
    <cellStyle name="Bad 3 3" xfId="13773"/>
    <cellStyle name="Bad 3 4" xfId="16982"/>
    <cellStyle name="Bad 3 5" xfId="7380"/>
    <cellStyle name="Bad 4" xfId="549"/>
    <cellStyle name="Bad 4 2" xfId="13807"/>
    <cellStyle name="Bad 4 3" xfId="16983"/>
    <cellStyle name="Bad 4 4" xfId="7381"/>
    <cellStyle name="Bad 5" xfId="553"/>
    <cellStyle name="Bad 5 2" xfId="13811"/>
    <cellStyle name="Bad 5 3" xfId="16984"/>
    <cellStyle name="Bad 5 4" xfId="7382"/>
    <cellStyle name="Bad 6" xfId="557"/>
    <cellStyle name="Bad 6 2" xfId="13815"/>
    <cellStyle name="Bad 6 3" xfId="20655"/>
    <cellStyle name="Bad 6 4" xfId="13321"/>
    <cellStyle name="Bad 7" xfId="560"/>
    <cellStyle name="Bad 7 2" xfId="13818"/>
    <cellStyle name="Bad 7 3" xfId="20703"/>
    <cellStyle name="Bad 7 4" xfId="13454"/>
    <cellStyle name="Bad 8" xfId="3806"/>
    <cellStyle name="Bad 8 2" xfId="20719"/>
    <cellStyle name="Bad 8 3" xfId="20839"/>
    <cellStyle name="Bad 8 4" xfId="20799"/>
    <cellStyle name="Bad 8 5" xfId="13492"/>
    <cellStyle name="Bad 9" xfId="13513"/>
    <cellStyle name="BeckhamGreen" xfId="7383"/>
    <cellStyle name="bl" xfId="7384"/>
    <cellStyle name="blank" xfId="7385"/>
    <cellStyle name="blank 2" xfId="7386"/>
    <cellStyle name="blank 2 2" xfId="7387"/>
    <cellStyle name="blank 3" xfId="7388"/>
    <cellStyle name="blank 3 2" xfId="7389"/>
    <cellStyle name="blank 3 2 2" xfId="7390"/>
    <cellStyle name="blank 3 3" xfId="7391"/>
    <cellStyle name="Blue" xfId="7392"/>
    <cellStyle name="blue shading" xfId="7393"/>
    <cellStyle name="Blue_Zephyr - Floating rate profile" xfId="7394"/>
    <cellStyle name="BM Heading" xfId="7395"/>
    <cellStyle name="BM Heading 2" xfId="7396"/>
    <cellStyle name="BM Heading 2 2" xfId="7397"/>
    <cellStyle name="BM Heading 2 2 2" xfId="7398"/>
    <cellStyle name="BM Heading 2 3" xfId="7399"/>
    <cellStyle name="BM Heading 2_6.1 Contingency Allocation" xfId="7400"/>
    <cellStyle name="BM Heading 3" xfId="7401"/>
    <cellStyle name="BM Heading 3 2" xfId="7402"/>
    <cellStyle name="BM Heading 4" xfId="7403"/>
    <cellStyle name="BM Heading 4 2" xfId="7404"/>
    <cellStyle name="BM Heading 4 2 2" xfId="7405"/>
    <cellStyle name="BM Heading 4 3" xfId="7406"/>
    <cellStyle name="BM Heading 5" xfId="7407"/>
    <cellStyle name="BM Heading 5 2" xfId="7408"/>
    <cellStyle name="BM Heading_6.1 Contingency Allocation" xfId="7409"/>
    <cellStyle name="BM Input" xfId="7410"/>
    <cellStyle name="BM Input 2" xfId="7411"/>
    <cellStyle name="BM Input 2 2" xfId="7412"/>
    <cellStyle name="BM Input 3" xfId="7413"/>
    <cellStyle name="BM Input 3 2" xfId="7414"/>
    <cellStyle name="BM Input 3 2 2" xfId="7415"/>
    <cellStyle name="BM Input 3 3" xfId="7416"/>
    <cellStyle name="BM Input 4" xfId="7417"/>
    <cellStyle name="BM Input 4 2" xfId="7418"/>
    <cellStyle name="BM Input 5" xfId="7419"/>
    <cellStyle name="BM Input 5 2" xfId="7420"/>
    <cellStyle name="BM Input 6" xfId="7421"/>
    <cellStyle name="BM Input 6 2" xfId="7422"/>
    <cellStyle name="BM Label" xfId="7423"/>
    <cellStyle name="BM Label 2" xfId="7424"/>
    <cellStyle name="BM Standard" xfId="7425"/>
    <cellStyle name="BMInput" xfId="7426"/>
    <cellStyle name="BMInput 2" xfId="7427"/>
    <cellStyle name="BMRangeName" xfId="7428"/>
    <cellStyle name="Body_$Dollars" xfId="7429"/>
    <cellStyle name="Bold GHG Numbers (0.00)" xfId="119"/>
    <cellStyle name="Border All White" xfId="7430"/>
    <cellStyle name="Border All White 2" xfId="7431"/>
    <cellStyle name="Border Bottom Grey" xfId="7432"/>
    <cellStyle name="Border Bottom Grey 2" xfId="7433"/>
    <cellStyle name="Border Bottom White" xfId="7434"/>
    <cellStyle name="Border Bottom White 2" xfId="7435"/>
    <cellStyle name="Border Bottom White 2 2" xfId="7436"/>
    <cellStyle name="Border Bottom White 3" xfId="7437"/>
    <cellStyle name="Border Bottom White 3 2" xfId="7438"/>
    <cellStyle name="Border Bottom White 4" xfId="7439"/>
    <cellStyle name="Border Heavy" xfId="7440"/>
    <cellStyle name="Border Right Grey" xfId="7441"/>
    <cellStyle name="Border Right Grey 2" xfId="7442"/>
    <cellStyle name="Border Thin" xfId="7443"/>
    <cellStyle name="Border Thin 2" xfId="7444"/>
    <cellStyle name="Border Top&amp;Bottom Grey" xfId="7445"/>
    <cellStyle name="Border Top&amp;Bottom Grey 2" xfId="7446"/>
    <cellStyle name="British Pound" xfId="7447"/>
    <cellStyle name="Budget Values" xfId="13322"/>
    <cellStyle name="c" xfId="7448"/>
    <cellStyle name="calc %" xfId="13323"/>
    <cellStyle name="calc % 2" xfId="13555"/>
    <cellStyle name="calc % 3" xfId="13621"/>
    <cellStyle name="calc £" xfId="13324"/>
    <cellStyle name="calc £ 2" xfId="13556"/>
    <cellStyle name="calc £ 3" xfId="13622"/>
    <cellStyle name="calc 1dp" xfId="13325"/>
    <cellStyle name="calc 1dp 2" xfId="13557"/>
    <cellStyle name="calc 1dp 3" xfId="13623"/>
    <cellStyle name="calc 4dp" xfId="13326"/>
    <cellStyle name="calc 4dp 2" xfId="13558"/>
    <cellStyle name="calc 4dp 3" xfId="13624"/>
    <cellStyle name="Calc Currency (0)" xfId="7449"/>
    <cellStyle name="Calc Currency (2)" xfId="7450"/>
    <cellStyle name="Calc Currency (2) 2" xfId="7451"/>
    <cellStyle name="Calc Currency (2) 2 2" xfId="7452"/>
    <cellStyle name="Calc Currency (2) 2 2 2" xfId="7453"/>
    <cellStyle name="Calc Currency (2) 2 3" xfId="7454"/>
    <cellStyle name="Calc Currency (2) 2_6.1 Contingency Allocation" xfId="7455"/>
    <cellStyle name="Calc Currency (2) 3" xfId="7456"/>
    <cellStyle name="Calc Currency (2) 3 2" xfId="7457"/>
    <cellStyle name="Calc Currency (2) 4" xfId="7458"/>
    <cellStyle name="Calc Currency (2) 4 2" xfId="7459"/>
    <cellStyle name="Calc Currency (2)_6.1 Contingency Allocation" xfId="7460"/>
    <cellStyle name="calc date" xfId="13327"/>
    <cellStyle name="calc date 2" xfId="13559"/>
    <cellStyle name="calc date 3" xfId="13625"/>
    <cellStyle name="calc general" xfId="13328"/>
    <cellStyle name="calc general 2" xfId="13560"/>
    <cellStyle name="calc general 3" xfId="13626"/>
    <cellStyle name="Calc Percent (0)" xfId="7461"/>
    <cellStyle name="Calc Percent (0) 2" xfId="7462"/>
    <cellStyle name="Calc Percent (0) 2 2" xfId="7463"/>
    <cellStyle name="Calc Percent (0) 2 2 2" xfId="7464"/>
    <cellStyle name="Calc Percent (0) 2 3" xfId="7465"/>
    <cellStyle name="Calc Percent (0) 2_6.1 Contingency Allocation" xfId="7466"/>
    <cellStyle name="Calc Percent (0) 3" xfId="7467"/>
    <cellStyle name="Calc Percent (0) 3 2" xfId="7468"/>
    <cellStyle name="Calc Percent (0) 4" xfId="7469"/>
    <cellStyle name="Calc Percent (0) 4 2" xfId="7470"/>
    <cellStyle name="Calc Percent (0)_6.1 Contingency Allocation" xfId="7471"/>
    <cellStyle name="Calc Percent (1)" xfId="7472"/>
    <cellStyle name="Calc Percent (1) 2" xfId="7473"/>
    <cellStyle name="Calc Percent (1) 2 2" xfId="7474"/>
    <cellStyle name="Calc Percent (1) 2 2 2" xfId="7475"/>
    <cellStyle name="Calc Percent (1) 2 3" xfId="7476"/>
    <cellStyle name="Calc Percent (1) 2_6.1 Contingency Allocation" xfId="7477"/>
    <cellStyle name="Calc Percent (1) 3" xfId="7478"/>
    <cellStyle name="Calc Percent (1) 3 2" xfId="7479"/>
    <cellStyle name="Calc Percent (1) 4" xfId="7480"/>
    <cellStyle name="Calc Percent (1) 4 2" xfId="7481"/>
    <cellStyle name="Calc Percent (1)_6.1 Contingency Allocation" xfId="7482"/>
    <cellStyle name="Calc Percent (2)" xfId="7483"/>
    <cellStyle name="Calc Percent (2) 2" xfId="7484"/>
    <cellStyle name="Calc Percent (2) 2 2" xfId="7485"/>
    <cellStyle name="Calc Percent (2) 2 2 2" xfId="7486"/>
    <cellStyle name="Calc Percent (2) 2 3" xfId="7487"/>
    <cellStyle name="Calc Percent (2) 2_6.1 Contingency Allocation" xfId="7488"/>
    <cellStyle name="Calc Percent (2) 3" xfId="7489"/>
    <cellStyle name="Calc Percent (2) 3 2" xfId="7490"/>
    <cellStyle name="Calc Percent (2) 4" xfId="7491"/>
    <cellStyle name="Calc Percent (2) 4 2" xfId="7492"/>
    <cellStyle name="Calc Percent (2)_6.1 Contingency Allocation" xfId="7493"/>
    <cellStyle name="calc time" xfId="13329"/>
    <cellStyle name="calc time 2" xfId="13561"/>
    <cellStyle name="calc time 3" xfId="13627"/>
    <cellStyle name="Calc Units (0)" xfId="7494"/>
    <cellStyle name="Calc Units (1)" xfId="7495"/>
    <cellStyle name="Calc Units (1) 10" xfId="7496"/>
    <cellStyle name="Calc Units (1) 10 2" xfId="7497"/>
    <cellStyle name="Calc Units (1) 11" xfId="7498"/>
    <cellStyle name="Calc Units (1) 11 2" xfId="7499"/>
    <cellStyle name="Calc Units (1) 2" xfId="7500"/>
    <cellStyle name="Calc Units (1) 2 2" xfId="7501"/>
    <cellStyle name="Calc Units (1) 3" xfId="7502"/>
    <cellStyle name="Calc Units (1) 3 2" xfId="7503"/>
    <cellStyle name="Calc Units (1) 3 2 2" xfId="7504"/>
    <cellStyle name="Calc Units (1) 3 3" xfId="7505"/>
    <cellStyle name="Calc Units (1) 3_6.1 Contingency Allocation" xfId="7506"/>
    <cellStyle name="Calc Units (1) 4" xfId="7507"/>
    <cellStyle name="Calc Units (1) 4 2" xfId="7508"/>
    <cellStyle name="Calc Units (1) 5" xfId="7509"/>
    <cellStyle name="Calc Units (1) 5 2" xfId="7510"/>
    <cellStyle name="Calc Units (1) 6" xfId="7511"/>
    <cellStyle name="Calc Units (1) 6 2" xfId="7512"/>
    <cellStyle name="Calc Units (1) 7" xfId="7513"/>
    <cellStyle name="Calc Units (1) 7 2" xfId="7514"/>
    <cellStyle name="Calc Units (1) 8" xfId="7515"/>
    <cellStyle name="Calc Units (1) 8 2" xfId="7516"/>
    <cellStyle name="Calc Units (1) 9" xfId="7517"/>
    <cellStyle name="Calc Units (1) 9 2" xfId="7518"/>
    <cellStyle name="Calc Units (2)" xfId="7519"/>
    <cellStyle name="Calc Units (2) 2" xfId="7520"/>
    <cellStyle name="Calc Units (2) 2 2" xfId="7521"/>
    <cellStyle name="Calc Units (2) 2 2 2" xfId="7522"/>
    <cellStyle name="Calc Units (2) 2 3" xfId="7523"/>
    <cellStyle name="Calc Units (2) 2_6.1 Contingency Allocation" xfId="7524"/>
    <cellStyle name="Calc Units (2) 3" xfId="7525"/>
    <cellStyle name="Calc Units (2) 3 2" xfId="7526"/>
    <cellStyle name="Calc Units (2) 4" xfId="7527"/>
    <cellStyle name="Calc Units (2) 4 2" xfId="7528"/>
    <cellStyle name="Calc Units (2)_6.1 Contingency Allocation" xfId="7529"/>
    <cellStyle name="Calc_AUD" xfId="7530"/>
    <cellStyle name="CalComma0" xfId="7531"/>
    <cellStyle name="CalComma0 2" xfId="7532"/>
    <cellStyle name="Calculation" xfId="313" builtinId="22" customBuiltin="1"/>
    <cellStyle name="Calculation 10" xfId="13538"/>
    <cellStyle name="Calculation 2" xfId="120"/>
    <cellStyle name="Calculation 2 10" xfId="16985"/>
    <cellStyle name="Calculation 2 11" xfId="20616"/>
    <cellStyle name="Calculation 2 12" xfId="7533"/>
    <cellStyle name="Calculation 2 2" xfId="121"/>
    <cellStyle name="Calculation 2 2 2" xfId="122"/>
    <cellStyle name="Calculation 2 2 2 2" xfId="123"/>
    <cellStyle name="Calculation 2 2 2 2 2" xfId="3810"/>
    <cellStyle name="Calculation 2 2 2 2 2 2" xfId="18159"/>
    <cellStyle name="Calculation 2 2 2 2 3" xfId="1890"/>
    <cellStyle name="Calculation 2 2 2 2 4" xfId="18686"/>
    <cellStyle name="Calculation 2 2 2 2 5" xfId="20613"/>
    <cellStyle name="Calculation 2 2 2 3" xfId="124"/>
    <cellStyle name="Calculation 2 2 2 3 2" xfId="3811"/>
    <cellStyle name="Calculation 2 2 2 3 2 2" xfId="18079"/>
    <cellStyle name="Calculation 2 2 2 3 3" xfId="1891"/>
    <cellStyle name="Calculation 2 2 2 3 4" xfId="16413"/>
    <cellStyle name="Calculation 2 2 2 3 5" xfId="20612"/>
    <cellStyle name="Calculation 2 2 2 4" xfId="3809"/>
    <cellStyle name="Calculation 2 2 2 4 2" xfId="17087"/>
    <cellStyle name="Calculation 2 2 2 5" xfId="1889"/>
    <cellStyle name="Calculation 2 2 2 6" xfId="16412"/>
    <cellStyle name="Calculation 2 2 2 7" xfId="20614"/>
    <cellStyle name="Calculation 2 2 3" xfId="3808"/>
    <cellStyle name="Calculation 2 2 3 2" xfId="18538"/>
    <cellStyle name="Calculation 2 2 4" xfId="1888"/>
    <cellStyle name="Calculation 2 2 5" xfId="16411"/>
    <cellStyle name="Calculation 2 2 6" xfId="20615"/>
    <cellStyle name="Calculation 2 3" xfId="125"/>
    <cellStyle name="Calculation 2 3 2" xfId="126"/>
    <cellStyle name="Calculation 2 3 2 2" xfId="127"/>
    <cellStyle name="Calculation 2 3 2 2 2" xfId="3814"/>
    <cellStyle name="Calculation 2 3 2 2 2 2" xfId="17524"/>
    <cellStyle name="Calculation 2 3 2 2 3" xfId="1894"/>
    <cellStyle name="Calculation 2 3 2 2 4" xfId="18687"/>
    <cellStyle name="Calculation 2 3 2 2 5" xfId="20609"/>
    <cellStyle name="Calculation 2 3 2 3" xfId="128"/>
    <cellStyle name="Calculation 2 3 2 3 2" xfId="3815"/>
    <cellStyle name="Calculation 2 3 2 3 2 2" xfId="17863"/>
    <cellStyle name="Calculation 2 3 2 3 3" xfId="1895"/>
    <cellStyle name="Calculation 2 3 2 3 4" xfId="18573"/>
    <cellStyle name="Calculation 2 3 2 3 5" xfId="20608"/>
    <cellStyle name="Calculation 2 3 2 4" xfId="3813"/>
    <cellStyle name="Calculation 2 3 2 4 2" xfId="17602"/>
    <cellStyle name="Calculation 2 3 2 5" xfId="1893"/>
    <cellStyle name="Calculation 2 3 2 6" xfId="18611"/>
    <cellStyle name="Calculation 2 3 2 7" xfId="20610"/>
    <cellStyle name="Calculation 2 3 3" xfId="3812"/>
    <cellStyle name="Calculation 2 3 3 2" xfId="15044"/>
    <cellStyle name="Calculation 2 3 4" xfId="1892"/>
    <cellStyle name="Calculation 2 3 5" xfId="16414"/>
    <cellStyle name="Calculation 2 3 6" xfId="20611"/>
    <cellStyle name="Calculation 2 4" xfId="129"/>
    <cellStyle name="Calculation 2 4 2" xfId="130"/>
    <cellStyle name="Calculation 2 4 2 2" xfId="3817"/>
    <cellStyle name="Calculation 2 4 2 2 2" xfId="18009"/>
    <cellStyle name="Calculation 2 4 2 3" xfId="1897"/>
    <cellStyle name="Calculation 2 4 2 4" xfId="16416"/>
    <cellStyle name="Calculation 2 4 2 5" xfId="20606"/>
    <cellStyle name="Calculation 2 4 3" xfId="131"/>
    <cellStyle name="Calculation 2 4 3 2" xfId="3818"/>
    <cellStyle name="Calculation 2 4 3 2 2" xfId="17402"/>
    <cellStyle name="Calculation 2 4 3 3" xfId="1898"/>
    <cellStyle name="Calculation 2 4 3 4" xfId="18910"/>
    <cellStyle name="Calculation 2 4 3 5" xfId="20605"/>
    <cellStyle name="Calculation 2 4 4" xfId="3816"/>
    <cellStyle name="Calculation 2 4 4 2" xfId="17656"/>
    <cellStyle name="Calculation 2 4 5" xfId="1896"/>
    <cellStyle name="Calculation 2 4 6" xfId="16415"/>
    <cellStyle name="Calculation 2 4 7" xfId="20607"/>
    <cellStyle name="Calculation 2 5" xfId="396"/>
    <cellStyle name="Calculation 2 5 2" xfId="3819"/>
    <cellStyle name="Calculation 2 5 2 2" xfId="16109"/>
    <cellStyle name="Calculation 2 5 3" xfId="1977"/>
    <cellStyle name="Calculation 2 5 4" xfId="17329"/>
    <cellStyle name="Calculation 2 5 5" xfId="20526"/>
    <cellStyle name="Calculation 2 6" xfId="491"/>
    <cellStyle name="Calculation 2 6 2" xfId="3820"/>
    <cellStyle name="Calculation 2 6 2 2" xfId="17790"/>
    <cellStyle name="Calculation 2 6 3" xfId="2000"/>
    <cellStyle name="Calculation 2 6 4" xfId="19115"/>
    <cellStyle name="Calculation 2 6 5" xfId="20503"/>
    <cellStyle name="Calculation 2 7" xfId="3807"/>
    <cellStyle name="Calculation 2 7 2" xfId="19087"/>
    <cellStyle name="Calculation 2 8" xfId="1887"/>
    <cellStyle name="Calculation 2 9" xfId="18992"/>
    <cellStyle name="Calculation 2_SSP report" xfId="20940"/>
    <cellStyle name="Calculation 3" xfId="492"/>
    <cellStyle name="Calculation 3 2" xfId="3821"/>
    <cellStyle name="Calculation 3 2 2" xfId="13774"/>
    <cellStyle name="Calculation 3 3" xfId="2001"/>
    <cellStyle name="Calculation 3 4" xfId="18993"/>
    <cellStyle name="Calculation 3 5" xfId="16986"/>
    <cellStyle name="Calculation 3 6" xfId="20502"/>
    <cellStyle name="Calculation 3 7" xfId="7534"/>
    <cellStyle name="Calculation 4" xfId="3822"/>
    <cellStyle name="Calculation 5" xfId="7535"/>
    <cellStyle name="Calculation 6" xfId="13330"/>
    <cellStyle name="Calculation 7" xfId="13455"/>
    <cellStyle name="Calculation 8" xfId="13493"/>
    <cellStyle name="Calculation 9" xfId="13512"/>
    <cellStyle name="CalDate" xfId="7536"/>
    <cellStyle name="CalDate 2" xfId="7537"/>
    <cellStyle name="Case" xfId="7538"/>
    <cellStyle name="Category" xfId="7539"/>
    <cellStyle name="Category 10" xfId="7540"/>
    <cellStyle name="Category 10 2" xfId="7541"/>
    <cellStyle name="Category 11" xfId="7542"/>
    <cellStyle name="Category 11 2" xfId="7543"/>
    <cellStyle name="Category 2" xfId="7544"/>
    <cellStyle name="Category 2 2" xfId="7545"/>
    <cellStyle name="Category 2 2 2" xfId="7546"/>
    <cellStyle name="Category 2 3" xfId="7547"/>
    <cellStyle name="Category 3" xfId="7548"/>
    <cellStyle name="Category 3 2" xfId="7549"/>
    <cellStyle name="Category 3 2 2" xfId="7550"/>
    <cellStyle name="Category 3 2 2 2" xfId="7551"/>
    <cellStyle name="Category 3 2 3" xfId="7552"/>
    <cellStyle name="Category 3 3" xfId="7553"/>
    <cellStyle name="Category 3 3 2" xfId="7554"/>
    <cellStyle name="Category 3 4" xfId="7555"/>
    <cellStyle name="Category 3_6.1 Contingency Allocation" xfId="7556"/>
    <cellStyle name="Category 4" xfId="7557"/>
    <cellStyle name="Category 4 2" xfId="7558"/>
    <cellStyle name="Category 5" xfId="7559"/>
    <cellStyle name="Category 5 2" xfId="7560"/>
    <cellStyle name="Category 6" xfId="7561"/>
    <cellStyle name="Category 6 2" xfId="7562"/>
    <cellStyle name="Category 7" xfId="7563"/>
    <cellStyle name="Category 7 2" xfId="7564"/>
    <cellStyle name="Category 8" xfId="7565"/>
    <cellStyle name="Category 8 2" xfId="7566"/>
    <cellStyle name="Category 9" xfId="7567"/>
    <cellStyle name="Category 9 2" xfId="7568"/>
    <cellStyle name="Check" xfId="7569"/>
    <cellStyle name="Check 2" xfId="7570"/>
    <cellStyle name="Check 2 2" xfId="7571"/>
    <cellStyle name="Check 2 2 2" xfId="7572"/>
    <cellStyle name="Check 2 3" xfId="7573"/>
    <cellStyle name="Check 2_6.1 Contingency Allocation" xfId="7574"/>
    <cellStyle name="Check 3" xfId="7575"/>
    <cellStyle name="Check 3 2" xfId="7576"/>
    <cellStyle name="Check 4" xfId="7577"/>
    <cellStyle name="Check 4 2" xfId="7578"/>
    <cellStyle name="Check Cell" xfId="315" builtinId="23" customBuiltin="1"/>
    <cellStyle name="Check Cell 10" xfId="13539"/>
    <cellStyle name="Check Cell 2" xfId="132"/>
    <cellStyle name="Check Cell 2 2" xfId="133"/>
    <cellStyle name="Check Cell 2 2 2" xfId="134"/>
    <cellStyle name="Check Cell 2 2 3" xfId="135"/>
    <cellStyle name="Check Cell 2 3" xfId="397"/>
    <cellStyle name="Check Cell 2 4" xfId="493"/>
    <cellStyle name="Check Cell 2 5" xfId="16987"/>
    <cellStyle name="Check Cell 2 6" xfId="7579"/>
    <cellStyle name="Check Cell 2_SSP report" xfId="398"/>
    <cellStyle name="Check Cell 3" xfId="494"/>
    <cellStyle name="Check Cell 3 2" xfId="813"/>
    <cellStyle name="Check Cell 3 3" xfId="13775"/>
    <cellStyle name="Check Cell 3 4" xfId="16988"/>
    <cellStyle name="Check Cell 3 5" xfId="7580"/>
    <cellStyle name="Check Cell 4" xfId="547"/>
    <cellStyle name="Check Cell 4 2" xfId="13805"/>
    <cellStyle name="Check Cell 4 3" xfId="16989"/>
    <cellStyle name="Check Cell 4 4" xfId="7581"/>
    <cellStyle name="Check Cell 5" xfId="546"/>
    <cellStyle name="Check Cell 5 2" xfId="13804"/>
    <cellStyle name="Check Cell 5 3" xfId="16990"/>
    <cellStyle name="Check Cell 5 4" xfId="7582"/>
    <cellStyle name="Check Cell 6" xfId="551"/>
    <cellStyle name="Check Cell 6 2" xfId="13809"/>
    <cellStyle name="Check Cell 6 3" xfId="20656"/>
    <cellStyle name="Check Cell 6 4" xfId="13331"/>
    <cellStyle name="Check Cell 7" xfId="555"/>
    <cellStyle name="Check Cell 7 2" xfId="13813"/>
    <cellStyle name="Check Cell 7 3" xfId="20704"/>
    <cellStyle name="Check Cell 7 4" xfId="13456"/>
    <cellStyle name="Check Cell 8" xfId="3823"/>
    <cellStyle name="Check Cell 8 2" xfId="20720"/>
    <cellStyle name="Check Cell 8 3" xfId="20840"/>
    <cellStyle name="Check Cell 8 4" xfId="20805"/>
    <cellStyle name="Check Cell 8 5" xfId="13494"/>
    <cellStyle name="Check Cell 9" xfId="13511"/>
    <cellStyle name="CheckSimple" xfId="7583"/>
    <cellStyle name="Co. Names" xfId="7584"/>
    <cellStyle name="Co. Names - Bold" xfId="7585"/>
    <cellStyle name="Co. Names 10" xfId="7586"/>
    <cellStyle name="Co. Names 11" xfId="7587"/>
    <cellStyle name="Co. Names 12" xfId="7588"/>
    <cellStyle name="Co. Names 13" xfId="7589"/>
    <cellStyle name="Co. Names 14" xfId="7590"/>
    <cellStyle name="Co. Names 15" xfId="7591"/>
    <cellStyle name="Co. Names 16" xfId="7592"/>
    <cellStyle name="Co. Names 17" xfId="7593"/>
    <cellStyle name="Co. Names 18" xfId="7594"/>
    <cellStyle name="Co. Names 19" xfId="7595"/>
    <cellStyle name="Co. Names 2" xfId="7596"/>
    <cellStyle name="Co. Names 2 2" xfId="7597"/>
    <cellStyle name="Co. Names 2_6.1 Contingency Allocation" xfId="7598"/>
    <cellStyle name="Co. Names 20" xfId="7599"/>
    <cellStyle name="Co. Names 21" xfId="7600"/>
    <cellStyle name="Co. Names 22" xfId="7601"/>
    <cellStyle name="Co. Names 23" xfId="7602"/>
    <cellStyle name="Co. Names 24" xfId="7603"/>
    <cellStyle name="Co. Names 25" xfId="7604"/>
    <cellStyle name="Co. Names 26" xfId="7605"/>
    <cellStyle name="Co. Names 27" xfId="7606"/>
    <cellStyle name="Co. Names 28" xfId="7607"/>
    <cellStyle name="Co. Names 3" xfId="7608"/>
    <cellStyle name="Co. Names 3 2" xfId="7609"/>
    <cellStyle name="Co. Names 3_6.1 Contingency Allocation" xfId="7610"/>
    <cellStyle name="Co. Names 4" xfId="7611"/>
    <cellStyle name="Co. Names 5" xfId="7612"/>
    <cellStyle name="Co. Names 6" xfId="7613"/>
    <cellStyle name="Co. Names 7" xfId="7614"/>
    <cellStyle name="Co. Names 8" xfId="7615"/>
    <cellStyle name="Co. Names 9" xfId="7616"/>
    <cellStyle name="Co. Names_6.1 Contingency Allocation" xfId="7617"/>
    <cellStyle name="co_name" xfId="7618"/>
    <cellStyle name="Comma" xfId="540" builtinId="3"/>
    <cellStyle name="Comma  - Style1" xfId="7619"/>
    <cellStyle name="Comma  - Style1 2" xfId="7620"/>
    <cellStyle name="Comma  - Style2" xfId="7621"/>
    <cellStyle name="Comma  - Style2 2" xfId="7622"/>
    <cellStyle name="Comma  - Style3" xfId="7623"/>
    <cellStyle name="Comma  - Style3 2" xfId="7624"/>
    <cellStyle name="Comma  - Style4" xfId="7625"/>
    <cellStyle name="Comma  - Style4 2" xfId="7626"/>
    <cellStyle name="Comma  - Style5" xfId="7627"/>
    <cellStyle name="Comma  - Style5 2" xfId="7628"/>
    <cellStyle name="Comma  - Style6" xfId="7629"/>
    <cellStyle name="Comma  - Style6 2" xfId="7630"/>
    <cellStyle name="Comma  - Style7" xfId="7631"/>
    <cellStyle name="Comma  - Style7 2" xfId="7632"/>
    <cellStyle name="Comma  - Style8" xfId="7633"/>
    <cellStyle name="Comma  - Style8 2" xfId="7634"/>
    <cellStyle name="Comma [0] 2" xfId="7635"/>
    <cellStyle name="Comma [0] 2 2" xfId="7636"/>
    <cellStyle name="Comma [0] 3" xfId="7637"/>
    <cellStyle name="Comma [0] 3 2" xfId="7638"/>
    <cellStyle name="Comma [0] WM2" xfId="7639"/>
    <cellStyle name="Comma [0] WM2 2" xfId="7640"/>
    <cellStyle name="Comma [0] WM2 2 2" xfId="7641"/>
    <cellStyle name="Comma [0] WM2 3" xfId="7642"/>
    <cellStyle name="Comma [0] WM2 3 2" xfId="7643"/>
    <cellStyle name="Comma [0] WM2 3 2 2" xfId="7644"/>
    <cellStyle name="Comma [0] WM2 3 3" xfId="7645"/>
    <cellStyle name="Comma [0] WM2 3_6.1 Contingency Allocation" xfId="7646"/>
    <cellStyle name="Comma [0] WM2 4" xfId="7647"/>
    <cellStyle name="Comma [0] WM2 4 2" xfId="7648"/>
    <cellStyle name="Comma [0] WM2 5" xfId="7649"/>
    <cellStyle name="Comma [0] WM2 5 2" xfId="7650"/>
    <cellStyle name="Comma [0] WM2 6" xfId="7651"/>
    <cellStyle name="Comma [00]" xfId="7652"/>
    <cellStyle name="Comma [1]" xfId="7653"/>
    <cellStyle name="Comma [2]" xfId="7654"/>
    <cellStyle name="Comma [2] 2" xfId="7655"/>
    <cellStyle name="Comma 0" xfId="7656"/>
    <cellStyle name="Comma 0 [0]" xfId="7657"/>
    <cellStyle name="Comma 0 [0] 2" xfId="7658"/>
    <cellStyle name="Comma 0*" xfId="7659"/>
    <cellStyle name="Comma 0_Atel_TablesforSlides" xfId="7660"/>
    <cellStyle name="Comma 10" xfId="7661"/>
    <cellStyle name="Comma 10 2" xfId="7662"/>
    <cellStyle name="Comma 10 2 2" xfId="7663"/>
    <cellStyle name="Comma 10 3" xfId="7664"/>
    <cellStyle name="Comma 11" xfId="7665"/>
    <cellStyle name="Comma 11 2" xfId="7666"/>
    <cellStyle name="Comma 11 2 2" xfId="7667"/>
    <cellStyle name="Comma 11 3" xfId="7668"/>
    <cellStyle name="Comma 12" xfId="7669"/>
    <cellStyle name="Comma 12 2" xfId="7670"/>
    <cellStyle name="Comma 12 2 2" xfId="7671"/>
    <cellStyle name="Comma 12 3" xfId="7672"/>
    <cellStyle name="Comma 13" xfId="7673"/>
    <cellStyle name="Comma 13 2" xfId="7674"/>
    <cellStyle name="Comma 13 2 2" xfId="7675"/>
    <cellStyle name="Comma 13 3" xfId="7676"/>
    <cellStyle name="Comma 14" xfId="7677"/>
    <cellStyle name="Comma 14 2" xfId="7678"/>
    <cellStyle name="Comma 14 2 2" xfId="7679"/>
    <cellStyle name="Comma 14 3" xfId="7680"/>
    <cellStyle name="Comma 15" xfId="7681"/>
    <cellStyle name="Comma 15 2" xfId="7682"/>
    <cellStyle name="Comma 15 2 2" xfId="7683"/>
    <cellStyle name="Comma 15 3" xfId="7684"/>
    <cellStyle name="Comma 16" xfId="7685"/>
    <cellStyle name="Comma 16 2" xfId="7686"/>
    <cellStyle name="Comma 16 2 2" xfId="7687"/>
    <cellStyle name="Comma 16 3" xfId="7688"/>
    <cellStyle name="Comma 17" xfId="7689"/>
    <cellStyle name="Comma 17 2" xfId="7690"/>
    <cellStyle name="Comma 17 2 2" xfId="7691"/>
    <cellStyle name="Comma 17 3" xfId="7692"/>
    <cellStyle name="Comma 18" xfId="7693"/>
    <cellStyle name="Comma 18 2" xfId="7694"/>
    <cellStyle name="Comma 18 2 2" xfId="7695"/>
    <cellStyle name="Comma 18 3" xfId="7696"/>
    <cellStyle name="Comma 19" xfId="7697"/>
    <cellStyle name="Comma 19 2" xfId="7698"/>
    <cellStyle name="Comma 19 2 2" xfId="7699"/>
    <cellStyle name="Comma 19 3" xfId="7700"/>
    <cellStyle name="Comma 2" xfId="136"/>
    <cellStyle name="Comma 2 2" xfId="137"/>
    <cellStyle name="Comma 2 2 2" xfId="13676"/>
    <cellStyle name="Comma 2 2 3" xfId="16991"/>
    <cellStyle name="Comma 2 2 4" xfId="7701"/>
    <cellStyle name="Comma 2 3" xfId="138"/>
    <cellStyle name="Comma 2 4" xfId="139"/>
    <cellStyle name="Comma 2*" xfId="7702"/>
    <cellStyle name="Comma 2_Book3" xfId="7703"/>
    <cellStyle name="Comma 20" xfId="7704"/>
    <cellStyle name="Comma 20 2" xfId="7705"/>
    <cellStyle name="Comma 21" xfId="7706"/>
    <cellStyle name="Comma 21 2" xfId="7707"/>
    <cellStyle name="Comma 22" xfId="7708"/>
    <cellStyle name="Comma 22 2" xfId="7709"/>
    <cellStyle name="Comma 23" xfId="7710"/>
    <cellStyle name="Comma 23 2" xfId="7711"/>
    <cellStyle name="Comma 24" xfId="7712"/>
    <cellStyle name="Comma 24 2" xfId="7713"/>
    <cellStyle name="Comma 25" xfId="7714"/>
    <cellStyle name="Comma 25 2" xfId="7715"/>
    <cellStyle name="Comma 26" xfId="7716"/>
    <cellStyle name="Comma 26 2" xfId="7717"/>
    <cellStyle name="Comma 27" xfId="7718"/>
    <cellStyle name="Comma 27 2" xfId="7719"/>
    <cellStyle name="Comma 28" xfId="7720"/>
    <cellStyle name="Comma 28 2" xfId="7721"/>
    <cellStyle name="Comma 29" xfId="7722"/>
    <cellStyle name="Comma 29 2" xfId="7723"/>
    <cellStyle name="Comma 3" xfId="140"/>
    <cellStyle name="Comma 3 2" xfId="400"/>
    <cellStyle name="Comma 3 2 2" xfId="7726"/>
    <cellStyle name="Comma 3 2 3" xfId="13728"/>
    <cellStyle name="Comma 3 2 4" xfId="16993"/>
    <cellStyle name="Comma 3 2 5" xfId="7725"/>
    <cellStyle name="Comma 3 3" xfId="399"/>
    <cellStyle name="Comma 3 3 2" xfId="13727"/>
    <cellStyle name="Comma 3 3 3" xfId="16994"/>
    <cellStyle name="Comma 3 3 4" xfId="7727"/>
    <cellStyle name="Comma 3 4" xfId="13677"/>
    <cellStyle name="Comma 3 5" xfId="16992"/>
    <cellStyle name="Comma 3 6" xfId="7724"/>
    <cellStyle name="Comma 3*" xfId="7728"/>
    <cellStyle name="Comma 30" xfId="7729"/>
    <cellStyle name="Comma 30 2" xfId="7730"/>
    <cellStyle name="Comma 31" xfId="7731"/>
    <cellStyle name="Comma 31 2" xfId="7732"/>
    <cellStyle name="Comma 32" xfId="7733"/>
    <cellStyle name="Comma 32 2" xfId="7734"/>
    <cellStyle name="Comma 33" xfId="7735"/>
    <cellStyle name="Comma 33 2" xfId="7736"/>
    <cellStyle name="Comma 34" xfId="7737"/>
    <cellStyle name="Comma 34 2" xfId="7738"/>
    <cellStyle name="Comma 35" xfId="7739"/>
    <cellStyle name="Comma 35 2" xfId="7740"/>
    <cellStyle name="Comma 36" xfId="7741"/>
    <cellStyle name="Comma 36 2" xfId="7742"/>
    <cellStyle name="Comma 37" xfId="7743"/>
    <cellStyle name="Comma 37 2" xfId="7744"/>
    <cellStyle name="Comma 38" xfId="7745"/>
    <cellStyle name="Comma 38 2" xfId="7746"/>
    <cellStyle name="Comma 39" xfId="7747"/>
    <cellStyle name="Comma 39 2" xfId="7748"/>
    <cellStyle name="Comma 4" xfId="436"/>
    <cellStyle name="Comma 4 10" xfId="16995"/>
    <cellStyle name="Comma 4 11" xfId="20507"/>
    <cellStyle name="Comma 4 12" xfId="7749"/>
    <cellStyle name="Comma 4 2" xfId="608"/>
    <cellStyle name="Comma 4 2 10" xfId="13861"/>
    <cellStyle name="Comma 4 2 2" xfId="875"/>
    <cellStyle name="Comma 4 2 2 2" xfId="1149"/>
    <cellStyle name="Comma 4 2 2 2 2" xfId="1808"/>
    <cellStyle name="Comma 4 2 2 2 2 2" xfId="3828"/>
    <cellStyle name="Comma 4 2 2 2 2 2 2" xfId="19262"/>
    <cellStyle name="Comma 4 2 2 2 2 3" xfId="3236"/>
    <cellStyle name="Comma 4 2 2 2 2 3 2" xfId="18157"/>
    <cellStyle name="Comma 4 2 2 2 2 4" xfId="17346"/>
    <cellStyle name="Comma 4 2 2 2 2 5" xfId="19351"/>
    <cellStyle name="Comma 4 2 2 2 2 6" xfId="14963"/>
    <cellStyle name="Comma 4 2 2 2 3" xfId="3827"/>
    <cellStyle name="Comma 4 2 2 2 3 2" xfId="19265"/>
    <cellStyle name="Comma 4 2 2 2 4" xfId="2580"/>
    <cellStyle name="Comma 4 2 2 2 4 2" xfId="16608"/>
    <cellStyle name="Comma 4 2 2 2 5" xfId="16561"/>
    <cellStyle name="Comma 4 2 2 2 6" xfId="20746"/>
    <cellStyle name="Comma 4 2 2 2 7" xfId="14329"/>
    <cellStyle name="Comma 4 2 2 3" xfId="1534"/>
    <cellStyle name="Comma 4 2 2 3 2" xfId="3829"/>
    <cellStyle name="Comma 4 2 2 3 2 2" xfId="19257"/>
    <cellStyle name="Comma 4 2 2 3 3" xfId="2962"/>
    <cellStyle name="Comma 4 2 2 3 3 2" xfId="18892"/>
    <cellStyle name="Comma 4 2 2 3 4" xfId="17741"/>
    <cellStyle name="Comma 4 2 2 3 5" xfId="19623"/>
    <cellStyle name="Comma 4 2 2 3 6" xfId="14700"/>
    <cellStyle name="Comma 4 2 2 4" xfId="3826"/>
    <cellStyle name="Comma 4 2 2 4 2" xfId="19267"/>
    <cellStyle name="Comma 4 2 2 5" xfId="2306"/>
    <cellStyle name="Comma 4 2 2 5 2" xfId="16033"/>
    <cellStyle name="Comma 4 2 2 6" xfId="18799"/>
    <cellStyle name="Comma 4 2 2 7" xfId="20197"/>
    <cellStyle name="Comma 4 2 2 8" xfId="14079"/>
    <cellStyle name="Comma 4 2 3" xfId="731"/>
    <cellStyle name="Comma 4 2 3 2" xfId="1398"/>
    <cellStyle name="Comma 4 2 3 2 2" xfId="3831"/>
    <cellStyle name="Comma 4 2 3 2 2 2" xfId="16377"/>
    <cellStyle name="Comma 4 2 3 2 3" xfId="2826"/>
    <cellStyle name="Comma 4 2 3 2 3 2" xfId="17206"/>
    <cellStyle name="Comma 4 2 3 2 4" xfId="17572"/>
    <cellStyle name="Comma 4 2 3 2 5" xfId="19759"/>
    <cellStyle name="Comma 4 2 3 2 6" xfId="14575"/>
    <cellStyle name="Comma 4 2 3 3" xfId="3830"/>
    <cellStyle name="Comma 4 2 3 3 2" xfId="16376"/>
    <cellStyle name="Comma 4 2 3 4" xfId="2170"/>
    <cellStyle name="Comma 4 2 3 4 2" xfId="15625"/>
    <cellStyle name="Comma 4 2 3 5" xfId="18297"/>
    <cellStyle name="Comma 4 2 3 6" xfId="20333"/>
    <cellStyle name="Comma 4 2 3 7" xfId="13967"/>
    <cellStyle name="Comma 4 2 4" xfId="1013"/>
    <cellStyle name="Comma 4 2 4 2" xfId="1672"/>
    <cellStyle name="Comma 4 2 4 2 2" xfId="3833"/>
    <cellStyle name="Comma 4 2 4 2 2 2" xfId="18445"/>
    <cellStyle name="Comma 4 2 4 2 3" xfId="3100"/>
    <cellStyle name="Comma 4 2 4 2 3 2" xfId="16787"/>
    <cellStyle name="Comma 4 2 4 2 4" xfId="15487"/>
    <cellStyle name="Comma 4 2 4 2 5" xfId="19485"/>
    <cellStyle name="Comma 4 2 4 2 6" xfId="14838"/>
    <cellStyle name="Comma 4 2 4 3" xfId="3832"/>
    <cellStyle name="Comma 4 2 4 3 2" xfId="16110"/>
    <cellStyle name="Comma 4 2 4 4" xfId="2444"/>
    <cellStyle name="Comma 4 2 4 4 2" xfId="18356"/>
    <cellStyle name="Comma 4 2 4 5" xfId="16136"/>
    <cellStyle name="Comma 4 2 4 6" xfId="20059"/>
    <cellStyle name="Comma 4 2 4 7" xfId="14217"/>
    <cellStyle name="Comma 4 2 5" xfId="1293"/>
    <cellStyle name="Comma 4 2 5 2" xfId="3834"/>
    <cellStyle name="Comma 4 2 5 2 2" xfId="17737"/>
    <cellStyle name="Comma 4 2 5 3" xfId="2721"/>
    <cellStyle name="Comma 4 2 5 3 2" xfId="16100"/>
    <cellStyle name="Comma 4 2 5 4" xfId="17463"/>
    <cellStyle name="Comma 4 2 5 5" xfId="19832"/>
    <cellStyle name="Comma 4 2 5 6" xfId="14470"/>
    <cellStyle name="Comma 4 2 6" xfId="3825"/>
    <cellStyle name="Comma 4 2 6 2" xfId="17628"/>
    <cellStyle name="Comma 4 2 7" xfId="2063"/>
    <cellStyle name="Comma 4 2 7 2" xfId="17116"/>
    <cellStyle name="Comma 4 2 8" xfId="18900"/>
    <cellStyle name="Comma 4 2 9" xfId="20440"/>
    <cellStyle name="Comma 4 3" xfId="809"/>
    <cellStyle name="Comma 4 3 2" xfId="1088"/>
    <cellStyle name="Comma 4 3 2 2" xfId="1747"/>
    <cellStyle name="Comma 4 3 2 2 2" xfId="3837"/>
    <cellStyle name="Comma 4 3 2 2 2 2" xfId="18224"/>
    <cellStyle name="Comma 4 3 2 2 3" xfId="3175"/>
    <cellStyle name="Comma 4 3 2 2 3 2" xfId="18894"/>
    <cellStyle name="Comma 4 3 2 2 4" xfId="17143"/>
    <cellStyle name="Comma 4 3 2 2 5" xfId="19412"/>
    <cellStyle name="Comma 4 3 2 2 6" xfId="14902"/>
    <cellStyle name="Comma 4 3 2 3" xfId="3836"/>
    <cellStyle name="Comma 4 3 2 3 2" xfId="15793"/>
    <cellStyle name="Comma 4 3 2 4" xfId="2519"/>
    <cellStyle name="Comma 4 3 2 4 2" xfId="16008"/>
    <cellStyle name="Comma 4 3 2 5" xfId="16544"/>
    <cellStyle name="Comma 4 3 2 6" xfId="19984"/>
    <cellStyle name="Comma 4 3 2 7" xfId="14271"/>
    <cellStyle name="Comma 4 3 3" xfId="1473"/>
    <cellStyle name="Comma 4 3 3 2" xfId="3838"/>
    <cellStyle name="Comma 4 3 3 2 2" xfId="18223"/>
    <cellStyle name="Comma 4 3 3 3" xfId="2901"/>
    <cellStyle name="Comma 4 3 3 3 2" xfId="16278"/>
    <cellStyle name="Comma 4 3 3 4" xfId="18090"/>
    <cellStyle name="Comma 4 3 3 5" xfId="19684"/>
    <cellStyle name="Comma 4 3 3 6" xfId="14639"/>
    <cellStyle name="Comma 4 3 4" xfId="3835"/>
    <cellStyle name="Comma 4 3 4 2" xfId="18099"/>
    <cellStyle name="Comma 4 3 5" xfId="2245"/>
    <cellStyle name="Comma 4 3 5 2" xfId="18844"/>
    <cellStyle name="Comma 4 3 6" xfId="18601"/>
    <cellStyle name="Comma 4 3 7" xfId="20258"/>
    <cellStyle name="Comma 4 3 8" xfId="14022"/>
    <cellStyle name="Comma 4 4" xfId="680"/>
    <cellStyle name="Comma 4 4 2" xfId="1347"/>
    <cellStyle name="Comma 4 4 2 2" xfId="3840"/>
    <cellStyle name="Comma 4 4 2 2 2" xfId="18226"/>
    <cellStyle name="Comma 4 4 2 3" xfId="2775"/>
    <cellStyle name="Comma 4 4 2 3 2" xfId="16727"/>
    <cellStyle name="Comma 4 4 2 4" xfId="17885"/>
    <cellStyle name="Comma 4 4 2 5" xfId="20754"/>
    <cellStyle name="Comma 4 4 2 6" xfId="14524"/>
    <cellStyle name="Comma 4 4 3" xfId="3839"/>
    <cellStyle name="Comma 4 4 3 2" xfId="16117"/>
    <cellStyle name="Comma 4 4 4" xfId="2119"/>
    <cellStyle name="Comma 4 4 4 2" xfId="18039"/>
    <cellStyle name="Comma 4 4 5" xfId="16448"/>
    <cellStyle name="Comma 4 4 6" xfId="20384"/>
    <cellStyle name="Comma 4 4 7" xfId="13917"/>
    <cellStyle name="Comma 4 5" xfId="962"/>
    <cellStyle name="Comma 4 5 2" xfId="1621"/>
    <cellStyle name="Comma 4 5 2 2" xfId="3842"/>
    <cellStyle name="Comma 4 5 2 2 2" xfId="15795"/>
    <cellStyle name="Comma 4 5 2 3" xfId="3049"/>
    <cellStyle name="Comma 4 5 2 3 2" xfId="16399"/>
    <cellStyle name="Comma 4 5 2 4" xfId="17819"/>
    <cellStyle name="Comma 4 5 2 5" xfId="19536"/>
    <cellStyle name="Comma 4 5 2 6" xfId="14787"/>
    <cellStyle name="Comma 4 5 3" xfId="3841"/>
    <cellStyle name="Comma 4 5 3 2" xfId="18150"/>
    <cellStyle name="Comma 4 5 4" xfId="2393"/>
    <cellStyle name="Comma 4 5 4 2" xfId="15900"/>
    <cellStyle name="Comma 4 5 5" xfId="18314"/>
    <cellStyle name="Comma 4 5 6" xfId="20110"/>
    <cellStyle name="Comma 4 5 7" xfId="14166"/>
    <cellStyle name="Comma 4 6" xfId="1242"/>
    <cellStyle name="Comma 4 6 2" xfId="3843"/>
    <cellStyle name="Comma 4 6 2 2" xfId="18942"/>
    <cellStyle name="Comma 4 6 3" xfId="2670"/>
    <cellStyle name="Comma 4 6 3 2" xfId="17762"/>
    <cellStyle name="Comma 4 6 4" xfId="17866"/>
    <cellStyle name="Comma 4 6 5" xfId="19883"/>
    <cellStyle name="Comma 4 6 6" xfId="14419"/>
    <cellStyle name="Comma 4 7" xfId="3824"/>
    <cellStyle name="Comma 4 7 2" xfId="13745"/>
    <cellStyle name="Comma 4 8" xfId="1996"/>
    <cellStyle name="Comma 4 8 2" xfId="19236"/>
    <cellStyle name="Comma 4 9" xfId="16427"/>
    <cellStyle name="Comma 40" xfId="7750"/>
    <cellStyle name="Comma 40 2" xfId="7751"/>
    <cellStyle name="Comma 41" xfId="7752"/>
    <cellStyle name="Comma 41 2" xfId="7753"/>
    <cellStyle name="Comma 42" xfId="7754"/>
    <cellStyle name="Comma 42 2" xfId="7755"/>
    <cellStyle name="Comma 43" xfId="7756"/>
    <cellStyle name="Comma 43 2" xfId="7757"/>
    <cellStyle name="Comma 44" xfId="7758"/>
    <cellStyle name="Comma 44 2" xfId="7759"/>
    <cellStyle name="Comma 45" xfId="13201"/>
    <cellStyle name="Comma 46" xfId="13801"/>
    <cellStyle name="Comma 47" xfId="15019"/>
    <cellStyle name="Comma 48" xfId="15022"/>
    <cellStyle name="Comma 49" xfId="15016"/>
    <cellStyle name="Comma 5" xfId="7760"/>
    <cellStyle name="Comma 5 2" xfId="7761"/>
    <cellStyle name="Comma 5 2 2" xfId="7762"/>
    <cellStyle name="Comma 5 3" xfId="7763"/>
    <cellStyle name="Comma 50" xfId="15036"/>
    <cellStyle name="Comma 51" xfId="15040"/>
    <cellStyle name="Comma 52" xfId="19194"/>
    <cellStyle name="Comma 53" xfId="20789"/>
    <cellStyle name="Comma 54" xfId="20884"/>
    <cellStyle name="Comma 55" xfId="20867"/>
    <cellStyle name="Comma 56" xfId="15042"/>
    <cellStyle name="Comma 6" xfId="7764"/>
    <cellStyle name="Comma 6 2" xfId="7765"/>
    <cellStyle name="Comma 6 2 2" xfId="7766"/>
    <cellStyle name="Comma 6 3" xfId="7767"/>
    <cellStyle name="Comma 7" xfId="7768"/>
    <cellStyle name="Comma 7 2" xfId="7769"/>
    <cellStyle name="Comma 7 2 2" xfId="7770"/>
    <cellStyle name="Comma 7 3" xfId="7771"/>
    <cellStyle name="Comma 8" xfId="7772"/>
    <cellStyle name="Comma 8 2" xfId="7773"/>
    <cellStyle name="Comma 8 2 2" xfId="7774"/>
    <cellStyle name="Comma 8 3" xfId="7775"/>
    <cellStyle name="Comma 9" xfId="7776"/>
    <cellStyle name="Comma 9 2" xfId="7777"/>
    <cellStyle name="Comma 9 2 2" xfId="7778"/>
    <cellStyle name="Comma 9 3" xfId="7779"/>
    <cellStyle name="Comma*" xfId="7780"/>
    <cellStyle name="Comma0" xfId="7781"/>
    <cellStyle name="Comma0 - Style1" xfId="13332"/>
    <cellStyle name="Comma0 2" xfId="7782"/>
    <cellStyle name="Comma0 2 2" xfId="7783"/>
    <cellStyle name="Comma0 3" xfId="7784"/>
    <cellStyle name="Comma0 3 2" xfId="7785"/>
    <cellStyle name="Comma0 3 2 2" xfId="7786"/>
    <cellStyle name="Comma0 3 3" xfId="7787"/>
    <cellStyle name="Comma0 4" xfId="7788"/>
    <cellStyle name="Comma0 4 2" xfId="7789"/>
    <cellStyle name="Comma0 5" xfId="7790"/>
    <cellStyle name="Comma0 5 2" xfId="7791"/>
    <cellStyle name="Comma0 6" xfId="7792"/>
    <cellStyle name="Comma0 6 2" xfId="7793"/>
    <cellStyle name="Comma1" xfId="7794"/>
    <cellStyle name="Comma2" xfId="7795"/>
    <cellStyle name="commadash" xfId="7796"/>
    <cellStyle name="commadash 2" xfId="7797"/>
    <cellStyle name="CommaRounded" xfId="7798"/>
    <cellStyle name="CommaRounded 2" xfId="7799"/>
    <cellStyle name="Constant" xfId="7800"/>
    <cellStyle name="Constant 2" xfId="7801"/>
    <cellStyle name="Constant 2 2" xfId="7802"/>
    <cellStyle name="Constant 2 2 2" xfId="20870"/>
    <cellStyle name="Constant 2 2 3" xfId="20793"/>
    <cellStyle name="Constant 2 3" xfId="20869"/>
    <cellStyle name="Constant 2 4" xfId="20791"/>
    <cellStyle name="Constant 3" xfId="7803"/>
    <cellStyle name="Constant 3 2" xfId="7804"/>
    <cellStyle name="Constant 3 2 2" xfId="7805"/>
    <cellStyle name="Constant 3 2 2 2" xfId="20873"/>
    <cellStyle name="Constant 3 2 2 3" xfId="20841"/>
    <cellStyle name="Constant 3 2 3" xfId="20872"/>
    <cellStyle name="Constant 3 2 4" xfId="20816"/>
    <cellStyle name="Constant 3 3" xfId="7806"/>
    <cellStyle name="Constant 3 3 2" xfId="20874"/>
    <cellStyle name="Constant 3 3 3" xfId="20798"/>
    <cellStyle name="Constant 3 4" xfId="20871"/>
    <cellStyle name="Constant 3 5" xfId="20802"/>
    <cellStyle name="Constant 3_6.1 Contingency Allocation" xfId="18908"/>
    <cellStyle name="Control Activity" xfId="13333"/>
    <cellStyle name="Control Activity Total" xfId="13334"/>
    <cellStyle name="Control Activity Total Values" xfId="13335"/>
    <cellStyle name="Control Activity Total Values Decimals" xfId="13336"/>
    <cellStyle name="Cover" xfId="141"/>
    <cellStyle name="Cover Date" xfId="7807"/>
    <cellStyle name="Cover Subtitle" xfId="7808"/>
    <cellStyle name="Cover Title" xfId="7809"/>
    <cellStyle name="CRLBlocked" xfId="7810"/>
    <cellStyle name="CRLBlocked 10" xfId="7811"/>
    <cellStyle name="CRLBlocked 10 2" xfId="7812"/>
    <cellStyle name="CRLBlocked 11" xfId="7813"/>
    <cellStyle name="CRLBlocked 11 2" xfId="7814"/>
    <cellStyle name="CRLBlocked 12" xfId="7815"/>
    <cellStyle name="CRLBlocked 12 2" xfId="7816"/>
    <cellStyle name="CRLBlocked 2" xfId="7817"/>
    <cellStyle name="CRLBlocked 2 2" xfId="7818"/>
    <cellStyle name="CRLBlocked 3" xfId="7819"/>
    <cellStyle name="CRLBlocked 3 2" xfId="7820"/>
    <cellStyle name="CRLBlocked 3 2 2" xfId="7821"/>
    <cellStyle name="CRLBlocked 3 3" xfId="7822"/>
    <cellStyle name="CRLBlocked 3_6.1 Contingency Allocation" xfId="7823"/>
    <cellStyle name="CRLBlocked 4" xfId="7824"/>
    <cellStyle name="CRLBlocked 4 2" xfId="7825"/>
    <cellStyle name="CRLBlocked 5" xfId="7826"/>
    <cellStyle name="CRLBlocked 5 2" xfId="7827"/>
    <cellStyle name="CRLBlocked 6" xfId="7828"/>
    <cellStyle name="CRLBlocked 6 2" xfId="7829"/>
    <cellStyle name="CRLBlocked 7" xfId="7830"/>
    <cellStyle name="CRLBlocked 7 2" xfId="7831"/>
    <cellStyle name="CRLBlocked 8" xfId="7832"/>
    <cellStyle name="CRLBlocked 8 2" xfId="7833"/>
    <cellStyle name="CRLBlocked 9" xfId="7834"/>
    <cellStyle name="CRLBlocked 9 2" xfId="7835"/>
    <cellStyle name="CRLCallUp" xfId="7836"/>
    <cellStyle name="CRLCallUp 2" xfId="7837"/>
    <cellStyle name="CRLCallUp 2 2" xfId="7838"/>
    <cellStyle name="CRLCallUp 3" xfId="7839"/>
    <cellStyle name="CRLCallUp 3 2" xfId="7840"/>
    <cellStyle name="CRLCheck" xfId="7841"/>
    <cellStyle name="CRLCheck 2" xfId="7842"/>
    <cellStyle name="CRLCheck 2 2" xfId="7843"/>
    <cellStyle name="CRLCheck 3" xfId="7844"/>
    <cellStyle name="CRLCheck 3 2" xfId="7845"/>
    <cellStyle name="CRLCheck 4" xfId="7846"/>
    <cellStyle name="CRLCheck 4 2" xfId="7847"/>
    <cellStyle name="CRLCheck_6.1 Contingency Allocation" xfId="7848"/>
    <cellStyle name="CRLDate" xfId="7849"/>
    <cellStyle name="CRLDate 2" xfId="7850"/>
    <cellStyle name="CRLDate 2 2" xfId="7851"/>
    <cellStyle name="CRLDate 3" xfId="7852"/>
    <cellStyle name="CRLDate 3 2" xfId="7853"/>
    <cellStyle name="CRLDate 3 2 2" xfId="7854"/>
    <cellStyle name="CRLDate 3 3" xfId="7855"/>
    <cellStyle name="CRLDate 3_6.1 Contingency Allocation" xfId="7856"/>
    <cellStyle name="CRLDate 4" xfId="7857"/>
    <cellStyle name="CRLDate 4 2" xfId="7858"/>
    <cellStyle name="CRLDate 5" xfId="7859"/>
    <cellStyle name="CRLDate 5 2" xfId="7860"/>
    <cellStyle name="CRLDate_7.1 CP Prog against interv pts" xfId="7861"/>
    <cellStyle name="CRLDeviant" xfId="7862"/>
    <cellStyle name="CRLDeviant 10" xfId="7863"/>
    <cellStyle name="CRLDeviant 10 2" xfId="7864"/>
    <cellStyle name="CRLDeviant 11" xfId="7865"/>
    <cellStyle name="CRLDeviant 11 2" xfId="7866"/>
    <cellStyle name="CRLDeviant 2" xfId="7867"/>
    <cellStyle name="CRLDeviant 2 2" xfId="7868"/>
    <cellStyle name="CRLDeviant 3" xfId="7869"/>
    <cellStyle name="CRLDeviant 3 2" xfId="7870"/>
    <cellStyle name="CRLDeviant 3 2 2" xfId="7871"/>
    <cellStyle name="CRLDeviant 3 3" xfId="7872"/>
    <cellStyle name="CRLDeviant 3_6.1 Contingency Allocation" xfId="7873"/>
    <cellStyle name="CRLDeviant 4" xfId="7874"/>
    <cellStyle name="CRLDeviant 4 2" xfId="7875"/>
    <cellStyle name="CRLDeviant 5" xfId="7876"/>
    <cellStyle name="CRLDeviant 5 2" xfId="7877"/>
    <cellStyle name="CRLDeviant 6" xfId="7878"/>
    <cellStyle name="CRLDeviant 6 2" xfId="7879"/>
    <cellStyle name="CRLDeviant 7" xfId="7880"/>
    <cellStyle name="CRLDeviant 7 2" xfId="7881"/>
    <cellStyle name="CRLDeviant 8" xfId="7882"/>
    <cellStyle name="CRLDeviant 8 2" xfId="7883"/>
    <cellStyle name="CRLDeviant 9" xfId="7884"/>
    <cellStyle name="CRLDeviant 9 2" xfId="7885"/>
    <cellStyle name="CRLDeviant_7.1 CP Prog against interv pts" xfId="7886"/>
    <cellStyle name="CRLFlag" xfId="7887"/>
    <cellStyle name="CRLFlag 2" xfId="7888"/>
    <cellStyle name="CRLFlag 3" xfId="7889"/>
    <cellStyle name="CRLFlag 4" xfId="7890"/>
    <cellStyle name="CRLFlag 5" xfId="7891"/>
    <cellStyle name="CRLFlag 6" xfId="7892"/>
    <cellStyle name="CRLFlag_6.1 Contingency Allocation" xfId="7893"/>
    <cellStyle name="CRLHeader1" xfId="7894"/>
    <cellStyle name="CRLHeader1 2" xfId="7895"/>
    <cellStyle name="CRLHeader1 3" xfId="7896"/>
    <cellStyle name="CRLHeader1 4" xfId="7897"/>
    <cellStyle name="CRLHeader1 5" xfId="7898"/>
    <cellStyle name="CRLHeader1_7.1 CP Prog against interv pts" xfId="7899"/>
    <cellStyle name="CRLHeader2" xfId="7900"/>
    <cellStyle name="CRLHeader2 2" xfId="7901"/>
    <cellStyle name="CRLHeader2 3" xfId="7902"/>
    <cellStyle name="CRLHeader2 4" xfId="7903"/>
    <cellStyle name="CRLHeader2 5" xfId="7904"/>
    <cellStyle name="CRLHeader2 6" xfId="7905"/>
    <cellStyle name="CRLHeader2_6.1 Contingency Allocation" xfId="7906"/>
    <cellStyle name="CRLHeader3" xfId="7907"/>
    <cellStyle name="CRLHeader3 10" xfId="7908"/>
    <cellStyle name="CRLHeader3 10 2" xfId="7909"/>
    <cellStyle name="CRLHeader3 11" xfId="7910"/>
    <cellStyle name="CRLHeader3 11 2" xfId="7911"/>
    <cellStyle name="CRLHeader3 12" xfId="7912"/>
    <cellStyle name="CRLHeader3 12 2" xfId="7913"/>
    <cellStyle name="CRLHeader3 2" xfId="7914"/>
    <cellStyle name="CRLHeader3 2 2" xfId="7915"/>
    <cellStyle name="CRLHeader3 3" xfId="7916"/>
    <cellStyle name="CRLHeader3 3 2" xfId="7917"/>
    <cellStyle name="CRLHeader3 3 2 2" xfId="7918"/>
    <cellStyle name="CRLHeader3 3 3" xfId="7919"/>
    <cellStyle name="CRLHeader3 3_6.1 Contingency Allocation" xfId="7920"/>
    <cellStyle name="CRLHeader3 4" xfId="7921"/>
    <cellStyle name="CRLHeader3 4 2" xfId="7922"/>
    <cellStyle name="CRLHeader3 5" xfId="7923"/>
    <cellStyle name="CRLHeader3 5 2" xfId="7924"/>
    <cellStyle name="CRLHeader3 6" xfId="7925"/>
    <cellStyle name="CRLHeader3 6 2" xfId="7926"/>
    <cellStyle name="CRLHeader3 7" xfId="7927"/>
    <cellStyle name="CRLHeader3 7 2" xfId="7928"/>
    <cellStyle name="CRLHeader3 8" xfId="7929"/>
    <cellStyle name="CRLHeader3 8 2" xfId="7930"/>
    <cellStyle name="CRLHeader3 9" xfId="7931"/>
    <cellStyle name="CRLHeader3 9 2" xfId="7932"/>
    <cellStyle name="CRLInputDate" xfId="7933"/>
    <cellStyle name="CRLInputDate 2" xfId="7934"/>
    <cellStyle name="CRLInputDate 3" xfId="7935"/>
    <cellStyle name="CRLInputDate 4" xfId="7936"/>
    <cellStyle name="CRLInputDate 5" xfId="7937"/>
    <cellStyle name="CRLInputDate_6.1 Contingency Allocation" xfId="7938"/>
    <cellStyle name="CRLInputPercent" xfId="7939"/>
    <cellStyle name="CRLInputPercent 2" xfId="7940"/>
    <cellStyle name="CRLInputPercent 3" xfId="7941"/>
    <cellStyle name="CRLInputPercent 4" xfId="7942"/>
    <cellStyle name="CRLInputPercent 5" xfId="7943"/>
    <cellStyle name="CRLInputPercent_6.1 Contingency Allocation" xfId="7944"/>
    <cellStyle name="CRLInputValue" xfId="7945"/>
    <cellStyle name="CRLInputValue 2" xfId="7946"/>
    <cellStyle name="CRLInputValue 3" xfId="7947"/>
    <cellStyle name="CRLInputValue 4" xfId="7948"/>
    <cellStyle name="CRLInputValue_7.1 CP Prog against interv pts" xfId="7949"/>
    <cellStyle name="CRLNormal" xfId="7950"/>
    <cellStyle name="CRLNormal 10" xfId="7951"/>
    <cellStyle name="CRLNormal 10 2" xfId="7952"/>
    <cellStyle name="CRLNormal 11" xfId="7953"/>
    <cellStyle name="CRLNormal 11 2" xfId="7954"/>
    <cellStyle name="CRLNormal 2" xfId="7955"/>
    <cellStyle name="CRLNormal 2 2" xfId="7956"/>
    <cellStyle name="CRLNormal 2_Data" xfId="7957"/>
    <cellStyle name="CRLNormal 3" xfId="7958"/>
    <cellStyle name="CRLNormal 3 2" xfId="7959"/>
    <cellStyle name="CRLNormal 3 2 2" xfId="7960"/>
    <cellStyle name="CRLNormal 3 3" xfId="7961"/>
    <cellStyle name="CRLNormal 3_6.1 Contingency Allocation" xfId="7962"/>
    <cellStyle name="CRLNormal 4" xfId="7963"/>
    <cellStyle name="CRLNormal 4 2" xfId="7964"/>
    <cellStyle name="CRLNormal 5" xfId="7965"/>
    <cellStyle name="CRLNormal 5 2" xfId="7966"/>
    <cellStyle name="CRLNormal 6" xfId="7967"/>
    <cellStyle name="CRLNormal 6 2" xfId="7968"/>
    <cellStyle name="CRLNormal 7" xfId="7969"/>
    <cellStyle name="CRLNormal 7 2" xfId="7970"/>
    <cellStyle name="CRLNormal 8" xfId="7971"/>
    <cellStyle name="CRLNormal 8 2" xfId="7972"/>
    <cellStyle name="CRLNormal 9" xfId="7973"/>
    <cellStyle name="CRLNormal 9 2" xfId="7974"/>
    <cellStyle name="CRLPercent" xfId="7975"/>
    <cellStyle name="CRLPercent 10" xfId="7976"/>
    <cellStyle name="CRLPercent 10 2" xfId="7977"/>
    <cellStyle name="CRLPercent 11" xfId="7978"/>
    <cellStyle name="CRLPercent 11 2" xfId="7979"/>
    <cellStyle name="CRLPercent 12" xfId="7980"/>
    <cellStyle name="CRLPercent 12 2" xfId="7981"/>
    <cellStyle name="CRLPercent 2" xfId="7982"/>
    <cellStyle name="CRLPercent 2 2" xfId="7983"/>
    <cellStyle name="CRLPercent 3" xfId="7984"/>
    <cellStyle name="CRLPercent 3 2" xfId="7985"/>
    <cellStyle name="CRLPercent 3 2 2" xfId="7986"/>
    <cellStyle name="CRLPercent 3 3" xfId="7987"/>
    <cellStyle name="CRLPercent 3_6.1 Contingency Allocation" xfId="7988"/>
    <cellStyle name="CRLPercent 4" xfId="7989"/>
    <cellStyle name="CRLPercent 4 2" xfId="7990"/>
    <cellStyle name="CRLPercent 5" xfId="7991"/>
    <cellStyle name="CRLPercent 5 2" xfId="7992"/>
    <cellStyle name="CRLPercent 6" xfId="7993"/>
    <cellStyle name="CRLPercent 6 2" xfId="7994"/>
    <cellStyle name="CRLPercent 7" xfId="7995"/>
    <cellStyle name="CRLPercent 7 2" xfId="7996"/>
    <cellStyle name="CRLPercent 8" xfId="7997"/>
    <cellStyle name="CRLPercent 8 2" xfId="7998"/>
    <cellStyle name="CRLPercent 9" xfId="7999"/>
    <cellStyle name="CRLPercent 9 2" xfId="8000"/>
    <cellStyle name="CRLSubTotal" xfId="8001"/>
    <cellStyle name="CRLSubTotal 2" xfId="8002"/>
    <cellStyle name="CRLSubTotal 2 2" xfId="8003"/>
    <cellStyle name="CRLSubTotal 3" xfId="8004"/>
    <cellStyle name="CRLSubTotal 3 2" xfId="8005"/>
    <cellStyle name="CRLSubTotal 3 2 2" xfId="8006"/>
    <cellStyle name="CRLSubTotal 3 3" xfId="8007"/>
    <cellStyle name="CRLSubTotal 3_6.1 Contingency Allocation" xfId="8008"/>
    <cellStyle name="CRLText" xfId="8009"/>
    <cellStyle name="CRLText 2" xfId="8010"/>
    <cellStyle name="CRLText 2 2" xfId="8011"/>
    <cellStyle name="CRLText 3" xfId="8012"/>
    <cellStyle name="CRLText 3 2" xfId="8013"/>
    <cellStyle name="CRLText 3 2 2" xfId="8014"/>
    <cellStyle name="CRLText 3 3" xfId="8015"/>
    <cellStyle name="CRLText 3_6.1 Contingency Allocation" xfId="8016"/>
    <cellStyle name="CRLText 4" xfId="8017"/>
    <cellStyle name="CRLText_7.1 CP Prog against interv pts" xfId="8018"/>
    <cellStyle name="CRLTotal" xfId="8019"/>
    <cellStyle name="CRLTotal 2" xfId="8020"/>
    <cellStyle name="CRLTotal 2 2" xfId="8021"/>
    <cellStyle name="CRLTotal 3" xfId="8022"/>
    <cellStyle name="CRLTotal 3 2" xfId="8023"/>
    <cellStyle name="CRLTotal 3 2 2" xfId="8024"/>
    <cellStyle name="CRLTotal 3 3" xfId="8025"/>
    <cellStyle name="CRLTotal 3_6.1 Contingency Allocation" xfId="8026"/>
    <cellStyle name="CRLWIP" xfId="8027"/>
    <cellStyle name="CRLWIP 10" xfId="8028"/>
    <cellStyle name="CRLWIP 10 2" xfId="8029"/>
    <cellStyle name="CRLWIP 11" xfId="8030"/>
    <cellStyle name="CRLWIP 11 2" xfId="8031"/>
    <cellStyle name="CRLWIP 12" xfId="8032"/>
    <cellStyle name="CRLWIP 12 2" xfId="8033"/>
    <cellStyle name="CRLWIP 2" xfId="8034"/>
    <cellStyle name="CRLWIP 2 2" xfId="8035"/>
    <cellStyle name="CRLWIP 3" xfId="8036"/>
    <cellStyle name="CRLWIP 3 2" xfId="8037"/>
    <cellStyle name="CRLWIP 3 2 2" xfId="8038"/>
    <cellStyle name="CRLWIP 3 3" xfId="8039"/>
    <cellStyle name="CRLWIP 3_6.1 Contingency Allocation" xfId="8040"/>
    <cellStyle name="CRLWIP 4" xfId="8041"/>
    <cellStyle name="CRLWIP 4 2" xfId="8042"/>
    <cellStyle name="CRLWIP 5" xfId="8043"/>
    <cellStyle name="CRLWIP 5 2" xfId="8044"/>
    <cellStyle name="CRLWIP 6" xfId="8045"/>
    <cellStyle name="CRLWIP 6 2" xfId="8046"/>
    <cellStyle name="CRLWIP 7" xfId="8047"/>
    <cellStyle name="CRLWIP 7 2" xfId="8048"/>
    <cellStyle name="CRLWIP 8" xfId="8049"/>
    <cellStyle name="CRLWIP 8 2" xfId="8050"/>
    <cellStyle name="CRLWIP 9" xfId="8051"/>
    <cellStyle name="CRLWIP 9 2" xfId="8052"/>
    <cellStyle name="cu" xfId="8053"/>
    <cellStyle name="cu 2" xfId="8054"/>
    <cellStyle name="cu 2 2" xfId="20891"/>
    <cellStyle name="cu 2 3" xfId="20911"/>
    <cellStyle name="cu 3" xfId="20892"/>
    <cellStyle name="cu 4" xfId="20912"/>
    <cellStyle name="Currency ($)" xfId="8055"/>
    <cellStyle name="Currency (£)" xfId="8056"/>
    <cellStyle name="Currency [0] U" xfId="8057"/>
    <cellStyle name="Currency [00]" xfId="8058"/>
    <cellStyle name="Currency [00] 2" xfId="8059"/>
    <cellStyle name="Currency [00] 2 2" xfId="8060"/>
    <cellStyle name="Currency [00] 2 2 2" xfId="8061"/>
    <cellStyle name="Currency [00] 2 3" xfId="8062"/>
    <cellStyle name="Currency [00] 3" xfId="8063"/>
    <cellStyle name="Currency [00] 3 2" xfId="8064"/>
    <cellStyle name="Currency [00] 4" xfId="8065"/>
    <cellStyle name="Currency [00] 4 2" xfId="8066"/>
    <cellStyle name="Currency [1]" xfId="8067"/>
    <cellStyle name="Currency [2]" xfId="8068"/>
    <cellStyle name="Currency [2] U" xfId="8069"/>
    <cellStyle name="Currency [2] U 2" xfId="8070"/>
    <cellStyle name="Currency [2]_ICB Capex Maker v09 20100127jd-frozen" xfId="8071"/>
    <cellStyle name="Currency 0" xfId="8072"/>
    <cellStyle name="Currency 10" xfId="15031"/>
    <cellStyle name="Currency 2" xfId="632"/>
    <cellStyle name="Currency 2 2" xfId="13202"/>
    <cellStyle name="Currency 2 3" xfId="16996"/>
    <cellStyle name="Currency 2 4" xfId="8073"/>
    <cellStyle name="Currency 2*" xfId="8074"/>
    <cellStyle name="Currency 2_Financing Model" xfId="8075"/>
    <cellStyle name="Currency 3" xfId="635"/>
    <cellStyle name="Currency 3 2" xfId="1303"/>
    <cellStyle name="Currency 3 2 2" xfId="3845"/>
    <cellStyle name="Currency 3 2 2 2" xfId="14480"/>
    <cellStyle name="Currency 3 2 3" xfId="2731"/>
    <cellStyle name="Currency 3 2 3 2" xfId="16692"/>
    <cellStyle name="Currency 3 2 4" xfId="17585"/>
    <cellStyle name="Currency 3 2 5" xfId="16998"/>
    <cellStyle name="Currency 3 2 6" xfId="19822"/>
    <cellStyle name="Currency 3 2 7" xfId="8077"/>
    <cellStyle name="Currency 3 3" xfId="3844"/>
    <cellStyle name="Currency 3 3 2" xfId="13873"/>
    <cellStyle name="Currency 3 4" xfId="2075"/>
    <cellStyle name="Currency 3 4 2" xfId="17117"/>
    <cellStyle name="Currency 3 5" xfId="18926"/>
    <cellStyle name="Currency 3 6" xfId="16997"/>
    <cellStyle name="Currency 3 7" xfId="20428"/>
    <cellStyle name="Currency 3 8" xfId="8076"/>
    <cellStyle name="Currency 3*" xfId="8078"/>
    <cellStyle name="Currency 4" xfId="1193"/>
    <cellStyle name="Currency 4 2" xfId="1852"/>
    <cellStyle name="Currency 4 2 2" xfId="3847"/>
    <cellStyle name="Currency 4 2 2 2" xfId="15007"/>
    <cellStyle name="Currency 4 2 3" xfId="3280"/>
    <cellStyle name="Currency 4 2 3 2" xfId="17846"/>
    <cellStyle name="Currency 4 2 4" xfId="18986"/>
    <cellStyle name="Currency 4 2 5" xfId="17000"/>
    <cellStyle name="Currency 4 2 6" xfId="19307"/>
    <cellStyle name="Currency 4 2 7" xfId="8080"/>
    <cellStyle name="Currency 4 3" xfId="3846"/>
    <cellStyle name="Currency 4 3 2" xfId="14373"/>
    <cellStyle name="Currency 4 4" xfId="2624"/>
    <cellStyle name="Currency 4 4 2" xfId="16037"/>
    <cellStyle name="Currency 4 5" xfId="17136"/>
    <cellStyle name="Currency 4 6" xfId="16999"/>
    <cellStyle name="Currency 4 7" xfId="20760"/>
    <cellStyle name="Currency 4 8" xfId="8079"/>
    <cellStyle name="Currency 5" xfId="8081"/>
    <cellStyle name="Currency 5 2" xfId="8082"/>
    <cellStyle name="Currency 6" xfId="15035"/>
    <cellStyle name="Currency 7" xfId="15039"/>
    <cellStyle name="Currency 8" xfId="20866"/>
    <cellStyle name="Currency*" xfId="8083"/>
    <cellStyle name="Currency0" xfId="8084"/>
    <cellStyle name="Currency0 2" xfId="8085"/>
    <cellStyle name="Currency0 2 2" xfId="8086"/>
    <cellStyle name="Currency0 3" xfId="8087"/>
    <cellStyle name="Currency0 3 2" xfId="8088"/>
    <cellStyle name="Currency0 3 2 2" xfId="8089"/>
    <cellStyle name="Currency0 3 3" xfId="8090"/>
    <cellStyle name="Currency0 4" xfId="8091"/>
    <cellStyle name="Currency0 4 2" xfId="8092"/>
    <cellStyle name="Currency0 5" xfId="8093"/>
    <cellStyle name="Currency0 5 2" xfId="8094"/>
    <cellStyle name="Currency0 6" xfId="8095"/>
    <cellStyle name="Currency0 6 2" xfId="8096"/>
    <cellStyle name="Currency2" xfId="8097"/>
    <cellStyle name="Currency2 2" xfId="8098"/>
    <cellStyle name="Currency2 2 2" xfId="8099"/>
    <cellStyle name="Currency2 2_6.1 Contingency Allocation" xfId="8100"/>
    <cellStyle name="Currency2 3" xfId="8101"/>
    <cellStyle name="Currency2_6.1 Contingency Allocation" xfId="8102"/>
    <cellStyle name="Custom" xfId="8103"/>
    <cellStyle name="Custom 2" xfId="8104"/>
    <cellStyle name="d" xfId="8105"/>
    <cellStyle name="Database cell" xfId="8106"/>
    <cellStyle name="Database cell 2" xfId="8107"/>
    <cellStyle name="Database code 2" xfId="8108"/>
    <cellStyle name="Date" xfId="8109"/>
    <cellStyle name="Date Aligned" xfId="8110"/>
    <cellStyle name="Date Aligned*" xfId="8111"/>
    <cellStyle name="Date Aligned_Citigroup Global valuation 17 Oct 05" xfId="8112"/>
    <cellStyle name="Date Short" xfId="8113"/>
    <cellStyle name="Date Short 2" xfId="8114"/>
    <cellStyle name="Date U" xfId="8115"/>
    <cellStyle name="Date_AwardICE_Period11_FINAL" xfId="8116"/>
    <cellStyle name="DateHeader" xfId="8117"/>
    <cellStyle name="DateHeader 2" xfId="8118"/>
    <cellStyle name="DateHeader 2 2" xfId="8119"/>
    <cellStyle name="DateHeader 3" xfId="8120"/>
    <cellStyle name="DateInput" xfId="8121"/>
    <cellStyle name="DateInput 2" xfId="8122"/>
    <cellStyle name="dateline" xfId="8123"/>
    <cellStyle name="DateLong" xfId="8124"/>
    <cellStyle name="DateShort" xfId="8125"/>
    <cellStyle name="DateShort 2" xfId="8126"/>
    <cellStyle name="Day" xfId="8127"/>
    <cellStyle name="Day 2" xfId="8128"/>
    <cellStyle name="Dec_0" xfId="8129"/>
    <cellStyle name="Decimal [0]" xfId="8130"/>
    <cellStyle name="Decimal [0] 2" xfId="8131"/>
    <cellStyle name="Decimal [0] 2 2" xfId="8132"/>
    <cellStyle name="Decimal [0] 2 2 2" xfId="8133"/>
    <cellStyle name="Decimal [0] 2 3" xfId="8134"/>
    <cellStyle name="Decimal [0] 2_6.1 Contingency Allocation" xfId="8135"/>
    <cellStyle name="Decimal [0] 3" xfId="8136"/>
    <cellStyle name="Decimal [0] 3 2" xfId="8137"/>
    <cellStyle name="Decimal [0] 4" xfId="8138"/>
    <cellStyle name="Decimal [0]_6.1 Contingency Allocation" xfId="8139"/>
    <cellStyle name="Decimal [2]" xfId="8140"/>
    <cellStyle name="Decimal [2] 2" xfId="8141"/>
    <cellStyle name="Decimal [2] 2 2" xfId="8142"/>
    <cellStyle name="Decimal [2] 2 2 2" xfId="8143"/>
    <cellStyle name="Decimal [2] 2 3" xfId="8144"/>
    <cellStyle name="Decimal [2] 2_6.1 Contingency Allocation" xfId="8145"/>
    <cellStyle name="Decimal [2] 3" xfId="8146"/>
    <cellStyle name="Decimal [2] 3 2" xfId="8147"/>
    <cellStyle name="Decimal [2] 4" xfId="8148"/>
    <cellStyle name="Decimal [2] U" xfId="8149"/>
    <cellStyle name="Decimal [2]_6.1 Contingency Allocation" xfId="8150"/>
    <cellStyle name="Decimal [4]" xfId="8151"/>
    <cellStyle name="Decimal [4] 2" xfId="8152"/>
    <cellStyle name="Decimal [4] 2 2" xfId="8153"/>
    <cellStyle name="Decimal [4] 2 2 2" xfId="8154"/>
    <cellStyle name="Decimal [4] 2 3" xfId="8155"/>
    <cellStyle name="Decimal [4] 2_6.1 Contingency Allocation" xfId="8156"/>
    <cellStyle name="Decimal [4] 3" xfId="8157"/>
    <cellStyle name="Decimal [4] 3 2" xfId="8158"/>
    <cellStyle name="Decimal [4] 4" xfId="8159"/>
    <cellStyle name="Decimal [4] U" xfId="8160"/>
    <cellStyle name="Decimal [4]_6.1 Contingency Allocation" xfId="8161"/>
    <cellStyle name="Decimal_Zero" xfId="8162"/>
    <cellStyle name="Decision" xfId="8163"/>
    <cellStyle name="Decision 2" xfId="8164"/>
    <cellStyle name="DefinedName" xfId="8165"/>
    <cellStyle name="DefinedName 2" xfId="8166"/>
    <cellStyle name="DefinedName 2 2" xfId="8167"/>
    <cellStyle name="DefinedName 3" xfId="8168"/>
    <cellStyle name="DefinedName 3 2" xfId="8169"/>
    <cellStyle name="DefinedName 4" xfId="8170"/>
    <cellStyle name="DefinedName 4 2" xfId="8171"/>
    <cellStyle name="DefinedName_6.1 Contingency Allocation" xfId="8172"/>
    <cellStyle name="deletion" xfId="8173"/>
    <cellStyle name="Delta" xfId="8174"/>
    <cellStyle name="Description1" xfId="8175"/>
    <cellStyle name="Description1 2" xfId="8176"/>
    <cellStyle name="Dezimal [0]_BLUE" xfId="8177"/>
    <cellStyle name="Dezimal_BLUE" xfId="8178"/>
    <cellStyle name="Disabled" xfId="8179"/>
    <cellStyle name="DistributionType" xfId="8180"/>
    <cellStyle name="DistributionType 2" xfId="8181"/>
    <cellStyle name="Dollar_Zero" xfId="8182"/>
    <cellStyle name="Dollars" xfId="8183"/>
    <cellStyle name="Dotted Line" xfId="8184"/>
    <cellStyle name="Double Accounting" xfId="8185"/>
    <cellStyle name="Download" xfId="8186"/>
    <cellStyle name="DropDown" xfId="8187"/>
    <cellStyle name="DropDown(p)" xfId="8188"/>
    <cellStyle name="DropDown_Extract Cross Rail with TRIOLE (2)" xfId="8189"/>
    <cellStyle name="DropDownOptional" xfId="8190"/>
    <cellStyle name="Emphasis 1" xfId="8191"/>
    <cellStyle name="Emphasis 2" xfId="8192"/>
    <cellStyle name="Emphasis 3" xfId="8193"/>
    <cellStyle name="Enter Currency (0)" xfId="8194"/>
    <cellStyle name="Enter Currency (2)" xfId="8195"/>
    <cellStyle name="Enter Currency (2) 2" xfId="8196"/>
    <cellStyle name="Enter Currency (2) 2 2" xfId="8197"/>
    <cellStyle name="Enter Currency (2) 2 2 2" xfId="8198"/>
    <cellStyle name="Enter Currency (2) 2 3" xfId="8199"/>
    <cellStyle name="Enter Currency (2) 2_6.1 Contingency Allocation" xfId="8200"/>
    <cellStyle name="Enter Currency (2) 3" xfId="8201"/>
    <cellStyle name="Enter Currency (2) 3 2" xfId="8202"/>
    <cellStyle name="Enter Currency (2) 4" xfId="8203"/>
    <cellStyle name="Enter Currency (2) 4 2" xfId="8204"/>
    <cellStyle name="Enter Currency (2)_6.1 Contingency Allocation" xfId="8205"/>
    <cellStyle name="Enter Units (0)" xfId="8206"/>
    <cellStyle name="Enter Units (1)" xfId="8207"/>
    <cellStyle name="Enter Units (1) 10" xfId="8208"/>
    <cellStyle name="Enter Units (1) 10 2" xfId="8209"/>
    <cellStyle name="Enter Units (1) 11" xfId="8210"/>
    <cellStyle name="Enter Units (1) 11 2" xfId="8211"/>
    <cellStyle name="Enter Units (1) 2" xfId="8212"/>
    <cellStyle name="Enter Units (1) 2 2" xfId="8213"/>
    <cellStyle name="Enter Units (1) 3" xfId="8214"/>
    <cellStyle name="Enter Units (1) 3 2" xfId="8215"/>
    <cellStyle name="Enter Units (1) 3 2 2" xfId="8216"/>
    <cellStyle name="Enter Units (1) 3 3" xfId="8217"/>
    <cellStyle name="Enter Units (1) 3_6.1 Contingency Allocation" xfId="8218"/>
    <cellStyle name="Enter Units (1) 4" xfId="8219"/>
    <cellStyle name="Enter Units (1) 4 2" xfId="8220"/>
    <cellStyle name="Enter Units (1) 5" xfId="8221"/>
    <cellStyle name="Enter Units (1) 5 2" xfId="8222"/>
    <cellStyle name="Enter Units (1) 6" xfId="8223"/>
    <cellStyle name="Enter Units (1) 6 2" xfId="8224"/>
    <cellStyle name="Enter Units (1) 7" xfId="8225"/>
    <cellStyle name="Enter Units (1) 7 2" xfId="8226"/>
    <cellStyle name="Enter Units (1) 8" xfId="8227"/>
    <cellStyle name="Enter Units (1) 8 2" xfId="8228"/>
    <cellStyle name="Enter Units (1) 9" xfId="8229"/>
    <cellStyle name="Enter Units (1) 9 2" xfId="8230"/>
    <cellStyle name="Enter Units (2)" xfId="8231"/>
    <cellStyle name="Enter Units (2) 2" xfId="8232"/>
    <cellStyle name="Enter Units (2) 2 2" xfId="8233"/>
    <cellStyle name="Enter Units (2) 2 2 2" xfId="8234"/>
    <cellStyle name="Enter Units (2) 2 3" xfId="8235"/>
    <cellStyle name="Enter Units (2) 2_6.1 Contingency Allocation" xfId="8236"/>
    <cellStyle name="Enter Units (2) 3" xfId="8237"/>
    <cellStyle name="Enter Units (2) 3 2" xfId="8238"/>
    <cellStyle name="Enter Units (2) 4" xfId="8239"/>
    <cellStyle name="Enter Units (2) 4 2" xfId="8240"/>
    <cellStyle name="Enter Units (2)_6.1 Contingency Allocation" xfId="8241"/>
    <cellStyle name="Entry" xfId="8242"/>
    <cellStyle name="ErrorCheck" xfId="8243"/>
    <cellStyle name="ErrorCheck 2" xfId="8244"/>
    <cellStyle name="ErrorCheck_6.1 Contingency Allocation" xfId="8245"/>
    <cellStyle name="Euro" xfId="4"/>
    <cellStyle name="Euro 2" xfId="142"/>
    <cellStyle name="Euro 2 2" xfId="8248"/>
    <cellStyle name="Euro 2 3" xfId="13678"/>
    <cellStyle name="Euro 2 4" xfId="17002"/>
    <cellStyle name="Euro 2 5" xfId="8247"/>
    <cellStyle name="Euro 3" xfId="8249"/>
    <cellStyle name="Euro 3 2" xfId="8250"/>
    <cellStyle name="Euro 3 2 2" xfId="8251"/>
    <cellStyle name="Euro 3 3" xfId="8252"/>
    <cellStyle name="Euro 4" xfId="8253"/>
    <cellStyle name="Euro 4 2" xfId="8254"/>
    <cellStyle name="Euro 5" xfId="8255"/>
    <cellStyle name="Euro 6" xfId="13562"/>
    <cellStyle name="Euro 7" xfId="13628"/>
    <cellStyle name="Euro 8" xfId="17001"/>
    <cellStyle name="Euro 9" xfId="8246"/>
    <cellStyle name="ExchRate" xfId="8256"/>
    <cellStyle name="Explanatory Text" xfId="317" builtinId="53" customBuiltin="1"/>
    <cellStyle name="Explanatory Text 2" xfId="143"/>
    <cellStyle name="Explanatory Text 2 2" xfId="495"/>
    <cellStyle name="Explanatory Text 2 3" xfId="13679"/>
    <cellStyle name="Explanatory Text 2 4" xfId="15626"/>
    <cellStyle name="Explanatory Text 2 5" xfId="8257"/>
    <cellStyle name="Explanatory Text 3" xfId="496"/>
    <cellStyle name="Explanatory Text 3 2" xfId="13776"/>
    <cellStyle name="Explanatory Text 3 3" xfId="15632"/>
    <cellStyle name="Explanatory Text 3 4" xfId="8258"/>
    <cellStyle name="Explanatory Text 4" xfId="3848"/>
    <cellStyle name="Explanatory Text 5" xfId="8259"/>
    <cellStyle name="Explanatory Text 6" xfId="13338"/>
    <cellStyle name="External" xfId="8260"/>
    <cellStyle name="External 10" xfId="8261"/>
    <cellStyle name="External 10 2" xfId="8262"/>
    <cellStyle name="External 11" xfId="8263"/>
    <cellStyle name="External 11 2" xfId="8264"/>
    <cellStyle name="External 2" xfId="8265"/>
    <cellStyle name="External 2 2" xfId="8266"/>
    <cellStyle name="External 3" xfId="8267"/>
    <cellStyle name="External 3 2" xfId="8268"/>
    <cellStyle name="External 3 2 2" xfId="8269"/>
    <cellStyle name="External 3 3" xfId="8270"/>
    <cellStyle name="External 3_6.1 Contingency Allocation" xfId="8271"/>
    <cellStyle name="External 4" xfId="8272"/>
    <cellStyle name="External 4 2" xfId="8273"/>
    <cellStyle name="External 5" xfId="8274"/>
    <cellStyle name="External 5 2" xfId="8275"/>
    <cellStyle name="External 6" xfId="8276"/>
    <cellStyle name="External 6 2" xfId="8277"/>
    <cellStyle name="External 7" xfId="8278"/>
    <cellStyle name="External 7 2" xfId="8279"/>
    <cellStyle name="External 8" xfId="8280"/>
    <cellStyle name="External 8 2" xfId="8281"/>
    <cellStyle name="External 9" xfId="8282"/>
    <cellStyle name="External 9 2" xfId="8283"/>
    <cellStyle name="ExternalInput" xfId="13339"/>
    <cellStyle name="EY House" xfId="8284"/>
    <cellStyle name="Factor" xfId="8285"/>
    <cellStyle name="Factor 2" xfId="8286"/>
    <cellStyle name="fdc" xfId="13340"/>
    <cellStyle name="file" xfId="8287"/>
    <cellStyle name="file 2" xfId="8288"/>
    <cellStyle name="file 2 2" xfId="8289"/>
    <cellStyle name="file 2 2 2" xfId="8290"/>
    <cellStyle name="file 2 3" xfId="8291"/>
    <cellStyle name="file 2_6.1 Contingency Allocation" xfId="8292"/>
    <cellStyle name="file 3" xfId="8293"/>
    <cellStyle name="file 3 2" xfId="8294"/>
    <cellStyle name="file 4" xfId="8295"/>
    <cellStyle name="file_6.1 Contingency Allocation" xfId="8296"/>
    <cellStyle name="Financial" xfId="8297"/>
    <cellStyle name="FinClose" xfId="8298"/>
    <cellStyle name="Fixed" xfId="8299"/>
    <cellStyle name="Followed Hyperlink" xfId="2" builtinId="9" hidden="1"/>
    <cellStyle name="Followed Hyperlink" xfId="15" builtinId="9" hidden="1"/>
    <cellStyle name="Followed Hyperlink 2" xfId="278"/>
    <cellStyle name="Followed Hyperlink 3" xfId="281"/>
    <cellStyle name="Footer SBILogo1" xfId="8300"/>
    <cellStyle name="Footer SBILogo2" xfId="8301"/>
    <cellStyle name="Footnote" xfId="8302"/>
    <cellStyle name="Footnote Reference" xfId="8303"/>
    <cellStyle name="Footnote_Callide" xfId="8304"/>
    <cellStyle name="Footnotes" xfId="8305"/>
    <cellStyle name="Forecast" xfId="8306"/>
    <cellStyle name="ForecastData" xfId="8307"/>
    <cellStyle name="form" xfId="8308"/>
    <cellStyle name="form 10" xfId="8309"/>
    <cellStyle name="form 10 2" xfId="8310"/>
    <cellStyle name="form 11" xfId="8311"/>
    <cellStyle name="form 11 2" xfId="8312"/>
    <cellStyle name="form 2" xfId="8313"/>
    <cellStyle name="form 2 2" xfId="8314"/>
    <cellStyle name="form 3" xfId="8315"/>
    <cellStyle name="form 3 2" xfId="8316"/>
    <cellStyle name="form 3 2 2" xfId="8317"/>
    <cellStyle name="form 3 3" xfId="8318"/>
    <cellStyle name="form 3_6.1 Contingency Allocation" xfId="8319"/>
    <cellStyle name="form 4" xfId="8320"/>
    <cellStyle name="form 4 2" xfId="8321"/>
    <cellStyle name="form 5" xfId="8322"/>
    <cellStyle name="form 5 2" xfId="8323"/>
    <cellStyle name="form 6" xfId="8324"/>
    <cellStyle name="form 6 2" xfId="8325"/>
    <cellStyle name="form 7" xfId="8326"/>
    <cellStyle name="form 7 2" xfId="8327"/>
    <cellStyle name="form 8" xfId="8328"/>
    <cellStyle name="form 8 2" xfId="8329"/>
    <cellStyle name="form 9" xfId="8330"/>
    <cellStyle name="form 9 2" xfId="8331"/>
    <cellStyle name="Formula" xfId="8332"/>
    <cellStyle name="Formula 10" xfId="8333"/>
    <cellStyle name="Formula 10 2" xfId="8334"/>
    <cellStyle name="Formula 11" xfId="8335"/>
    <cellStyle name="Formula 11 2" xfId="8336"/>
    <cellStyle name="Formula 12" xfId="13341"/>
    <cellStyle name="Formula 2" xfId="8337"/>
    <cellStyle name="Formula 2 2" xfId="8338"/>
    <cellStyle name="Formula 3" xfId="8339"/>
    <cellStyle name="Formula 3 2" xfId="8340"/>
    <cellStyle name="Formula 3 2 2" xfId="8341"/>
    <cellStyle name="Formula 3 3" xfId="8342"/>
    <cellStyle name="Formula 3_6.1 Contingency Allocation" xfId="8343"/>
    <cellStyle name="Formula 4" xfId="8344"/>
    <cellStyle name="Formula 4 2" xfId="8345"/>
    <cellStyle name="Formula 5" xfId="8346"/>
    <cellStyle name="Formula 5 2" xfId="8347"/>
    <cellStyle name="Formula 6" xfId="8348"/>
    <cellStyle name="Formula 6 2" xfId="8349"/>
    <cellStyle name="Formula 7" xfId="8350"/>
    <cellStyle name="Formula 7 2" xfId="8351"/>
    <cellStyle name="Formula 8" xfId="8352"/>
    <cellStyle name="Formula 8 2" xfId="8353"/>
    <cellStyle name="Formula 9" xfId="8354"/>
    <cellStyle name="Formula 9 2" xfId="8355"/>
    <cellStyle name="FORMULANOCHG" xfId="13342"/>
    <cellStyle name="FS_Zero" xfId="8356"/>
    <cellStyle name="FS-Hist_Zero" xfId="8357"/>
    <cellStyle name="FX" xfId="13343"/>
    <cellStyle name="General" xfId="8358"/>
    <cellStyle name="General 2" xfId="8359"/>
    <cellStyle name="General 3" xfId="8360"/>
    <cellStyle name="General 4" xfId="8361"/>
    <cellStyle name="General Calc" xfId="8362"/>
    <cellStyle name="General Calc 2" xfId="8363"/>
    <cellStyle name="General_20100226wm Baseline Budget v01i 20100226jd-frozen WM" xfId="8364"/>
    <cellStyle name="Good" xfId="308" builtinId="26" customBuiltin="1"/>
    <cellStyle name="Good 10" xfId="13540"/>
    <cellStyle name="Good 2" xfId="144"/>
    <cellStyle name="Good 2 2" xfId="145"/>
    <cellStyle name="Good 2 2 2" xfId="146"/>
    <cellStyle name="Good 2 2 3" xfId="147"/>
    <cellStyle name="Good 2 3" xfId="401"/>
    <cellStyle name="Good 2 4" xfId="497"/>
    <cellStyle name="Good 2 5" xfId="17003"/>
    <cellStyle name="Good 2 6" xfId="8365"/>
    <cellStyle name="Good 2_SSP report" xfId="402"/>
    <cellStyle name="Good 3" xfId="498"/>
    <cellStyle name="Good 3 2" xfId="783"/>
    <cellStyle name="Good 3 3" xfId="13777"/>
    <cellStyle name="Good 3 4" xfId="17004"/>
    <cellStyle name="Good 3 5" xfId="8366"/>
    <cellStyle name="Good 4" xfId="548"/>
    <cellStyle name="Good 4 2" xfId="13806"/>
    <cellStyle name="Good 4 3" xfId="17005"/>
    <cellStyle name="Good 4 4" xfId="8367"/>
    <cellStyle name="Good 5" xfId="552"/>
    <cellStyle name="Good 5 2" xfId="13810"/>
    <cellStyle name="Good 5 3" xfId="15562"/>
    <cellStyle name="Good 5 4" xfId="8368"/>
    <cellStyle name="Good 6" xfId="556"/>
    <cellStyle name="Good 6 2" xfId="13814"/>
    <cellStyle name="Good 6 3" xfId="20658"/>
    <cellStyle name="Good 6 4" xfId="13344"/>
    <cellStyle name="Good 7" xfId="559"/>
    <cellStyle name="Good 7 2" xfId="13817"/>
    <cellStyle name="Good 7 3" xfId="20705"/>
    <cellStyle name="Good 7 4" xfId="13457"/>
    <cellStyle name="Good 8" xfId="3849"/>
    <cellStyle name="Good 8 2" xfId="20721"/>
    <cellStyle name="Good 8 3" xfId="20842"/>
    <cellStyle name="Good 8 4" xfId="20852"/>
    <cellStyle name="Good 8 5" xfId="13498"/>
    <cellStyle name="Good 9" xfId="13509"/>
    <cellStyle name="Grand Total" xfId="13345"/>
    <cellStyle name="Grand Total Decimals" xfId="13346"/>
    <cellStyle name="Green" xfId="8369"/>
    <cellStyle name="Grey" xfId="8370"/>
    <cellStyle name="Grey 2" xfId="8371"/>
    <cellStyle name="Grey 2 2" xfId="8372"/>
    <cellStyle name="Grey 2_6.1 Contingency Allocation" xfId="8373"/>
    <cellStyle name="Grey 3" xfId="8374"/>
    <cellStyle name="Grey_6.1 Contingency Allocation" xfId="8375"/>
    <cellStyle name="GroupHeader" xfId="8376"/>
    <cellStyle name="Growth" xfId="8377"/>
    <cellStyle name="Growth 2" xfId="8378"/>
    <cellStyle name="Growth 2 2" xfId="8379"/>
    <cellStyle name="Growth 3" xfId="8380"/>
    <cellStyle name="Growth Factor" xfId="8381"/>
    <cellStyle name="hard no." xfId="8382"/>
    <cellStyle name="hard no. 2" xfId="8383"/>
    <cellStyle name="Hard Percent" xfId="8384"/>
    <cellStyle name="Hash Out" xfId="8385"/>
    <cellStyle name="Hash Out 2" xfId="8386"/>
    <cellStyle name="Header" xfId="8387"/>
    <cellStyle name="Header 2" xfId="8388"/>
    <cellStyle name="Header 2 2" xfId="8389"/>
    <cellStyle name="Header 3" xfId="13347"/>
    <cellStyle name="Header Draft Stamp" xfId="8390"/>
    <cellStyle name="Header Price 2" xfId="8391"/>
    <cellStyle name="Header_Atel_TablesforSlides" xfId="8392"/>
    <cellStyle name="Header1" xfId="8393"/>
    <cellStyle name="Header1 2" xfId="20875"/>
    <cellStyle name="Header2" xfId="8394"/>
    <cellStyle name="Heading" xfId="148"/>
    <cellStyle name="Heading 1" xfId="304" builtinId="16" customBuiltin="1"/>
    <cellStyle name="Heading 1 10" xfId="13541"/>
    <cellStyle name="Heading 1 2" xfId="149"/>
    <cellStyle name="Heading 1 2 2" xfId="8397"/>
    <cellStyle name="Heading 1 2 3" xfId="13681"/>
    <cellStyle name="Heading 1 2 4" xfId="17083"/>
    <cellStyle name="Heading 1 2 5" xfId="8396"/>
    <cellStyle name="Heading 1 2_Data" xfId="20945"/>
    <cellStyle name="Heading 1 3" xfId="499"/>
    <cellStyle name="Heading 1 3 2" xfId="13778"/>
    <cellStyle name="Heading 1 3 3" xfId="17252"/>
    <cellStyle name="Heading 1 3 4" xfId="8398"/>
    <cellStyle name="Heading 1 4" xfId="3850"/>
    <cellStyle name="Heading 1 5" xfId="8399"/>
    <cellStyle name="Heading 1 6" xfId="13348"/>
    <cellStyle name="Heading 1 7" xfId="13458"/>
    <cellStyle name="Heading 1 8" xfId="13500"/>
    <cellStyle name="Heading 1 9" xfId="13506"/>
    <cellStyle name="Heading 1 Above" xfId="8400"/>
    <cellStyle name="Heading 1+" xfId="8401"/>
    <cellStyle name="Heading 1+ 2" xfId="8402"/>
    <cellStyle name="Heading 10" xfId="19192"/>
    <cellStyle name="heading 11" xfId="20782"/>
    <cellStyle name="heading 12" xfId="20783"/>
    <cellStyle name="heading 13" xfId="20781"/>
    <cellStyle name="heading 14" xfId="17251"/>
    <cellStyle name="Heading 15" xfId="20788"/>
    <cellStyle name="Heading 16" xfId="20882"/>
    <cellStyle name="Heading 17" xfId="8395"/>
    <cellStyle name="Heading 2" xfId="305" builtinId="17" customBuiltin="1"/>
    <cellStyle name="Heading 2 2" xfId="150"/>
    <cellStyle name="Heading 2 2 2" xfId="13682"/>
    <cellStyle name="Heading 2 2 3" xfId="17006"/>
    <cellStyle name="Heading 2 2 4" xfId="8403"/>
    <cellStyle name="Heading 2 2 5" xfId="20953"/>
    <cellStyle name="Heading 2 3" xfId="500"/>
    <cellStyle name="Heading 2 3 2" xfId="13779"/>
    <cellStyle name="Heading 2 3 3" xfId="17007"/>
    <cellStyle name="Heading 2 3 4" xfId="8404"/>
    <cellStyle name="Heading 2 4" xfId="3851"/>
    <cellStyle name="Heading 2 5" xfId="8405"/>
    <cellStyle name="Heading 2 6" xfId="13349"/>
    <cellStyle name="Heading 2 Below" xfId="8406"/>
    <cellStyle name="Heading 2+" xfId="8407"/>
    <cellStyle name="Heading 2+ 2" xfId="8408"/>
    <cellStyle name="Heading 3" xfId="306" builtinId="18" customBuiltin="1"/>
    <cellStyle name="Heading 3 10" xfId="13542"/>
    <cellStyle name="Heading 3 2" xfId="151"/>
    <cellStyle name="Heading 3 2 2" xfId="8410"/>
    <cellStyle name="Heading 3 2 3" xfId="13683"/>
    <cellStyle name="Heading 3 2 4" xfId="17008"/>
    <cellStyle name="Heading 3 2 5" xfId="8409"/>
    <cellStyle name="Heading 3 2_Data" xfId="8411"/>
    <cellStyle name="Heading 3 3" xfId="501"/>
    <cellStyle name="Heading 3 3 2" xfId="13780"/>
    <cellStyle name="Heading 3 3 3" xfId="17126"/>
    <cellStyle name="Heading 3 3 4" xfId="8412"/>
    <cellStyle name="Heading 3 4" xfId="3852"/>
    <cellStyle name="Heading 3 5" xfId="8413"/>
    <cellStyle name="Heading 3 6" xfId="13350"/>
    <cellStyle name="Heading 3 7" xfId="13459"/>
    <cellStyle name="Heading 3 8" xfId="13501"/>
    <cellStyle name="Heading 3 9" xfId="13504"/>
    <cellStyle name="Heading 3+" xfId="8414"/>
    <cellStyle name="Heading 4" xfId="307" builtinId="19" customBuiltin="1"/>
    <cellStyle name="Heading 4 2" xfId="152"/>
    <cellStyle name="Heading 4 2 2" xfId="8416"/>
    <cellStyle name="Heading 4 2 3" xfId="13684"/>
    <cellStyle name="Heading 4 2 4" xfId="17084"/>
    <cellStyle name="Heading 4 2 5" xfId="8415"/>
    <cellStyle name="Heading 4 3" xfId="502"/>
    <cellStyle name="Heading 4 3 2" xfId="13781"/>
    <cellStyle name="Heading 4 3 3" xfId="17009"/>
    <cellStyle name="Heading 4 3 4" xfId="8417"/>
    <cellStyle name="Heading 4 4" xfId="3853"/>
    <cellStyle name="Heading 4 5" xfId="8418"/>
    <cellStyle name="Heading 4 6" xfId="13351"/>
    <cellStyle name="heading 5" xfId="8419"/>
    <cellStyle name="heading 5 2" xfId="20890"/>
    <cellStyle name="heading 5 3" xfId="20910"/>
    <cellStyle name="Heading 6" xfId="13680"/>
    <cellStyle name="Heading 7" xfId="13675"/>
    <cellStyle name="Heading 8" xfId="15021"/>
    <cellStyle name="Heading 9" xfId="15026"/>
    <cellStyle name="Heading1" xfId="5"/>
    <cellStyle name="Heading1 2" xfId="13670"/>
    <cellStyle name="Heading1 3" xfId="17010"/>
    <cellStyle name="Heading1 4" xfId="8420"/>
    <cellStyle name="Heading2" xfId="8421"/>
    <cellStyle name="Heading2 2" xfId="8422"/>
    <cellStyle name="Heading3" xfId="8423"/>
    <cellStyle name="Heading4" xfId="8424"/>
    <cellStyle name="HeadingB" xfId="8425"/>
    <cellStyle name="HeadingBU" xfId="8426"/>
    <cellStyle name="HEADINGS" xfId="8427"/>
    <cellStyle name="Helv 8" xfId="8428"/>
    <cellStyle name="HHV" xfId="8429"/>
    <cellStyle name="HHV 2" xfId="8430"/>
    <cellStyle name="Hidden" xfId="8431"/>
    <cellStyle name="Hidden 2" xfId="8432"/>
    <cellStyle name="Hidden 3" xfId="8433"/>
    <cellStyle name="Hidden_6.1 Contingency Allocation" xfId="8434"/>
    <cellStyle name="HIGHLIGHT" xfId="8435"/>
    <cellStyle name="Historic" xfId="8436"/>
    <cellStyle name="HistoricData" xfId="8437"/>
    <cellStyle name="hlv14B" xfId="8438"/>
    <cellStyle name="Hyperlink" xfId="1" builtinId="8" hidden="1"/>
    <cellStyle name="Hyperlink" xfId="14" builtinId="8" hidden="1"/>
    <cellStyle name="Hyperlink" xfId="545" builtinId="8"/>
    <cellStyle name="Hyperlink 10" xfId="15033"/>
    <cellStyle name="Hyperlink 11" xfId="20784"/>
    <cellStyle name="Hyperlink 12" xfId="19195"/>
    <cellStyle name="Hyperlink 2" xfId="153"/>
    <cellStyle name="Hyperlink 2 2" xfId="8439"/>
    <cellStyle name="Hyperlink 3" xfId="154"/>
    <cellStyle name="Hyperlink 3 2" xfId="13685"/>
    <cellStyle name="Hyperlink 3 3" xfId="15759"/>
    <cellStyle name="Hyperlink 3 4" xfId="8440"/>
    <cellStyle name="Hyperlink 4" xfId="155"/>
    <cellStyle name="Hyperlink 5" xfId="277"/>
    <cellStyle name="Hyperlink 5 2" xfId="403"/>
    <cellStyle name="Hyperlink 5 3" xfId="13718"/>
    <cellStyle name="Hyperlink 6" xfId="280"/>
    <cellStyle name="Hyperlink 6 2" xfId="404"/>
    <cellStyle name="Hyperlink 6 3" xfId="13720"/>
    <cellStyle name="Hyperlink 7" xfId="636"/>
    <cellStyle name="Hyperlink 8" xfId="1196"/>
    <cellStyle name="Hyperlink 9" xfId="3854"/>
    <cellStyle name="Hyperlink 9 2" xfId="20779"/>
    <cellStyle name="Hyperlink 9 3" xfId="20843"/>
    <cellStyle name="Hyperlink 9 4" xfId="20851"/>
    <cellStyle name="Hyperlink 9 5" xfId="13803"/>
    <cellStyle name="I" xfId="13352"/>
    <cellStyle name="I_Final - ER QBR pack" xfId="13353"/>
    <cellStyle name="I_ppm2" xfId="13354"/>
    <cellStyle name="I_temp" xfId="13355"/>
    <cellStyle name="Inconsistent" xfId="8441"/>
    <cellStyle name="InpComma0" xfId="8442"/>
    <cellStyle name="InpDate" xfId="8443"/>
    <cellStyle name="InpPct0" xfId="8444"/>
    <cellStyle name="InpPct1" xfId="8445"/>
    <cellStyle name="Input" xfId="311" builtinId="20" customBuiltin="1"/>
    <cellStyle name="Input %" xfId="13357"/>
    <cellStyle name="Input % 2" xfId="13564"/>
    <cellStyle name="Input % 3" xfId="13630"/>
    <cellStyle name="Input (%)" xfId="8446"/>
    <cellStyle name="Input (%) 2" xfId="8447"/>
    <cellStyle name="Input (Date)" xfId="8448"/>
    <cellStyle name="Input (StyleA)" xfId="8449"/>
    <cellStyle name="Input (StyleA) 2" xfId="8450"/>
    <cellStyle name="Input [yellow]" xfId="8451"/>
    <cellStyle name="Input [yellow] 2" xfId="8452"/>
    <cellStyle name="Input [yellow] 2 2" xfId="8453"/>
    <cellStyle name="Input [yellow] 2 2 2" xfId="8454"/>
    <cellStyle name="Input [yellow] 2 3" xfId="8455"/>
    <cellStyle name="Input [yellow] 2_6.1 Contingency Allocation" xfId="8456"/>
    <cellStyle name="Input [yellow] 3" xfId="8457"/>
    <cellStyle name="Input [yellow] 3 2" xfId="8458"/>
    <cellStyle name="Input [yellow] 4" xfId="8459"/>
    <cellStyle name="Input [yellow]_6.1 Contingency Allocation" xfId="8460"/>
    <cellStyle name="Input £" xfId="13358"/>
    <cellStyle name="Input £ 2" xfId="13565"/>
    <cellStyle name="Input £ 3" xfId="13631"/>
    <cellStyle name="Input 10" xfId="8461"/>
    <cellStyle name="Input 11" xfId="8462"/>
    <cellStyle name="Input 12" xfId="8463"/>
    <cellStyle name="Input 13" xfId="8464"/>
    <cellStyle name="Input 14" xfId="8465"/>
    <cellStyle name="Input 15" xfId="8466"/>
    <cellStyle name="Input 16" xfId="8467"/>
    <cellStyle name="Input 17" xfId="8468"/>
    <cellStyle name="Input 18" xfId="8469"/>
    <cellStyle name="Input 19" xfId="8470"/>
    <cellStyle name="Input 2" xfId="156"/>
    <cellStyle name="Input 2 10" xfId="15760"/>
    <cellStyle name="Input 2 11" xfId="20604"/>
    <cellStyle name="Input 2 12" xfId="8471"/>
    <cellStyle name="Input 2 2" xfId="157"/>
    <cellStyle name="Input 2 2 2" xfId="158"/>
    <cellStyle name="Input 2 2 2 2" xfId="159"/>
    <cellStyle name="Input 2 2 2 2 2" xfId="3858"/>
    <cellStyle name="Input 2 2 2 2 2 2" xfId="15804"/>
    <cellStyle name="Input 2 2 2 2 3" xfId="1902"/>
    <cellStyle name="Input 2 2 2 2 4" xfId="19146"/>
    <cellStyle name="Input 2 2 2 2 5" xfId="20601"/>
    <cellStyle name="Input 2 2 2 3" xfId="160"/>
    <cellStyle name="Input 2 2 2 3 2" xfId="3859"/>
    <cellStyle name="Input 2 2 2 3 2 2" xfId="18506"/>
    <cellStyle name="Input 2 2 2 3 3" xfId="1903"/>
    <cellStyle name="Input 2 2 2 3 4" xfId="17836"/>
    <cellStyle name="Input 2 2 2 3 5" xfId="20600"/>
    <cellStyle name="Input 2 2 2 4" xfId="3857"/>
    <cellStyle name="Input 2 2 2 4 2" xfId="18377"/>
    <cellStyle name="Input 2 2 2 5" xfId="1901"/>
    <cellStyle name="Input 2 2 2 6" xfId="18835"/>
    <cellStyle name="Input 2 2 2 7" xfId="20602"/>
    <cellStyle name="Input 2 2 3" xfId="3856"/>
    <cellStyle name="Input 2 2 3 2" xfId="19231"/>
    <cellStyle name="Input 2 2 4" xfId="1900"/>
    <cellStyle name="Input 2 2 5" xfId="18711"/>
    <cellStyle name="Input 2 2 6" xfId="20603"/>
    <cellStyle name="Input 2 3" xfId="161"/>
    <cellStyle name="Input 2 3 2" xfId="162"/>
    <cellStyle name="Input 2 3 2 2" xfId="163"/>
    <cellStyle name="Input 2 3 2 2 2" xfId="3862"/>
    <cellStyle name="Input 2 3 2 2 2 2" xfId="18227"/>
    <cellStyle name="Input 2 3 2 2 3" xfId="1906"/>
    <cellStyle name="Input 2 3 2 2 4" xfId="18658"/>
    <cellStyle name="Input 2 3 2 2 5" xfId="20597"/>
    <cellStyle name="Input 2 3 2 3" xfId="164"/>
    <cellStyle name="Input 2 3 2 3 2" xfId="3863"/>
    <cellStyle name="Input 2 3 2 3 2 2" xfId="18574"/>
    <cellStyle name="Input 2 3 2 3 3" xfId="1907"/>
    <cellStyle name="Input 2 3 2 3 4" xfId="18958"/>
    <cellStyle name="Input 2 3 2 3 5" xfId="20596"/>
    <cellStyle name="Input 2 3 2 4" xfId="3861"/>
    <cellStyle name="Input 2 3 2 4 2" xfId="18214"/>
    <cellStyle name="Input 2 3 2 5" xfId="1905"/>
    <cellStyle name="Input 2 3 2 6" xfId="19023"/>
    <cellStyle name="Input 2 3 2 7" xfId="20598"/>
    <cellStyle name="Input 2 3 3" xfId="3860"/>
    <cellStyle name="Input 2 3 3 2" xfId="18427"/>
    <cellStyle name="Input 2 3 4" xfId="1904"/>
    <cellStyle name="Input 2 3 5" xfId="17496"/>
    <cellStyle name="Input 2 3 6" xfId="20599"/>
    <cellStyle name="Input 2 4" xfId="165"/>
    <cellStyle name="Input 2 4 2" xfId="166"/>
    <cellStyle name="Input 2 4 2 2" xfId="3865"/>
    <cellStyle name="Input 2 4 2 2 2" xfId="16186"/>
    <cellStyle name="Input 2 4 2 3" xfId="1909"/>
    <cellStyle name="Input 2 4 2 4" xfId="17760"/>
    <cellStyle name="Input 2 4 2 5" xfId="20594"/>
    <cellStyle name="Input 2 4 3" xfId="167"/>
    <cellStyle name="Input 2 4 3 2" xfId="3866"/>
    <cellStyle name="Input 2 4 3 2 2" xfId="17962"/>
    <cellStyle name="Input 2 4 3 3" xfId="1910"/>
    <cellStyle name="Input 2 4 3 4" xfId="18781"/>
    <cellStyle name="Input 2 4 3 5" xfId="20593"/>
    <cellStyle name="Input 2 4 4" xfId="3864"/>
    <cellStyle name="Input 2 4 4 2" xfId="18368"/>
    <cellStyle name="Input 2 4 5" xfId="1908"/>
    <cellStyle name="Input 2 4 6" xfId="18123"/>
    <cellStyle name="Input 2 4 7" xfId="20595"/>
    <cellStyle name="Input 2 5" xfId="405"/>
    <cellStyle name="Input 2 5 2" xfId="3867"/>
    <cellStyle name="Input 2 5 2 2" xfId="17543"/>
    <cellStyle name="Input 2 5 3" xfId="1978"/>
    <cellStyle name="Input 2 5 4" xfId="17309"/>
    <cellStyle name="Input 2 5 5" xfId="20525"/>
    <cellStyle name="Input 2 6" xfId="503"/>
    <cellStyle name="Input 2 6 2" xfId="3868"/>
    <cellStyle name="Input 2 6 2 2" xfId="16194"/>
    <cellStyle name="Input 2 6 3" xfId="2002"/>
    <cellStyle name="Input 2 6 4" xfId="19118"/>
    <cellStyle name="Input 2 6 5" xfId="20501"/>
    <cellStyle name="Input 2 7" xfId="3855"/>
    <cellStyle name="Input 2 7 2" xfId="19025"/>
    <cellStyle name="Input 2 8" xfId="1899"/>
    <cellStyle name="Input 2 9" xfId="18604"/>
    <cellStyle name="Input 2_SSP report" xfId="20941"/>
    <cellStyle name="Input 20" xfId="13356"/>
    <cellStyle name="Input 21" xfId="13460"/>
    <cellStyle name="Input 22" xfId="13502"/>
    <cellStyle name="Input 23" xfId="13503"/>
    <cellStyle name="Input 24" xfId="13543"/>
    <cellStyle name="Input 25" xfId="13563"/>
    <cellStyle name="Input 26" xfId="13610"/>
    <cellStyle name="Input 27" xfId="13629"/>
    <cellStyle name="Input 3" xfId="504"/>
    <cellStyle name="Input 3 2" xfId="3869"/>
    <cellStyle name="Input 3 2 2" xfId="13782"/>
    <cellStyle name="Input 3 3" xfId="2003"/>
    <cellStyle name="Input 3 4" xfId="18995"/>
    <cellStyle name="Input 3 5" xfId="17253"/>
    <cellStyle name="Input 3 6" xfId="20500"/>
    <cellStyle name="Input 3 7" xfId="8472"/>
    <cellStyle name="Input 4" xfId="3870"/>
    <cellStyle name="Input 4 2" xfId="17254"/>
    <cellStyle name="Input 4 3" xfId="20844"/>
    <cellStyle name="Input 4 4" xfId="20790"/>
    <cellStyle name="Input 4 5" xfId="8473"/>
    <cellStyle name="Input 5" xfId="8474"/>
    <cellStyle name="Input 6" xfId="8475"/>
    <cellStyle name="Input 7" xfId="8476"/>
    <cellStyle name="Input 8" xfId="8477"/>
    <cellStyle name="Input 9" xfId="8478"/>
    <cellStyle name="Input date" xfId="13359"/>
    <cellStyle name="Input date 2" xfId="13566"/>
    <cellStyle name="Input date 3" xfId="13632"/>
    <cellStyle name="Input general" xfId="13360"/>
    <cellStyle name="Input general 2" xfId="13567"/>
    <cellStyle name="Input general 3" xfId="13633"/>
    <cellStyle name="Input time" xfId="13361"/>
    <cellStyle name="Input time 2" xfId="13568"/>
    <cellStyle name="Input time 3" xfId="13634"/>
    <cellStyle name="Input(p)" xfId="8479"/>
    <cellStyle name="Input(p) 2" xfId="8480"/>
    <cellStyle name="Input(p) 2 2" xfId="8481"/>
    <cellStyle name="Input(p) 2 2 2" xfId="8482"/>
    <cellStyle name="Input(p) 2 3" xfId="8483"/>
    <cellStyle name="Input(p) 2_6.1 Contingency Allocation" xfId="8484"/>
    <cellStyle name="Input(p) 3" xfId="8485"/>
    <cellStyle name="Input(p) 3 2" xfId="8486"/>
    <cellStyle name="Input(p) 4" xfId="8487"/>
    <cellStyle name="Input(p) 4 2" xfId="8488"/>
    <cellStyle name="Input(p)_6.1 Contingency Allocation" xfId="8489"/>
    <cellStyle name="InputCells12_BBorder_CRFReport-template" xfId="168"/>
    <cellStyle name="InputCurrency" xfId="8490"/>
    <cellStyle name="InputCurrency 2" xfId="8491"/>
    <cellStyle name="InputCurrency 2 2" xfId="8492"/>
    <cellStyle name="InputCurrency 2_6.1 Contingency Allocation" xfId="8493"/>
    <cellStyle name="InputCurrency 3" xfId="8494"/>
    <cellStyle name="InputCurrency_6.1 Contingency Allocation" xfId="8495"/>
    <cellStyle name="InputCurrency2" xfId="8496"/>
    <cellStyle name="InputCurrency2 2" xfId="8497"/>
    <cellStyle name="InputCurrency2 2 2" xfId="8498"/>
    <cellStyle name="InputCurrency2 2_6.1 Contingency Allocation" xfId="8499"/>
    <cellStyle name="InputCurrency2 3" xfId="8500"/>
    <cellStyle name="InputCurrency2_6.1 Contingency Allocation" xfId="8501"/>
    <cellStyle name="InputMultiple1" xfId="8502"/>
    <cellStyle name="InputMultiple1 2" xfId="8503"/>
    <cellStyle name="InputMultiple1 2 2" xfId="8504"/>
    <cellStyle name="InputMultiple1 2_6.1 Contingency Allocation" xfId="8505"/>
    <cellStyle name="InputMultiple1 3" xfId="8506"/>
    <cellStyle name="InputMultiple1_6.1 Contingency Allocation" xfId="8507"/>
    <cellStyle name="INPUTNOCHG" xfId="13362"/>
    <cellStyle name="InputOptional" xfId="8508"/>
    <cellStyle name="InputOptional 10" xfId="8509"/>
    <cellStyle name="InputOptional 10 2" xfId="8510"/>
    <cellStyle name="InputOptional 11" xfId="8511"/>
    <cellStyle name="InputOptional 11 2" xfId="8512"/>
    <cellStyle name="InputOptional 2" xfId="8513"/>
    <cellStyle name="InputOptional 2 2" xfId="8514"/>
    <cellStyle name="InputOptional 3" xfId="8515"/>
    <cellStyle name="InputOptional 3 2" xfId="8516"/>
    <cellStyle name="InputOptional 3 2 2" xfId="8517"/>
    <cellStyle name="InputOptional 3 3" xfId="8518"/>
    <cellStyle name="InputOptional 3_6.1 Contingency Allocation" xfId="8519"/>
    <cellStyle name="InputOptional 4" xfId="8520"/>
    <cellStyle name="InputOptional 4 2" xfId="8521"/>
    <cellStyle name="InputOptional 5" xfId="8522"/>
    <cellStyle name="InputOptional 5 2" xfId="8523"/>
    <cellStyle name="InputOptional 6" xfId="8524"/>
    <cellStyle name="InputOptional 6 2" xfId="8525"/>
    <cellStyle name="InputOptional 7" xfId="8526"/>
    <cellStyle name="InputOptional 7 2" xfId="8527"/>
    <cellStyle name="InputOptional 8" xfId="8528"/>
    <cellStyle name="InputOptional 8 2" xfId="8529"/>
    <cellStyle name="InputOptional 9" xfId="8530"/>
    <cellStyle name="InputOptional 9 2" xfId="8531"/>
    <cellStyle name="InputPercent1" xfId="8532"/>
    <cellStyle name="InputPercent1 2" xfId="8533"/>
    <cellStyle name="InputPercent1 2 2" xfId="8534"/>
    <cellStyle name="InputPercent1 2_6.1 Contingency Allocation" xfId="8535"/>
    <cellStyle name="InputPercent1 3" xfId="8536"/>
    <cellStyle name="InputPercent1_6.1 Contingency Allocation" xfId="8537"/>
    <cellStyle name="INPUTS" xfId="8538"/>
    <cellStyle name="Inputs2" xfId="8539"/>
    <cellStyle name="Integer" xfId="8540"/>
    <cellStyle name="Integer 2" xfId="8541"/>
    <cellStyle name="Integer 2 2" xfId="8542"/>
    <cellStyle name="Integer 2_6.1 Contingency Allocation" xfId="8543"/>
    <cellStyle name="Integer 3" xfId="8544"/>
    <cellStyle name="Integer_6.1 Contingency Allocation" xfId="8545"/>
    <cellStyle name="IntInput" xfId="8546"/>
    <cellStyle name="IntInput 2" xfId="8547"/>
    <cellStyle name="IntInputBk" xfId="8548"/>
    <cellStyle name="IntInputBk 2" xfId="8549"/>
    <cellStyle name="IntInputBu" xfId="8550"/>
    <cellStyle name="IntInputBu 2" xfId="8551"/>
    <cellStyle name="KPMG Heading 1" xfId="8552"/>
    <cellStyle name="KPMG Heading 2" xfId="8553"/>
    <cellStyle name="KPMG Heading 3" xfId="8554"/>
    <cellStyle name="KPMG Heading 4" xfId="8555"/>
    <cellStyle name="KPMG Normal" xfId="8556"/>
    <cellStyle name="KPMG Normal Text" xfId="8557"/>
    <cellStyle name="LABEL Note" xfId="8558"/>
    <cellStyle name="LABEL Note 2" xfId="8559"/>
    <cellStyle name="LABEL Units" xfId="8560"/>
    <cellStyle name="Large Page Heading" xfId="8561"/>
    <cellStyle name="lebz" xfId="8562"/>
    <cellStyle name="lebz 2" xfId="8563"/>
    <cellStyle name="Lien hypertexte" xfId="8564"/>
    <cellStyle name="Lien hypertexte 2" xfId="8565"/>
    <cellStyle name="Link Currency (0)" xfId="8566"/>
    <cellStyle name="Link Currency (2)" xfId="8567"/>
    <cellStyle name="Link Currency (2) 2" xfId="8568"/>
    <cellStyle name="Link Currency (2) 2 2" xfId="8569"/>
    <cellStyle name="Link Currency (2) 2 2 2" xfId="8570"/>
    <cellStyle name="Link Currency (2) 2 3" xfId="8571"/>
    <cellStyle name="Link Currency (2) 2_6.1 Contingency Allocation" xfId="8572"/>
    <cellStyle name="Link Currency (2) 3" xfId="8573"/>
    <cellStyle name="Link Currency (2) 3 2" xfId="8574"/>
    <cellStyle name="Link Currency (2) 4" xfId="8575"/>
    <cellStyle name="Link Currency (2) 4 2" xfId="8576"/>
    <cellStyle name="Link Currency (2)_6.1 Contingency Allocation" xfId="8577"/>
    <cellStyle name="Link Units (0)" xfId="8578"/>
    <cellStyle name="Link Units (1)" xfId="8579"/>
    <cellStyle name="Link Units (1) 10" xfId="8580"/>
    <cellStyle name="Link Units (1) 10 2" xfId="8581"/>
    <cellStyle name="Link Units (1) 11" xfId="8582"/>
    <cellStyle name="Link Units (1) 11 2" xfId="8583"/>
    <cellStyle name="Link Units (1) 2" xfId="8584"/>
    <cellStyle name="Link Units (1) 2 2" xfId="8585"/>
    <cellStyle name="Link Units (1) 3" xfId="8586"/>
    <cellStyle name="Link Units (1) 3 2" xfId="8587"/>
    <cellStyle name="Link Units (1) 3 2 2" xfId="8588"/>
    <cellStyle name="Link Units (1) 3 3" xfId="8589"/>
    <cellStyle name="Link Units (1) 3_6.1 Contingency Allocation" xfId="8590"/>
    <cellStyle name="Link Units (1) 4" xfId="8591"/>
    <cellStyle name="Link Units (1) 4 2" xfId="8592"/>
    <cellStyle name="Link Units (1) 5" xfId="8593"/>
    <cellStyle name="Link Units (1) 5 2" xfId="8594"/>
    <cellStyle name="Link Units (1) 6" xfId="8595"/>
    <cellStyle name="Link Units (1) 6 2" xfId="8596"/>
    <cellStyle name="Link Units (1) 7" xfId="8597"/>
    <cellStyle name="Link Units (1) 7 2" xfId="8598"/>
    <cellStyle name="Link Units (1) 8" xfId="8599"/>
    <cellStyle name="Link Units (1) 8 2" xfId="8600"/>
    <cellStyle name="Link Units (1) 9" xfId="8601"/>
    <cellStyle name="Link Units (1) 9 2" xfId="8602"/>
    <cellStyle name="Link Units (2)" xfId="8603"/>
    <cellStyle name="Link Units (2) 2" xfId="8604"/>
    <cellStyle name="Link Units (2) 2 2" xfId="8605"/>
    <cellStyle name="Link Units (2) 2 2 2" xfId="8606"/>
    <cellStyle name="Link Units (2) 2 3" xfId="8607"/>
    <cellStyle name="Link Units (2) 2_6.1 Contingency Allocation" xfId="8608"/>
    <cellStyle name="Link Units (2) 3" xfId="8609"/>
    <cellStyle name="Link Units (2) 3 2" xfId="8610"/>
    <cellStyle name="Link Units (2) 4" xfId="8611"/>
    <cellStyle name="Link Units (2) 4 2" xfId="8612"/>
    <cellStyle name="Link Units (2)_6.1 Contingency Allocation" xfId="8613"/>
    <cellStyle name="linked" xfId="13369"/>
    <cellStyle name="Linked Cell" xfId="314" builtinId="24" customBuiltin="1"/>
    <cellStyle name="Linked Cell 2" xfId="169"/>
    <cellStyle name="Linked Cell 2 2" xfId="505"/>
    <cellStyle name="Linked Cell 2 3" xfId="13686"/>
    <cellStyle name="Linked Cell 2 4" xfId="15761"/>
    <cellStyle name="Linked Cell 2 5" xfId="8614"/>
    <cellStyle name="Linked Cell 3" xfId="506"/>
    <cellStyle name="Linked Cell 3 2" xfId="13783"/>
    <cellStyle name="Linked Cell 3 3" xfId="15762"/>
    <cellStyle name="Linked Cell 3 4" xfId="8615"/>
    <cellStyle name="Linked Cell 4" xfId="3871"/>
    <cellStyle name="Linked Cell 5" xfId="8616"/>
    <cellStyle name="Linked Cell 6" xfId="13370"/>
    <cellStyle name="Locked" xfId="13371"/>
    <cellStyle name="macro %" xfId="13372"/>
    <cellStyle name="macro % 2" xfId="13569"/>
    <cellStyle name="macro % 3" xfId="13635"/>
    <cellStyle name="macro £" xfId="13373"/>
    <cellStyle name="macro £ 2" xfId="13570"/>
    <cellStyle name="macro £ 3" xfId="13636"/>
    <cellStyle name="macro general" xfId="13374"/>
    <cellStyle name="macro general 2" xfId="13571"/>
    <cellStyle name="macro general 3" xfId="13637"/>
    <cellStyle name="macro mins" xfId="13375"/>
    <cellStyle name="macro mins 2" xfId="13572"/>
    <cellStyle name="macro mins 3" xfId="13638"/>
    <cellStyle name="macro time" xfId="13376"/>
    <cellStyle name="macro time 2" xfId="13573"/>
    <cellStyle name="macro time 3" xfId="13639"/>
    <cellStyle name="Mainline" xfId="8617"/>
    <cellStyle name="MAND_x000a_CHECK.COMMAND_x000e_RENAME.COMMAND_x0008_SHOW.BAR_x000b_DELETE.MENU_x000e_DELETE.COMMAND_x000e_GET.CHA" xfId="8618"/>
    <cellStyle name="MAND_x000a_CHECK.COMMAND_x000e_RENAME.COMMAND_x0008_SHOW.BAR_x000b_DELETE.MENU_x000e_DELETE.COMMAND_x000e_GET.CHA 2" xfId="8619"/>
    <cellStyle name="manual" xfId="13377"/>
    <cellStyle name="ManualInput#.##" xfId="13378"/>
    <cellStyle name="ManualInput%0dp" xfId="13379"/>
    <cellStyle name="ManualInput%2dp" xfId="13380"/>
    <cellStyle name="MaxTimeThis" xfId="8620"/>
    <cellStyle name="MaxTimeThis 10" xfId="8621"/>
    <cellStyle name="MaxTimeThis 10 2" xfId="8622"/>
    <cellStyle name="MaxTimeThis 11" xfId="8623"/>
    <cellStyle name="MaxTimeThis 11 2" xfId="8624"/>
    <cellStyle name="MaxTimeThis 2" xfId="8625"/>
    <cellStyle name="MaxTimeThis 2 2" xfId="8626"/>
    <cellStyle name="MaxTimeThis 2 2 2" xfId="8627"/>
    <cellStyle name="MaxTimeThis 2 3" xfId="8628"/>
    <cellStyle name="MaxTimeThis 3" xfId="8629"/>
    <cellStyle name="MaxTimeThis 3 2" xfId="8630"/>
    <cellStyle name="MaxTimeThis 3 2 2" xfId="8631"/>
    <cellStyle name="MaxTimeThis 3 2 2 2" xfId="8632"/>
    <cellStyle name="MaxTimeThis 3 2 3" xfId="8633"/>
    <cellStyle name="MaxTimeThis 3 3" xfId="8634"/>
    <cellStyle name="MaxTimeThis 3 3 2" xfId="8635"/>
    <cellStyle name="MaxTimeThis 3 4" xfId="8636"/>
    <cellStyle name="MaxTimeThis 3_6.1 Contingency Allocation" xfId="8637"/>
    <cellStyle name="MaxTimeThis 4" xfId="8638"/>
    <cellStyle name="MaxTimeThis 4 2" xfId="8639"/>
    <cellStyle name="MaxTimeThis 5" xfId="8640"/>
    <cellStyle name="MaxTimeThis 5 2" xfId="8641"/>
    <cellStyle name="MaxTimeThis 6" xfId="8642"/>
    <cellStyle name="MaxTimeThis 6 2" xfId="8643"/>
    <cellStyle name="MaxTimeThis 7" xfId="8644"/>
    <cellStyle name="MaxTimeThis 7 2" xfId="8645"/>
    <cellStyle name="MaxTimeThis 8" xfId="8646"/>
    <cellStyle name="MaxTimeThis 8 2" xfId="8647"/>
    <cellStyle name="MaxTimeThis 9" xfId="8648"/>
    <cellStyle name="MaxTimeThis 9 2" xfId="8649"/>
    <cellStyle name="mBtu(Red)" xfId="8650"/>
    <cellStyle name="Menu" xfId="170"/>
    <cellStyle name="Millares [0]_2AV_M_M " xfId="8651"/>
    <cellStyle name="Millares_2AV_M_M " xfId="8652"/>
    <cellStyle name="Milliers [0]_03tabmat" xfId="171"/>
    <cellStyle name="Milliers_03tabmat" xfId="172"/>
    <cellStyle name="Millions 1 DP" xfId="8653"/>
    <cellStyle name="Millions 1 DP 2" xfId="8654"/>
    <cellStyle name="Millions 1 DP 2 2" xfId="8655"/>
    <cellStyle name="Millions 1 DP 3" xfId="8656"/>
    <cellStyle name="Millions 1 DP 3 2" xfId="8657"/>
    <cellStyle name="Millions 1 DP 3 2 2" xfId="8658"/>
    <cellStyle name="Millions 1 DP 3 3" xfId="8659"/>
    <cellStyle name="Millions 1 DP 4" xfId="8660"/>
    <cellStyle name="Millions 1 DP 4 2" xfId="8661"/>
    <cellStyle name="Millions 1 DP 5" xfId="8662"/>
    <cellStyle name="Millions 1 DP 5 2" xfId="8663"/>
    <cellStyle name="Millions 1 DP 6" xfId="8664"/>
    <cellStyle name="Millions 1 DP 6 2" xfId="8665"/>
    <cellStyle name="millions_format" xfId="8666"/>
    <cellStyle name="MLComma0" xfId="8667"/>
    <cellStyle name="MLComma0 2" xfId="8668"/>
    <cellStyle name="MLPercent0" xfId="8669"/>
    <cellStyle name="MLPercent0 2" xfId="8670"/>
    <cellStyle name="Moneda [0]_2AV_M_M " xfId="8671"/>
    <cellStyle name="Moneda_2AV_M_M " xfId="8672"/>
    <cellStyle name="Monétaire [0]_03tabmat" xfId="173"/>
    <cellStyle name="Monétaire_03tabmat" xfId="174"/>
    <cellStyle name="Money" xfId="8673"/>
    <cellStyle name="Money on outputs" xfId="8674"/>
    <cellStyle name="Month" xfId="8675"/>
    <cellStyle name="Month 2" xfId="8676"/>
    <cellStyle name="Multiple" xfId="8677"/>
    <cellStyle name="Multiple [0]" xfId="8678"/>
    <cellStyle name="Multiple [1]" xfId="8679"/>
    <cellStyle name="Multiple_Anteater 260105 v9" xfId="8680"/>
    <cellStyle name="Multiple1" xfId="8681"/>
    <cellStyle name="Multiple1 2" xfId="8682"/>
    <cellStyle name="Multiple1 2 2" xfId="8683"/>
    <cellStyle name="Multiple1 2_6.1 Contingency Allocation" xfId="8684"/>
    <cellStyle name="Multiple1 3" xfId="8685"/>
    <cellStyle name="Multiple1_6.1 Contingency Allocation" xfId="8686"/>
    <cellStyle name="MultipleBelow" xfId="8687"/>
    <cellStyle name="Negative" xfId="8688"/>
    <cellStyle name="Negative 2" xfId="8689"/>
    <cellStyle name="Negative[0]" xfId="8690"/>
    <cellStyle name="Negative[0] 2" xfId="8691"/>
    <cellStyle name="Negative_Project Mallard model 050907 v16" xfId="8692"/>
    <cellStyle name="Neutral" xfId="310" builtinId="28" customBuiltin="1"/>
    <cellStyle name="Neutral 10" xfId="13544"/>
    <cellStyle name="Neutral 2" xfId="175"/>
    <cellStyle name="Neutral 2 2" xfId="176"/>
    <cellStyle name="Neutral 2 2 2" xfId="177"/>
    <cellStyle name="Neutral 2 2 3" xfId="178"/>
    <cellStyle name="Neutral 2 3" xfId="406"/>
    <cellStyle name="Neutral 2 4" xfId="507"/>
    <cellStyle name="Neutral 2 5" xfId="17011"/>
    <cellStyle name="Neutral 2 6" xfId="8693"/>
    <cellStyle name="Neutral 2_SSP report" xfId="407"/>
    <cellStyle name="Neutral 3" xfId="508"/>
    <cellStyle name="Neutral 3 2" xfId="740"/>
    <cellStyle name="Neutral 3 3" xfId="13784"/>
    <cellStyle name="Neutral 3 4" xfId="15168"/>
    <cellStyle name="Neutral 3 5" xfId="8694"/>
    <cellStyle name="Neutral 4" xfId="550"/>
    <cellStyle name="Neutral 4 2" xfId="13808"/>
    <cellStyle name="Neutral 4 3" xfId="15067"/>
    <cellStyle name="Neutral 4 4" xfId="8695"/>
    <cellStyle name="Neutral 5" xfId="554"/>
    <cellStyle name="Neutral 5 2" xfId="13812"/>
    <cellStyle name="Neutral 5 3" xfId="15733"/>
    <cellStyle name="Neutral 5 4" xfId="8696"/>
    <cellStyle name="Neutral 6" xfId="558"/>
    <cellStyle name="Neutral 6 2" xfId="13816"/>
    <cellStyle name="Neutral 6 3" xfId="20665"/>
    <cellStyle name="Neutral 6 4" xfId="13381"/>
    <cellStyle name="Neutral 7" xfId="561"/>
    <cellStyle name="Neutral 7 2" xfId="13819"/>
    <cellStyle name="Neutral 7 3" xfId="20706"/>
    <cellStyle name="Neutral 7 4" xfId="13461"/>
    <cellStyle name="Neutral 8" xfId="3872"/>
    <cellStyle name="Neutral 8 2" xfId="20722"/>
    <cellStyle name="Neutral 8 3" xfId="20845"/>
    <cellStyle name="Neutral 8 4" xfId="20806"/>
    <cellStyle name="Neutral 8 5" xfId="13505"/>
    <cellStyle name="Neutral 9" xfId="13499"/>
    <cellStyle name="NINA" xfId="8697"/>
    <cellStyle name="no dec" xfId="8698"/>
    <cellStyle name="No zero - 1dp" xfId="8699"/>
    <cellStyle name="No zero - 1dp 2" xfId="8700"/>
    <cellStyle name="No zero - percent" xfId="8701"/>
    <cellStyle name="No zero - percent 2" xfId="8702"/>
    <cellStyle name="Nor}al" xfId="8703"/>
    <cellStyle name="Normal" xfId="0" builtinId="0"/>
    <cellStyle name="Normal - Style1" xfId="8704"/>
    <cellStyle name="Normal - Style1 2" xfId="8705"/>
    <cellStyle name="Normal (%)" xfId="8706"/>
    <cellStyle name="Normal (%) 2" xfId="8707"/>
    <cellStyle name="Normal (£m)" xfId="8708"/>
    <cellStyle name="Normal (No)" xfId="8709"/>
    <cellStyle name="Normal (x)" xfId="8710"/>
    <cellStyle name="Normal 10" xfId="179"/>
    <cellStyle name="Normal 10 2" xfId="180"/>
    <cellStyle name="Normal 10 2 2" xfId="181"/>
    <cellStyle name="Normal 10 2 2 2" xfId="13688"/>
    <cellStyle name="Normal 10 2 2 3" xfId="15563"/>
    <cellStyle name="Normal 10 2 2 4" xfId="8713"/>
    <cellStyle name="Normal 10 2 3" xfId="13687"/>
    <cellStyle name="Normal 10 2 4" xfId="17012"/>
    <cellStyle name="Normal 10 2 5" xfId="8712"/>
    <cellStyle name="Normal 10 3" xfId="182"/>
    <cellStyle name="Normal 10 3 2" xfId="183"/>
    <cellStyle name="Normal 10 3 3" xfId="15184"/>
    <cellStyle name="Normal 10 3 4" xfId="8714"/>
    <cellStyle name="Normal 10 4" xfId="184"/>
    <cellStyle name="Normal 10 5" xfId="15415"/>
    <cellStyle name="Normal 10 6" xfId="8711"/>
    <cellStyle name="Normal 100" xfId="8715"/>
    <cellStyle name="Normal 100 2" xfId="13203"/>
    <cellStyle name="Normal 101" xfId="8716"/>
    <cellStyle name="Normal 101 2" xfId="13204"/>
    <cellStyle name="Normal 102" xfId="8717"/>
    <cellStyle name="Normal 103" xfId="8718"/>
    <cellStyle name="Normal 103 2" xfId="13205"/>
    <cellStyle name="Normal 104" xfId="8719"/>
    <cellStyle name="Normal 105" xfId="8720"/>
    <cellStyle name="Normal 106" xfId="8721"/>
    <cellStyle name="Normal 107" xfId="8722"/>
    <cellStyle name="Normal 107 2" xfId="13206"/>
    <cellStyle name="Normal 108" xfId="8723"/>
    <cellStyle name="Normal 108 2" xfId="13207"/>
    <cellStyle name="Normal 109" xfId="8724"/>
    <cellStyle name="Normal 109 2" xfId="13208"/>
    <cellStyle name="Normal 11" xfId="185"/>
    <cellStyle name="Normal 11 2" xfId="186"/>
    <cellStyle name="Normal 11 2 2" xfId="8726"/>
    <cellStyle name="Normal 11 3" xfId="8727"/>
    <cellStyle name="Normal 11 4" xfId="17013"/>
    <cellStyle name="Normal 11 5" xfId="8725"/>
    <cellStyle name="Normal 110" xfId="8728"/>
    <cellStyle name="Normal 110 2" xfId="8729"/>
    <cellStyle name="Normal 111" xfId="13160"/>
    <cellStyle name="Normal 111 2" xfId="13209"/>
    <cellStyle name="Normal 112" xfId="13210"/>
    <cellStyle name="Normal 113" xfId="408"/>
    <cellStyle name="Normal 113 10" xfId="20524"/>
    <cellStyle name="Normal 113 11" xfId="13158"/>
    <cellStyle name="Normal 113 2" xfId="593"/>
    <cellStyle name="Normal 113 2 10" xfId="13846"/>
    <cellStyle name="Normal 113 2 2" xfId="860"/>
    <cellStyle name="Normal 113 2 2 2" xfId="1134"/>
    <cellStyle name="Normal 113 2 2 2 2" xfId="1793"/>
    <cellStyle name="Normal 113 2 2 2 2 2" xfId="3877"/>
    <cellStyle name="Normal 113 2 2 2 2 2 2" xfId="18146"/>
    <cellStyle name="Normal 113 2 2 2 2 3" xfId="3221"/>
    <cellStyle name="Normal 113 2 2 2 2 3 2" xfId="16305"/>
    <cellStyle name="Normal 113 2 2 2 2 4" xfId="17957"/>
    <cellStyle name="Normal 113 2 2 2 2 5" xfId="19366"/>
    <cellStyle name="Normal 113 2 2 2 2 6" xfId="14948"/>
    <cellStyle name="Normal 113 2 2 2 3" xfId="3876"/>
    <cellStyle name="Normal 113 2 2 2 3 2" xfId="15770"/>
    <cellStyle name="Normal 113 2 2 2 4" xfId="2565"/>
    <cellStyle name="Normal 113 2 2 2 4 2" xfId="16594"/>
    <cellStyle name="Normal 113 2 2 2 5" xfId="17569"/>
    <cellStyle name="Normal 113 2 2 2 6" xfId="19938"/>
    <cellStyle name="Normal 113 2 2 2 7" xfId="14314"/>
    <cellStyle name="Normal 113 2 2 3" xfId="1519"/>
    <cellStyle name="Normal 113 2 2 3 2" xfId="3878"/>
    <cellStyle name="Normal 113 2 2 3 2 2" xfId="15992"/>
    <cellStyle name="Normal 113 2 2 3 3" xfId="2947"/>
    <cellStyle name="Normal 113 2 2 3 3 2" xfId="15914"/>
    <cellStyle name="Normal 113 2 2 3 4" xfId="18020"/>
    <cellStyle name="Normal 113 2 2 3 5" xfId="19638"/>
    <cellStyle name="Normal 113 2 2 3 6" xfId="14685"/>
    <cellStyle name="Normal 113 2 2 4" xfId="3875"/>
    <cellStyle name="Normal 113 2 2 4 2" xfId="15879"/>
    <cellStyle name="Normal 113 2 2 5" xfId="2291"/>
    <cellStyle name="Normal 113 2 2 5 2" xfId="15863"/>
    <cellStyle name="Normal 113 2 2 6" xfId="16485"/>
    <cellStyle name="Normal 113 2 2 7" xfId="20212"/>
    <cellStyle name="Normal 113 2 2 8" xfId="14064"/>
    <cellStyle name="Normal 113 2 3" xfId="716"/>
    <cellStyle name="Normal 113 2 3 2" xfId="1383"/>
    <cellStyle name="Normal 113 2 3 2 2" xfId="3880"/>
    <cellStyle name="Normal 113 2 3 2 2 2" xfId="15857"/>
    <cellStyle name="Normal 113 2 3 2 3" xfId="2811"/>
    <cellStyle name="Normal 113 2 3 2 3 2" xfId="16757"/>
    <cellStyle name="Normal 113 2 3 2 4" xfId="17867"/>
    <cellStyle name="Normal 113 2 3 2 5" xfId="19772"/>
    <cellStyle name="Normal 113 2 3 2 6" xfId="14560"/>
    <cellStyle name="Normal 113 2 3 3" xfId="3879"/>
    <cellStyle name="Normal 113 2 3 3 2" xfId="18175"/>
    <cellStyle name="Normal 113 2 3 4" xfId="2155"/>
    <cellStyle name="Normal 113 2 3 4 2" xfId="18244"/>
    <cellStyle name="Normal 113 2 3 5" xfId="16459"/>
    <cellStyle name="Normal 113 2 3 6" xfId="20348"/>
    <cellStyle name="Normal 113 2 3 7" xfId="13952"/>
    <cellStyle name="Normal 113 2 4" xfId="998"/>
    <cellStyle name="Normal 113 2 4 2" xfId="1657"/>
    <cellStyle name="Normal 113 2 4 2 2" xfId="3882"/>
    <cellStyle name="Normal 113 2 4 2 2 2" xfId="15961"/>
    <cellStyle name="Normal 113 2 4 2 3" xfId="3085"/>
    <cellStyle name="Normal 113 2 4 2 3 2" xfId="16289"/>
    <cellStyle name="Normal 113 2 4 2 4" xfId="15095"/>
    <cellStyle name="Normal 113 2 4 2 5" xfId="19500"/>
    <cellStyle name="Normal 113 2 4 2 6" xfId="14823"/>
    <cellStyle name="Normal 113 2 4 3" xfId="3881"/>
    <cellStyle name="Normal 113 2 4 3 2" xfId="18270"/>
    <cellStyle name="Normal 113 2 4 4" xfId="2429"/>
    <cellStyle name="Normal 113 2 4 4 2" xfId="15053"/>
    <cellStyle name="Normal 113 2 4 5" xfId="16131"/>
    <cellStyle name="Normal 113 2 4 6" xfId="20074"/>
    <cellStyle name="Normal 113 2 4 7" xfId="14202"/>
    <cellStyle name="Normal 113 2 5" xfId="1278"/>
    <cellStyle name="Normal 113 2 5 2" xfId="3883"/>
    <cellStyle name="Normal 113 2 5 2 2" xfId="19150"/>
    <cellStyle name="Normal 113 2 5 3" xfId="2706"/>
    <cellStyle name="Normal 113 2 5 3 2" xfId="16002"/>
    <cellStyle name="Normal 113 2 5 4" xfId="15099"/>
    <cellStyle name="Normal 113 2 5 5" xfId="19847"/>
    <cellStyle name="Normal 113 2 5 6" xfId="14455"/>
    <cellStyle name="Normal 113 2 6" xfId="3874"/>
    <cellStyle name="Normal 113 2 6 2" xfId="18717"/>
    <cellStyle name="Normal 113 2 7" xfId="2048"/>
    <cellStyle name="Normal 113 2 7 2" xfId="15125"/>
    <cellStyle name="Normal 113 2 8" xfId="16444"/>
    <cellStyle name="Normal 113 2 9" xfId="20455"/>
    <cellStyle name="Normal 113 3" xfId="794"/>
    <cellStyle name="Normal 113 3 2" xfId="1073"/>
    <cellStyle name="Normal 113 3 2 2" xfId="1732"/>
    <cellStyle name="Normal 113 3 2 2 2" xfId="3886"/>
    <cellStyle name="Normal 113 3 2 2 2 2" xfId="18178"/>
    <cellStyle name="Normal 113 3 2 2 3" xfId="3160"/>
    <cellStyle name="Normal 113 3 2 2 3 2" xfId="16795"/>
    <cellStyle name="Normal 113 3 2 2 4" xfId="17770"/>
    <cellStyle name="Normal 113 3 2 2 5" xfId="19427"/>
    <cellStyle name="Normal 113 3 2 2 6" xfId="14887"/>
    <cellStyle name="Normal 113 3 2 3" xfId="3885"/>
    <cellStyle name="Normal 113 3 2 3 2" xfId="18591"/>
    <cellStyle name="Normal 113 3 2 4" xfId="2504"/>
    <cellStyle name="Normal 113 3 2 4 2" xfId="18536"/>
    <cellStyle name="Normal 113 3 2 5" xfId="16535"/>
    <cellStyle name="Normal 113 3 2 6" xfId="19999"/>
    <cellStyle name="Normal 113 3 2 7" xfId="14256"/>
    <cellStyle name="Normal 113 3 3" xfId="1458"/>
    <cellStyle name="Normal 113 3 3 2" xfId="3887"/>
    <cellStyle name="Normal 113 3 3 2 2" xfId="15971"/>
    <cellStyle name="Normal 113 3 3 3" xfId="2886"/>
    <cellStyle name="Normal 113 3 3 3 2" xfId="16230"/>
    <cellStyle name="Normal 113 3 3 4" xfId="17695"/>
    <cellStyle name="Normal 113 3 3 5" xfId="19699"/>
    <cellStyle name="Normal 113 3 3 6" xfId="14624"/>
    <cellStyle name="Normal 113 3 4" xfId="3884"/>
    <cellStyle name="Normal 113 3 4 2" xfId="18840"/>
    <cellStyle name="Normal 113 3 5" xfId="2230"/>
    <cellStyle name="Normal 113 3 5 2" xfId="17123"/>
    <cellStyle name="Normal 113 3 6" xfId="16478"/>
    <cellStyle name="Normal 113 3 7" xfId="20273"/>
    <cellStyle name="Normal 113 3 8" xfId="14007"/>
    <cellStyle name="Normal 113 4" xfId="665"/>
    <cellStyle name="Normal 113 4 2" xfId="1332"/>
    <cellStyle name="Normal 113 4 2 2" xfId="3889"/>
    <cellStyle name="Normal 113 4 2 2 2" xfId="15820"/>
    <cellStyle name="Normal 113 4 2 3" xfId="2760"/>
    <cellStyle name="Normal 113 4 2 3 2" xfId="16712"/>
    <cellStyle name="Normal 113 4 2 4" xfId="17568"/>
    <cellStyle name="Normal 113 4 2 5" xfId="20759"/>
    <cellStyle name="Normal 113 4 2 6" xfId="14509"/>
    <cellStyle name="Normal 113 4 3" xfId="3888"/>
    <cellStyle name="Normal 113 4 3 2" xfId="19237"/>
    <cellStyle name="Normal 113 4 4" xfId="2104"/>
    <cellStyle name="Normal 113 4 4 2" xfId="17512"/>
    <cellStyle name="Normal 113 4 5" xfId="17411"/>
    <cellStyle name="Normal 113 4 6" xfId="20399"/>
    <cellStyle name="Normal 113 4 7" xfId="13902"/>
    <cellStyle name="Normal 113 5" xfId="947"/>
    <cellStyle name="Normal 113 5 2" xfId="1606"/>
    <cellStyle name="Normal 113 5 2 2" xfId="3891"/>
    <cellStyle name="Normal 113 5 2 2 2" xfId="18426"/>
    <cellStyle name="Normal 113 5 2 3" xfId="3034"/>
    <cellStyle name="Normal 113 5 2 3 2" xfId="16205"/>
    <cellStyle name="Normal 113 5 2 4" xfId="15270"/>
    <cellStyle name="Normal 113 5 2 5" xfId="19551"/>
    <cellStyle name="Normal 113 5 2 6" xfId="14772"/>
    <cellStyle name="Normal 113 5 3" xfId="3890"/>
    <cellStyle name="Normal 113 5 3 2" xfId="18644"/>
    <cellStyle name="Normal 113 5 4" xfId="2378"/>
    <cellStyle name="Normal 113 5 4 2" xfId="15964"/>
    <cellStyle name="Normal 113 5 5" xfId="18888"/>
    <cellStyle name="Normal 113 5 6" xfId="20125"/>
    <cellStyle name="Normal 113 5 7" xfId="14151"/>
    <cellStyle name="Normal 113 6" xfId="1227"/>
    <cellStyle name="Normal 113 6 2" xfId="3892"/>
    <cellStyle name="Normal 113 6 2 2" xfId="15059"/>
    <cellStyle name="Normal 113 6 3" xfId="2655"/>
    <cellStyle name="Normal 113 6 3 2" xfId="16635"/>
    <cellStyle name="Normal 113 6 4" xfId="17478"/>
    <cellStyle name="Normal 113 6 5" xfId="19898"/>
    <cellStyle name="Normal 113 6 6" xfId="14404"/>
    <cellStyle name="Normal 113 7" xfId="3873"/>
    <cellStyle name="Normal 113 7 2" xfId="16271"/>
    <cellStyle name="Normal 113 8" xfId="1979"/>
    <cellStyle name="Normal 113 8 2" xfId="18834"/>
    <cellStyle name="Normal 113 9" xfId="19111"/>
    <cellStyle name="Normal 114" xfId="13289"/>
    <cellStyle name="Normal 115" xfId="13291"/>
    <cellStyle name="Normal 116" xfId="13391"/>
    <cellStyle name="Normal 117" xfId="13467"/>
    <cellStyle name="Normal 118" xfId="13528"/>
    <cellStyle name="Normal 119" xfId="13530"/>
    <cellStyle name="Normal 12" xfId="187"/>
    <cellStyle name="Normal 12 2" xfId="8730"/>
    <cellStyle name="Normal 120" xfId="13548"/>
    <cellStyle name="Normal 121" xfId="13602"/>
    <cellStyle name="Normal 122" xfId="13603"/>
    <cellStyle name="Normal 123" xfId="438"/>
    <cellStyle name="Normal 123 10" xfId="16429"/>
    <cellStyle name="Normal 123 11" xfId="20749"/>
    <cellStyle name="Normal 123 12" xfId="20505"/>
    <cellStyle name="Normal 123 13" xfId="13613"/>
    <cellStyle name="Normal 123 2" xfId="610"/>
    <cellStyle name="Normal 123 2 10" xfId="13863"/>
    <cellStyle name="Normal 123 2 2" xfId="877"/>
    <cellStyle name="Normal 123 2 2 2" xfId="1151"/>
    <cellStyle name="Normal 123 2 2 2 2" xfId="1810"/>
    <cellStyle name="Normal 123 2 2 2 2 2" xfId="3897"/>
    <cellStyle name="Normal 123 2 2 2 2 2 2" xfId="17882"/>
    <cellStyle name="Normal 123 2 2 2 2 3" xfId="3238"/>
    <cellStyle name="Normal 123 2 2 2 2 3 2" xfId="16314"/>
    <cellStyle name="Normal 123 2 2 2 2 4" xfId="15085"/>
    <cellStyle name="Normal 123 2 2 2 2 5" xfId="19349"/>
    <cellStyle name="Normal 123 2 2 2 2 6" xfId="14965"/>
    <cellStyle name="Normal 123 2 2 2 3" xfId="3896"/>
    <cellStyle name="Normal 123 2 2 2 3 2" xfId="16357"/>
    <cellStyle name="Normal 123 2 2 2 4" xfId="2582"/>
    <cellStyle name="Normal 123 2 2 2 4 2" xfId="16610"/>
    <cellStyle name="Normal 123 2 2 2 5" xfId="16563"/>
    <cellStyle name="Normal 123 2 2 2 6" xfId="20771"/>
    <cellStyle name="Normal 123 2 2 2 7" xfId="14331"/>
    <cellStyle name="Normal 123 2 2 3" xfId="1536"/>
    <cellStyle name="Normal 123 2 2 3 2" xfId="3898"/>
    <cellStyle name="Normal 123 2 2 3 2 2" xfId="17674"/>
    <cellStyle name="Normal 123 2 2 3 3" xfId="2964"/>
    <cellStyle name="Normal 123 2 2 3 3 2" xfId="18509"/>
    <cellStyle name="Normal 123 2 2 3 4" xfId="17967"/>
    <cellStyle name="Normal 123 2 2 3 5" xfId="19621"/>
    <cellStyle name="Normal 123 2 2 3 6" xfId="14702"/>
    <cellStyle name="Normal 123 2 2 4" xfId="3895"/>
    <cellStyle name="Normal 123 2 2 4 2" xfId="16351"/>
    <cellStyle name="Normal 123 2 2 5" xfId="2308"/>
    <cellStyle name="Normal 123 2 2 5 2" xfId="18662"/>
    <cellStyle name="Normal 123 2 2 6" xfId="18982"/>
    <cellStyle name="Normal 123 2 2 7" xfId="20195"/>
    <cellStyle name="Normal 123 2 2 8" xfId="14081"/>
    <cellStyle name="Normal 123 2 3" xfId="733"/>
    <cellStyle name="Normal 123 2 3 2" xfId="1400"/>
    <cellStyle name="Normal 123 2 3 2 2" xfId="3900"/>
    <cellStyle name="Normal 123 2 3 2 2 2" xfId="17811"/>
    <cellStyle name="Normal 123 2 3 2 3" xfId="2828"/>
    <cellStyle name="Normal 123 2 3 2 3 2" xfId="16767"/>
    <cellStyle name="Normal 123 2 3 2 4" xfId="18049"/>
    <cellStyle name="Normal 123 2 3 2 5" xfId="19757"/>
    <cellStyle name="Normal 123 2 3 2 6" xfId="14577"/>
    <cellStyle name="Normal 123 2 3 3" xfId="3899"/>
    <cellStyle name="Normal 123 2 3 3 2" xfId="18498"/>
    <cellStyle name="Normal 123 2 3 4" xfId="2172"/>
    <cellStyle name="Normal 123 2 3 4 2" xfId="15630"/>
    <cellStyle name="Normal 123 2 3 5" xfId="16464"/>
    <cellStyle name="Normal 123 2 3 6" xfId="20331"/>
    <cellStyle name="Normal 123 2 3 7" xfId="13969"/>
    <cellStyle name="Normal 123 2 4" xfId="1015"/>
    <cellStyle name="Normal 123 2 4 2" xfId="1674"/>
    <cellStyle name="Normal 123 2 4 2 2" xfId="3902"/>
    <cellStyle name="Normal 123 2 4 2 2 2" xfId="15589"/>
    <cellStyle name="Normal 123 2 4 2 3" xfId="3102"/>
    <cellStyle name="Normal 123 2 4 2 3 2" xfId="16298"/>
    <cellStyle name="Normal 123 2 4 2 4" xfId="17470"/>
    <cellStyle name="Normal 123 2 4 2 5" xfId="19483"/>
    <cellStyle name="Normal 123 2 4 2 6" xfId="14840"/>
    <cellStyle name="Normal 123 2 4 3" xfId="3901"/>
    <cellStyle name="Normal 123 2 4 3 2" xfId="17462"/>
    <cellStyle name="Normal 123 2 4 4" xfId="2446"/>
    <cellStyle name="Normal 123 2 4 4 2" xfId="15827"/>
    <cellStyle name="Normal 123 2 4 5" xfId="16223"/>
    <cellStyle name="Normal 123 2 4 6" xfId="20057"/>
    <cellStyle name="Normal 123 2 4 7" xfId="14219"/>
    <cellStyle name="Normal 123 2 5" xfId="1295"/>
    <cellStyle name="Normal 123 2 5 2" xfId="3903"/>
    <cellStyle name="Normal 123 2 5 2 2" xfId="16352"/>
    <cellStyle name="Normal 123 2 5 3" xfId="2723"/>
    <cellStyle name="Normal 123 2 5 3 2" xfId="16101"/>
    <cellStyle name="Normal 123 2 5 4" xfId="17738"/>
    <cellStyle name="Normal 123 2 5 5" xfId="19830"/>
    <cellStyle name="Normal 123 2 5 6" xfId="14472"/>
    <cellStyle name="Normal 123 2 6" xfId="3894"/>
    <cellStyle name="Normal 123 2 6 2" xfId="16350"/>
    <cellStyle name="Normal 123 2 7" xfId="2065"/>
    <cellStyle name="Normal 123 2 7 2" xfId="17366"/>
    <cellStyle name="Normal 123 2 8" xfId="18674"/>
    <cellStyle name="Normal 123 2 9" xfId="20438"/>
    <cellStyle name="Normal 123 3" xfId="811"/>
    <cellStyle name="Normal 123 3 2" xfId="1090"/>
    <cellStyle name="Normal 123 3 2 2" xfId="1749"/>
    <cellStyle name="Normal 123 3 2 2 2" xfId="3906"/>
    <cellStyle name="Normal 123 3 2 2 2 2" xfId="18061"/>
    <cellStyle name="Normal 123 3 2 2 3" xfId="3177"/>
    <cellStyle name="Normal 123 3 2 2 3 2" xfId="18369"/>
    <cellStyle name="Normal 123 3 2 2 4" xfId="15152"/>
    <cellStyle name="Normal 123 3 2 2 5" xfId="19410"/>
    <cellStyle name="Normal 123 3 2 2 6" xfId="14904"/>
    <cellStyle name="Normal 123 3 2 3" xfId="3905"/>
    <cellStyle name="Normal 123 3 2 3 2" xfId="16353"/>
    <cellStyle name="Normal 123 3 2 4" xfId="2521"/>
    <cellStyle name="Normal 123 3 2 4 2" xfId="16059"/>
    <cellStyle name="Normal 123 3 2 5" xfId="16546"/>
    <cellStyle name="Normal 123 3 2 6" xfId="19982"/>
    <cellStyle name="Normal 123 3 2 7" xfId="14273"/>
    <cellStyle name="Normal 123 3 3" xfId="1475"/>
    <cellStyle name="Normal 123 3 3 2" xfId="3907"/>
    <cellStyle name="Normal 123 3 3 2 2" xfId="16354"/>
    <cellStyle name="Normal 123 3 3 3" xfId="2903"/>
    <cellStyle name="Normal 123 3 3 3 2" xfId="17580"/>
    <cellStyle name="Normal 123 3 3 4" xfId="17534"/>
    <cellStyle name="Normal 123 3 3 5" xfId="19682"/>
    <cellStyle name="Normal 123 3 3 6" xfId="14641"/>
    <cellStyle name="Normal 123 3 4" xfId="3904"/>
    <cellStyle name="Normal 123 3 4 2" xfId="15588"/>
    <cellStyle name="Normal 123 3 5" xfId="2247"/>
    <cellStyle name="Normal 123 3 5 2" xfId="17378"/>
    <cellStyle name="Normal 123 3 6" xfId="18422"/>
    <cellStyle name="Normal 123 3 7" xfId="20256"/>
    <cellStyle name="Normal 123 3 8" xfId="14024"/>
    <cellStyle name="Normal 123 4" xfId="682"/>
    <cellStyle name="Normal 123 4 2" xfId="1349"/>
    <cellStyle name="Normal 123 4 2 2" xfId="3909"/>
    <cellStyle name="Normal 123 4 2 2 2" xfId="17922"/>
    <cellStyle name="Normal 123 4 2 3" xfId="2777"/>
    <cellStyle name="Normal 123 4 2 3 2" xfId="16729"/>
    <cellStyle name="Normal 123 4 2 4" xfId="18026"/>
    <cellStyle name="Normal 123 4 2 5" xfId="20676"/>
    <cellStyle name="Normal 123 4 2 6" xfId="14526"/>
    <cellStyle name="Normal 123 4 3" xfId="3908"/>
    <cellStyle name="Normal 123 4 3 2" xfId="18242"/>
    <cellStyle name="Normal 123 4 4" xfId="2121"/>
    <cellStyle name="Normal 123 4 4 2" xfId="17603"/>
    <cellStyle name="Normal 123 4 5" xfId="16450"/>
    <cellStyle name="Normal 123 4 6" xfId="20382"/>
    <cellStyle name="Normal 123 4 7" xfId="13919"/>
    <cellStyle name="Normal 123 5" xfId="964"/>
    <cellStyle name="Normal 123 5 2" xfId="1623"/>
    <cellStyle name="Normal 123 5 2 2" xfId="3911"/>
    <cellStyle name="Normal 123 5 2 2 2" xfId="15586"/>
    <cellStyle name="Normal 123 5 2 3" xfId="3051"/>
    <cellStyle name="Normal 123 5 2 3 2" xfId="17734"/>
    <cellStyle name="Normal 123 5 2 4" xfId="17712"/>
    <cellStyle name="Normal 123 5 2 5" xfId="19534"/>
    <cellStyle name="Normal 123 5 2 6" xfId="14789"/>
    <cellStyle name="Normal 123 5 3" xfId="3910"/>
    <cellStyle name="Normal 123 5 3 2" xfId="17584"/>
    <cellStyle name="Normal 123 5 4" xfId="2395"/>
    <cellStyle name="Normal 123 5 4 2" xfId="18824"/>
    <cellStyle name="Normal 123 5 5" xfId="16506"/>
    <cellStyle name="Normal 123 5 6" xfId="20108"/>
    <cellStyle name="Normal 123 5 7" xfId="14168"/>
    <cellStyle name="Normal 123 6" xfId="1244"/>
    <cellStyle name="Normal 123 6 2" xfId="3912"/>
    <cellStyle name="Normal 123 6 2 2" xfId="16355"/>
    <cellStyle name="Normal 123 6 3" xfId="2672"/>
    <cellStyle name="Normal 123 6 3 2" xfId="16649"/>
    <cellStyle name="Normal 123 6 4" xfId="18012"/>
    <cellStyle name="Normal 123 6 5" xfId="19881"/>
    <cellStyle name="Normal 123 6 6" xfId="14421"/>
    <cellStyle name="Normal 123 7" xfId="1880"/>
    <cellStyle name="Normal 123 7 2" xfId="3913"/>
    <cellStyle name="Normal 123 7 2 2" xfId="17848"/>
    <cellStyle name="Normal 123 7 3" xfId="3308"/>
    <cellStyle name="Normal 123 7 3 2" xfId="15986"/>
    <cellStyle name="Normal 123 7 4" xfId="15203"/>
    <cellStyle name="Normal 123 7 5" xfId="19279"/>
    <cellStyle name="Normal 123 7 6" xfId="15010"/>
    <cellStyle name="Normal 123 8" xfId="3893"/>
    <cellStyle name="Normal 123 8 2" xfId="13747"/>
    <cellStyle name="Normal 123 9" xfId="1998"/>
    <cellStyle name="Normal 123 9 2" xfId="17191"/>
    <cellStyle name="Normal 124" xfId="13614"/>
    <cellStyle name="Normal 125" xfId="13668"/>
    <cellStyle name="Normal 125 2" xfId="20897"/>
    <cellStyle name="Normal 125 3" xfId="20917"/>
    <cellStyle name="Normal 126" xfId="13669"/>
    <cellStyle name="Normal 127" xfId="13672"/>
    <cellStyle name="Normal 128" xfId="13671"/>
    <cellStyle name="Normal 129" xfId="15017"/>
    <cellStyle name="Normal 13" xfId="188"/>
    <cellStyle name="Normal 13 2" xfId="189"/>
    <cellStyle name="Normal 13 2 2" xfId="409"/>
    <cellStyle name="Normal 13 2 3" xfId="13689"/>
    <cellStyle name="Normal 13 3" xfId="190"/>
    <cellStyle name="Normal 13_SSP report" xfId="410"/>
    <cellStyle name="Normal 130" xfId="15027"/>
    <cellStyle name="Normal 131" xfId="15034"/>
    <cellStyle name="Normal 132" xfId="15038"/>
    <cellStyle name="Normal 133" xfId="19190"/>
    <cellStyle name="Normal 134" xfId="20785"/>
    <cellStyle name="Normal 135" xfId="20786"/>
    <cellStyle name="Normal 136" xfId="20865"/>
    <cellStyle name="Normal 137" xfId="4748"/>
    <cellStyle name="Normal 14" xfId="191"/>
    <cellStyle name="Normal 14 2" xfId="411"/>
    <cellStyle name="Normal 14 2 2" xfId="13729"/>
    <cellStyle name="Normal 14 2 3" xfId="18141"/>
    <cellStyle name="Normal 14 2 4" xfId="8732"/>
    <cellStyle name="Normal 14 3" xfId="13690"/>
    <cellStyle name="Normal 14 4" xfId="15641"/>
    <cellStyle name="Normal 14 5" xfId="8731"/>
    <cellStyle name="Normal 15" xfId="192"/>
    <cellStyle name="Normal 15 2" xfId="412"/>
    <cellStyle name="Normal 15 3" xfId="13691"/>
    <cellStyle name="Normal 15 4" xfId="8733"/>
    <cellStyle name="Normal 15 5" xfId="17212"/>
    <cellStyle name="Normal 15 6" xfId="4750"/>
    <cellStyle name="Normal 16" xfId="413"/>
    <cellStyle name="Normal 16 2" xfId="8734"/>
    <cellStyle name="Normal 17" xfId="414"/>
    <cellStyle name="Normal 17 2" xfId="3915"/>
    <cellStyle name="Normal 17 3" xfId="3914"/>
    <cellStyle name="Normal 18" xfId="415"/>
    <cellStyle name="Normal 18 2" xfId="3917"/>
    <cellStyle name="Normal 18 3" xfId="3916"/>
    <cellStyle name="Normal 19" xfId="416"/>
    <cellStyle name="Normal 19 2" xfId="8735"/>
    <cellStyle name="Normal 2" xfId="3"/>
    <cellStyle name="Normal 2 10" xfId="1197"/>
    <cellStyle name="Normal 2 11" xfId="1199"/>
    <cellStyle name="Normal 2 11 2" xfId="3918"/>
    <cellStyle name="Normal 2 11 2 2" xfId="17995"/>
    <cellStyle name="Normal 2 11 3" xfId="2627"/>
    <cellStyle name="Normal 2 11 3 2" xfId="16036"/>
    <cellStyle name="Normal 2 11 4" xfId="18103"/>
    <cellStyle name="Normal 2 11 5" xfId="20682"/>
    <cellStyle name="Normal 2 11 6" xfId="14376"/>
    <cellStyle name="Normal 2 12" xfId="1885"/>
    <cellStyle name="Normal 2 12 2" xfId="3919"/>
    <cellStyle name="Normal 2 12 2 2" xfId="16378"/>
    <cellStyle name="Normal 2 12 3" xfId="3313"/>
    <cellStyle name="Normal 2 12 3 2" xfId="18841"/>
    <cellStyle name="Normal 2 12 4" xfId="17973"/>
    <cellStyle name="Normal 2 12 5" xfId="19274"/>
    <cellStyle name="Normal 2 12 6" xfId="15015"/>
    <cellStyle name="Normal 2 13" xfId="3920"/>
    <cellStyle name="Normal 2 13 2" xfId="20780"/>
    <cellStyle name="Normal 2 13 3" xfId="20846"/>
    <cellStyle name="Normal 2 13 4" xfId="20877"/>
    <cellStyle name="Normal 2 13 5" xfId="15028"/>
    <cellStyle name="Normal 2 14" xfId="1886"/>
    <cellStyle name="Normal 2 14 2" xfId="18811"/>
    <cellStyle name="Normal 2 14 3" xfId="20813"/>
    <cellStyle name="Normal 2 14 4" xfId="20804"/>
    <cellStyle name="Normal 2 14 5" xfId="4764"/>
    <cellStyle name="Normal 2 15" xfId="18972"/>
    <cellStyle name="Normal 2 16" xfId="20617"/>
    <cellStyle name="Normal 2 17" xfId="4749"/>
    <cellStyle name="Normal 2 2" xfId="6"/>
    <cellStyle name="Normal 2 2 2" xfId="510"/>
    <cellStyle name="Normal 2 2 3" xfId="509"/>
    <cellStyle name="Normal 2 2 3 2" xfId="613"/>
    <cellStyle name="Normal 2 3" xfId="193"/>
    <cellStyle name="Normal 2 3 2" xfId="13692"/>
    <cellStyle name="Normal 2 3 3" xfId="15294"/>
    <cellStyle name="Normal 2 3 4" xfId="8736"/>
    <cellStyle name="Normal 2 4" xfId="279"/>
    <cellStyle name="Normal 2 4 10" xfId="18933"/>
    <cellStyle name="Normal 2 4 11" xfId="15664"/>
    <cellStyle name="Normal 2 4 12" xfId="20559"/>
    <cellStyle name="Normal 2 4 13" xfId="8737"/>
    <cellStyle name="Normal 2 4 2" xfId="417"/>
    <cellStyle name="Normal 2 4 3" xfId="575"/>
    <cellStyle name="Normal 2 4 3 10" xfId="13832"/>
    <cellStyle name="Normal 2 4 3 2" xfId="845"/>
    <cellStyle name="Normal 2 4 3 2 2" xfId="1119"/>
    <cellStyle name="Normal 2 4 3 2 2 2" xfId="1778"/>
    <cellStyle name="Normal 2 4 3 2 2 2 2" xfId="3925"/>
    <cellStyle name="Normal 2 4 3 2 2 2 2 2" xfId="15746"/>
    <cellStyle name="Normal 2 4 3 2 2 2 3" xfId="3206"/>
    <cellStyle name="Normal 2 4 3 2 2 2 3 2" xfId="19055"/>
    <cellStyle name="Normal 2 4 3 2 2 2 4" xfId="17821"/>
    <cellStyle name="Normal 2 4 3 2 2 2 5" xfId="19381"/>
    <cellStyle name="Normal 2 4 3 2 2 2 6" xfId="14933"/>
    <cellStyle name="Normal 2 4 3 2 2 3" xfId="3924"/>
    <cellStyle name="Normal 2 4 3 2 2 3 2" xfId="17358"/>
    <cellStyle name="Normal 2 4 3 2 2 4" xfId="2550"/>
    <cellStyle name="Normal 2 4 3 2 2 4 2" xfId="16277"/>
    <cellStyle name="Normal 2 4 3 2 2 5" xfId="18486"/>
    <cellStyle name="Normal 2 4 3 2 2 6" xfId="19953"/>
    <cellStyle name="Normal 2 4 3 2 2 7" xfId="14300"/>
    <cellStyle name="Normal 2 4 3 2 3" xfId="1504"/>
    <cellStyle name="Normal 2 4 3 2 3 2" xfId="3926"/>
    <cellStyle name="Normal 2 4 3 2 3 2 2" xfId="15587"/>
    <cellStyle name="Normal 2 4 3 2 3 3" xfId="2932"/>
    <cellStyle name="Normal 2 4 3 2 3 3 2" xfId="18196"/>
    <cellStyle name="Normal 2 4 3 2 3 4" xfId="18071"/>
    <cellStyle name="Normal 2 4 3 2 3 5" xfId="19653"/>
    <cellStyle name="Normal 2 4 3 2 3 6" xfId="14670"/>
    <cellStyle name="Normal 2 4 3 2 4" xfId="3923"/>
    <cellStyle name="Normal 2 4 3 2 4 2" xfId="16111"/>
    <cellStyle name="Normal 2 4 3 2 5" xfId="2276"/>
    <cellStyle name="Normal 2 4 3 2 5 2" xfId="15381"/>
    <cellStyle name="Normal 2 4 3 2 6" xfId="16158"/>
    <cellStyle name="Normal 2 4 3 2 7" xfId="20227"/>
    <cellStyle name="Normal 2 4 3 2 8" xfId="14050"/>
    <cellStyle name="Normal 2 4 3 3" xfId="701"/>
    <cellStyle name="Normal 2 4 3 3 2" xfId="1368"/>
    <cellStyle name="Normal 2 4 3 3 2 2" xfId="3928"/>
    <cellStyle name="Normal 2 4 3 3 2 2 2" xfId="15748"/>
    <cellStyle name="Normal 2 4 3 3 2 3" xfId="2796"/>
    <cellStyle name="Normal 2 4 3 3 2 3 2" xfId="16745"/>
    <cellStyle name="Normal 2 4 3 3 2 4" xfId="18162"/>
    <cellStyle name="Normal 2 4 3 3 2 5" xfId="19787"/>
    <cellStyle name="Normal 2 4 3 3 2 6" xfId="14545"/>
    <cellStyle name="Normal 2 4 3 3 3" xfId="3927"/>
    <cellStyle name="Normal 2 4 3 3 3 2" xfId="15747"/>
    <cellStyle name="Normal 2 4 3 3 4" xfId="2140"/>
    <cellStyle name="Normal 2 4 3 3 4 2" xfId="17691"/>
    <cellStyle name="Normal 2 4 3 3 5" xfId="17382"/>
    <cellStyle name="Normal 2 4 3 3 6" xfId="20363"/>
    <cellStyle name="Normal 2 4 3 3 7" xfId="13938"/>
    <cellStyle name="Normal 2 4 3 4" xfId="983"/>
    <cellStyle name="Normal 2 4 3 4 2" xfId="1642"/>
    <cellStyle name="Normal 2 4 3 4 2 2" xfId="3930"/>
    <cellStyle name="Normal 2 4 3 4 2 2 2" xfId="16808"/>
    <cellStyle name="Normal 2 4 3 4 2 3" xfId="3070"/>
    <cellStyle name="Normal 2 4 3 4 2 3 2" xfId="16288"/>
    <cellStyle name="Normal 2 4 3 4 2 4" xfId="17955"/>
    <cellStyle name="Normal 2 4 3 4 2 5" xfId="19515"/>
    <cellStyle name="Normal 2 4 3 4 2 6" xfId="14808"/>
    <cellStyle name="Normal 2 4 3 4 3" xfId="3929"/>
    <cellStyle name="Normal 2 4 3 4 3 2" xfId="15749"/>
    <cellStyle name="Normal 2 4 3 4 4" xfId="2414"/>
    <cellStyle name="Normal 2 4 3 4 4 2" xfId="16095"/>
    <cellStyle name="Normal 2 4 3 4 5" xfId="18323"/>
    <cellStyle name="Normal 2 4 3 4 6" xfId="20089"/>
    <cellStyle name="Normal 2 4 3 4 7" xfId="14187"/>
    <cellStyle name="Normal 2 4 3 5" xfId="1263"/>
    <cellStyle name="Normal 2 4 3 5 2" xfId="3931"/>
    <cellStyle name="Normal 2 4 3 5 2 2" xfId="15631"/>
    <cellStyle name="Normal 2 4 3 5 3" xfId="2691"/>
    <cellStyle name="Normal 2 4 3 5 3 2" xfId="15293"/>
    <cellStyle name="Normal 2 4 3 5 4" xfId="15122"/>
    <cellStyle name="Normal 2 4 3 5 5" xfId="19862"/>
    <cellStyle name="Normal 2 4 3 5 6" xfId="14440"/>
    <cellStyle name="Normal 2 4 3 6" xfId="3922"/>
    <cellStyle name="Normal 2 4 3 6 2" xfId="16112"/>
    <cellStyle name="Normal 2 4 3 7" xfId="2030"/>
    <cellStyle name="Normal 2 4 3 7 2" xfId="15421"/>
    <cellStyle name="Normal 2 4 3 8" xfId="16434"/>
    <cellStyle name="Normal 2 4 3 9" xfId="20473"/>
    <cellStyle name="Normal 2 4 4" xfId="767"/>
    <cellStyle name="Normal 2 4 4 2" xfId="1048"/>
    <cellStyle name="Normal 2 4 4 2 2" xfId="1707"/>
    <cellStyle name="Normal 2 4 4 2 2 2" xfId="3934"/>
    <cellStyle name="Normal 2 4 4 2 2 2 2" xfId="17069"/>
    <cellStyle name="Normal 2 4 4 2 2 3" xfId="3135"/>
    <cellStyle name="Normal 2 4 4 2 2 3 2" xfId="16792"/>
    <cellStyle name="Normal 2 4 4 2 2 4" xfId="18088"/>
    <cellStyle name="Normal 2 4 4 2 2 5" xfId="19452"/>
    <cellStyle name="Normal 2 4 4 2 2 6" xfId="14873"/>
    <cellStyle name="Normal 2 4 4 2 3" xfId="3933"/>
    <cellStyle name="Normal 2 4 4 2 3 2" xfId="15659"/>
    <cellStyle name="Normal 2 4 4 2 4" xfId="2479"/>
    <cellStyle name="Normal 2 4 4 2 4 2" xfId="16570"/>
    <cellStyle name="Normal 2 4 4 2 5" xfId="16518"/>
    <cellStyle name="Normal 2 4 4 2 6" xfId="20024"/>
    <cellStyle name="Normal 2 4 4 2 7" xfId="14247"/>
    <cellStyle name="Normal 2 4 4 3" xfId="1433"/>
    <cellStyle name="Normal 2 4 4 3 2" xfId="3935"/>
    <cellStyle name="Normal 2 4 4 3 2 2" xfId="16809"/>
    <cellStyle name="Normal 2 4 4 3 3" xfId="2861"/>
    <cellStyle name="Normal 2 4 4 3 3 2" xfId="16040"/>
    <cellStyle name="Normal 2 4 4 3 4" xfId="17742"/>
    <cellStyle name="Normal 2 4 4 3 5" xfId="19724"/>
    <cellStyle name="Normal 2 4 4 3 6" xfId="14610"/>
    <cellStyle name="Normal 2 4 4 4" xfId="3932"/>
    <cellStyle name="Normal 2 4 4 4 2" xfId="18145"/>
    <cellStyle name="Normal 2 4 4 5" xfId="2205"/>
    <cellStyle name="Normal 2 4 4 5 2" xfId="15348"/>
    <cellStyle name="Normal 2 4 4 6" xfId="17271"/>
    <cellStyle name="Normal 2 4 4 7" xfId="20298"/>
    <cellStyle name="Normal 2 4 4 8" xfId="13997"/>
    <cellStyle name="Normal 2 4 5" xfId="650"/>
    <cellStyle name="Normal 2 4 5 2" xfId="1317"/>
    <cellStyle name="Normal 2 4 5 2 2" xfId="3937"/>
    <cellStyle name="Normal 2 4 5 2 2 2" xfId="16811"/>
    <cellStyle name="Normal 2 4 5 2 3" xfId="2745"/>
    <cellStyle name="Normal 2 4 5 2 3 2" xfId="17432"/>
    <cellStyle name="Normal 2 4 5 2 4" xfId="17381"/>
    <cellStyle name="Normal 2 4 5 2 5" xfId="19808"/>
    <cellStyle name="Normal 2 4 5 2 6" xfId="14494"/>
    <cellStyle name="Normal 2 4 5 3" xfId="3936"/>
    <cellStyle name="Normal 2 4 5 3 2" xfId="16810"/>
    <cellStyle name="Normal 2 4 5 4" xfId="2089"/>
    <cellStyle name="Normal 2 4 5 4 2" xfId="15304"/>
    <cellStyle name="Normal 2 4 5 5" xfId="18996"/>
    <cellStyle name="Normal 2 4 5 6" xfId="20414"/>
    <cellStyle name="Normal 2 4 5 7" xfId="13887"/>
    <cellStyle name="Normal 2 4 6" xfId="932"/>
    <cellStyle name="Normal 2 4 6 2" xfId="1591"/>
    <cellStyle name="Normal 2 4 6 2 2" xfId="3939"/>
    <cellStyle name="Normal 2 4 6 2 2 2" xfId="15660"/>
    <cellStyle name="Normal 2 4 6 2 3" xfId="3019"/>
    <cellStyle name="Normal 2 4 6 2 3 2" xfId="16280"/>
    <cellStyle name="Normal 2 4 6 2 4" xfId="15312"/>
    <cellStyle name="Normal 2 4 6 2 5" xfId="19566"/>
    <cellStyle name="Normal 2 4 6 2 6" xfId="14757"/>
    <cellStyle name="Normal 2 4 6 3" xfId="3938"/>
    <cellStyle name="Normal 2 4 6 3 2" xfId="16812"/>
    <cellStyle name="Normal 2 4 6 4" xfId="2363"/>
    <cellStyle name="Normal 2 4 6 4 2" xfId="18738"/>
    <cellStyle name="Normal 2 4 6 5" xfId="18628"/>
    <cellStyle name="Normal 2 4 6 6" xfId="20140"/>
    <cellStyle name="Normal 2 4 6 7" xfId="14136"/>
    <cellStyle name="Normal 2 4 7" xfId="1212"/>
    <cellStyle name="Normal 2 4 7 2" xfId="3940"/>
    <cellStyle name="Normal 2 4 7 2 2" xfId="16813"/>
    <cellStyle name="Normal 2 4 7 3" xfId="2640"/>
    <cellStyle name="Normal 2 4 7 3 2" xfId="16624"/>
    <cellStyle name="Normal 2 4 7 4" xfId="17645"/>
    <cellStyle name="Normal 2 4 7 5" xfId="19913"/>
    <cellStyle name="Normal 2 4 7 6" xfId="14389"/>
    <cellStyle name="Normal 2 4 8" xfId="3921"/>
    <cellStyle name="Normal 2 4 8 2" xfId="13719"/>
    <cellStyle name="Normal 2 4 9" xfId="1944"/>
    <cellStyle name="Normal 2 4 9 2" xfId="17822"/>
    <cellStyle name="Normal 2 5" xfId="345"/>
    <cellStyle name="Normal 2 5 2" xfId="8739"/>
    <cellStyle name="Normal 2 5 2 2" xfId="13211"/>
    <cellStyle name="Normal 2 5 3" xfId="13212"/>
    <cellStyle name="Normal 2 5 4" xfId="13726"/>
    <cellStyle name="Normal 2 5 5" xfId="15398"/>
    <cellStyle name="Normal 2 5 6" xfId="8738"/>
    <cellStyle name="Normal 2 6" xfId="562"/>
    <cellStyle name="Normal 2 6 10" xfId="8740"/>
    <cellStyle name="Normal 2 6 2" xfId="832"/>
    <cellStyle name="Normal 2 6 2 2" xfId="1106"/>
    <cellStyle name="Normal 2 6 2 2 2" xfId="1765"/>
    <cellStyle name="Normal 2 6 2 2 2 2" xfId="3944"/>
    <cellStyle name="Normal 2 6 2 2 2 2 2" xfId="18556"/>
    <cellStyle name="Normal 2 6 2 2 2 3" xfId="3193"/>
    <cellStyle name="Normal 2 6 2 2 2 3 2" xfId="15933"/>
    <cellStyle name="Normal 2 6 2 2 2 4" xfId="15135"/>
    <cellStyle name="Normal 2 6 2 2 2 5" xfId="19394"/>
    <cellStyle name="Normal 2 6 2 2 2 6" xfId="14920"/>
    <cellStyle name="Normal 2 6 2 2 3" xfId="3943"/>
    <cellStyle name="Normal 2 6 2 2 3 2" xfId="16199"/>
    <cellStyle name="Normal 2 6 2 2 4" xfId="2537"/>
    <cellStyle name="Normal 2 6 2 2 4 2" xfId="18622"/>
    <cellStyle name="Normal 2 6 2 2 5" xfId="18230"/>
    <cellStyle name="Normal 2 6 2 2 6" xfId="19966"/>
    <cellStyle name="Normal 2 6 2 2 7" xfId="14287"/>
    <cellStyle name="Normal 2 6 2 3" xfId="1491"/>
    <cellStyle name="Normal 2 6 2 3 2" xfId="3945"/>
    <cellStyle name="Normal 2 6 2 3 2 2" xfId="16211"/>
    <cellStyle name="Normal 2 6 2 3 3" xfId="2919"/>
    <cellStyle name="Normal 2 6 2 3 3 2" xfId="17320"/>
    <cellStyle name="Normal 2 6 2 3 4" xfId="17391"/>
    <cellStyle name="Normal 2 6 2 3 5" xfId="19666"/>
    <cellStyle name="Normal 2 6 2 3 6" xfId="14657"/>
    <cellStyle name="Normal 2 6 2 4" xfId="3942"/>
    <cellStyle name="Normal 2 6 2 4 2" xfId="16204"/>
    <cellStyle name="Normal 2 6 2 5" xfId="2263"/>
    <cellStyle name="Normal 2 6 2 5 2" xfId="19165"/>
    <cellStyle name="Normal 2 6 2 6" xfId="16156"/>
    <cellStyle name="Normal 2 6 2 7" xfId="20240"/>
    <cellStyle name="Normal 2 6 2 8" xfId="13213"/>
    <cellStyle name="Normal 2 6 3" xfId="688"/>
    <cellStyle name="Normal 2 6 3 2" xfId="1355"/>
    <cellStyle name="Normal 2 6 3 2 2" xfId="3947"/>
    <cellStyle name="Normal 2 6 3 2 2 2" xfId="16232"/>
    <cellStyle name="Normal 2 6 3 2 3" xfId="2783"/>
    <cellStyle name="Normal 2 6 3 2 3 2" xfId="16735"/>
    <cellStyle name="Normal 2 6 3 2 4" xfId="18063"/>
    <cellStyle name="Normal 2 6 3 2 5" xfId="20674"/>
    <cellStyle name="Normal 2 6 3 2 6" xfId="14532"/>
    <cellStyle name="Normal 2 6 3 3" xfId="3946"/>
    <cellStyle name="Normal 2 6 3 3 2" xfId="16024"/>
    <cellStyle name="Normal 2 6 3 4" xfId="2127"/>
    <cellStyle name="Normal 2 6 3 4 2" xfId="17864"/>
    <cellStyle name="Normal 2 6 3 5" xfId="18286"/>
    <cellStyle name="Normal 2 6 3 6" xfId="20376"/>
    <cellStyle name="Normal 2 6 3 7" xfId="13925"/>
    <cellStyle name="Normal 2 6 4" xfId="970"/>
    <cellStyle name="Normal 2 6 4 2" xfId="1629"/>
    <cellStyle name="Normal 2 6 4 2 2" xfId="3949"/>
    <cellStyle name="Normal 2 6 4 2 2 2" xfId="16815"/>
    <cellStyle name="Normal 2 6 4 2 3" xfId="3057"/>
    <cellStyle name="Normal 2 6 4 2 3 2" xfId="17879"/>
    <cellStyle name="Normal 2 6 4 2 4" xfId="18003"/>
    <cellStyle name="Normal 2 6 4 2 5" xfId="19528"/>
    <cellStyle name="Normal 2 6 4 2 6" xfId="14795"/>
    <cellStyle name="Normal 2 6 4 3" xfId="3948"/>
    <cellStyle name="Normal 2 6 4 3 2" xfId="16026"/>
    <cellStyle name="Normal 2 6 4 4" xfId="2401"/>
    <cellStyle name="Normal 2 6 4 4 2" xfId="18977"/>
    <cellStyle name="Normal 2 6 4 5" xfId="16509"/>
    <cellStyle name="Normal 2 6 4 6" xfId="20102"/>
    <cellStyle name="Normal 2 6 4 7" xfId="14174"/>
    <cellStyle name="Normal 2 6 5" xfId="1250"/>
    <cellStyle name="Normal 2 6 5 2" xfId="3950"/>
    <cellStyle name="Normal 2 6 5 2 2" xfId="16028"/>
    <cellStyle name="Normal 2 6 5 3" xfId="2678"/>
    <cellStyle name="Normal 2 6 5 3 2" xfId="16655"/>
    <cellStyle name="Normal 2 6 5 4" xfId="17326"/>
    <cellStyle name="Normal 2 6 5 5" xfId="19875"/>
    <cellStyle name="Normal 2 6 5 6" xfId="14427"/>
    <cellStyle name="Normal 2 6 6" xfId="3941"/>
    <cellStyle name="Normal 2 6 6 2" xfId="16814"/>
    <cellStyle name="Normal 2 6 7" xfId="2017"/>
    <cellStyle name="Normal 2 6 7 2" xfId="15342"/>
    <cellStyle name="Normal 2 6 8" xfId="17407"/>
    <cellStyle name="Normal 2 6 9" xfId="20486"/>
    <cellStyle name="Normal 2 7" xfId="739"/>
    <cellStyle name="Normal 2 7 2" xfId="1021"/>
    <cellStyle name="Normal 2 7 2 2" xfId="1680"/>
    <cellStyle name="Normal 2 7 2 2 2" xfId="3953"/>
    <cellStyle name="Normal 2 7 2 2 2 2" xfId="15532"/>
    <cellStyle name="Normal 2 7 2 2 3" xfId="3108"/>
    <cellStyle name="Normal 2 7 2 2 3 2" xfId="16300"/>
    <cellStyle name="Normal 2 7 2 2 4" xfId="17892"/>
    <cellStyle name="Normal 2 7 2 2 5" xfId="19477"/>
    <cellStyle name="Normal 2 7 2 2 6" xfId="14846"/>
    <cellStyle name="Normal 2 7 2 3" xfId="3952"/>
    <cellStyle name="Normal 2 7 2 3 2" xfId="15045"/>
    <cellStyle name="Normal 2 7 2 4" xfId="2452"/>
    <cellStyle name="Normal 2 7 2 4 2" xfId="18195"/>
    <cellStyle name="Normal 2 7 2 5" xfId="16225"/>
    <cellStyle name="Normal 2 7 2 6" xfId="20051"/>
    <cellStyle name="Normal 2 7 2 7" xfId="14225"/>
    <cellStyle name="Normal 2 7 3" xfId="1406"/>
    <cellStyle name="Normal 2 7 3 2" xfId="3954"/>
    <cellStyle name="Normal 2 7 3 2 2" xfId="16816"/>
    <cellStyle name="Normal 2 7 3 3" xfId="2834"/>
    <cellStyle name="Normal 2 7 3 3 2" xfId="17749"/>
    <cellStyle name="Normal 2 7 3 4" xfId="17700"/>
    <cellStyle name="Normal 2 7 3 5" xfId="19751"/>
    <cellStyle name="Normal 2 7 3 6" xfId="14583"/>
    <cellStyle name="Normal 2 7 4" xfId="3951"/>
    <cellStyle name="Normal 2 7 4 2" xfId="13975"/>
    <cellStyle name="Normal 2 7 5" xfId="2178"/>
    <cellStyle name="Normal 2 7 5 2" xfId="15670"/>
    <cellStyle name="Normal 2 7 6" xfId="17312"/>
    <cellStyle name="Normal 2 7 7" xfId="20640"/>
    <cellStyle name="Normal 2 7 8" xfId="20325"/>
    <cellStyle name="Normal 2 7 9" xfId="13157"/>
    <cellStyle name="Normal 2 8" xfId="637"/>
    <cellStyle name="Normal 2 8 2" xfId="1304"/>
    <cellStyle name="Normal 2 8 2 2" xfId="3956"/>
    <cellStyle name="Normal 2 8 2 2 2" xfId="18436"/>
    <cellStyle name="Normal 2 8 2 3" xfId="2732"/>
    <cellStyle name="Normal 2 8 2 3 2" xfId="16693"/>
    <cellStyle name="Normal 2 8 2 4" xfId="18156"/>
    <cellStyle name="Normal 2 8 2 5" xfId="19821"/>
    <cellStyle name="Normal 2 8 2 6" xfId="14481"/>
    <cellStyle name="Normal 2 8 3" xfId="3955"/>
    <cellStyle name="Normal 2 8 3 2" xfId="16379"/>
    <cellStyle name="Normal 2 8 4" xfId="2076"/>
    <cellStyle name="Normal 2 8 4 2" xfId="17370"/>
    <cellStyle name="Normal 2 8 5" xfId="18746"/>
    <cellStyle name="Normal 2 8 6" xfId="20427"/>
    <cellStyle name="Normal 2 8 7" xfId="13874"/>
    <cellStyle name="Normal 2 9" xfId="919"/>
    <cellStyle name="Normal 2 9 2" xfId="1578"/>
    <cellStyle name="Normal 2 9 2 2" xfId="3958"/>
    <cellStyle name="Normal 2 9 2 2 2" xfId="16380"/>
    <cellStyle name="Normal 2 9 2 3" xfId="3006"/>
    <cellStyle name="Normal 2 9 2 3 2" xfId="17824"/>
    <cellStyle name="Normal 2 9 2 4" xfId="15534"/>
    <cellStyle name="Normal 2 9 2 5" xfId="19579"/>
    <cellStyle name="Normal 2 9 2 6" xfId="14744"/>
    <cellStyle name="Normal 2 9 3" xfId="3957"/>
    <cellStyle name="Normal 2 9 3 2" xfId="18460"/>
    <cellStyle name="Normal 2 9 4" xfId="2350"/>
    <cellStyle name="Normal 2 9 4 2" xfId="15356"/>
    <cellStyle name="Normal 2 9 5" xfId="18830"/>
    <cellStyle name="Normal 2 9 6" xfId="20153"/>
    <cellStyle name="Normal 2 9 7" xfId="14123"/>
    <cellStyle name="Normal 2_6.1 Contingency Allocation" xfId="8741"/>
    <cellStyle name="Normal 20" xfId="418"/>
    <cellStyle name="Normal 20 2" xfId="8742"/>
    <cellStyle name="Normal 21" xfId="343"/>
    <cellStyle name="Normal 21 10" xfId="15666"/>
    <cellStyle name="Normal 21 11" xfId="20528"/>
    <cellStyle name="Normal 21 12" xfId="8743"/>
    <cellStyle name="Normal 21 2" xfId="591"/>
    <cellStyle name="Normal 21 2 10" xfId="20457"/>
    <cellStyle name="Normal 21 2 11" xfId="8744"/>
    <cellStyle name="Normal 21 2 2" xfId="858"/>
    <cellStyle name="Normal 21 2 2 2" xfId="1132"/>
    <cellStyle name="Normal 21 2 2 2 2" xfId="1791"/>
    <cellStyle name="Normal 21 2 2 2 2 2" xfId="3963"/>
    <cellStyle name="Normal 21 2 2 2 2 2 2" xfId="17063"/>
    <cellStyle name="Normal 21 2 2 2 2 3" xfId="3219"/>
    <cellStyle name="Normal 21 2 2 2 2 3 2" xfId="16304"/>
    <cellStyle name="Normal 21 2 2 2 2 4" xfId="17732"/>
    <cellStyle name="Normal 21 2 2 2 2 5" xfId="19368"/>
    <cellStyle name="Normal 21 2 2 2 2 6" xfId="14946"/>
    <cellStyle name="Normal 21 2 2 2 3" xfId="3962"/>
    <cellStyle name="Normal 21 2 2 2 3 2" xfId="16189"/>
    <cellStyle name="Normal 21 2 2 2 4" xfId="2563"/>
    <cellStyle name="Normal 21 2 2 2 4 2" xfId="16593"/>
    <cellStyle name="Normal 21 2 2 2 5" xfId="17103"/>
    <cellStyle name="Normal 21 2 2 2 6" xfId="19940"/>
    <cellStyle name="Normal 21 2 2 2 7" xfId="14312"/>
    <cellStyle name="Normal 21 2 2 3" xfId="1517"/>
    <cellStyle name="Normal 21 2 2 3 2" xfId="3964"/>
    <cellStyle name="Normal 21 2 2 3 2 2" xfId="16818"/>
    <cellStyle name="Normal 21 2 2 3 3" xfId="2945"/>
    <cellStyle name="Normal 21 2 2 3 3 2" xfId="18372"/>
    <cellStyle name="Normal 21 2 2 3 4" xfId="17874"/>
    <cellStyle name="Normal 21 2 2 3 5" xfId="19640"/>
    <cellStyle name="Normal 21 2 2 3 6" xfId="14683"/>
    <cellStyle name="Normal 21 2 2 4" xfId="3961"/>
    <cellStyle name="Normal 21 2 2 4 2" xfId="16817"/>
    <cellStyle name="Normal 21 2 2 5" xfId="2289"/>
    <cellStyle name="Normal 21 2 2 5 2" xfId="18512"/>
    <cellStyle name="Normal 21 2 2 6" xfId="18751"/>
    <cellStyle name="Normal 21 2 2 7" xfId="20214"/>
    <cellStyle name="Normal 21 2 2 8" xfId="14062"/>
    <cellStyle name="Normal 21 2 3" xfId="714"/>
    <cellStyle name="Normal 21 2 3 2" xfId="1381"/>
    <cellStyle name="Normal 21 2 3 2 2" xfId="3966"/>
    <cellStyle name="Normal 21 2 3 2 2 2" xfId="16820"/>
    <cellStyle name="Normal 21 2 3 2 3" xfId="2809"/>
    <cellStyle name="Normal 21 2 3 2 3 2" xfId="17068"/>
    <cellStyle name="Normal 21 2 3 2 4" xfId="17943"/>
    <cellStyle name="Normal 21 2 3 2 5" xfId="19774"/>
    <cellStyle name="Normal 21 2 3 2 6" xfId="14558"/>
    <cellStyle name="Normal 21 2 3 3" xfId="3965"/>
    <cellStyle name="Normal 21 2 3 3 2" xfId="16819"/>
    <cellStyle name="Normal 21 2 3 4" xfId="2153"/>
    <cellStyle name="Normal 21 2 3 4 2" xfId="17404"/>
    <cellStyle name="Normal 21 2 3 5" xfId="16457"/>
    <cellStyle name="Normal 21 2 3 6" xfId="20350"/>
    <cellStyle name="Normal 21 2 3 7" xfId="13950"/>
    <cellStyle name="Normal 21 2 4" xfId="996"/>
    <cellStyle name="Normal 21 2 4 2" xfId="1655"/>
    <cellStyle name="Normal 21 2 4 2 2" xfId="3968"/>
    <cellStyle name="Normal 21 2 4 2 2 2" xfId="16822"/>
    <cellStyle name="Normal 21 2 4 2 3" xfId="3083"/>
    <cellStyle name="Normal 21 2 4 2 3 2" xfId="18137"/>
    <cellStyle name="Normal 21 2 4 2 4" xfId="15428"/>
    <cellStyle name="Normal 21 2 4 2 5" xfId="19502"/>
    <cellStyle name="Normal 21 2 4 2 6" xfId="14821"/>
    <cellStyle name="Normal 21 2 4 3" xfId="3967"/>
    <cellStyle name="Normal 21 2 4 3 2" xfId="16821"/>
    <cellStyle name="Normal 21 2 4 4" xfId="2427"/>
    <cellStyle name="Normal 21 2 4 4 2" xfId="16097"/>
    <cellStyle name="Normal 21 2 4 5" xfId="16164"/>
    <cellStyle name="Normal 21 2 4 6" xfId="20076"/>
    <cellStyle name="Normal 21 2 4 7" xfId="14200"/>
    <cellStyle name="Normal 21 2 5" xfId="1276"/>
    <cellStyle name="Normal 21 2 5 2" xfId="3969"/>
    <cellStyle name="Normal 21 2 5 2 2" xfId="15063"/>
    <cellStyle name="Normal 21 2 5 3" xfId="2704"/>
    <cellStyle name="Normal 21 2 5 3 2" xfId="15506"/>
    <cellStyle name="Normal 21 2 5 4" xfId="15518"/>
    <cellStyle name="Normal 21 2 5 5" xfId="19849"/>
    <cellStyle name="Normal 21 2 5 6" xfId="14453"/>
    <cellStyle name="Normal 21 2 6" xfId="3960"/>
    <cellStyle name="Normal 21 2 6 2" xfId="13844"/>
    <cellStyle name="Normal 21 2 7" xfId="2046"/>
    <cellStyle name="Normal 21 2 7 2" xfId="15570"/>
    <cellStyle name="Normal 21 2 8" xfId="16442"/>
    <cellStyle name="Normal 21 2 9" xfId="15400"/>
    <cellStyle name="Normal 21 3" xfId="781"/>
    <cellStyle name="Normal 21 3 2" xfId="1062"/>
    <cellStyle name="Normal 21 3 2 2" xfId="1721"/>
    <cellStyle name="Normal 21 3 2 2 2" xfId="3972"/>
    <cellStyle name="Normal 21 3 2 2 2 2" xfId="15675"/>
    <cellStyle name="Normal 21 3 2 2 3" xfId="3149"/>
    <cellStyle name="Normal 21 3 2 2 3 2" xfId="18647"/>
    <cellStyle name="Normal 21 3 2 2 4" xfId="17669"/>
    <cellStyle name="Normal 21 3 2 2 5" xfId="19438"/>
    <cellStyle name="Normal 21 3 2 2 6" xfId="14876"/>
    <cellStyle name="Normal 21 3 2 3" xfId="3971"/>
    <cellStyle name="Normal 21 3 2 3 2" xfId="16824"/>
    <cellStyle name="Normal 21 3 2 4" xfId="2493"/>
    <cellStyle name="Normal 21 3 2 4 2" xfId="18188"/>
    <cellStyle name="Normal 21 3 2 5" xfId="18328"/>
    <cellStyle name="Normal 21 3 2 6" xfId="20010"/>
    <cellStyle name="Normal 21 3 2 7" xfId="14248"/>
    <cellStyle name="Normal 21 3 3" xfId="1447"/>
    <cellStyle name="Normal 21 3 3 2" xfId="3973"/>
    <cellStyle name="Normal 21 3 3 2 2" xfId="16825"/>
    <cellStyle name="Normal 21 3 3 3" xfId="2875"/>
    <cellStyle name="Normal 21 3 3 3 2" xfId="16364"/>
    <cellStyle name="Normal 21 3 3 4" xfId="17647"/>
    <cellStyle name="Normal 21 3 3 5" xfId="19710"/>
    <cellStyle name="Normal 21 3 3 6" xfId="14613"/>
    <cellStyle name="Normal 21 3 4" xfId="3970"/>
    <cellStyle name="Normal 21 3 4 2" xfId="16823"/>
    <cellStyle name="Normal 21 3 5" xfId="2219"/>
    <cellStyle name="Normal 21 3 5 2" xfId="17121"/>
    <cellStyle name="Normal 21 3 6" xfId="17228"/>
    <cellStyle name="Normal 21 3 7" xfId="20284"/>
    <cellStyle name="Normal 21 3 8" xfId="13999"/>
    <cellStyle name="Normal 21 4" xfId="663"/>
    <cellStyle name="Normal 21 4 2" xfId="1330"/>
    <cellStyle name="Normal 21 4 2 2" xfId="3975"/>
    <cellStyle name="Normal 21 4 2 2 2" xfId="16826"/>
    <cellStyle name="Normal 21 4 2 3" xfId="2758"/>
    <cellStyle name="Normal 21 4 2 3 2" xfId="16710"/>
    <cellStyle name="Normal 21 4 2 4" xfId="18046"/>
    <cellStyle name="Normal 21 4 2 5" xfId="19795"/>
    <cellStyle name="Normal 21 4 2 6" xfId="14507"/>
    <cellStyle name="Normal 21 4 3" xfId="3974"/>
    <cellStyle name="Normal 21 4 3 2" xfId="18570"/>
    <cellStyle name="Normal 21 4 4" xfId="2102"/>
    <cellStyle name="Normal 21 4 4 2" xfId="18064"/>
    <cellStyle name="Normal 21 4 5" xfId="17333"/>
    <cellStyle name="Normal 21 4 6" xfId="20401"/>
    <cellStyle name="Normal 21 4 7" xfId="13900"/>
    <cellStyle name="Normal 21 5" xfId="945"/>
    <cellStyle name="Normal 21 5 2" xfId="1604"/>
    <cellStyle name="Normal 21 5 2 2" xfId="3977"/>
    <cellStyle name="Normal 21 5 2 2 2" xfId="18569"/>
    <cellStyle name="Normal 21 5 2 3" xfId="3032"/>
    <cellStyle name="Normal 21 5 2 3 2" xfId="18076"/>
    <cellStyle name="Normal 21 5 2 4" xfId="15545"/>
    <cellStyle name="Normal 21 5 2 5" xfId="19553"/>
    <cellStyle name="Normal 21 5 2 6" xfId="14770"/>
    <cellStyle name="Normal 21 5 3" xfId="3976"/>
    <cellStyle name="Normal 21 5 3 2" xfId="18608"/>
    <cellStyle name="Normal 21 5 4" xfId="2376"/>
    <cellStyle name="Normal 21 5 4 2" xfId="15860"/>
    <cellStyle name="Normal 21 5 5" xfId="18757"/>
    <cellStyle name="Normal 21 5 6" xfId="20127"/>
    <cellStyle name="Normal 21 5 7" xfId="14149"/>
    <cellStyle name="Normal 21 6" xfId="1225"/>
    <cellStyle name="Normal 21 6 2" xfId="3978"/>
    <cellStyle name="Normal 21 6 2 2" xfId="18473"/>
    <cellStyle name="Normal 21 6 3" xfId="2653"/>
    <cellStyle name="Normal 21 6 3 2" xfId="16634"/>
    <cellStyle name="Normal 21 6 4" xfId="17303"/>
    <cellStyle name="Normal 21 6 5" xfId="19900"/>
    <cellStyle name="Normal 21 6 6" xfId="14402"/>
    <cellStyle name="Normal 21 7" xfId="3959"/>
    <cellStyle name="Normal 21 7 2" xfId="13724"/>
    <cellStyle name="Normal 21 8" xfId="1975"/>
    <cellStyle name="Normal 21 8 2" xfId="17772"/>
    <cellStyle name="Normal 21 9" xfId="16417"/>
    <cellStyle name="Normal 22" xfId="439"/>
    <cellStyle name="Normal 22 10" xfId="16430"/>
    <cellStyle name="Normal 22 11" xfId="15143"/>
    <cellStyle name="Normal 22 12" xfId="20504"/>
    <cellStyle name="Normal 22 13" xfId="8745"/>
    <cellStyle name="Normal 22 2" xfId="611"/>
    <cellStyle name="Normal 22 2 10" xfId="20437"/>
    <cellStyle name="Normal 22 2 11" xfId="8746"/>
    <cellStyle name="Normal 22 2 2" xfId="878"/>
    <cellStyle name="Normal 22 2 2 2" xfId="1152"/>
    <cellStyle name="Normal 22 2 2 2 2" xfId="1811"/>
    <cellStyle name="Normal 22 2 2 2 2 2" xfId="3983"/>
    <cellStyle name="Normal 22 2 2 2 2 2 2" xfId="18568"/>
    <cellStyle name="Normal 22 2 2 2 2 3" xfId="3239"/>
    <cellStyle name="Normal 22 2 2 2 2 3 2" xfId="18065"/>
    <cellStyle name="Normal 22 2 2 2 2 4" xfId="15341"/>
    <cellStyle name="Normal 22 2 2 2 2 5" xfId="19348"/>
    <cellStyle name="Normal 22 2 2 2 2 6" xfId="14966"/>
    <cellStyle name="Normal 22 2 2 2 3" xfId="3982"/>
    <cellStyle name="Normal 22 2 2 2 3 2" xfId="18607"/>
    <cellStyle name="Normal 22 2 2 2 4" xfId="2583"/>
    <cellStyle name="Normal 22 2 2 2 4 2" xfId="16611"/>
    <cellStyle name="Normal 22 2 2 2 5" xfId="18565"/>
    <cellStyle name="Normal 22 2 2 2 6" xfId="20745"/>
    <cellStyle name="Normal 22 2 2 2 7" xfId="14332"/>
    <cellStyle name="Normal 22 2 2 3" xfId="1537"/>
    <cellStyle name="Normal 22 2 2 3 2" xfId="1884"/>
    <cellStyle name="Normal 22 2 2 3 2 2" xfId="3985"/>
    <cellStyle name="Normal 22 2 2 3 2 2 2" xfId="16402"/>
    <cellStyle name="Normal 22 2 2 3 2 3" xfId="3312"/>
    <cellStyle name="Normal 22 2 2 3 2 3 2" xfId="15956"/>
    <cellStyle name="Normal 22 2 2 3 2 4" xfId="18110"/>
    <cellStyle name="Normal 22 2 2 3 2 5" xfId="19275"/>
    <cellStyle name="Normal 22 2 2 3 2 6" xfId="15014"/>
    <cellStyle name="Normal 22 2 2 3 3" xfId="3984"/>
    <cellStyle name="Normal 22 2 2 3 3 2" xfId="16401"/>
    <cellStyle name="Normal 22 2 2 3 4" xfId="2965"/>
    <cellStyle name="Normal 22 2 2 3 4 2" xfId="19149"/>
    <cellStyle name="Normal 22 2 2 3 5" xfId="17549"/>
    <cellStyle name="Normal 22 2 2 3 6" xfId="19620"/>
    <cellStyle name="Normal 22 2 2 3 7" xfId="14703"/>
    <cellStyle name="Normal 22 2 2 4" xfId="1883"/>
    <cellStyle name="Normal 22 2 2 4 2" xfId="3986"/>
    <cellStyle name="Normal 22 2 2 4 2 2" xfId="16828"/>
    <cellStyle name="Normal 22 2 2 4 3" xfId="3311"/>
    <cellStyle name="Normal 22 2 2 4 3 2" xfId="18646"/>
    <cellStyle name="Normal 22 2 2 4 4" xfId="17747"/>
    <cellStyle name="Normal 22 2 2 4 5" xfId="19276"/>
    <cellStyle name="Normal 22 2 2 4 6" xfId="15013"/>
    <cellStyle name="Normal 22 2 2 5" xfId="3981"/>
    <cellStyle name="Normal 22 2 2 5 2" xfId="16827"/>
    <cellStyle name="Normal 22 2 2 6" xfId="2309"/>
    <cellStyle name="Normal 22 2 2 6 2" xfId="15928"/>
    <cellStyle name="Normal 22 2 2 7" xfId="18627"/>
    <cellStyle name="Normal 22 2 2 8" xfId="20194"/>
    <cellStyle name="Normal 22 2 2 9" xfId="14082"/>
    <cellStyle name="Normal 22 2 3" xfId="734"/>
    <cellStyle name="Normal 22 2 3 2" xfId="1401"/>
    <cellStyle name="Normal 22 2 3 2 2" xfId="3988"/>
    <cellStyle name="Normal 22 2 3 2 2 2" xfId="18462"/>
    <cellStyle name="Normal 22 2 3 2 3" xfId="2829"/>
    <cellStyle name="Normal 22 2 3 2 3 2" xfId="16768"/>
    <cellStyle name="Normal 22 2 3 2 4" xfId="17910"/>
    <cellStyle name="Normal 22 2 3 2 5" xfId="19756"/>
    <cellStyle name="Normal 22 2 3 2 6" xfId="14578"/>
    <cellStyle name="Normal 22 2 3 3" xfId="3987"/>
    <cellStyle name="Normal 22 2 3 3 2" xfId="18448"/>
    <cellStyle name="Normal 22 2 3 4" xfId="2173"/>
    <cellStyle name="Normal 22 2 3 4 2" xfId="15640"/>
    <cellStyle name="Normal 22 2 3 5" xfId="16465"/>
    <cellStyle name="Normal 22 2 3 6" xfId="20330"/>
    <cellStyle name="Normal 22 2 3 7" xfId="13970"/>
    <cellStyle name="Normal 22 2 4" xfId="1016"/>
    <cellStyle name="Normal 22 2 4 2" xfId="1675"/>
    <cellStyle name="Normal 22 2 4 2 2" xfId="3990"/>
    <cellStyle name="Normal 22 2 4 2 2 2" xfId="16830"/>
    <cellStyle name="Normal 22 2 4 2 3" xfId="3103"/>
    <cellStyle name="Normal 22 2 4 2 3 2" xfId="16788"/>
    <cellStyle name="Normal 22 2 4 2 4" xfId="19173"/>
    <cellStyle name="Normal 22 2 4 2 5" xfId="19482"/>
    <cellStyle name="Normal 22 2 4 2 6" xfId="14841"/>
    <cellStyle name="Normal 22 2 4 3" xfId="3989"/>
    <cellStyle name="Normal 22 2 4 3 2" xfId="16829"/>
    <cellStyle name="Normal 22 2 4 4" xfId="2447"/>
    <cellStyle name="Normal 22 2 4 4 2" xfId="18718"/>
    <cellStyle name="Normal 22 2 4 5" xfId="16137"/>
    <cellStyle name="Normal 22 2 4 6" xfId="20056"/>
    <cellStyle name="Normal 22 2 4 7" xfId="14220"/>
    <cellStyle name="Normal 22 2 5" xfId="1296"/>
    <cellStyle name="Normal 22 2 5 2" xfId="3991"/>
    <cellStyle name="Normal 22 2 5 2 2" xfId="16831"/>
    <cellStyle name="Normal 22 2 5 3" xfId="2724"/>
    <cellStyle name="Normal 22 2 5 3 2" xfId="15607"/>
    <cellStyle name="Normal 22 2 5 4" xfId="18100"/>
    <cellStyle name="Normal 22 2 5 5" xfId="19829"/>
    <cellStyle name="Normal 22 2 5 6" xfId="14473"/>
    <cellStyle name="Normal 22 2 6" xfId="3980"/>
    <cellStyle name="Normal 22 2 6 2" xfId="13864"/>
    <cellStyle name="Normal 22 2 7" xfId="2066"/>
    <cellStyle name="Normal 22 2 7 2" xfId="17425"/>
    <cellStyle name="Normal 22 2 8" xfId="18798"/>
    <cellStyle name="Normal 22 2 9" xfId="19217"/>
    <cellStyle name="Normal 22 3" xfId="812"/>
    <cellStyle name="Normal 22 3 2" xfId="1091"/>
    <cellStyle name="Normal 22 3 2 2" xfId="1750"/>
    <cellStyle name="Normal 22 3 2 2 2" xfId="3994"/>
    <cellStyle name="Normal 22 3 2 2 2 2" xfId="16834"/>
    <cellStyle name="Normal 22 3 2 2 3" xfId="3178"/>
    <cellStyle name="Normal 22 3 2 2 3 2" xfId="18411"/>
    <cellStyle name="Normal 22 3 2 2 4" xfId="19209"/>
    <cellStyle name="Normal 22 3 2 2 5" xfId="19409"/>
    <cellStyle name="Normal 22 3 2 2 6" xfId="14905"/>
    <cellStyle name="Normal 22 3 2 3" xfId="3993"/>
    <cellStyle name="Normal 22 3 2 3 2" xfId="16833"/>
    <cellStyle name="Normal 22 3 2 4" xfId="2522"/>
    <cellStyle name="Normal 22 3 2 4 2" xfId="18268"/>
    <cellStyle name="Normal 22 3 2 5" xfId="16547"/>
    <cellStyle name="Normal 22 3 2 6" xfId="19981"/>
    <cellStyle name="Normal 22 3 2 7" xfId="14274"/>
    <cellStyle name="Normal 22 3 3" xfId="1476"/>
    <cellStyle name="Normal 22 3 3 2" xfId="3995"/>
    <cellStyle name="Normal 22 3 3 2 2" xfId="16835"/>
    <cellStyle name="Normal 22 3 3 3" xfId="2904"/>
    <cellStyle name="Normal 22 3 3 3 2" xfId="17506"/>
    <cellStyle name="Normal 22 3 3 4" xfId="17873"/>
    <cellStyle name="Normal 22 3 3 5" xfId="19681"/>
    <cellStyle name="Normal 22 3 3 6" xfId="14642"/>
    <cellStyle name="Normal 22 3 4" xfId="3992"/>
    <cellStyle name="Normal 22 3 4 2" xfId="16832"/>
    <cellStyle name="Normal 22 3 5" xfId="2248"/>
    <cellStyle name="Normal 22 3 5 2" xfId="16055"/>
    <cellStyle name="Normal 22 3 6" xfId="18710"/>
    <cellStyle name="Normal 22 3 7" xfId="20255"/>
    <cellStyle name="Normal 22 3 8" xfId="14025"/>
    <cellStyle name="Normal 22 4" xfId="683"/>
    <cellStyle name="Normal 22 4 2" xfId="1350"/>
    <cellStyle name="Normal 22 4 2 2" xfId="3997"/>
    <cellStyle name="Normal 22 4 2 2 2" xfId="16837"/>
    <cellStyle name="Normal 22 4 2 3" xfId="2778"/>
    <cellStyle name="Normal 22 4 2 3 2" xfId="16730"/>
    <cellStyle name="Normal 22 4 2 4" xfId="17813"/>
    <cellStyle name="Normal 22 4 2 5" xfId="20753"/>
    <cellStyle name="Normal 22 4 2 6" xfId="14527"/>
    <cellStyle name="Normal 22 4 3" xfId="1882"/>
    <cellStyle name="Normal 22 4 3 2" xfId="3998"/>
    <cellStyle name="Normal 22 4 3 2 2" xfId="16838"/>
    <cellStyle name="Normal 22 4 3 3" xfId="3310"/>
    <cellStyle name="Normal 22 4 3 3 2" xfId="15853"/>
    <cellStyle name="Normal 22 4 3 4" xfId="19175"/>
    <cellStyle name="Normal 22 4 3 5" xfId="19277"/>
    <cellStyle name="Normal 22 4 3 6" xfId="15012"/>
    <cellStyle name="Normal 22 4 4" xfId="3996"/>
    <cellStyle name="Normal 22 4 4 2" xfId="16836"/>
    <cellStyle name="Normal 22 4 5" xfId="2122"/>
    <cellStyle name="Normal 22 4 5 2" xfId="18246"/>
    <cellStyle name="Normal 22 4 6" xfId="16451"/>
    <cellStyle name="Normal 22 4 7" xfId="20381"/>
    <cellStyle name="Normal 22 4 8" xfId="13920"/>
    <cellStyle name="Normal 22 5" xfId="965"/>
    <cellStyle name="Normal 22 5 2" xfId="1624"/>
    <cellStyle name="Normal 22 5 2 2" xfId="4000"/>
    <cellStyle name="Normal 22 5 2 2 2" xfId="15637"/>
    <cellStyle name="Normal 22 5 2 3" xfId="3052"/>
    <cellStyle name="Normal 22 5 2 3 2" xfId="18096"/>
    <cellStyle name="Normal 22 5 2 4" xfId="18072"/>
    <cellStyle name="Normal 22 5 2 5" xfId="19533"/>
    <cellStyle name="Normal 22 5 2 6" xfId="14790"/>
    <cellStyle name="Normal 22 5 3" xfId="3999"/>
    <cellStyle name="Normal 22 5 3 2" xfId="16839"/>
    <cellStyle name="Normal 22 5 4" xfId="2396"/>
    <cellStyle name="Normal 22 5 4 2" xfId="18727"/>
    <cellStyle name="Normal 22 5 5" xfId="18316"/>
    <cellStyle name="Normal 22 5 6" xfId="20107"/>
    <cellStyle name="Normal 22 5 7" xfId="14169"/>
    <cellStyle name="Normal 22 6" xfId="1245"/>
    <cellStyle name="Normal 22 6 2" xfId="4001"/>
    <cellStyle name="Normal 22 6 2 2" xfId="15646"/>
    <cellStyle name="Normal 22 6 3" xfId="2673"/>
    <cellStyle name="Normal 22 6 3 2" xfId="16650"/>
    <cellStyle name="Normal 22 6 4" xfId="17793"/>
    <cellStyle name="Normal 22 6 5" xfId="19880"/>
    <cellStyle name="Normal 22 6 6" xfId="14422"/>
    <cellStyle name="Normal 22 7" xfId="1881"/>
    <cellStyle name="Normal 22 7 2" xfId="4002"/>
    <cellStyle name="Normal 22 7 2 2" xfId="15433"/>
    <cellStyle name="Normal 22 7 3" xfId="3309"/>
    <cellStyle name="Normal 22 7 3 2" xfId="18741"/>
    <cellStyle name="Normal 22 7 4" xfId="15466"/>
    <cellStyle name="Normal 22 7 5" xfId="19278"/>
    <cellStyle name="Normal 22 7 6" xfId="15011"/>
    <cellStyle name="Normal 22 8" xfId="3979"/>
    <cellStyle name="Normal 22 8 2" xfId="13748"/>
    <cellStyle name="Normal 22 9" xfId="1999"/>
    <cellStyle name="Normal 22 9 2" xfId="15449"/>
    <cellStyle name="Normal 23" xfId="440"/>
    <cellStyle name="Normal 23 2" xfId="612"/>
    <cellStyle name="Normal 23 3" xfId="790"/>
    <cellStyle name="Normal 23 3 2" xfId="1069"/>
    <cellStyle name="Normal 23 3 2 2" xfId="1728"/>
    <cellStyle name="Normal 23 3 2 2 2" xfId="4005"/>
    <cellStyle name="Normal 23 3 2 2 2 2" xfId="15323"/>
    <cellStyle name="Normal 23 3 2 2 3" xfId="3156"/>
    <cellStyle name="Normal 23 3 2 2 3 2" xfId="17354"/>
    <cellStyle name="Normal 23 3 2 2 4" xfId="17502"/>
    <cellStyle name="Normal 23 3 2 2 5" xfId="19431"/>
    <cellStyle name="Normal 23 3 2 2 6" xfId="14883"/>
    <cellStyle name="Normal 23 3 2 3" xfId="4004"/>
    <cellStyle name="Normal 23 3 2 3 2" xfId="15069"/>
    <cellStyle name="Normal 23 3 2 4" xfId="2500"/>
    <cellStyle name="Normal 23 3 2 4 2" xfId="15866"/>
    <cellStyle name="Normal 23 3 2 5" xfId="16533"/>
    <cellStyle name="Normal 23 3 2 6" xfId="20003"/>
    <cellStyle name="Normal 23 3 2 7" xfId="14255"/>
    <cellStyle name="Normal 23 3 3" xfId="1454"/>
    <cellStyle name="Normal 23 3 3 2" xfId="4006"/>
    <cellStyle name="Normal 23 3 3 2 2" xfId="16403"/>
    <cellStyle name="Normal 23 3 3 3" xfId="2882"/>
    <cellStyle name="Normal 23 3 3 3 2" xfId="17699"/>
    <cellStyle name="Normal 23 3 3 4" xfId="18120"/>
    <cellStyle name="Normal 23 3 3 5" xfId="19703"/>
    <cellStyle name="Normal 23 3 3 6" xfId="14620"/>
    <cellStyle name="Normal 23 3 4" xfId="4003"/>
    <cellStyle name="Normal 23 3 4 2" xfId="15172"/>
    <cellStyle name="Normal 23 3 5" xfId="2226"/>
    <cellStyle name="Normal 23 3 5 2" xfId="19162"/>
    <cellStyle name="Normal 23 3 6" xfId="16476"/>
    <cellStyle name="Normal 23 3 7" xfId="20277"/>
    <cellStyle name="Normal 23 3 8" xfId="14006"/>
    <cellStyle name="Normal 24" xfId="525"/>
    <cellStyle name="Normal 24 2" xfId="622"/>
    <cellStyle name="Normal 24 3" xfId="749"/>
    <cellStyle name="Normal 24 3 2" xfId="1030"/>
    <cellStyle name="Normal 24 3 2 2" xfId="1689"/>
    <cellStyle name="Normal 24 3 2 2 2" xfId="4009"/>
    <cellStyle name="Normal 24 3 2 2 2 2" xfId="15446"/>
    <cellStyle name="Normal 24 3 2 2 3" xfId="3117"/>
    <cellStyle name="Normal 24 3 2 2 3 2" xfId="18919"/>
    <cellStyle name="Normal 24 3 2 2 4" xfId="17857"/>
    <cellStyle name="Normal 24 3 2 2 5" xfId="19468"/>
    <cellStyle name="Normal 24 3 2 2 6" xfId="14855"/>
    <cellStyle name="Normal 24 3 2 3" xfId="4008"/>
    <cellStyle name="Normal 24 3 2 3 2" xfId="15661"/>
    <cellStyle name="Normal 24 3 2 4" xfId="2461"/>
    <cellStyle name="Normal 24 3 2 4 2" xfId="15983"/>
    <cellStyle name="Normal 24 3 2 5" xfId="17317"/>
    <cellStyle name="Normal 24 3 2 6" xfId="20042"/>
    <cellStyle name="Normal 24 3 2 7" xfId="14234"/>
    <cellStyle name="Normal 24 3 3" xfId="1415"/>
    <cellStyle name="Normal 24 3 3 2" xfId="4010"/>
    <cellStyle name="Normal 24 3 3 2 2" xfId="16405"/>
    <cellStyle name="Normal 24 3 3 3" xfId="2843"/>
    <cellStyle name="Normal 24 3 3 3 2" xfId="17599"/>
    <cellStyle name="Normal 24 3 3 4" xfId="17947"/>
    <cellStyle name="Normal 24 3 3 5" xfId="19742"/>
    <cellStyle name="Normal 24 3 3 6" xfId="14592"/>
    <cellStyle name="Normal 24 3 4" xfId="4007"/>
    <cellStyle name="Normal 24 3 4 2" xfId="16404"/>
    <cellStyle name="Normal 24 3 5" xfId="2187"/>
    <cellStyle name="Normal 24 3 5 2" xfId="15086"/>
    <cellStyle name="Normal 24 3 6" xfId="16471"/>
    <cellStyle name="Normal 24 3 7" xfId="20316"/>
    <cellStyle name="Normal 24 3 8" xfId="13984"/>
    <cellStyle name="Normal 25" xfId="541"/>
    <cellStyle name="Normal 25 2" xfId="628"/>
    <cellStyle name="Normal 25 3" xfId="828"/>
    <cellStyle name="Normal 25 4" xfId="748"/>
    <cellStyle name="Normal 25 4 2" xfId="1029"/>
    <cellStyle name="Normal 25 4 2 2" xfId="1688"/>
    <cellStyle name="Normal 25 4 2 2 2" xfId="4013"/>
    <cellStyle name="Normal 25 4 2 2 2 2" xfId="15336"/>
    <cellStyle name="Normal 25 4 2 2 3" xfId="3116"/>
    <cellStyle name="Normal 25 4 2 2 3 2" xfId="18189"/>
    <cellStyle name="Normal 25 4 2 2 4" xfId="17518"/>
    <cellStyle name="Normal 25 4 2 2 5" xfId="19469"/>
    <cellStyle name="Normal 25 4 2 2 6" xfId="14854"/>
    <cellStyle name="Normal 25 4 2 3" xfId="4012"/>
    <cellStyle name="Normal 25 4 2 3 2" xfId="18249"/>
    <cellStyle name="Normal 25 4 2 4" xfId="2460"/>
    <cellStyle name="Normal 25 4 2 4 2" xfId="18856"/>
    <cellStyle name="Normal 25 4 2 5" xfId="17297"/>
    <cellStyle name="Normal 25 4 2 6" xfId="20043"/>
    <cellStyle name="Normal 25 4 2 7" xfId="14233"/>
    <cellStyle name="Normal 25 4 3" xfId="1414"/>
    <cellStyle name="Normal 25 4 3 2" xfId="4014"/>
    <cellStyle name="Normal 25 4 3 2 2" xfId="16840"/>
    <cellStyle name="Normal 25 4 3 3" xfId="2842"/>
    <cellStyle name="Normal 25 4 3 3 2" xfId="17472"/>
    <cellStyle name="Normal 25 4 3 4" xfId="18087"/>
    <cellStyle name="Normal 25 4 3 5" xfId="19743"/>
    <cellStyle name="Normal 25 4 3 6" xfId="14591"/>
    <cellStyle name="Normal 25 4 4" xfId="4011"/>
    <cellStyle name="Normal 25 4 4 2" xfId="15183"/>
    <cellStyle name="Normal 25 4 5" xfId="2186"/>
    <cellStyle name="Normal 25 4 5 2" xfId="15190"/>
    <cellStyle name="Normal 25 4 6" xfId="18303"/>
    <cellStyle name="Normal 25 4 7" xfId="20317"/>
    <cellStyle name="Normal 25 4 8" xfId="13983"/>
    <cellStyle name="Normal 26" xfId="542"/>
    <cellStyle name="Normal 26 2" xfId="629"/>
    <cellStyle name="Normal 26 3" xfId="829"/>
    <cellStyle name="Normal 26 4" xfId="820"/>
    <cellStyle name="Normal 26 4 2" xfId="1098"/>
    <cellStyle name="Normal 26 4 2 2" xfId="1757"/>
    <cellStyle name="Normal 26 4 2 2 2" xfId="4017"/>
    <cellStyle name="Normal 26 4 2 2 2 2" xfId="15120"/>
    <cellStyle name="Normal 26 4 2 2 3" xfId="3185"/>
    <cellStyle name="Normal 26 4 2 2 3 2" xfId="18764"/>
    <cellStyle name="Normal 26 4 2 2 4" xfId="18777"/>
    <cellStyle name="Normal 26 4 2 2 5" xfId="19402"/>
    <cellStyle name="Normal 26 4 2 2 6" xfId="14912"/>
    <cellStyle name="Normal 26 4 2 3" xfId="4016"/>
    <cellStyle name="Normal 26 4 2 3 2" xfId="15272"/>
    <cellStyle name="Normal 26 4 2 4" xfId="2529"/>
    <cellStyle name="Normal 26 4 2 4 2" xfId="18823"/>
    <cellStyle name="Normal 26 4 2 5" xfId="16554"/>
    <cellStyle name="Normal 26 4 2 6" xfId="19974"/>
    <cellStyle name="Normal 26 4 2 7" xfId="14281"/>
    <cellStyle name="Normal 26 4 3" xfId="1483"/>
    <cellStyle name="Normal 26 4 3 2" xfId="4018"/>
    <cellStyle name="Normal 26 4 3 2 2" xfId="15375"/>
    <cellStyle name="Normal 26 4 3 3" xfId="2911"/>
    <cellStyle name="Normal 26 4 3 3 2" xfId="17210"/>
    <cellStyle name="Normal 26 4 3 4" xfId="17911"/>
    <cellStyle name="Normal 26 4 3 5" xfId="19674"/>
    <cellStyle name="Normal 26 4 3 6" xfId="14649"/>
    <cellStyle name="Normal 26 4 4" xfId="4015"/>
    <cellStyle name="Normal 26 4 4 2" xfId="15565"/>
    <cellStyle name="Normal 26 4 5" xfId="2255"/>
    <cellStyle name="Normal 26 4 5 2" xfId="19038"/>
    <cellStyle name="Normal 26 4 6" xfId="16154"/>
    <cellStyle name="Normal 26 4 7" xfId="20248"/>
    <cellStyle name="Normal 26 4 8" xfId="14032"/>
    <cellStyle name="Normal 27" xfId="543"/>
    <cellStyle name="Normal 27 2" xfId="630"/>
    <cellStyle name="Normal 27 3" xfId="830"/>
    <cellStyle name="Normal 28" xfId="544"/>
    <cellStyle name="Normal 28 2" xfId="631"/>
    <cellStyle name="Normal 28 2 2" xfId="13870"/>
    <cellStyle name="Normal 28 2 3" xfId="17014"/>
    <cellStyle name="Normal 28 2 4" xfId="8748"/>
    <cellStyle name="Normal 28 3" xfId="831"/>
    <cellStyle name="Normal 28 4" xfId="13802"/>
    <cellStyle name="Normal 28 5" xfId="15296"/>
    <cellStyle name="Normal 28 6" xfId="8747"/>
    <cellStyle name="Normal 29" xfId="634"/>
    <cellStyle name="Normal 29 2" xfId="1302"/>
    <cellStyle name="Normal 29 2 2" xfId="4020"/>
    <cellStyle name="Normal 29 2 2 2" xfId="14479"/>
    <cellStyle name="Normal 29 2 3" xfId="2730"/>
    <cellStyle name="Normal 29 2 3 2" xfId="16691"/>
    <cellStyle name="Normal 29 2 4" xfId="17812"/>
    <cellStyle name="Normal 29 2 5" xfId="15092"/>
    <cellStyle name="Normal 29 2 6" xfId="19823"/>
    <cellStyle name="Normal 29 2 7" xfId="8750"/>
    <cellStyle name="Normal 29 3" xfId="4019"/>
    <cellStyle name="Normal 29 3 2" xfId="13872"/>
    <cellStyle name="Normal 29 4" xfId="2074"/>
    <cellStyle name="Normal 29 4 2" xfId="17348"/>
    <cellStyle name="Normal 29 5" xfId="15783"/>
    <cellStyle name="Normal 29 6" xfId="15195"/>
    <cellStyle name="Normal 29 7" xfId="20429"/>
    <cellStyle name="Normal 29 8" xfId="8749"/>
    <cellStyle name="Normal 3" xfId="7"/>
    <cellStyle name="Normal 3 10" xfId="8751"/>
    <cellStyle name="Normal 3 11" xfId="20928"/>
    <cellStyle name="Normal 3 12" xfId="20951"/>
    <cellStyle name="Normal 3 2" xfId="194"/>
    <cellStyle name="Normal 3 2 10" xfId="1911"/>
    <cellStyle name="Normal 3 2 10 2" xfId="17805"/>
    <cellStyle name="Normal 3 2 11" xfId="19088"/>
    <cellStyle name="Normal 3 2 12" xfId="17015"/>
    <cellStyle name="Normal 3 2 13" xfId="20592"/>
    <cellStyle name="Normal 3 2 14" xfId="8752"/>
    <cellStyle name="Normal 3 2 15" xfId="20935"/>
    <cellStyle name="Normal 3 2 16" xfId="20947"/>
    <cellStyle name="Normal 3 2 2" xfId="420"/>
    <cellStyle name="Normal 3 2 2 10" xfId="20522"/>
    <cellStyle name="Normal 3 2 2 11" xfId="13731"/>
    <cellStyle name="Normal 3 2 2 2" xfId="595"/>
    <cellStyle name="Normal 3 2 2 2 10" xfId="13848"/>
    <cellStyle name="Normal 3 2 2 2 2" xfId="862"/>
    <cellStyle name="Normal 3 2 2 2 2 2" xfId="1136"/>
    <cellStyle name="Normal 3 2 2 2 2 2 2" xfId="1795"/>
    <cellStyle name="Normal 3 2 2 2 2 2 2 2" xfId="4027"/>
    <cellStyle name="Normal 3 2 2 2 2 2 2 2 2" xfId="15097"/>
    <cellStyle name="Normal 3 2 2 2 2 2 2 3" xfId="3223"/>
    <cellStyle name="Normal 3 2 2 2 2 2 2 3 2" xfId="17654"/>
    <cellStyle name="Normal 3 2 2 2 2 2 2 4" xfId="17877"/>
    <cellStyle name="Normal 3 2 2 2 2 2 2 5" xfId="19364"/>
    <cellStyle name="Normal 3 2 2 2 2 2 2 6" xfId="14950"/>
    <cellStyle name="Normal 3 2 2 2 2 2 3" xfId="4026"/>
    <cellStyle name="Normal 3 2 2 2 2 2 3 2" xfId="15247"/>
    <cellStyle name="Normal 3 2 2 2 2 2 4" xfId="2567"/>
    <cellStyle name="Normal 3 2 2 2 2 2 4 2" xfId="16596"/>
    <cellStyle name="Normal 3 2 2 2 2 2 5" xfId="18337"/>
    <cellStyle name="Normal 3 2 2 2 2 2 6" xfId="19936"/>
    <cellStyle name="Normal 3 2 2 2 2 2 7" xfId="14316"/>
    <cellStyle name="Normal 3 2 2 2 2 3" xfId="1521"/>
    <cellStyle name="Normal 3 2 2 2 2 3 2" xfId="4028"/>
    <cellStyle name="Normal 3 2 2 2 2 3 2 2" xfId="15351"/>
    <cellStyle name="Normal 3 2 2 2 2 3 3" xfId="2949"/>
    <cellStyle name="Normal 3 2 2 2 2 3 3 2" xfId="18361"/>
    <cellStyle name="Normal 3 2 2 2 2 3 4" xfId="17574"/>
    <cellStyle name="Normal 3 2 2 2 2 3 5" xfId="19636"/>
    <cellStyle name="Normal 3 2 2 2 2 3 6" xfId="14687"/>
    <cellStyle name="Normal 3 2 2 2 2 4" xfId="4025"/>
    <cellStyle name="Normal 3 2 2 2 2 4 2" xfId="15516"/>
    <cellStyle name="Normal 3 2 2 2 2 5" xfId="2293"/>
    <cellStyle name="Normal 3 2 2 2 2 5 2" xfId="15179"/>
    <cellStyle name="Normal 3 2 2 2 2 6" xfId="16487"/>
    <cellStyle name="Normal 3 2 2 2 2 7" xfId="20210"/>
    <cellStyle name="Normal 3 2 2 2 2 8" xfId="14066"/>
    <cellStyle name="Normal 3 2 2 2 3" xfId="718"/>
    <cellStyle name="Normal 3 2 2 2 3 2" xfId="1385"/>
    <cellStyle name="Normal 3 2 2 2 3 2 2" xfId="4030"/>
    <cellStyle name="Normal 3 2 2 2 3 2 2 2" xfId="15462"/>
    <cellStyle name="Normal 3 2 2 2 3 2 3" xfId="2813"/>
    <cellStyle name="Normal 3 2 2 2 3 2 3 2" xfId="16759"/>
    <cellStyle name="Normal 3 2 2 2 3 2 4" xfId="17660"/>
    <cellStyle name="Normal 3 2 2 2 3 2 5" xfId="19770"/>
    <cellStyle name="Normal 3 2 2 2 3 2 6" xfId="14562"/>
    <cellStyle name="Normal 3 2 2 2 3 3" xfId="4029"/>
    <cellStyle name="Normal 3 2 2 2 3 3 2" xfId="15199"/>
    <cellStyle name="Normal 3 2 2 2 3 4" xfId="2157"/>
    <cellStyle name="Normal 3 2 2 2 3 4 2" xfId="17927"/>
    <cellStyle name="Normal 3 2 2 2 3 5" xfId="15787"/>
    <cellStyle name="Normal 3 2 2 2 3 6" xfId="20346"/>
    <cellStyle name="Normal 3 2 2 2 3 7" xfId="13954"/>
    <cellStyle name="Normal 3 2 2 2 4" xfId="1000"/>
    <cellStyle name="Normal 3 2 2 2 4 2" xfId="1659"/>
    <cellStyle name="Normal 3 2 2 2 4 2 2" xfId="4032"/>
    <cellStyle name="Normal 3 2 2 2 4 2 2 2" xfId="19212"/>
    <cellStyle name="Normal 3 2 2 2 4 2 3" xfId="3087"/>
    <cellStyle name="Normal 3 2 2 2 4 2 3 2" xfId="19250"/>
    <cellStyle name="Normal 3 2 2 2 4 2 4" xfId="15197"/>
    <cellStyle name="Normal 3 2 2 2 4 2 5" xfId="19498"/>
    <cellStyle name="Normal 3 2 2 2 4 2 6" xfId="14825"/>
    <cellStyle name="Normal 3 2 2 2 4 3" xfId="4031"/>
    <cellStyle name="Normal 3 2 2 2 4 3 2" xfId="15149"/>
    <cellStyle name="Normal 3 2 2 2 4 4" xfId="2431"/>
    <cellStyle name="Normal 3 2 2 2 4 4 2" xfId="18503"/>
    <cellStyle name="Normal 3 2 2 2 4 5" xfId="16218"/>
    <cellStyle name="Normal 3 2 2 2 4 6" xfId="20072"/>
    <cellStyle name="Normal 3 2 2 2 4 7" xfId="14204"/>
    <cellStyle name="Normal 3 2 2 2 5" xfId="1280"/>
    <cellStyle name="Normal 3 2 2 2 5 2" xfId="4033"/>
    <cellStyle name="Normal 3 2 2 2 5 2 2" xfId="15300"/>
    <cellStyle name="Normal 3 2 2 2 5 3" xfId="2708"/>
    <cellStyle name="Normal 3 2 2 2 5 3 2" xfId="16678"/>
    <cellStyle name="Normal 3 2 2 2 5 4" xfId="17764"/>
    <cellStyle name="Normal 3 2 2 2 5 5" xfId="19845"/>
    <cellStyle name="Normal 3 2 2 2 5 6" xfId="14457"/>
    <cellStyle name="Normal 3 2 2 2 6" xfId="4024"/>
    <cellStyle name="Normal 3 2 2 2 6 2" xfId="15434"/>
    <cellStyle name="Normal 3 2 2 2 7" xfId="2050"/>
    <cellStyle name="Normal 3 2 2 2 7 2" xfId="15228"/>
    <cellStyle name="Normal 3 2 2 2 8" xfId="16446"/>
    <cellStyle name="Normal 3 2 2 2 9" xfId="20453"/>
    <cellStyle name="Normal 3 2 2 3" xfId="796"/>
    <cellStyle name="Normal 3 2 2 3 2" xfId="1075"/>
    <cellStyle name="Normal 3 2 2 3 2 2" xfId="1734"/>
    <cellStyle name="Normal 3 2 2 3 2 2 2" xfId="4036"/>
    <cellStyle name="Normal 3 2 2 3 2 2 2 2" xfId="16842"/>
    <cellStyle name="Normal 3 2 2 3 2 2 3" xfId="3162"/>
    <cellStyle name="Normal 3 2 2 3 2 2 3 2" xfId="17751"/>
    <cellStyle name="Normal 3 2 2 3 2 2 4" xfId="15176"/>
    <cellStyle name="Normal 3 2 2 3 2 2 5" xfId="19425"/>
    <cellStyle name="Normal 3 2 2 3 2 2 6" xfId="14889"/>
    <cellStyle name="Normal 3 2 2 3 2 3" xfId="4035"/>
    <cellStyle name="Normal 3 2 2 3 2 3 2" xfId="16841"/>
    <cellStyle name="Normal 3 2 2 3 2 4" xfId="2506"/>
    <cellStyle name="Normal 3 2 2 3 2 4 2" xfId="18857"/>
    <cellStyle name="Normal 3 2 2 3 2 5" xfId="16536"/>
    <cellStyle name="Normal 3 2 2 3 2 6" xfId="19997"/>
    <cellStyle name="Normal 3 2 2 3 2 7" xfId="14258"/>
    <cellStyle name="Normal 3 2 2 3 3" xfId="1460"/>
    <cellStyle name="Normal 3 2 2 3 3 2" xfId="4037"/>
    <cellStyle name="Normal 3 2 2 3 3 2 2" xfId="15566"/>
    <cellStyle name="Normal 3 2 2 3 3 3" xfId="2888"/>
    <cellStyle name="Normal 3 2 2 3 3 3 2" xfId="17733"/>
    <cellStyle name="Normal 3 2 2 3 3 4" xfId="17831"/>
    <cellStyle name="Normal 3 2 2 3 3 5" xfId="19697"/>
    <cellStyle name="Normal 3 2 2 3 3 6" xfId="14626"/>
    <cellStyle name="Normal 3 2 2 3 4" xfId="4034"/>
    <cellStyle name="Normal 3 2 2 3 4 2" xfId="15405"/>
    <cellStyle name="Normal 3 2 2 3 5" xfId="2232"/>
    <cellStyle name="Normal 3 2 2 3 5 2" xfId="19131"/>
    <cellStyle name="Normal 3 2 2 3 6" xfId="18311"/>
    <cellStyle name="Normal 3 2 2 3 7" xfId="20271"/>
    <cellStyle name="Normal 3 2 2 3 8" xfId="14009"/>
    <cellStyle name="Normal 3 2 2 4" xfId="667"/>
    <cellStyle name="Normal 3 2 2 4 2" xfId="1334"/>
    <cellStyle name="Normal 3 2 2 4 2 2" xfId="4039"/>
    <cellStyle name="Normal 3 2 2 4 2 2 2" xfId="15121"/>
    <cellStyle name="Normal 3 2 2 4 2 3" xfId="2762"/>
    <cellStyle name="Normal 3 2 2 4 2 3 2" xfId="16714"/>
    <cellStyle name="Normal 3 2 2 4 2 4" xfId="17837"/>
    <cellStyle name="Normal 3 2 2 4 2 5" xfId="20681"/>
    <cellStyle name="Normal 3 2 2 4 2 6" xfId="14511"/>
    <cellStyle name="Normal 3 2 2 4 3" xfId="4038"/>
    <cellStyle name="Normal 3 2 2 4 3 2" xfId="15273"/>
    <cellStyle name="Normal 3 2 2 4 4" xfId="2106"/>
    <cellStyle name="Normal 3 2 2 4 4 2" xfId="18154"/>
    <cellStyle name="Normal 3 2 2 4 5" xfId="18967"/>
    <cellStyle name="Normal 3 2 2 4 6" xfId="20397"/>
    <cellStyle name="Normal 3 2 2 4 7" xfId="13904"/>
    <cellStyle name="Normal 3 2 2 5" xfId="949"/>
    <cellStyle name="Normal 3 2 2 5 2" xfId="1608"/>
    <cellStyle name="Normal 3 2 2 5 2 2" xfId="4041"/>
    <cellStyle name="Normal 3 2 2 5 2 2 2" xfId="15224"/>
    <cellStyle name="Normal 3 2 2 5 2 3" xfId="3036"/>
    <cellStyle name="Normal 3 2 2 5 2 3 2" xfId="19188"/>
    <cellStyle name="Normal 3 2 2 5 2 4" xfId="17111"/>
    <cellStyle name="Normal 3 2 2 5 2 5" xfId="19549"/>
    <cellStyle name="Normal 3 2 2 5 2 6" xfId="14774"/>
    <cellStyle name="Normal 3 2 2 5 3" xfId="4040"/>
    <cellStyle name="Normal 3 2 2 5 3 2" xfId="15376"/>
    <cellStyle name="Normal 3 2 2 5 4" xfId="2380"/>
    <cellStyle name="Normal 3 2 2 5 4 2" xfId="15305"/>
    <cellStyle name="Normal 3 2 2 5 5" xfId="18666"/>
    <cellStyle name="Normal 3 2 2 5 6" xfId="20123"/>
    <cellStyle name="Normal 3 2 2 5 7" xfId="14153"/>
    <cellStyle name="Normal 3 2 2 6" xfId="1229"/>
    <cellStyle name="Normal 3 2 2 6 2" xfId="4042"/>
    <cellStyle name="Normal 3 2 2 6 2 2" xfId="16233"/>
    <cellStyle name="Normal 3 2 2 6 3" xfId="2657"/>
    <cellStyle name="Normal 3 2 2 6 3 2" xfId="16637"/>
    <cellStyle name="Normal 3 2 2 6 4" xfId="18384"/>
    <cellStyle name="Normal 3 2 2 6 5" xfId="19896"/>
    <cellStyle name="Normal 3 2 2 6 6" xfId="14406"/>
    <cellStyle name="Normal 3 2 2 7" xfId="4023"/>
    <cellStyle name="Normal 3 2 2 7 2" xfId="15324"/>
    <cellStyle name="Normal 3 2 2 8" xfId="1981"/>
    <cellStyle name="Normal 3 2 2 8 2" xfId="17184"/>
    <cellStyle name="Normal 3 2 2 9" xfId="18994"/>
    <cellStyle name="Normal 3 2 3" xfId="512"/>
    <cellStyle name="Normal 3 2 3 10" xfId="20498"/>
    <cellStyle name="Normal 3 2 3 11" xfId="13786"/>
    <cellStyle name="Normal 3 2 3 2" xfId="615"/>
    <cellStyle name="Normal 3 2 3 2 10" xfId="13866"/>
    <cellStyle name="Normal 3 2 3 2 2" xfId="880"/>
    <cellStyle name="Normal 3 2 3 2 2 2" xfId="1154"/>
    <cellStyle name="Normal 3 2 3 2 2 2 2" xfId="1813"/>
    <cellStyle name="Normal 3 2 3 2 2 2 2 2" xfId="4047"/>
    <cellStyle name="Normal 3 2 3 2 2 2 2 2 2" xfId="15174"/>
    <cellStyle name="Normal 3 2 3 2 2 2 2 3" xfId="3241"/>
    <cellStyle name="Normal 3 2 3 2 2 2 2 3 2" xfId="16315"/>
    <cellStyle name="Normal 3 2 3 2 2 2 2 4" xfId="15535"/>
    <cellStyle name="Normal 3 2 3 2 2 2 2 5" xfId="19346"/>
    <cellStyle name="Normal 3 2 3 2 2 2 2 6" xfId="14968"/>
    <cellStyle name="Normal 3 2 3 2 2 2 3" xfId="4046"/>
    <cellStyle name="Normal 3 2 3 2 2 2 3 2" xfId="15485"/>
    <cellStyle name="Normal 3 2 3 2 2 2 4" xfId="2585"/>
    <cellStyle name="Normal 3 2 3 2 2 2 4 2" xfId="15046"/>
    <cellStyle name="Normal 3 2 3 2 2 2 5" xfId="16564"/>
    <cellStyle name="Normal 3 2 3 2 2 2 6" xfId="20770"/>
    <cellStyle name="Normal 3 2 3 2 2 2 7" xfId="14334"/>
    <cellStyle name="Normal 3 2 3 2 2 3" xfId="1539"/>
    <cellStyle name="Normal 3 2 3 2 2 3 2" xfId="4048"/>
    <cellStyle name="Normal 3 2 3 2 2 3 2 2" xfId="15070"/>
    <cellStyle name="Normal 3 2 3 2 2 3 3" xfId="2967"/>
    <cellStyle name="Normal 3 2 3 2 2 3 3 2" xfId="19163"/>
    <cellStyle name="Normal 3 2 3 2 2 3 4" xfId="17680"/>
    <cellStyle name="Normal 3 2 3 2 2 3 5" xfId="19618"/>
    <cellStyle name="Normal 3 2 3 2 2 3 6" xfId="14705"/>
    <cellStyle name="Normal 3 2 3 2 2 4" xfId="4045"/>
    <cellStyle name="Normal 3 2 3 2 2 4 2" xfId="16236"/>
    <cellStyle name="Normal 3 2 3 2 2 5" xfId="2311"/>
    <cellStyle name="Normal 3 2 3 2 2 5 2" xfId="18412"/>
    <cellStyle name="Normal 3 2 3 2 2 6" xfId="18747"/>
    <cellStyle name="Normal 3 2 3 2 2 7" xfId="20192"/>
    <cellStyle name="Normal 3 2 3 2 2 8" xfId="14084"/>
    <cellStyle name="Normal 3 2 3 2 3" xfId="736"/>
    <cellStyle name="Normal 3 2 3 2 3 2" xfId="1403"/>
    <cellStyle name="Normal 3 2 3 2 3 2 2" xfId="4050"/>
    <cellStyle name="Normal 3 2 3 2 3 2 2 2" xfId="16175"/>
    <cellStyle name="Normal 3 2 3 2 3 2 3" xfId="2831"/>
    <cellStyle name="Normal 3 2 3 2 3 2 3 2" xfId="17433"/>
    <cellStyle name="Normal 3 2 3 2 3 2 4" xfId="16565"/>
    <cellStyle name="Normal 3 2 3 2 3 2 5" xfId="19754"/>
    <cellStyle name="Normal 3 2 3 2 3 2 6" xfId="14580"/>
    <cellStyle name="Normal 3 2 3 2 3 3" xfId="4049"/>
    <cellStyle name="Normal 3 2 3 2 3 3 2" xfId="16141"/>
    <cellStyle name="Normal 3 2 3 2 3 4" xfId="2175"/>
    <cellStyle name="Normal 3 2 3 2 3 4 2" xfId="15644"/>
    <cellStyle name="Normal 3 2 3 2 3 5" xfId="16467"/>
    <cellStyle name="Normal 3 2 3 2 3 6" xfId="20328"/>
    <cellStyle name="Normal 3 2 3 2 3 7" xfId="13972"/>
    <cellStyle name="Normal 3 2 3 2 4" xfId="1018"/>
    <cellStyle name="Normal 3 2 3 2 4 2" xfId="1677"/>
    <cellStyle name="Normal 3 2 3 2 4 2 2" xfId="4052"/>
    <cellStyle name="Normal 3 2 3 2 4 2 2 2" xfId="16142"/>
    <cellStyle name="Normal 3 2 3 2 4 2 3" xfId="3105"/>
    <cellStyle name="Normal 3 2 3 2 4 2 3 2" xfId="16789"/>
    <cellStyle name="Normal 3 2 3 2 4 2 4" xfId="18108"/>
    <cellStyle name="Normal 3 2 3 2 4 2 5" xfId="19480"/>
    <cellStyle name="Normal 3 2 3 2 4 2 6" xfId="14843"/>
    <cellStyle name="Normal 3 2 3 2 4 3" xfId="4051"/>
    <cellStyle name="Normal 3 2 3 2 4 3 2" xfId="16237"/>
    <cellStyle name="Normal 3 2 3 2 4 4" xfId="2449"/>
    <cellStyle name="Normal 3 2 3 2 4 4 2" xfId="18682"/>
    <cellStyle name="Normal 3 2 3 2 4 5" xfId="16224"/>
    <cellStyle name="Normal 3 2 3 2 4 6" xfId="20054"/>
    <cellStyle name="Normal 3 2 3 2 4 7" xfId="14222"/>
    <cellStyle name="Normal 3 2 3 2 5" xfId="1298"/>
    <cellStyle name="Normal 3 2 3 2 5 2" xfId="4053"/>
    <cellStyle name="Normal 3 2 3 2 5 2 2" xfId="16176"/>
    <cellStyle name="Normal 3 2 3 2 5 3" xfId="2726"/>
    <cellStyle name="Normal 3 2 3 2 5 3 2" xfId="15608"/>
    <cellStyle name="Normal 3 2 3 2 5 4" xfId="17544"/>
    <cellStyle name="Normal 3 2 3 2 5 5" xfId="19827"/>
    <cellStyle name="Normal 3 2 3 2 5 6" xfId="14475"/>
    <cellStyle name="Normal 3 2 3 2 6" xfId="4044"/>
    <cellStyle name="Normal 3 2 3 2 6 2" xfId="16235"/>
    <cellStyle name="Normal 3 2 3 2 7" xfId="2068"/>
    <cellStyle name="Normal 3 2 3 2 7 2" xfId="17424"/>
    <cellStyle name="Normal 3 2 3 2 8" xfId="17256"/>
    <cellStyle name="Normal 3 2 3 2 9" xfId="20435"/>
    <cellStyle name="Normal 3 2 3 3" xfId="825"/>
    <cellStyle name="Normal 3 2 3 3 2" xfId="1103"/>
    <cellStyle name="Normal 3 2 3 3 2 2" xfId="1762"/>
    <cellStyle name="Normal 3 2 3 3 2 2 2" xfId="4056"/>
    <cellStyle name="Normal 3 2 3 3 2 2 2 2" xfId="16177"/>
    <cellStyle name="Normal 3 2 3 3 2 2 3" xfId="3190"/>
    <cellStyle name="Normal 3 2 3 3 2 2 3 2" xfId="16064"/>
    <cellStyle name="Normal 3 2 3 3 2 2 4" xfId="17151"/>
    <cellStyle name="Normal 3 2 3 3 2 2 5" xfId="19397"/>
    <cellStyle name="Normal 3 2 3 3 2 2 6" xfId="14917"/>
    <cellStyle name="Normal 3 2 3 3 2 3" xfId="4055"/>
    <cellStyle name="Normal 3 2 3 3 2 3 2" xfId="16143"/>
    <cellStyle name="Normal 3 2 3 3 2 4" xfId="2534"/>
    <cellStyle name="Normal 3 2 3 3 2 4 2" xfId="19010"/>
    <cellStyle name="Normal 3 2 3 3 2 5" xfId="17079"/>
    <cellStyle name="Normal 3 2 3 3 2 6" xfId="19969"/>
    <cellStyle name="Normal 3 2 3 3 2 7" xfId="14284"/>
    <cellStyle name="Normal 3 2 3 3 3" xfId="1488"/>
    <cellStyle name="Normal 3 2 3 3 3 2" xfId="4057"/>
    <cellStyle name="Normal 3 2 3 3 3 2 2" xfId="16239"/>
    <cellStyle name="Normal 3 2 3 3 3 3" xfId="2916"/>
    <cellStyle name="Normal 3 2 3 3 3 3 2" xfId="17287"/>
    <cellStyle name="Normal 3 2 3 3 3 4" xfId="17767"/>
    <cellStyle name="Normal 3 2 3 3 3 5" xfId="19669"/>
    <cellStyle name="Normal 3 2 3 3 3 6" xfId="14654"/>
    <cellStyle name="Normal 3 2 3 3 4" xfId="4054"/>
    <cellStyle name="Normal 3 2 3 3 4 2" xfId="16238"/>
    <cellStyle name="Normal 3 2 3 3 5" xfId="2260"/>
    <cellStyle name="Normal 3 2 3 3 5 2" xfId="18264"/>
    <cellStyle name="Normal 3 2 3 3 6" xfId="18957"/>
    <cellStyle name="Normal 3 2 3 3 7" xfId="20243"/>
    <cellStyle name="Normal 3 2 3 3 8" xfId="14035"/>
    <cellStyle name="Normal 3 2 3 4" xfId="685"/>
    <cellStyle name="Normal 3 2 3 4 2" xfId="1352"/>
    <cellStyle name="Normal 3 2 3 4 2 2" xfId="4059"/>
    <cellStyle name="Normal 3 2 3 4 2 2 2" xfId="16178"/>
    <cellStyle name="Normal 3 2 3 4 2 3" xfId="2780"/>
    <cellStyle name="Normal 3 2 3 4 2 3 2" xfId="16732"/>
    <cellStyle name="Normal 3 2 3 4 2 4" xfId="17464"/>
    <cellStyle name="Normal 3 2 3 4 2 5" xfId="20675"/>
    <cellStyle name="Normal 3 2 3 4 2 6" xfId="14529"/>
    <cellStyle name="Normal 3 2 3 4 3" xfId="4058"/>
    <cellStyle name="Normal 3 2 3 4 3 2" xfId="16144"/>
    <cellStyle name="Normal 3 2 3 4 4" xfId="2124"/>
    <cellStyle name="Normal 3 2 3 4 4 2" xfId="18080"/>
    <cellStyle name="Normal 3 2 3 4 5" xfId="18284"/>
    <cellStyle name="Normal 3 2 3 4 6" xfId="20379"/>
    <cellStyle name="Normal 3 2 3 4 7" xfId="13922"/>
    <cellStyle name="Normal 3 2 3 5" xfId="967"/>
    <cellStyle name="Normal 3 2 3 5 2" xfId="1626"/>
    <cellStyle name="Normal 3 2 3 5 2 2" xfId="4061"/>
    <cellStyle name="Normal 3 2 3 5 2 2 2" xfId="16145"/>
    <cellStyle name="Normal 3 2 3 5 2 3" xfId="3054"/>
    <cellStyle name="Normal 3 2 3 5 2 3 2" xfId="17625"/>
    <cellStyle name="Normal 3 2 3 5 2 4" xfId="17517"/>
    <cellStyle name="Normal 3 2 3 5 2 5" xfId="19531"/>
    <cellStyle name="Normal 3 2 3 5 2 6" xfId="14792"/>
    <cellStyle name="Normal 3 2 3 5 3" xfId="4060"/>
    <cellStyle name="Normal 3 2 3 5 3 2" xfId="16240"/>
    <cellStyle name="Normal 3 2 3 5 4" xfId="2398"/>
    <cellStyle name="Normal 3 2 3 5 4 2" xfId="18545"/>
    <cellStyle name="Normal 3 2 3 5 5" xfId="19186"/>
    <cellStyle name="Normal 3 2 3 5 6" xfId="20105"/>
    <cellStyle name="Normal 3 2 3 5 7" xfId="14171"/>
    <cellStyle name="Normal 3 2 3 6" xfId="1247"/>
    <cellStyle name="Normal 3 2 3 6 2" xfId="4062"/>
    <cellStyle name="Normal 3 2 3 6 2 2" xfId="16179"/>
    <cellStyle name="Normal 3 2 3 6 3" xfId="2675"/>
    <cellStyle name="Normal 3 2 3 6 3 2" xfId="16652"/>
    <cellStyle name="Normal 3 2 3 6 4" xfId="17405"/>
    <cellStyle name="Normal 3 2 3 6 5" xfId="19878"/>
    <cellStyle name="Normal 3 2 3 6 6" xfId="14424"/>
    <cellStyle name="Normal 3 2 3 7" xfId="4043"/>
    <cellStyle name="Normal 3 2 3 7 2" xfId="16234"/>
    <cellStyle name="Normal 3 2 3 8" xfId="2005"/>
    <cellStyle name="Normal 3 2 3 8 2" xfId="17192"/>
    <cellStyle name="Normal 3 2 3 9" xfId="19090"/>
    <cellStyle name="Normal 3 2 4" xfId="563"/>
    <cellStyle name="Normal 3 2 4 10" xfId="13820"/>
    <cellStyle name="Normal 3 2 4 2" xfId="833"/>
    <cellStyle name="Normal 3 2 4 2 2" xfId="1107"/>
    <cellStyle name="Normal 3 2 4 2 2 2" xfId="1766"/>
    <cellStyle name="Normal 3 2 4 2 2 2 2" xfId="4066"/>
    <cellStyle name="Normal 3 2 4 2 2 2 2 2" xfId="15325"/>
    <cellStyle name="Normal 3 2 4 2 2 2 3" xfId="3194"/>
    <cellStyle name="Normal 3 2 4 2 2 2 3 2" xfId="18729"/>
    <cellStyle name="Normal 3 2 4 2 2 2 4" xfId="15390"/>
    <cellStyle name="Normal 3 2 4 2 2 2 5" xfId="19393"/>
    <cellStyle name="Normal 3 2 4 2 2 2 6" xfId="14921"/>
    <cellStyle name="Normal 3 2 4 2 2 3" xfId="4065"/>
    <cellStyle name="Normal 3 2 4 2 2 3 2" xfId="16243"/>
    <cellStyle name="Normal 3 2 4 2 2 4" xfId="2538"/>
    <cellStyle name="Normal 3 2 4 2 2 4 2" xfId="15811"/>
    <cellStyle name="Normal 3 2 4 2 2 5" xfId="18231"/>
    <cellStyle name="Normal 3 2 4 2 2 6" xfId="19965"/>
    <cellStyle name="Normal 3 2 4 2 2 7" xfId="14288"/>
    <cellStyle name="Normal 3 2 4 2 3" xfId="1492"/>
    <cellStyle name="Normal 3 2 4 2 3 2" xfId="4067"/>
    <cellStyle name="Normal 3 2 4 2 3 2 2" xfId="15435"/>
    <cellStyle name="Normal 3 2 4 2 3 3" xfId="2920"/>
    <cellStyle name="Normal 3 2 4 2 3 3 2" xfId="16775"/>
    <cellStyle name="Normal 3 2 4 2 3 4" xfId="17468"/>
    <cellStyle name="Normal 3 2 4 2 3 5" xfId="19665"/>
    <cellStyle name="Normal 3 2 4 2 3 6" xfId="14658"/>
    <cellStyle name="Normal 3 2 4 2 4" xfId="4064"/>
    <cellStyle name="Normal 3 2 4 2 4 2" xfId="16242"/>
    <cellStyle name="Normal 3 2 4 2 5" xfId="2264"/>
    <cellStyle name="Normal 3 2 4 2 5 2" xfId="15530"/>
    <cellStyle name="Normal 3 2 4 2 6" xfId="19083"/>
    <cellStyle name="Normal 3 2 4 2 7" xfId="20239"/>
    <cellStyle name="Normal 3 2 4 2 8" xfId="14038"/>
    <cellStyle name="Normal 3 2 4 3" xfId="689"/>
    <cellStyle name="Normal 3 2 4 3 2" xfId="1356"/>
    <cellStyle name="Normal 3 2 4 3 2 2" xfId="4069"/>
    <cellStyle name="Normal 3 2 4 3 2 2 2" xfId="15248"/>
    <cellStyle name="Normal 3 2 4 3 2 3" xfId="2784"/>
    <cellStyle name="Normal 3 2 4 3 2 3 2" xfId="16736"/>
    <cellStyle name="Normal 3 2 4 3 2 4" xfId="17924"/>
    <cellStyle name="Normal 3 2 4 3 2 5" xfId="20751"/>
    <cellStyle name="Normal 3 2 4 3 2 6" xfId="14533"/>
    <cellStyle name="Normal 3 2 4 3 3" xfId="4068"/>
    <cellStyle name="Normal 3 2 4 3 3 2" xfId="16050"/>
    <cellStyle name="Normal 3 2 4 3 4" xfId="2128"/>
    <cellStyle name="Normal 3 2 4 3 4 2" xfId="17657"/>
    <cellStyle name="Normal 3 2 4 3 5" xfId="16453"/>
    <cellStyle name="Normal 3 2 4 3 6" xfId="20375"/>
    <cellStyle name="Normal 3 2 4 3 7" xfId="13926"/>
    <cellStyle name="Normal 3 2 4 4" xfId="971"/>
    <cellStyle name="Normal 3 2 4 4 2" xfId="1630"/>
    <cellStyle name="Normal 3 2 4 4 2 2" xfId="4071"/>
    <cellStyle name="Normal 3 2 4 4 2 2 2" xfId="18216"/>
    <cellStyle name="Normal 3 2 4 4 2 3" xfId="3058"/>
    <cellStyle name="Normal 3 2 4 4 2 3 2" xfId="16282"/>
    <cellStyle name="Normal 3 2 4 4 2 4" xfId="17783"/>
    <cellStyle name="Normal 3 2 4 4 2 5" xfId="19527"/>
    <cellStyle name="Normal 3 2 4 4 2 6" xfId="14796"/>
    <cellStyle name="Normal 3 2 4 4 3" xfId="4070"/>
    <cellStyle name="Normal 3 2 4 4 3 2" xfId="16113"/>
    <cellStyle name="Normal 3 2 4 4 4" xfId="2402"/>
    <cellStyle name="Normal 3 2 4 4 4 2" xfId="18527"/>
    <cellStyle name="Normal 3 2 4 4 5" xfId="18318"/>
    <cellStyle name="Normal 3 2 4 4 6" xfId="20101"/>
    <cellStyle name="Normal 3 2 4 4 7" xfId="14175"/>
    <cellStyle name="Normal 3 2 4 5" xfId="1251"/>
    <cellStyle name="Normal 3 2 4 5 2" xfId="4072"/>
    <cellStyle name="Normal 3 2 4 5 2 2" xfId="15098"/>
    <cellStyle name="Normal 3 2 4 5 3" xfId="2679"/>
    <cellStyle name="Normal 3 2 4 5 3 2" xfId="16656"/>
    <cellStyle name="Normal 3 2 4 5 4" xfId="17325"/>
    <cellStyle name="Normal 3 2 4 5 5" xfId="19874"/>
    <cellStyle name="Normal 3 2 4 5 6" xfId="14428"/>
    <cellStyle name="Normal 3 2 4 6" xfId="4063"/>
    <cellStyle name="Normal 3 2 4 6 2" xfId="16241"/>
    <cellStyle name="Normal 3 2 4 7" xfId="2018"/>
    <cellStyle name="Normal 3 2 4 7 2" xfId="18779"/>
    <cellStyle name="Normal 3 2 4 8" xfId="18273"/>
    <cellStyle name="Normal 3 2 4 9" xfId="20485"/>
    <cellStyle name="Normal 3 2 5" xfId="755"/>
    <cellStyle name="Normal 3 2 5 2" xfId="1036"/>
    <cellStyle name="Normal 3 2 5 2 2" xfId="1695"/>
    <cellStyle name="Normal 3 2 5 2 2 2" xfId="4075"/>
    <cellStyle name="Normal 3 2 5 2 2 2 2" xfId="17208"/>
    <cellStyle name="Normal 3 2 5 2 2 3" xfId="3123"/>
    <cellStyle name="Normal 3 2 5 2 2 3 2" xfId="18712"/>
    <cellStyle name="Normal 3 2 5 2 2 4" xfId="17484"/>
    <cellStyle name="Normal 3 2 5 2 2 5" xfId="19463"/>
    <cellStyle name="Normal 3 2 5 2 2 6" xfId="14861"/>
    <cellStyle name="Normal 3 2 5 2 3" xfId="4074"/>
    <cellStyle name="Normal 3 2 5 2 3 2" xfId="16244"/>
    <cellStyle name="Normal 3 2 5 2 4" xfId="2467"/>
    <cellStyle name="Normal 3 2 5 2 4 2" xfId="18266"/>
    <cellStyle name="Normal 3 2 5 2 5" xfId="17319"/>
    <cellStyle name="Normal 3 2 5 2 6" xfId="20036"/>
    <cellStyle name="Normal 3 2 5 2 7" xfId="14235"/>
    <cellStyle name="Normal 3 2 5 3" xfId="1421"/>
    <cellStyle name="Normal 3 2 5 3 2" xfId="4076"/>
    <cellStyle name="Normal 3 2 5 3 2 2" xfId="15352"/>
    <cellStyle name="Normal 3 2 5 3 3" xfId="2849"/>
    <cellStyle name="Normal 3 2 5 3 3 2" xfId="17652"/>
    <cellStyle name="Normal 3 2 5 3 4" xfId="17493"/>
    <cellStyle name="Normal 3 2 5 3 5" xfId="19736"/>
    <cellStyle name="Normal 3 2 5 3 6" xfId="14598"/>
    <cellStyle name="Normal 3 2 5 4" xfId="4073"/>
    <cellStyle name="Normal 3 2 5 4 2" xfId="17060"/>
    <cellStyle name="Normal 3 2 5 5" xfId="2193"/>
    <cellStyle name="Normal 3 2 5 5 2" xfId="15113"/>
    <cellStyle name="Normal 3 2 5 6" xfId="17092"/>
    <cellStyle name="Normal 3 2 5 7" xfId="20310"/>
    <cellStyle name="Normal 3 2 5 8" xfId="13985"/>
    <cellStyle name="Normal 3 2 6" xfId="638"/>
    <cellStyle name="Normal 3 2 6 2" xfId="1305"/>
    <cellStyle name="Normal 3 2 6 2 2" xfId="4078"/>
    <cellStyle name="Normal 3 2 6 2 2 2" xfId="15463"/>
    <cellStyle name="Normal 3 2 6 2 3" xfId="2733"/>
    <cellStyle name="Normal 3 2 6 2 3 2" xfId="16694"/>
    <cellStyle name="Normal 3 2 6 2 4" xfId="18062"/>
    <cellStyle name="Normal 3 2 6 2 5" xfId="19820"/>
    <cellStyle name="Normal 3 2 6 2 6" xfId="14482"/>
    <cellStyle name="Normal 3 2 6 3" xfId="4077"/>
    <cellStyle name="Normal 3 2 6 3 2" xfId="15200"/>
    <cellStyle name="Normal 3 2 6 4" xfId="2077"/>
    <cellStyle name="Normal 3 2 6 4 2" xfId="17369"/>
    <cellStyle name="Normal 3 2 6 5" xfId="17409"/>
    <cellStyle name="Normal 3 2 6 6" xfId="20426"/>
    <cellStyle name="Normal 3 2 6 7" xfId="13875"/>
    <cellStyle name="Normal 3 2 7" xfId="920"/>
    <cellStyle name="Normal 3 2 7 2" xfId="1579"/>
    <cellStyle name="Normal 3 2 7 2 2" xfId="4080"/>
    <cellStyle name="Normal 3 2 7 2 2 2" xfId="19211"/>
    <cellStyle name="Normal 3 2 7 2 3" xfId="3007"/>
    <cellStyle name="Normal 3 2 7 2 3 2" xfId="16012"/>
    <cellStyle name="Normal 3 2 7 2 4" xfId="18126"/>
    <cellStyle name="Normal 3 2 7 2 5" xfId="19578"/>
    <cellStyle name="Normal 3 2 7 2 6" xfId="14745"/>
    <cellStyle name="Normal 3 2 7 3" xfId="4079"/>
    <cellStyle name="Normal 3 2 7 3 2" xfId="15150"/>
    <cellStyle name="Normal 3 2 7 4" xfId="2351"/>
    <cellStyle name="Normal 3 2 7 4 2" xfId="15205"/>
    <cellStyle name="Normal 3 2 7 5" xfId="19139"/>
    <cellStyle name="Normal 3 2 7 6" xfId="20152"/>
    <cellStyle name="Normal 3 2 7 7" xfId="14124"/>
    <cellStyle name="Normal 3 2 8" xfId="1200"/>
    <cellStyle name="Normal 3 2 8 2" xfId="4081"/>
    <cellStyle name="Normal 3 2 8 2 2" xfId="15301"/>
    <cellStyle name="Normal 3 2 8 3" xfId="2628"/>
    <cellStyle name="Normal 3 2 8 3 2" xfId="18398"/>
    <cellStyle name="Normal 3 2 8 4" xfId="17966"/>
    <cellStyle name="Normal 3 2 8 5" xfId="19925"/>
    <cellStyle name="Normal 3 2 8 6" xfId="14377"/>
    <cellStyle name="Normal 3 2 9" xfId="4022"/>
    <cellStyle name="Normal 3 2 9 2" xfId="13693"/>
    <cellStyle name="Normal 3 3" xfId="195"/>
    <cellStyle name="Normal 3 3 10" xfId="18964"/>
    <cellStyle name="Normal 3 3 11" xfId="20591"/>
    <cellStyle name="Normal 3 3 12" xfId="13159"/>
    <cellStyle name="Normal 3 3 13" xfId="20925"/>
    <cellStyle name="Normal 3 3 14" xfId="20959"/>
    <cellStyle name="Normal 3 3 2" xfId="421"/>
    <cellStyle name="Normal 3 3 2 10" xfId="20521"/>
    <cellStyle name="Normal 3 3 2 11" xfId="13732"/>
    <cellStyle name="Normal 3 3 2 2" xfId="596"/>
    <cellStyle name="Normal 3 3 2 2 10" xfId="13849"/>
    <cellStyle name="Normal 3 3 2 2 2" xfId="863"/>
    <cellStyle name="Normal 3 3 2 2 2 2" xfId="1137"/>
    <cellStyle name="Normal 3 3 2 2 2 2 2" xfId="1796"/>
    <cellStyle name="Normal 3 3 2 2 2 2 2 2" xfId="4087"/>
    <cellStyle name="Normal 3 3 2 2 2 2 2 2 2" xfId="15132"/>
    <cellStyle name="Normal 3 3 2 2 2 2 2 3" xfId="3224"/>
    <cellStyle name="Normal 3 3 2 2 2 2 2 3 2" xfId="15048"/>
    <cellStyle name="Normal 3 3 2 2 2 2 2 4" xfId="17670"/>
    <cellStyle name="Normal 3 3 2 2 2 2 2 5" xfId="19363"/>
    <cellStyle name="Normal 3 3 2 2 2 2 2 6" xfId="14951"/>
    <cellStyle name="Normal 3 3 2 2 2 2 3" xfId="4086"/>
    <cellStyle name="Normal 3 3 2 2 2 2 3 2" xfId="15284"/>
    <cellStyle name="Normal 3 3 2 2 2 2 4" xfId="2568"/>
    <cellStyle name="Normal 3 3 2 2 2 2 4 2" xfId="16597"/>
    <cellStyle name="Normal 3 3 2 2 2 2 5" xfId="17444"/>
    <cellStyle name="Normal 3 3 2 2 2 2 6" xfId="19935"/>
    <cellStyle name="Normal 3 3 2 2 2 2 7" xfId="14317"/>
    <cellStyle name="Normal 3 3 2 2 2 3" xfId="1522"/>
    <cellStyle name="Normal 3 3 2 2 2 3 2" xfId="4088"/>
    <cellStyle name="Normal 3 3 2 2 2 3 2 2" xfId="15387"/>
    <cellStyle name="Normal 3 3 2 2 2 3 3" xfId="2950"/>
    <cellStyle name="Normal 3 3 2 2 2 3 3 2" xfId="18586"/>
    <cellStyle name="Normal 3 3 2 2 2 3 4" xfId="17703"/>
    <cellStyle name="Normal 3 3 2 2 2 3 5" xfId="19635"/>
    <cellStyle name="Normal 3 3 2 2 2 3 6" xfId="14688"/>
    <cellStyle name="Normal 3 3 2 2 2 4" xfId="4085"/>
    <cellStyle name="Normal 3 3 2 2 2 4 2" xfId="15580"/>
    <cellStyle name="Normal 3 3 2 2 2 5" xfId="2294"/>
    <cellStyle name="Normal 3 3 2 2 2 5 2" xfId="18555"/>
    <cellStyle name="Normal 3 3 2 2 2 6" xfId="18705"/>
    <cellStyle name="Normal 3 3 2 2 2 7" xfId="20209"/>
    <cellStyle name="Normal 3 3 2 2 2 8" xfId="14067"/>
    <cellStyle name="Normal 3 3 2 2 3" xfId="719"/>
    <cellStyle name="Normal 3 3 2 2 3 2" xfId="1386"/>
    <cellStyle name="Normal 3 3 2 2 3 2 2" xfId="4090"/>
    <cellStyle name="Normal 3 3 2 2 3 2 2 2" xfId="15496"/>
    <cellStyle name="Normal 3 3 2 2 3 2 3" xfId="2814"/>
    <cellStyle name="Normal 3 3 2 2 3 2 3 2" xfId="19170"/>
    <cellStyle name="Normal 3 3 2 2 3 2 4" xfId="18013"/>
    <cellStyle name="Normal 3 3 2 2 3 2 5" xfId="19769"/>
    <cellStyle name="Normal 3 3 2 2 3 2 6" xfId="14563"/>
    <cellStyle name="Normal 3 3 2 2 3 3" xfId="4089"/>
    <cellStyle name="Normal 3 3 2 2 3 3 2" xfId="15235"/>
    <cellStyle name="Normal 3 3 2 2 3 4" xfId="2158"/>
    <cellStyle name="Normal 3 3 2 2 3 4 2" xfId="17590"/>
    <cellStyle name="Normal 3 3 2 2 3 5" xfId="17226"/>
    <cellStyle name="Normal 3 3 2 2 3 6" xfId="20345"/>
    <cellStyle name="Normal 3 3 2 2 3 7" xfId="13955"/>
    <cellStyle name="Normal 3 3 2 2 4" xfId="1001"/>
    <cellStyle name="Normal 3 3 2 2 4 2" xfId="1660"/>
    <cellStyle name="Normal 3 3 2 2 4 2 2" xfId="4092"/>
    <cellStyle name="Normal 3 3 2 2 4 2 2 2" xfId="15082"/>
    <cellStyle name="Normal 3 3 2 2 4 2 3" xfId="3088"/>
    <cellStyle name="Normal 3 3 2 2 4 2 3 2" xfId="19252"/>
    <cellStyle name="Normal 3 3 2 2 4 2 4" xfId="15460"/>
    <cellStyle name="Normal 3 3 2 2 4 2 5" xfId="19497"/>
    <cellStyle name="Normal 3 3 2 2 4 2 6" xfId="14826"/>
    <cellStyle name="Normal 3 3 2 2 4 3" xfId="4091"/>
    <cellStyle name="Normal 3 3 2 2 4 3 2" xfId="15186"/>
    <cellStyle name="Normal 3 3 2 2 4 4" xfId="2432"/>
    <cellStyle name="Normal 3 3 2 2 4 4 2" xfId="18452"/>
    <cellStyle name="Normal 3 3 2 2 4 5" xfId="16132"/>
    <cellStyle name="Normal 3 3 2 2 4 6" xfId="20071"/>
    <cellStyle name="Normal 3 3 2 2 4 7" xfId="14205"/>
    <cellStyle name="Normal 3 3 2 2 5" xfId="1281"/>
    <cellStyle name="Normal 3 3 2 2 5 2" xfId="4093"/>
    <cellStyle name="Normal 3 3 2 2 5 2 2" xfId="15338"/>
    <cellStyle name="Normal 3 3 2 2 5 3" xfId="2709"/>
    <cellStyle name="Normal 3 3 2 2 5 3 2" xfId="16679"/>
    <cellStyle name="Normal 3 3 2 2 5 4" xfId="17766"/>
    <cellStyle name="Normal 3 3 2 2 5 5" xfId="19844"/>
    <cellStyle name="Normal 3 3 2 2 5 6" xfId="14458"/>
    <cellStyle name="Normal 3 3 2 2 6" xfId="4084"/>
    <cellStyle name="Normal 3 3 2 2 6 2" xfId="16843"/>
    <cellStyle name="Normal 3 3 2 2 7" xfId="2051"/>
    <cellStyle name="Normal 3 3 2 2 7 2" xfId="15489"/>
    <cellStyle name="Normal 3 3 2 2 8" xfId="17216"/>
    <cellStyle name="Normal 3 3 2 2 9" xfId="20452"/>
    <cellStyle name="Normal 3 3 2 3" xfId="797"/>
    <cellStyle name="Normal 3 3 2 3 2" xfId="1076"/>
    <cellStyle name="Normal 3 3 2 3 2 2" xfId="1735"/>
    <cellStyle name="Normal 3 3 2 3 2 2 2" xfId="4096"/>
    <cellStyle name="Normal 3 3 2 3 2 2 2 2" xfId="15259"/>
    <cellStyle name="Normal 3 3 2 3 2 2 3" xfId="3163"/>
    <cellStyle name="Normal 3 3 2 3 2 2 3 2" xfId="18114"/>
    <cellStyle name="Normal 3 3 2 3 2 2 4" xfId="15072"/>
    <cellStyle name="Normal 3 3 2 3 2 2 5" xfId="19424"/>
    <cellStyle name="Normal 3 3 2 3 2 2 6" xfId="14890"/>
    <cellStyle name="Normal 3 3 2 3 2 3" xfId="4095"/>
    <cellStyle name="Normal 3 3 2 3 2 3 2" xfId="15527"/>
    <cellStyle name="Normal 3 3 2 3 2 4" xfId="2507"/>
    <cellStyle name="Normal 3 3 2 3 2 4 2" xfId="18896"/>
    <cellStyle name="Normal 3 3 2 3 2 5" xfId="18335"/>
    <cellStyle name="Normal 3 3 2 3 2 6" xfId="19996"/>
    <cellStyle name="Normal 3 3 2 3 2 7" xfId="14259"/>
    <cellStyle name="Normal 3 3 2 3 3" xfId="1461"/>
    <cellStyle name="Normal 3 3 2 3 3 2" xfId="4097"/>
    <cellStyle name="Normal 3 3 2 3 3 2 2" xfId="15108"/>
    <cellStyle name="Normal 3 3 2 3 3 3" xfId="2889"/>
    <cellStyle name="Normal 3 3 2 3 3 3 2" xfId="18095"/>
    <cellStyle name="Normal 3 3 2 3 3 4" xfId="17612"/>
    <cellStyle name="Normal 3 3 2 3 3 5" xfId="19696"/>
    <cellStyle name="Normal 3 3 2 3 3 6" xfId="14627"/>
    <cellStyle name="Normal 3 3 2 3 4" xfId="4094"/>
    <cellStyle name="Normal 3 3 2 3 4 2" xfId="15448"/>
    <cellStyle name="Normal 3 3 2 3 5" xfId="2233"/>
    <cellStyle name="Normal 3 3 2 3 5 2" xfId="18719"/>
    <cellStyle name="Normal 3 3 2 3 6" xfId="16479"/>
    <cellStyle name="Normal 3 3 2 3 7" xfId="20270"/>
    <cellStyle name="Normal 3 3 2 3 8" xfId="14010"/>
    <cellStyle name="Normal 3 3 2 4" xfId="668"/>
    <cellStyle name="Normal 3 3 2 4 2" xfId="1335"/>
    <cellStyle name="Normal 3 3 2 4 2 2" xfId="4099"/>
    <cellStyle name="Normal 3 3 2 4 2 2 2" xfId="15210"/>
    <cellStyle name="Normal 3 3 2 4 2 3" xfId="2763"/>
    <cellStyle name="Normal 3 3 2 4 2 3 2" xfId="16715"/>
    <cellStyle name="Normal 3 3 2 4 2 4" xfId="17634"/>
    <cellStyle name="Normal 3 3 2 4 2 5" xfId="20758"/>
    <cellStyle name="Normal 3 3 2 4 2 6" xfId="14512"/>
    <cellStyle name="Normal 3 3 2 4 3" xfId="4098"/>
    <cellStyle name="Normal 3 3 2 4 3 2" xfId="15362"/>
    <cellStyle name="Normal 3 3 2 4 4" xfId="2107"/>
    <cellStyle name="Normal 3 3 2 4 4 2" xfId="17998"/>
    <cellStyle name="Normal 3 3 2 4 5" xfId="17220"/>
    <cellStyle name="Normal 3 3 2 4 6" xfId="20396"/>
    <cellStyle name="Normal 3 3 2 4 7" xfId="13905"/>
    <cellStyle name="Normal 3 3 2 5" xfId="950"/>
    <cellStyle name="Normal 3 3 2 5 2" xfId="1609"/>
    <cellStyle name="Normal 3 3 2 5 2 2" xfId="4101"/>
    <cellStyle name="Normal 3 3 2 5 2 2 2" xfId="15158"/>
    <cellStyle name="Normal 3 3 2 5 2 3" xfId="3037"/>
    <cellStyle name="Normal 3 3 2 5 2 3 2" xfId="17860"/>
    <cellStyle name="Normal 3 3 2 5 2 4" xfId="17112"/>
    <cellStyle name="Normal 3 3 2 5 2 5" xfId="19548"/>
    <cellStyle name="Normal 3 3 2 5 2 6" xfId="14775"/>
    <cellStyle name="Normal 3 3 2 5 3" xfId="4100"/>
    <cellStyle name="Normal 3 3 2 5 3 2" xfId="15472"/>
    <cellStyle name="Normal 3 3 2 5 4" xfId="2381"/>
    <cellStyle name="Normal 3 3 2 5 4 2" xfId="16057"/>
    <cellStyle name="Normal 3 3 2 5 5" xfId="18789"/>
    <cellStyle name="Normal 3 3 2 5 6" xfId="20122"/>
    <cellStyle name="Normal 3 3 2 5 7" xfId="14154"/>
    <cellStyle name="Normal 3 3 2 6" xfId="1230"/>
    <cellStyle name="Normal 3 3 2 6 2" xfId="4102"/>
    <cellStyle name="Normal 3 3 2 6 2 2" xfId="19203"/>
    <cellStyle name="Normal 3 3 2 6 3" xfId="2658"/>
    <cellStyle name="Normal 3 3 2 6 3 2" xfId="16638"/>
    <cellStyle name="Normal 3 3 2 6 4" xfId="18119"/>
    <cellStyle name="Normal 3 3 2 6 5" xfId="19895"/>
    <cellStyle name="Normal 3 3 2 6 6" xfId="14407"/>
    <cellStyle name="Normal 3 3 2 7" xfId="4083"/>
    <cellStyle name="Normal 3 3 2 7 2" xfId="15517"/>
    <cellStyle name="Normal 3 3 2 8" xfId="1982"/>
    <cellStyle name="Normal 3 3 2 8 2" xfId="19144"/>
    <cellStyle name="Normal 3 3 2 9" xfId="18634"/>
    <cellStyle name="Normal 3 3 3" xfId="564"/>
    <cellStyle name="Normal 3 3 3 10" xfId="13821"/>
    <cellStyle name="Normal 3 3 3 2" xfId="834"/>
    <cellStyle name="Normal 3 3 3 2 2" xfId="1108"/>
    <cellStyle name="Normal 3 3 3 2 2 2" xfId="1767"/>
    <cellStyle name="Normal 3 3 3 2 2 2 2" xfId="4106"/>
    <cellStyle name="Normal 3 3 3 2 2 2 2 2" xfId="15553"/>
    <cellStyle name="Normal 3 3 3 2 2 2 3" xfId="3195"/>
    <cellStyle name="Normal 3 3 3 2 2 2 3 2" xfId="15985"/>
    <cellStyle name="Normal 3 3 3 2 2 2 4" xfId="15239"/>
    <cellStyle name="Normal 3 3 3 2 2 2 5" xfId="19392"/>
    <cellStyle name="Normal 3 3 3 2 2 2 6" xfId="14922"/>
    <cellStyle name="Normal 3 3 3 2 2 3" xfId="4105"/>
    <cellStyle name="Normal 3 3 3 2 2 3 2" xfId="16844"/>
    <cellStyle name="Normal 3 3 3 2 2 4" xfId="2539"/>
    <cellStyle name="Normal 3 3 3 2 2 4 2" xfId="18698"/>
    <cellStyle name="Normal 3 3 3 2 2 5" xfId="18483"/>
    <cellStyle name="Normal 3 3 3 2 2 6" xfId="19964"/>
    <cellStyle name="Normal 3 3 3 2 2 7" xfId="14289"/>
    <cellStyle name="Normal 3 3 3 2 3" xfId="1493"/>
    <cellStyle name="Normal 3 3 3 2 3 2" xfId="4107"/>
    <cellStyle name="Normal 3 3 3 2 3 2 2" xfId="16845"/>
    <cellStyle name="Normal 3 3 3 2 3 3" xfId="2921"/>
    <cellStyle name="Normal 3 3 3 2 3 3 2" xfId="16776"/>
    <cellStyle name="Normal 3 3 3 2 3 4" xfId="19171"/>
    <cellStyle name="Normal 3 3 3 2 3 5" xfId="19664"/>
    <cellStyle name="Normal 3 3 3 2 3 6" xfId="14659"/>
    <cellStyle name="Normal 3 3 3 2 4" xfId="4104"/>
    <cellStyle name="Normal 3 3 3 2 4 2" xfId="15414"/>
    <cellStyle name="Normal 3 3 3 2 5" xfId="2265"/>
    <cellStyle name="Normal 3 3 3 2 5 2" xfId="18203"/>
    <cellStyle name="Normal 3 3 3 2 6" xfId="17074"/>
    <cellStyle name="Normal 3 3 3 2 7" xfId="20238"/>
    <cellStyle name="Normal 3 3 3 2 8" xfId="14039"/>
    <cellStyle name="Normal 3 3 3 3" xfId="690"/>
    <cellStyle name="Normal 3 3 3 3 2" xfId="1357"/>
    <cellStyle name="Normal 3 3 3 3 2 2" xfId="4109"/>
    <cellStyle name="Normal 3 3 3 3 2 2 2" xfId="16847"/>
    <cellStyle name="Normal 3 3 3 3 2 3" xfId="2785"/>
    <cellStyle name="Normal 3 3 3 3 2 3 2" xfId="16737"/>
    <cellStyle name="Normal 3 3 3 3 2 4" xfId="16398"/>
    <cellStyle name="Normal 3 3 3 3 2 5" xfId="20725"/>
    <cellStyle name="Normal 3 3 3 3 2 6" xfId="14534"/>
    <cellStyle name="Normal 3 3 3 3 3" xfId="4108"/>
    <cellStyle name="Normal 3 3 3 3 3 2" xfId="16846"/>
    <cellStyle name="Normal 3 3 3 3 4" xfId="2129"/>
    <cellStyle name="Normal 3 3 3 3 4 2" xfId="18010"/>
    <cellStyle name="Normal 3 3 3 3 5" xfId="16454"/>
    <cellStyle name="Normal 3 3 3 3 6" xfId="20374"/>
    <cellStyle name="Normal 3 3 3 3 7" xfId="13927"/>
    <cellStyle name="Normal 3 3 3 4" xfId="972"/>
    <cellStyle name="Normal 3 3 3 4 2" xfId="1631"/>
    <cellStyle name="Normal 3 3 3 4 2 2" xfId="4111"/>
    <cellStyle name="Normal 3 3 3 4 2 2 2" xfId="15557"/>
    <cellStyle name="Normal 3 3 3 4 2 3" xfId="3059"/>
    <cellStyle name="Normal 3 3 3 4 2 3 2" xfId="17672"/>
    <cellStyle name="Normal 3 3 3 4 2 4" xfId="17421"/>
    <cellStyle name="Normal 3 3 3 4 2 5" xfId="19526"/>
    <cellStyle name="Normal 3 3 3 4 2 6" xfId="14797"/>
    <cellStyle name="Normal 3 3 3 4 3" xfId="4110"/>
    <cellStyle name="Normal 3 3 3 4 3 2" xfId="15514"/>
    <cellStyle name="Normal 3 3 3 4 4" xfId="2403"/>
    <cellStyle name="Normal 3 3 3 4 4 2" xfId="15547"/>
    <cellStyle name="Normal 3 3 3 4 5" xfId="18319"/>
    <cellStyle name="Normal 3 3 3 4 6" xfId="20100"/>
    <cellStyle name="Normal 3 3 3 4 7" xfId="14176"/>
    <cellStyle name="Normal 3 3 3 5" xfId="1252"/>
    <cellStyle name="Normal 3 3 3 5 2" xfId="4112"/>
    <cellStyle name="Normal 3 3 3 5 2 2" xfId="15574"/>
    <cellStyle name="Normal 3 3 3 5 3" xfId="2680"/>
    <cellStyle name="Normal 3 3 3 5 3 2" xfId="16657"/>
    <cellStyle name="Normal 3 3 3 5 4" xfId="18136"/>
    <cellStyle name="Normal 3 3 3 5 5" xfId="19873"/>
    <cellStyle name="Normal 3 3 3 5 6" xfId="14429"/>
    <cellStyle name="Normal 3 3 3 6" xfId="4103"/>
    <cellStyle name="Normal 3 3 3 6 2" xfId="15309"/>
    <cellStyle name="Normal 3 3 3 7" xfId="2019"/>
    <cellStyle name="Normal 3 3 3 7 2" xfId="15536"/>
    <cellStyle name="Normal 3 3 3 8" xfId="17443"/>
    <cellStyle name="Normal 3 3 3 9" xfId="20484"/>
    <cellStyle name="Normal 3 3 4" xfId="756"/>
    <cellStyle name="Normal 3 3 4 2" xfId="1037"/>
    <cellStyle name="Normal 3 3 4 2 2" xfId="1696"/>
    <cellStyle name="Normal 3 3 4 2 2 2" xfId="4115"/>
    <cellStyle name="Normal 3 3 4 2 2 2 2" xfId="16848"/>
    <cellStyle name="Normal 3 3 4 2 2 3" xfId="3124"/>
    <cellStyle name="Normal 3 3 4 2 2 3 2" xfId="18392"/>
    <cellStyle name="Normal 3 3 4 2 2 4" xfId="19183"/>
    <cellStyle name="Normal 3 3 4 2 2 5" xfId="17545"/>
    <cellStyle name="Normal 3 3 4 2 2 6" xfId="14862"/>
    <cellStyle name="Normal 3 3 4 2 3" xfId="4114"/>
    <cellStyle name="Normal 3 3 4 2 3 2" xfId="15676"/>
    <cellStyle name="Normal 3 3 4 2 4" xfId="2468"/>
    <cellStyle name="Normal 3 3 4 2 4 2" xfId="18585"/>
    <cellStyle name="Normal 3 3 4 2 5" xfId="19185"/>
    <cellStyle name="Normal 3 3 4 2 6" xfId="20035"/>
    <cellStyle name="Normal 3 3 4 2 7" xfId="14236"/>
    <cellStyle name="Normal 3 3 4 3" xfId="1422"/>
    <cellStyle name="Normal 3 3 4 3 2" xfId="4116"/>
    <cellStyle name="Normal 3 3 4 3 2 2" xfId="15554"/>
    <cellStyle name="Normal 3 3 4 3 3" xfId="2850"/>
    <cellStyle name="Normal 3 3 4 3 3 2" xfId="18006"/>
    <cellStyle name="Normal 3 3 4 3 4" xfId="17618"/>
    <cellStyle name="Normal 3 3 4 3 5" xfId="19735"/>
    <cellStyle name="Normal 3 3 4 3 6" xfId="14599"/>
    <cellStyle name="Normal 3 3 4 4" xfId="4113"/>
    <cellStyle name="Normal 3 3 4 4 2" xfId="15598"/>
    <cellStyle name="Normal 3 3 4 5" xfId="2194"/>
    <cellStyle name="Normal 3 3 4 5 2" xfId="15368"/>
    <cellStyle name="Normal 3 3 4 6" xfId="17093"/>
    <cellStyle name="Normal 3 3 4 7" xfId="20309"/>
    <cellStyle name="Normal 3 3 4 8" xfId="13986"/>
    <cellStyle name="Normal 3 3 5" xfId="639"/>
    <cellStyle name="Normal 3 3 5 2" xfId="1306"/>
    <cellStyle name="Normal 3 3 5 2 2" xfId="4118"/>
    <cellStyle name="Normal 3 3 5 2 2 2" xfId="15591"/>
    <cellStyle name="Normal 3 3 5 2 3" xfId="2734"/>
    <cellStyle name="Normal 3 3 5 2 3 2" xfId="16695"/>
    <cellStyle name="Normal 3 3 5 2 4" xfId="17923"/>
    <cellStyle name="Normal 3 3 5 2 5" xfId="19819"/>
    <cellStyle name="Normal 3 3 5 2 6" xfId="14483"/>
    <cellStyle name="Normal 3 3 5 3" xfId="4117"/>
    <cellStyle name="Normal 3 3 5 3 2" xfId="15593"/>
    <cellStyle name="Normal 3 3 5 4" xfId="2078"/>
    <cellStyle name="Normal 3 3 5 4 2" xfId="17426"/>
    <cellStyle name="Normal 3 3 5 5" xfId="19059"/>
    <cellStyle name="Normal 3 3 5 6" xfId="20425"/>
    <cellStyle name="Normal 3 3 5 7" xfId="13876"/>
    <cellStyle name="Normal 3 3 6" xfId="921"/>
    <cellStyle name="Normal 3 3 6 2" xfId="1580"/>
    <cellStyle name="Normal 3 3 6 2 2" xfId="4120"/>
    <cellStyle name="Normal 3 3 6 2 2 2" xfId="15609"/>
    <cellStyle name="Normal 3 3 6 2 3" xfId="3008"/>
    <cellStyle name="Normal 3 3 6 2 3 2" xfId="16045"/>
    <cellStyle name="Normal 3 3 6 2 4" xfId="15262"/>
    <cellStyle name="Normal 3 3 6 2 5" xfId="19577"/>
    <cellStyle name="Normal 3 3 6 2 6" xfId="14746"/>
    <cellStyle name="Normal 3 3 6 3" xfId="4119"/>
    <cellStyle name="Normal 3 3 6 3 2" xfId="15750"/>
    <cellStyle name="Normal 3 3 6 4" xfId="2352"/>
    <cellStyle name="Normal 3 3 6 4 2" xfId="15908"/>
    <cellStyle name="Normal 3 3 6 5" xfId="19016"/>
    <cellStyle name="Normal 3 3 6 6" xfId="20151"/>
    <cellStyle name="Normal 3 3 6 7" xfId="14125"/>
    <cellStyle name="Normal 3 3 7" xfId="1201"/>
    <cellStyle name="Normal 3 3 7 2" xfId="4121"/>
    <cellStyle name="Normal 3 3 7 2 2" xfId="15592"/>
    <cellStyle name="Normal 3 3 7 3" xfId="2629"/>
    <cellStyle name="Normal 3 3 7 3 2" xfId="18421"/>
    <cellStyle name="Normal 3 3 7 4" xfId="17548"/>
    <cellStyle name="Normal 3 3 7 5" xfId="19924"/>
    <cellStyle name="Normal 3 3 7 6" xfId="14378"/>
    <cellStyle name="Normal 3 3 8" xfId="4082"/>
    <cellStyle name="Normal 3 3 8 2" xfId="15406"/>
    <cellStyle name="Normal 3 3 9" xfId="1912"/>
    <cellStyle name="Normal 3 3 9 2" xfId="17456"/>
    <cellStyle name="Normal 3 4" xfId="196"/>
    <cellStyle name="Normal 3 5" xfId="419"/>
    <cellStyle name="Normal 3 5 10" xfId="20523"/>
    <cellStyle name="Normal 3 5 11" xfId="13730"/>
    <cellStyle name="Normal 3 5 2" xfId="594"/>
    <cellStyle name="Normal 3 5 2 10" xfId="13847"/>
    <cellStyle name="Normal 3 5 2 2" xfId="861"/>
    <cellStyle name="Normal 3 5 2 2 2" xfId="1135"/>
    <cellStyle name="Normal 3 5 2 2 2 2" xfId="1794"/>
    <cellStyle name="Normal 3 5 2 2 2 2 2" xfId="4126"/>
    <cellStyle name="Normal 3 5 2 2 2 2 2 2" xfId="15556"/>
    <cellStyle name="Normal 3 5 2 2 2 2 3" xfId="3222"/>
    <cellStyle name="Normal 3 5 2 2 2 2 3 2" xfId="16306"/>
    <cellStyle name="Normal 3 5 2 2 2 2 4" xfId="17538"/>
    <cellStyle name="Normal 3 5 2 2 2 2 5" xfId="19365"/>
    <cellStyle name="Normal 3 5 2 2 2 2 6" xfId="14949"/>
    <cellStyle name="Normal 3 5 2 2 2 3" xfId="4125"/>
    <cellStyle name="Normal 3 5 2 2 2 3 2" xfId="15513"/>
    <cellStyle name="Normal 3 5 2 2 2 4" xfId="2566"/>
    <cellStyle name="Normal 3 5 2 2 2 4 2" xfId="16595"/>
    <cellStyle name="Normal 3 5 2 2 2 5" xfId="17417"/>
    <cellStyle name="Normal 3 5 2 2 2 6" xfId="19937"/>
    <cellStyle name="Normal 3 5 2 2 2 7" xfId="14315"/>
    <cellStyle name="Normal 3 5 2 2 3" xfId="1520"/>
    <cellStyle name="Normal 3 5 2 2 3 2" xfId="4127"/>
    <cellStyle name="Normal 3 5 2 2 3 2 2" xfId="15597"/>
    <cellStyle name="Normal 3 5 2 2 3 3" xfId="2948"/>
    <cellStyle name="Normal 3 5 2 2 3 3 2" xfId="18410"/>
    <cellStyle name="Normal 3 5 2 2 3 4" xfId="17801"/>
    <cellStyle name="Normal 3 5 2 2 3 5" xfId="19637"/>
    <cellStyle name="Normal 3 5 2 2 3 6" xfId="14686"/>
    <cellStyle name="Normal 3 5 2 2 4" xfId="4124"/>
    <cellStyle name="Normal 3 5 2 2 4 2" xfId="16850"/>
    <cellStyle name="Normal 3 5 2 2 5" xfId="2292"/>
    <cellStyle name="Normal 3 5 2 2 5 2" xfId="18352"/>
    <cellStyle name="Normal 3 5 2 2 6" xfId="16486"/>
    <cellStyle name="Normal 3 5 2 2 7" xfId="20211"/>
    <cellStyle name="Normal 3 5 2 2 8" xfId="14065"/>
    <cellStyle name="Normal 3 5 2 3" xfId="717"/>
    <cellStyle name="Normal 3 5 2 3 2" xfId="1384"/>
    <cellStyle name="Normal 3 5 2 3 2 2" xfId="4129"/>
    <cellStyle name="Normal 3 5 2 3 2 2 2" xfId="15596"/>
    <cellStyle name="Normal 3 5 2 3 2 3" xfId="2812"/>
    <cellStyle name="Normal 3 5 2 3 2 3 2" xfId="16758"/>
    <cellStyle name="Normal 3 5 2 3 2 4" xfId="18132"/>
    <cellStyle name="Normal 3 5 2 3 2 5" xfId="19771"/>
    <cellStyle name="Normal 3 5 2 3 2 6" xfId="14561"/>
    <cellStyle name="Normal 3 5 2 3 3" xfId="4128"/>
    <cellStyle name="Normal 3 5 2 3 3 2" xfId="15555"/>
    <cellStyle name="Normal 3 5 2 3 4" xfId="2156"/>
    <cellStyle name="Normal 3 5 2 3 4 2" xfId="18066"/>
    <cellStyle name="Normal 3 5 2 3 5" xfId="18291"/>
    <cellStyle name="Normal 3 5 2 3 6" xfId="20347"/>
    <cellStyle name="Normal 3 5 2 3 7" xfId="13953"/>
    <cellStyle name="Normal 3 5 2 4" xfId="999"/>
    <cellStyle name="Normal 3 5 2 4 2" xfId="1658"/>
    <cellStyle name="Normal 3 5 2 4 2 2" xfId="4131"/>
    <cellStyle name="Normal 3 5 2 4 2 2 2" xfId="15751"/>
    <cellStyle name="Normal 3 5 2 4 2 3" xfId="3086"/>
    <cellStyle name="Normal 3 5 2 4 2 3 2" xfId="16290"/>
    <cellStyle name="Normal 3 5 2 4 2 4" xfId="15349"/>
    <cellStyle name="Normal 3 5 2 4 2 5" xfId="19499"/>
    <cellStyle name="Normal 3 5 2 4 2 6" xfId="14824"/>
    <cellStyle name="Normal 3 5 2 4 3" xfId="4130"/>
    <cellStyle name="Normal 3 5 2 4 3 2" xfId="15594"/>
    <cellStyle name="Normal 3 5 2 4 4" xfId="2430"/>
    <cellStyle name="Normal 3 5 2 4 4 2" xfId="15741"/>
    <cellStyle name="Normal 3 5 2 4 5" xfId="16165"/>
    <cellStyle name="Normal 3 5 2 4 6" xfId="20073"/>
    <cellStyle name="Normal 3 5 2 4 7" xfId="14203"/>
    <cellStyle name="Normal 3 5 2 5" xfId="1279"/>
    <cellStyle name="Normal 3 5 2 5 2" xfId="4132"/>
    <cellStyle name="Normal 3 5 2 5 2 2" xfId="15595"/>
    <cellStyle name="Normal 3 5 2 5 3" xfId="2707"/>
    <cellStyle name="Normal 3 5 2 5 3 2" xfId="16677"/>
    <cellStyle name="Normal 3 5 2 5 4" xfId="15779"/>
    <cellStyle name="Normal 3 5 2 5 5" xfId="19846"/>
    <cellStyle name="Normal 3 5 2 5 6" xfId="14456"/>
    <cellStyle name="Normal 3 5 2 6" xfId="4123"/>
    <cellStyle name="Normal 3 5 2 6 2" xfId="16849"/>
    <cellStyle name="Normal 3 5 2 7" xfId="2049"/>
    <cellStyle name="Normal 3 5 2 7 2" xfId="15380"/>
    <cellStyle name="Normal 3 5 2 8" xfId="16445"/>
    <cellStyle name="Normal 3 5 2 9" xfId="20454"/>
    <cellStyle name="Normal 3 5 3" xfId="795"/>
    <cellStyle name="Normal 3 5 3 2" xfId="1074"/>
    <cellStyle name="Normal 3 5 3 2 2" xfId="1733"/>
    <cellStyle name="Normal 3 5 3 2 2 2" xfId="4135"/>
    <cellStyle name="Normal 3 5 3 2 2 2 2" xfId="16851"/>
    <cellStyle name="Normal 3 5 3 2 2 3" xfId="3161"/>
    <cellStyle name="Normal 3 5 3 2 2 3 2" xfId="16796"/>
    <cellStyle name="Normal 3 5 3 2 2 4" xfId="17345"/>
    <cellStyle name="Normal 3 5 3 2 2 5" xfId="19426"/>
    <cellStyle name="Normal 3 5 3 2 2 6" xfId="14888"/>
    <cellStyle name="Normal 3 5 3 2 3" xfId="4134"/>
    <cellStyle name="Normal 3 5 3 2 3 2" xfId="15753"/>
    <cellStyle name="Normal 3 5 3 2 4" xfId="2505"/>
    <cellStyle name="Normal 3 5 3 2 4 2" xfId="18868"/>
    <cellStyle name="Normal 3 5 3 2 5" xfId="18334"/>
    <cellStyle name="Normal 3 5 3 2 6" xfId="19998"/>
    <cellStyle name="Normal 3 5 3 2 7" xfId="14257"/>
    <cellStyle name="Normal 3 5 3 3" xfId="1459"/>
    <cellStyle name="Normal 3 5 3 3 2" xfId="4136"/>
    <cellStyle name="Normal 3 5 3 3 2 2" xfId="16852"/>
    <cellStyle name="Normal 3 5 3 3 3" xfId="2887"/>
    <cellStyle name="Normal 3 5 3 3 3 2" xfId="16773"/>
    <cellStyle name="Normal 3 5 3 3 4" xfId="18044"/>
    <cellStyle name="Normal 3 5 3 3 5" xfId="19698"/>
    <cellStyle name="Normal 3 5 3 3 6" xfId="14625"/>
    <cellStyle name="Normal 3 5 3 4" xfId="4133"/>
    <cellStyle name="Normal 3 5 3 4 2" xfId="15752"/>
    <cellStyle name="Normal 3 5 3 5" xfId="2231"/>
    <cellStyle name="Normal 3 5 3 5 2" xfId="18207"/>
    <cellStyle name="Normal 3 5 3 6" xfId="18310"/>
    <cellStyle name="Normal 3 5 3 7" xfId="20272"/>
    <cellStyle name="Normal 3 5 3 8" xfId="14008"/>
    <cellStyle name="Normal 3 5 4" xfId="666"/>
    <cellStyle name="Normal 3 5 4 2" xfId="1333"/>
    <cellStyle name="Normal 3 5 4 2 2" xfId="4138"/>
    <cellStyle name="Normal 3 5 4 2 2 2" xfId="16853"/>
    <cellStyle name="Normal 3 5 4 2 3" xfId="2761"/>
    <cellStyle name="Normal 3 5 4 2 3 2" xfId="16713"/>
    <cellStyle name="Normal 3 5 4 2 4" xfId="17498"/>
    <cellStyle name="Normal 3 5 4 2 5" xfId="20733"/>
    <cellStyle name="Normal 3 5 4 2 6" xfId="14510"/>
    <cellStyle name="Normal 3 5 4 3" xfId="4137"/>
    <cellStyle name="Normal 3 5 4 3 2" xfId="15638"/>
    <cellStyle name="Normal 3 5 4 4" xfId="2105"/>
    <cellStyle name="Normal 3 5 4 4 2" xfId="17851"/>
    <cellStyle name="Normal 3 5 4 5" xfId="19091"/>
    <cellStyle name="Normal 3 5 4 6" xfId="20398"/>
    <cellStyle name="Normal 3 5 4 7" xfId="13903"/>
    <cellStyle name="Normal 3 5 5" xfId="948"/>
    <cellStyle name="Normal 3 5 5 2" xfId="1607"/>
    <cellStyle name="Normal 3 5 5 2 2" xfId="4140"/>
    <cellStyle name="Normal 3 5 5 2 2 2" xfId="16854"/>
    <cellStyle name="Normal 3 5 5 2 3" xfId="3035"/>
    <cellStyle name="Normal 3 5 5 2 3 2" xfId="17521"/>
    <cellStyle name="Normal 3 5 5 2 4" xfId="17110"/>
    <cellStyle name="Normal 3 5 5 2 5" xfId="19550"/>
    <cellStyle name="Normal 3 5 5 2 6" xfId="14773"/>
    <cellStyle name="Normal 3 5 5 3" xfId="4139"/>
    <cellStyle name="Normal 3 5 5 3 2" xfId="15662"/>
    <cellStyle name="Normal 3 5 5 4" xfId="2379"/>
    <cellStyle name="Normal 3 5 5 4 2" xfId="16005"/>
    <cellStyle name="Normal 3 5 5 5" xfId="18580"/>
    <cellStyle name="Normal 3 5 5 6" xfId="20124"/>
    <cellStyle name="Normal 3 5 5 7" xfId="14152"/>
    <cellStyle name="Normal 3 5 6" xfId="1228"/>
    <cellStyle name="Normal 3 5 6 2" xfId="4141"/>
    <cellStyle name="Normal 3 5 6 2 2" xfId="16855"/>
    <cellStyle name="Normal 3 5 6 3" xfId="2656"/>
    <cellStyle name="Normal 3 5 6 3 2" xfId="16636"/>
    <cellStyle name="Normal 3 5 6 4" xfId="19180"/>
    <cellStyle name="Normal 3 5 6 5" xfId="19897"/>
    <cellStyle name="Normal 3 5 6 6" xfId="14405"/>
    <cellStyle name="Normal 3 5 7" xfId="4122"/>
    <cellStyle name="Normal 3 5 7 2" xfId="15677"/>
    <cellStyle name="Normal 3 5 8" xfId="1980"/>
    <cellStyle name="Normal 3 5 8 2" xfId="17183"/>
    <cellStyle name="Normal 3 5 9" xfId="19117"/>
    <cellStyle name="Normal 3 6" xfId="511"/>
    <cellStyle name="Normal 3 6 10" xfId="20499"/>
    <cellStyle name="Normal 3 6 11" xfId="13785"/>
    <cellStyle name="Normal 3 6 2" xfId="614"/>
    <cellStyle name="Normal 3 6 2 10" xfId="13865"/>
    <cellStyle name="Normal 3 6 2 2" xfId="879"/>
    <cellStyle name="Normal 3 6 2 2 2" xfId="1153"/>
    <cellStyle name="Normal 3 6 2 2 2 2" xfId="1812"/>
    <cellStyle name="Normal 3 6 2 2 2 2 2" xfId="4146"/>
    <cellStyle name="Normal 3 6 2 2 2 2 2 2" xfId="16860"/>
    <cellStyle name="Normal 3 6 2 2 2 2 3" xfId="3240"/>
    <cellStyle name="Normal 3 6 2 2 2 2 3 2" xfId="17926"/>
    <cellStyle name="Normal 3 6 2 2 2 2 4" xfId="15452"/>
    <cellStyle name="Normal 3 6 2 2 2 2 5" xfId="19347"/>
    <cellStyle name="Normal 3 6 2 2 2 2 6" xfId="14967"/>
    <cellStyle name="Normal 3 6 2 2 2 3" xfId="4145"/>
    <cellStyle name="Normal 3 6 2 2 2 3 2" xfId="16859"/>
    <cellStyle name="Normal 3 6 2 2 2 4" xfId="2584"/>
    <cellStyle name="Normal 3 6 2 2 2 4 2" xfId="18376"/>
    <cellStyle name="Normal 3 6 2 2 2 5" xfId="15778"/>
    <cellStyle name="Normal 3 6 2 2 2 6" xfId="20698"/>
    <cellStyle name="Normal 3 6 2 2 2 7" xfId="14333"/>
    <cellStyle name="Normal 3 6 2 2 3" xfId="1538"/>
    <cellStyle name="Normal 3 6 2 2 3 2" xfId="4147"/>
    <cellStyle name="Normal 3 6 2 2 3 2 2" xfId="16861"/>
    <cellStyle name="Normal 3 6 2 2 3 3" xfId="2966"/>
    <cellStyle name="Normal 3 6 2 2 3 3 2" xfId="15979"/>
    <cellStyle name="Normal 3 6 2 2 3 4" xfId="17888"/>
    <cellStyle name="Normal 3 6 2 2 3 5" xfId="19619"/>
    <cellStyle name="Normal 3 6 2 2 3 6" xfId="14704"/>
    <cellStyle name="Normal 3 6 2 2 4" xfId="4144"/>
    <cellStyle name="Normal 3 6 2 2 4 2" xfId="16858"/>
    <cellStyle name="Normal 3 6 2 2 5" xfId="2310"/>
    <cellStyle name="Normal 3 6 2 2 5 2" xfId="18685"/>
    <cellStyle name="Normal 3 6 2 2 6" xfId="18927"/>
    <cellStyle name="Normal 3 6 2 2 7" xfId="20193"/>
    <cellStyle name="Normal 3 6 2 2 8" xfId="14083"/>
    <cellStyle name="Normal 3 6 2 3" xfId="735"/>
    <cellStyle name="Normal 3 6 2 3 2" xfId="1402"/>
    <cellStyle name="Normal 3 6 2 3 2 2" xfId="4149"/>
    <cellStyle name="Normal 3 6 2 3 2 2 2" xfId="16863"/>
    <cellStyle name="Normal 3 6 2 3 2 3" xfId="2830"/>
    <cellStyle name="Normal 3 6 2 3 2 3 2" xfId="16769"/>
    <cellStyle name="Normal 3 6 2 3 2 4" xfId="18500"/>
    <cellStyle name="Normal 3 6 2 3 2 5" xfId="19755"/>
    <cellStyle name="Normal 3 6 2 3 2 6" xfId="14579"/>
    <cellStyle name="Normal 3 6 2 3 3" xfId="4148"/>
    <cellStyle name="Normal 3 6 2 3 3 2" xfId="16862"/>
    <cellStyle name="Normal 3 6 2 3 4" xfId="2174"/>
    <cellStyle name="Normal 3 6 2 3 4 2" xfId="15635"/>
    <cellStyle name="Normal 3 6 2 3 5" xfId="16466"/>
    <cellStyle name="Normal 3 6 2 3 6" xfId="20329"/>
    <cellStyle name="Normal 3 6 2 3 7" xfId="13971"/>
    <cellStyle name="Normal 3 6 2 4" xfId="1017"/>
    <cellStyle name="Normal 3 6 2 4 2" xfId="1676"/>
    <cellStyle name="Normal 3 6 2 4 2 2" xfId="4151"/>
    <cellStyle name="Normal 3 6 2 4 2 2 2" xfId="16865"/>
    <cellStyle name="Normal 3 6 2 4 2 3" xfId="3104"/>
    <cellStyle name="Normal 3 6 2 4 2 3 2" xfId="17355"/>
    <cellStyle name="Normal 3 6 2 4 2 4" xfId="17745"/>
    <cellStyle name="Normal 3 6 2 4 2 5" xfId="19481"/>
    <cellStyle name="Normal 3 6 2 4 2 6" xfId="14842"/>
    <cellStyle name="Normal 3 6 2 4 3" xfId="4150"/>
    <cellStyle name="Normal 3 6 2 4 3 2" xfId="16864"/>
    <cellStyle name="Normal 3 6 2 4 4" xfId="2448"/>
    <cellStyle name="Normal 3 6 2 4 4 2" xfId="18989"/>
    <cellStyle name="Normal 3 6 2 4 5" xfId="16171"/>
    <cellStyle name="Normal 3 6 2 4 6" xfId="20055"/>
    <cellStyle name="Normal 3 6 2 4 7" xfId="14221"/>
    <cellStyle name="Normal 3 6 2 5" xfId="1297"/>
    <cellStyle name="Normal 3 6 2 5 2" xfId="4152"/>
    <cellStyle name="Normal 3 6 2 5 2 2" xfId="15777"/>
    <cellStyle name="Normal 3 6 2 5 3" xfId="2725"/>
    <cellStyle name="Normal 3 6 2 5 3 2" xfId="16688"/>
    <cellStyle name="Normal 3 6 2 5 4" xfId="17963"/>
    <cellStyle name="Normal 3 6 2 5 5" xfId="19828"/>
    <cellStyle name="Normal 3 6 2 5 6" xfId="14474"/>
    <cellStyle name="Normal 3 6 2 6" xfId="4143"/>
    <cellStyle name="Normal 3 6 2 6 2" xfId="16857"/>
    <cellStyle name="Normal 3 6 2 7" xfId="2067"/>
    <cellStyle name="Normal 3 6 2 7 2" xfId="17365"/>
    <cellStyle name="Normal 3 6 2 8" xfId="17217"/>
    <cellStyle name="Normal 3 6 2 9" xfId="20436"/>
    <cellStyle name="Normal 3 6 3" xfId="824"/>
    <cellStyle name="Normal 3 6 3 2" xfId="1102"/>
    <cellStyle name="Normal 3 6 3 2 2" xfId="1761"/>
    <cellStyle name="Normal 3 6 3 2 2 2" xfId="4155"/>
    <cellStyle name="Normal 3 6 3 2 2 2 2" xfId="16868"/>
    <cellStyle name="Normal 3 6 3 2 2 3" xfId="3189"/>
    <cellStyle name="Normal 3 6 3 2 2 3 2" xfId="18037"/>
    <cellStyle name="Normal 3 6 3 2 2 4" xfId="17150"/>
    <cellStyle name="Normal 3 6 3 2 2 5" xfId="19398"/>
    <cellStyle name="Normal 3 6 3 2 2 6" xfId="14916"/>
    <cellStyle name="Normal 3 6 3 2 3" xfId="4154"/>
    <cellStyle name="Normal 3 6 3 2 3 2" xfId="16867"/>
    <cellStyle name="Normal 3 6 3 2 4" xfId="2533"/>
    <cellStyle name="Normal 3 6 3 2 4 2" xfId="15873"/>
    <cellStyle name="Normal 3 6 3 2 5" xfId="17078"/>
    <cellStyle name="Normal 3 6 3 2 6" xfId="19970"/>
    <cellStyle name="Normal 3 6 3 2 7" xfId="14283"/>
    <cellStyle name="Normal 3 6 3 3" xfId="1487"/>
    <cellStyle name="Normal 3 6 3 3 2" xfId="4156"/>
    <cellStyle name="Normal 3 6 3 3 2 2" xfId="16869"/>
    <cellStyle name="Normal 3 6 3 3 3" xfId="2915"/>
    <cellStyle name="Normal 3 6 3 3 3 2" xfId="17264"/>
    <cellStyle name="Normal 3 6 3 3 4" xfId="17986"/>
    <cellStyle name="Normal 3 6 3 3 5" xfId="19670"/>
    <cellStyle name="Normal 3 6 3 3 6" xfId="14653"/>
    <cellStyle name="Normal 3 6 3 4" xfId="4153"/>
    <cellStyle name="Normal 3 6 3 4 2" xfId="16866"/>
    <cellStyle name="Normal 3 6 3 5" xfId="2259"/>
    <cellStyle name="Normal 3 6 3 5 2" xfId="18424"/>
    <cellStyle name="Normal 3 6 3 6" xfId="18656"/>
    <cellStyle name="Normal 3 6 3 7" xfId="20244"/>
    <cellStyle name="Normal 3 6 3 8" xfId="14034"/>
    <cellStyle name="Normal 3 6 4" xfId="684"/>
    <cellStyle name="Normal 3 6 4 2" xfId="1351"/>
    <cellStyle name="Normal 3 6 4 2 2" xfId="4158"/>
    <cellStyle name="Normal 3 6 4 2 2 2" xfId="16871"/>
    <cellStyle name="Normal 3 6 4 2 3" xfId="2779"/>
    <cellStyle name="Normal 3 6 4 2 3 2" xfId="16731"/>
    <cellStyle name="Normal 3 6 4 2 4" xfId="16226"/>
    <cellStyle name="Normal 3 6 4 2 5" xfId="20727"/>
    <cellStyle name="Normal 3 6 4 2 6" xfId="14528"/>
    <cellStyle name="Normal 3 6 4 3" xfId="4157"/>
    <cellStyle name="Normal 3 6 4 3 2" xfId="16870"/>
    <cellStyle name="Normal 3 6 4 4" xfId="2123"/>
    <cellStyle name="Normal 3 6 4 4 2" xfId="16272"/>
    <cellStyle name="Normal 3 6 4 5" xfId="18283"/>
    <cellStyle name="Normal 3 6 4 6" xfId="20380"/>
    <cellStyle name="Normal 3 6 4 7" xfId="13921"/>
    <cellStyle name="Normal 3 6 5" xfId="966"/>
    <cellStyle name="Normal 3 6 5 2" xfId="1625"/>
    <cellStyle name="Normal 3 6 5 2 2" xfId="4160"/>
    <cellStyle name="Normal 3 6 5 2 2 2" xfId="16872"/>
    <cellStyle name="Normal 3 6 5 2 3" xfId="3053"/>
    <cellStyle name="Normal 3 6 5 2 3 2" xfId="17959"/>
    <cellStyle name="Normal 3 6 5 2 4" xfId="17933"/>
    <cellStyle name="Normal 3 6 5 2 5" xfId="19532"/>
    <cellStyle name="Normal 3 6 5 2 6" xfId="14791"/>
    <cellStyle name="Normal 3 6 5 3" xfId="4159"/>
    <cellStyle name="Normal 3 6 5 3 2" xfId="15678"/>
    <cellStyle name="Normal 3 6 5 4" xfId="2397"/>
    <cellStyle name="Normal 3 6 5 4 2" xfId="15970"/>
    <cellStyle name="Normal 3 6 5 5" xfId="18317"/>
    <cellStyle name="Normal 3 6 5 6" xfId="20106"/>
    <cellStyle name="Normal 3 6 5 7" xfId="14170"/>
    <cellStyle name="Normal 3 6 6" xfId="1246"/>
    <cellStyle name="Normal 3 6 6 2" xfId="4161"/>
    <cellStyle name="Normal 3 6 6 2 2" xfId="15679"/>
    <cellStyle name="Normal 3 6 6 3" xfId="2674"/>
    <cellStyle name="Normal 3 6 6 3 2" xfId="16651"/>
    <cellStyle name="Normal 3 6 6 4" xfId="18130"/>
    <cellStyle name="Normal 3 6 6 5" xfId="19879"/>
    <cellStyle name="Normal 3 6 6 6" xfId="14423"/>
    <cellStyle name="Normal 3 6 7" xfId="4142"/>
    <cellStyle name="Normal 3 6 7 2" xfId="16856"/>
    <cellStyle name="Normal 3 6 8" xfId="2004"/>
    <cellStyle name="Normal 3 6 8 2" xfId="15616"/>
    <cellStyle name="Normal 3 6 9" xfId="18786"/>
    <cellStyle name="Normal 3 7" xfId="1198"/>
    <cellStyle name="Normal 3 8" xfId="4021"/>
    <cellStyle name="Normal 3 8 2" xfId="15173"/>
    <cellStyle name="Normal 3 9" xfId="15734"/>
    <cellStyle name="Normal 3_Co2 savings" xfId="20939"/>
    <cellStyle name="Normal 30" xfId="1194"/>
    <cellStyle name="Normal 30 2" xfId="1853"/>
    <cellStyle name="Normal 30 2 2" xfId="4163"/>
    <cellStyle name="Normal 30 2 2 2" xfId="15008"/>
    <cellStyle name="Normal 30 2 3" xfId="3281"/>
    <cellStyle name="Normal 30 2 3 2" xfId="17643"/>
    <cellStyle name="Normal 30 2 4" xfId="17172"/>
    <cellStyle name="Normal 30 2 5" xfId="15736"/>
    <cellStyle name="Normal 30 2 6" xfId="19306"/>
    <cellStyle name="Normal 30 2 7" xfId="8754"/>
    <cellStyle name="Normal 30 3" xfId="4162"/>
    <cellStyle name="Normal 30 3 2" xfId="14374"/>
    <cellStyle name="Normal 30 4" xfId="2625"/>
    <cellStyle name="Normal 30 4 2" xfId="16009"/>
    <cellStyle name="Normal 30 5" xfId="17080"/>
    <cellStyle name="Normal 30 6" xfId="15735"/>
    <cellStyle name="Normal 30 7" xfId="20734"/>
    <cellStyle name="Normal 30 8" xfId="8753"/>
    <cellStyle name="Normal 31" xfId="1855"/>
    <cellStyle name="Normal 31 2" xfId="4164"/>
    <cellStyle name="Normal 31 3" xfId="3283"/>
    <cellStyle name="Normal 31 4" xfId="15569"/>
    <cellStyle name="Normal 31 5" xfId="17016"/>
    <cellStyle name="Normal 31 6" xfId="19304"/>
    <cellStyle name="Normal 31 7" xfId="8755"/>
    <cellStyle name="Normal 32" xfId="1856"/>
    <cellStyle name="Normal 32 2" xfId="4165"/>
    <cellStyle name="Normal 32 3" xfId="3284"/>
    <cellStyle name="Normal 32 4" xfId="17173"/>
    <cellStyle name="Normal 32 5" xfId="17017"/>
    <cellStyle name="Normal 32 6" xfId="19303"/>
    <cellStyle name="Normal 32 7" xfId="8756"/>
    <cellStyle name="Normal 33" xfId="1857"/>
    <cellStyle name="Normal 33 2" xfId="4166"/>
    <cellStyle name="Normal 33 3" xfId="3285"/>
    <cellStyle name="Normal 33 4" xfId="17174"/>
    <cellStyle name="Normal 33 5" xfId="15528"/>
    <cellStyle name="Normal 33 6" xfId="19302"/>
    <cellStyle name="Normal 33 7" xfId="8757"/>
    <cellStyle name="Normal 34" xfId="1858"/>
    <cellStyle name="Normal 34 2" xfId="4167"/>
    <cellStyle name="Normal 34 3" xfId="3286"/>
    <cellStyle name="Normal 34 4" xfId="15276"/>
    <cellStyle name="Normal 34 5" xfId="15260"/>
    <cellStyle name="Normal 34 6" xfId="19301"/>
    <cellStyle name="Normal 34 7" xfId="8758"/>
    <cellStyle name="Normal 35" xfId="8759"/>
    <cellStyle name="Normal 36" xfId="8760"/>
    <cellStyle name="Normal 37" xfId="8761"/>
    <cellStyle name="Normal 38" xfId="8762"/>
    <cellStyle name="Normal 38 2" xfId="8763"/>
    <cellStyle name="Normal 39" xfId="8764"/>
    <cellStyle name="Normal 39 2" xfId="8765"/>
    <cellStyle name="Normal 4" xfId="197"/>
    <cellStyle name="Normal 4 10" xfId="757"/>
    <cellStyle name="Normal 4 10 2" xfId="1038"/>
    <cellStyle name="Normal 4 10 2 2" xfId="1697"/>
    <cellStyle name="Normal 4 10 2 2 2" xfId="4171"/>
    <cellStyle name="Normal 4 10 2 2 2 2" xfId="16874"/>
    <cellStyle name="Normal 4 10 2 2 3" xfId="3125"/>
    <cellStyle name="Normal 4 10 2 2 3 2" xfId="18415"/>
    <cellStyle name="Normal 4 10 2 2 4" xfId="17758"/>
    <cellStyle name="Normal 4 10 2 2 5" xfId="19462"/>
    <cellStyle name="Normal 4 10 2 2 6" xfId="14863"/>
    <cellStyle name="Normal 4 10 2 3" xfId="4170"/>
    <cellStyle name="Normal 4 10 2 3 2" xfId="16873"/>
    <cellStyle name="Normal 4 10 2 4" xfId="2469"/>
    <cellStyle name="Normal 4 10 2 4 2" xfId="19133"/>
    <cellStyle name="Normal 4 10 2 5" xfId="16515"/>
    <cellStyle name="Normal 4 10 2 6" xfId="20034"/>
    <cellStyle name="Normal 4 10 2 7" xfId="14237"/>
    <cellStyle name="Normal 4 10 3" xfId="1423"/>
    <cellStyle name="Normal 4 10 3 2" xfId="4172"/>
    <cellStyle name="Normal 4 10 3 2 2" xfId="15681"/>
    <cellStyle name="Normal 4 10 3 3" xfId="2851"/>
    <cellStyle name="Normal 4 10 3 3 2" xfId="17786"/>
    <cellStyle name="Normal 4 10 3 4" xfId="17441"/>
    <cellStyle name="Normal 4 10 3 5" xfId="19734"/>
    <cellStyle name="Normal 4 10 3 6" xfId="14600"/>
    <cellStyle name="Normal 4 10 4" xfId="4169"/>
    <cellStyle name="Normal 4 10 4 2" xfId="15680"/>
    <cellStyle name="Normal 4 10 5" xfId="2195"/>
    <cellStyle name="Normal 4 10 5 2" xfId="15217"/>
    <cellStyle name="Normal 4 10 6" xfId="17094"/>
    <cellStyle name="Normal 4 10 7" xfId="20308"/>
    <cellStyle name="Normal 4 10 8" xfId="13987"/>
    <cellStyle name="Normal 4 11" xfId="640"/>
    <cellStyle name="Normal 4 11 2" xfId="1307"/>
    <cellStyle name="Normal 4 11 2 2" xfId="4174"/>
    <cellStyle name="Normal 4 11 2 2 2" xfId="16875"/>
    <cellStyle name="Normal 4 11 2 3" xfId="2735"/>
    <cellStyle name="Normal 4 11 2 3 2" xfId="16696"/>
    <cellStyle name="Normal 4 11 2 4" xfId="17510"/>
    <cellStyle name="Normal 4 11 2 5" xfId="19818"/>
    <cellStyle name="Normal 4 11 2 6" xfId="14484"/>
    <cellStyle name="Normal 4 11 3" xfId="4173"/>
    <cellStyle name="Normal 4 11 3 2" xfId="15682"/>
    <cellStyle name="Normal 4 11 4" xfId="2079"/>
    <cellStyle name="Normal 4 11 4 2" xfId="15204"/>
    <cellStyle name="Normal 4 11 5" xfId="18876"/>
    <cellStyle name="Normal 4 11 6" xfId="20424"/>
    <cellStyle name="Normal 4 11 7" xfId="13877"/>
    <cellStyle name="Normal 4 12" xfId="922"/>
    <cellStyle name="Normal 4 12 2" xfId="1581"/>
    <cellStyle name="Normal 4 12 2 2" xfId="4176"/>
    <cellStyle name="Normal 4 12 2 2 2" xfId="16877"/>
    <cellStyle name="Normal 4 12 2 3" xfId="3009"/>
    <cellStyle name="Normal 4 12 2 3 2" xfId="16062"/>
    <cellStyle name="Normal 4 12 2 4" xfId="18127"/>
    <cellStyle name="Normal 4 12 2 5" xfId="19576"/>
    <cellStyle name="Normal 4 12 2 6" xfId="14747"/>
    <cellStyle name="Normal 4 12 3" xfId="4175"/>
    <cellStyle name="Normal 4 12 3 2" xfId="16876"/>
    <cellStyle name="Normal 4 12 4" xfId="2353"/>
    <cellStyle name="Normal 4 12 4 2" xfId="18723"/>
    <cellStyle name="Normal 4 12 5" xfId="18652"/>
    <cellStyle name="Normal 4 12 6" xfId="20150"/>
    <cellStyle name="Normal 4 12 7" xfId="14126"/>
    <cellStyle name="Normal 4 13" xfId="1202"/>
    <cellStyle name="Normal 4 13 2" xfId="4177"/>
    <cellStyle name="Normal 4 13 2 2" xfId="16878"/>
    <cellStyle name="Normal 4 13 3" xfId="2630"/>
    <cellStyle name="Normal 4 13 3 2" xfId="18418"/>
    <cellStyle name="Normal 4 13 4" xfId="17887"/>
    <cellStyle name="Normal 4 13 5" xfId="19923"/>
    <cellStyle name="Normal 4 13 6" xfId="14379"/>
    <cellStyle name="Normal 4 14" xfId="4168"/>
    <cellStyle name="Normal 4 14 2" xfId="13694"/>
    <cellStyle name="Normal 4 15" xfId="1913"/>
    <cellStyle name="Normal 4 15 2" xfId="17578"/>
    <cellStyle name="Normal 4 16" xfId="18613"/>
    <cellStyle name="Normal 4 17" xfId="15416"/>
    <cellStyle name="Normal 4 18" xfId="20590"/>
    <cellStyle name="Normal 4 19" xfId="20881"/>
    <cellStyle name="Normal 4 2" xfId="198"/>
    <cellStyle name="Normal 4 2 2" xfId="199"/>
    <cellStyle name="Normal 4 2 2 3 2_QRA Risk Register for ICB 20100122" xfId="8768"/>
    <cellStyle name="Normal 4 2 3" xfId="17018"/>
    <cellStyle name="Normal 4 2 4" xfId="8767"/>
    <cellStyle name="Normal 4 20" xfId="8766"/>
    <cellStyle name="Normal 4 21" xfId="20933"/>
    <cellStyle name="Normal 4 22" xfId="20960"/>
    <cellStyle name="Normal 4 3" xfId="200"/>
    <cellStyle name="Normal 4 3 2" xfId="201"/>
    <cellStyle name="Normal 4 4" xfId="202"/>
    <cellStyle name="Normal 4 5" xfId="203"/>
    <cellStyle name="Normal 4 6" xfId="422"/>
    <cellStyle name="Normal 4 6 10" xfId="20520"/>
    <cellStyle name="Normal 4 6 11" xfId="13733"/>
    <cellStyle name="Normal 4 6 2" xfId="597"/>
    <cellStyle name="Normal 4 6 2 10" xfId="13850"/>
    <cellStyle name="Normal 4 6 2 2" xfId="864"/>
    <cellStyle name="Normal 4 6 2 2 2" xfId="1138"/>
    <cellStyle name="Normal 4 6 2 2 2 2" xfId="1797"/>
    <cellStyle name="Normal 4 6 2 2 2 2 2" xfId="4182"/>
    <cellStyle name="Normal 4 6 2 2 2 2 2 2" xfId="16882"/>
    <cellStyle name="Normal 4 6 2 2 2 2 3" xfId="3225"/>
    <cellStyle name="Normal 4 6 2 2 2 2 3 2" xfId="16307"/>
    <cellStyle name="Normal 4 6 2 2 2 2 4" xfId="18385"/>
    <cellStyle name="Normal 4 6 2 2 2 2 5" xfId="19362"/>
    <cellStyle name="Normal 4 6 2 2 2 2 6" xfId="14952"/>
    <cellStyle name="Normal 4 6 2 2 2 3" xfId="4181"/>
    <cellStyle name="Normal 4 6 2 2 2 3 2" xfId="16245"/>
    <cellStyle name="Normal 4 6 2 2 2 4" xfId="2569"/>
    <cellStyle name="Normal 4 6 2 2 2 4 2" xfId="16598"/>
    <cellStyle name="Normal 4 6 2 2 2 5" xfId="18480"/>
    <cellStyle name="Normal 4 6 2 2 2 6" xfId="19934"/>
    <cellStyle name="Normal 4 6 2 2 2 7" xfId="14318"/>
    <cellStyle name="Normal 4 6 2 2 3" xfId="1523"/>
    <cellStyle name="Normal 4 6 2 2 3 2" xfId="4183"/>
    <cellStyle name="Normal 4 6 2 2 3 2 2" xfId="16883"/>
    <cellStyle name="Normal 4 6 2 2 3 3" xfId="2951"/>
    <cellStyle name="Normal 4 6 2 2 3 3 2" xfId="15765"/>
    <cellStyle name="Normal 4 6 2 2 3 4" xfId="18051"/>
    <cellStyle name="Normal 4 6 2 2 3 5" xfId="19634"/>
    <cellStyle name="Normal 4 6 2 2 3 6" xfId="14689"/>
    <cellStyle name="Normal 4 6 2 2 4" xfId="4180"/>
    <cellStyle name="Normal 4 6 2 2 4 2" xfId="16881"/>
    <cellStyle name="Normal 4 6 2 2 5" xfId="2295"/>
    <cellStyle name="Normal 4 6 2 2 5 2" xfId="18184"/>
    <cellStyle name="Normal 4 6 2 2 6" xfId="18829"/>
    <cellStyle name="Normal 4 6 2 2 7" xfId="20208"/>
    <cellStyle name="Normal 4 6 2 2 8" xfId="14068"/>
    <cellStyle name="Normal 4 6 2 3" xfId="720"/>
    <cellStyle name="Normal 4 6 2 3 2" xfId="1387"/>
    <cellStyle name="Normal 4 6 2 3 2 2" xfId="4185"/>
    <cellStyle name="Normal 4 6 2 3 2 2 2" xfId="16885"/>
    <cellStyle name="Normal 4 6 2 3 2 3" xfId="2815"/>
    <cellStyle name="Normal 4 6 2 3 2 3 2" xfId="16760"/>
    <cellStyle name="Normal 4 6 2 3 2 4" xfId="17794"/>
    <cellStyle name="Normal 4 6 2 3 2 5" xfId="19768"/>
    <cellStyle name="Normal 4 6 2 3 2 6" xfId="14564"/>
    <cellStyle name="Normal 4 6 2 3 3" xfId="4184"/>
    <cellStyle name="Normal 4 6 2 3 3 2" xfId="16884"/>
    <cellStyle name="Normal 4 6 2 3 4" xfId="2159"/>
    <cellStyle name="Normal 4 6 2 3 4 2" xfId="17245"/>
    <cellStyle name="Normal 4 6 2 3 5" xfId="17290"/>
    <cellStyle name="Normal 4 6 2 3 6" xfId="20344"/>
    <cellStyle name="Normal 4 6 2 3 7" xfId="13956"/>
    <cellStyle name="Normal 4 6 2 4" xfId="1002"/>
    <cellStyle name="Normal 4 6 2 4 2" xfId="1661"/>
    <cellStyle name="Normal 4 6 2 4 2 2" xfId="4187"/>
    <cellStyle name="Normal 4 6 2 4 2 2 2" xfId="16887"/>
    <cellStyle name="Normal 4 6 2 4 2 3" xfId="3089"/>
    <cellStyle name="Normal 4 6 2 4 2 3 2" xfId="19258"/>
    <cellStyle name="Normal 4 6 2 4 2 4" xfId="15147"/>
    <cellStyle name="Normal 4 6 2 4 2 5" xfId="19496"/>
    <cellStyle name="Normal 4 6 2 4 2 6" xfId="14827"/>
    <cellStyle name="Normal 4 6 2 4 3" xfId="4186"/>
    <cellStyle name="Normal 4 6 2 4 3 2" xfId="16886"/>
    <cellStyle name="Normal 4 6 2 4 4" xfId="2433"/>
    <cellStyle name="Normal 4 6 2 4 4 2" xfId="18208"/>
    <cellStyle name="Normal 4 6 2 4 5" xfId="16166"/>
    <cellStyle name="Normal 4 6 2 4 6" xfId="20070"/>
    <cellStyle name="Normal 4 6 2 4 7" xfId="14206"/>
    <cellStyle name="Normal 4 6 2 5" xfId="1282"/>
    <cellStyle name="Normal 4 6 2 5 2" xfId="4188"/>
    <cellStyle name="Normal 4 6 2 5 2 2" xfId="19240"/>
    <cellStyle name="Normal 4 6 2 5 3" xfId="2710"/>
    <cellStyle name="Normal 4 6 2 5 3 2" xfId="15244"/>
    <cellStyle name="Normal 4 6 2 5 4" xfId="18135"/>
    <cellStyle name="Normal 4 6 2 5 5" xfId="19843"/>
    <cellStyle name="Normal 4 6 2 5 6" xfId="14459"/>
    <cellStyle name="Normal 4 6 2 6" xfId="4179"/>
    <cellStyle name="Normal 4 6 2 6 2" xfId="16880"/>
    <cellStyle name="Normal 4 6 2 7" xfId="2052"/>
    <cellStyle name="Normal 4 6 2 7 2" xfId="15178"/>
    <cellStyle name="Normal 4 6 2 8" xfId="18595"/>
    <cellStyle name="Normal 4 6 2 9" xfId="20451"/>
    <cellStyle name="Normal 4 6 3" xfId="798"/>
    <cellStyle name="Normal 4 6 3 2" xfId="1077"/>
    <cellStyle name="Normal 4 6 3 2 2" xfId="1736"/>
    <cellStyle name="Normal 4 6 3 2 2 2" xfId="4191"/>
    <cellStyle name="Normal 4 6 3 2 2 2 2" xfId="16888"/>
    <cellStyle name="Normal 4 6 3 2 2 3" xfId="3164"/>
    <cellStyle name="Normal 4 6 3 2 2 3 2" xfId="17976"/>
    <cellStyle name="Normal 4 6 3 2 2 4" xfId="15327"/>
    <cellStyle name="Normal 4 6 3 2 2 5" xfId="19423"/>
    <cellStyle name="Normal 4 6 3 2 2 6" xfId="14891"/>
    <cellStyle name="Normal 4 6 3 2 3" xfId="4190"/>
    <cellStyle name="Normal 4 6 3 2 3 2" xfId="15684"/>
    <cellStyle name="Normal 4 6 3 2 4" xfId="2508"/>
    <cellStyle name="Normal 4 6 3 2 4 2" xfId="15977"/>
    <cellStyle name="Normal 4 6 3 2 5" xfId="17075"/>
    <cellStyle name="Normal 4 6 3 2 6" xfId="19995"/>
    <cellStyle name="Normal 4 6 3 2 7" xfId="14260"/>
    <cellStyle name="Normal 4 6 3 3" xfId="1462"/>
    <cellStyle name="Normal 4 6 3 3 2" xfId="4192"/>
    <cellStyle name="Normal 4 6 3 3 2 2" xfId="18339"/>
    <cellStyle name="Normal 4 6 3 3 3" xfId="2890"/>
    <cellStyle name="Normal 4 6 3 3 3 2" xfId="17958"/>
    <cellStyle name="Normal 4 6 3 3 4" xfId="17724"/>
    <cellStyle name="Normal 4 6 3 3 5" xfId="19695"/>
    <cellStyle name="Normal 4 6 3 3 6" xfId="14628"/>
    <cellStyle name="Normal 4 6 3 4" xfId="4189"/>
    <cellStyle name="Normal 4 6 3 4 2" xfId="15683"/>
    <cellStyle name="Normal 4 6 3 5" xfId="2234"/>
    <cellStyle name="Normal 4 6 3 5 2" xfId="18251"/>
    <cellStyle name="Normal 4 6 3 6" xfId="18312"/>
    <cellStyle name="Normal 4 6 3 7" xfId="20269"/>
    <cellStyle name="Normal 4 6 3 8" xfId="14011"/>
    <cellStyle name="Normal 4 6 4" xfId="669"/>
    <cellStyle name="Normal 4 6 4 2" xfId="1336"/>
    <cellStyle name="Normal 4 6 4 2 2" xfId="4194"/>
    <cellStyle name="Normal 4 6 4 2 2 2" xfId="15685"/>
    <cellStyle name="Normal 4 6 4 2 3" xfId="2764"/>
    <cellStyle name="Normal 4 6 4 2 3 2" xfId="16716"/>
    <cellStyle name="Normal 4 6 4 2 4" xfId="17985"/>
    <cellStyle name="Normal 4 6 4 2 5" xfId="20732"/>
    <cellStyle name="Normal 4 6 4 2 6" xfId="14513"/>
    <cellStyle name="Normal 4 6 4 3" xfId="4193"/>
    <cellStyle name="Normal 4 6 4 3 2" xfId="19238"/>
    <cellStyle name="Normal 4 6 4 4" xfId="2108"/>
    <cellStyle name="Normal 4 6 4 4 2" xfId="17778"/>
    <cellStyle name="Normal 4 6 4 5" xfId="17330"/>
    <cellStyle name="Normal 4 6 4 6" xfId="20395"/>
    <cellStyle name="Normal 4 6 4 7" xfId="13906"/>
    <cellStyle name="Normal 4 6 5" xfId="951"/>
    <cellStyle name="Normal 4 6 5 2" xfId="1610"/>
    <cellStyle name="Normal 4 6 5 2 2" xfId="4196"/>
    <cellStyle name="Normal 4 6 5 2 2 2" xfId="18340"/>
    <cellStyle name="Normal 4 6 5 2 3" xfId="3038"/>
    <cellStyle name="Normal 4 6 5 2 3 2" xfId="17653"/>
    <cellStyle name="Normal 4 6 5 2 4" xfId="17113"/>
    <cellStyle name="Normal 4 6 5 2 5" xfId="19547"/>
    <cellStyle name="Normal 4 6 5 2 6" xfId="14776"/>
    <cellStyle name="Normal 4 6 5 3" xfId="4195"/>
    <cellStyle name="Normal 4 6 5 3 2" xfId="15686"/>
    <cellStyle name="Normal 4 6 5 4" xfId="2382"/>
    <cellStyle name="Normal 4 6 5 4 2" xfId="15905"/>
    <cellStyle name="Normal 4 6 5 5" xfId="19093"/>
    <cellStyle name="Normal 4 6 5 6" xfId="20121"/>
    <cellStyle name="Normal 4 6 5 7" xfId="14155"/>
    <cellStyle name="Normal 4 6 6" xfId="1231"/>
    <cellStyle name="Normal 4 6 6 2" xfId="4197"/>
    <cellStyle name="Normal 4 6 6 2 2" xfId="15687"/>
    <cellStyle name="Normal 4 6 6 3" xfId="2659"/>
    <cellStyle name="Normal 4 6 6 3 2" xfId="17494"/>
    <cellStyle name="Normal 4 6 6 4" xfId="17980"/>
    <cellStyle name="Normal 4 6 6 5" xfId="19894"/>
    <cellStyle name="Normal 4 6 6 6" xfId="14408"/>
    <cellStyle name="Normal 4 6 7" xfId="4178"/>
    <cellStyle name="Normal 4 6 7 2" xfId="16879"/>
    <cellStyle name="Normal 4 6 8" xfId="1983"/>
    <cellStyle name="Normal 4 6 8 2" xfId="17185"/>
    <cellStyle name="Normal 4 6 9" xfId="18934"/>
    <cellStyle name="Normal 4 7" xfId="513"/>
    <cellStyle name="Normal 4 7 2" xfId="616"/>
    <cellStyle name="Normal 4 7 3" xfId="816"/>
    <cellStyle name="Normal 4 7 3 2" xfId="1094"/>
    <cellStyle name="Normal 4 7 3 2 2" xfId="1753"/>
    <cellStyle name="Normal 4 7 3 2 2 2" xfId="4200"/>
    <cellStyle name="Normal 4 7 3 2 2 2 2" xfId="16406"/>
    <cellStyle name="Normal 4 7 3 2 2 3" xfId="3181"/>
    <cellStyle name="Normal 4 7 3 2 2 3 2" xfId="18165"/>
    <cellStyle name="Normal 4 7 3 2 2 4" xfId="15303"/>
    <cellStyle name="Normal 4 7 3 2 2 5" xfId="19406"/>
    <cellStyle name="Normal 4 7 3 2 2 6" xfId="14908"/>
    <cellStyle name="Normal 4 7 3 2 3" xfId="4199"/>
    <cellStyle name="Normal 4 7 3 2 3 2" xfId="18341"/>
    <cellStyle name="Normal 4 7 3 2 4" xfId="2525"/>
    <cellStyle name="Normal 4 7 3 2 4 2" xfId="19167"/>
    <cellStyle name="Normal 4 7 3 2 5" xfId="16550"/>
    <cellStyle name="Normal 4 7 3 2 6" xfId="19978"/>
    <cellStyle name="Normal 4 7 3 2 7" xfId="14277"/>
    <cellStyle name="Normal 4 7 3 3" xfId="1479"/>
    <cellStyle name="Normal 4 7 3 3 2" xfId="4201"/>
    <cellStyle name="Normal 4 7 3 3 2 2" xfId="18342"/>
    <cellStyle name="Normal 4 7 3 3 3" xfId="2907"/>
    <cellStyle name="Normal 4 7 3 3 3 2" xfId="17992"/>
    <cellStyle name="Normal 4 7 3 3 4" xfId="17800"/>
    <cellStyle name="Normal 4 7 3 3 5" xfId="19678"/>
    <cellStyle name="Normal 4 7 3 3 6" xfId="14645"/>
    <cellStyle name="Normal 4 7 3 4" xfId="4198"/>
    <cellStyle name="Normal 4 7 3 4 2" xfId="15688"/>
    <cellStyle name="Normal 4 7 3 5" xfId="2251"/>
    <cellStyle name="Normal 4 7 3 5 2" xfId="18543"/>
    <cellStyle name="Normal 4 7 3 6" xfId="16119"/>
    <cellStyle name="Normal 4 7 3 7" xfId="20252"/>
    <cellStyle name="Normal 4 7 3 8" xfId="14028"/>
    <cellStyle name="Normal 4 8" xfId="537"/>
    <cellStyle name="Normal 4 9" xfId="565"/>
    <cellStyle name="Normal 4 9 10" xfId="13822"/>
    <cellStyle name="Normal 4 9 2" xfId="835"/>
    <cellStyle name="Normal 4 9 2 2" xfId="1109"/>
    <cellStyle name="Normal 4 9 2 2 2" xfId="1768"/>
    <cellStyle name="Normal 4 9 2 2 2 2" xfId="4205"/>
    <cellStyle name="Normal 4 9 2 2 2 2 2" xfId="16890"/>
    <cellStyle name="Normal 4 9 2 2 2 3" xfId="3196"/>
    <cellStyle name="Normal 4 9 2 2 2 3 2" xfId="18623"/>
    <cellStyle name="Normal 4 9 2 2 2 4" xfId="15500"/>
    <cellStyle name="Normal 4 9 2 2 2 5" xfId="19391"/>
    <cellStyle name="Normal 4 9 2 2 2 6" xfId="14923"/>
    <cellStyle name="Normal 4 9 2 2 3" xfId="4204"/>
    <cellStyle name="Normal 4 9 2 2 3 2" xfId="15690"/>
    <cellStyle name="Normal 4 9 2 2 4" xfId="2540"/>
    <cellStyle name="Normal 4 9 2 2 4 2" xfId="15936"/>
    <cellStyle name="Normal 4 9 2 2 5" xfId="18232"/>
    <cellStyle name="Normal 4 9 2 2 6" xfId="19963"/>
    <cellStyle name="Normal 4 9 2 2 7" xfId="14290"/>
    <cellStyle name="Normal 4 9 2 3" xfId="1494"/>
    <cellStyle name="Normal 4 9 2 3 2" xfId="4206"/>
    <cellStyle name="Normal 4 9 2 3 2 2" xfId="15691"/>
    <cellStyle name="Normal 4 9 2 3 3" xfId="2922"/>
    <cellStyle name="Normal 4 9 2 3 3 2" xfId="16777"/>
    <cellStyle name="Normal 4 9 2 3 4" xfId="17743"/>
    <cellStyle name="Normal 4 9 2 3 5" xfId="19663"/>
    <cellStyle name="Normal 4 9 2 3 6" xfId="14660"/>
    <cellStyle name="Normal 4 9 2 4" xfId="4203"/>
    <cellStyle name="Normal 4 9 2 4 2" xfId="15689"/>
    <cellStyle name="Normal 4 9 2 5" xfId="2266"/>
    <cellStyle name="Normal 4 9 2 5 2" xfId="18724"/>
    <cellStyle name="Normal 4 9 2 6" xfId="16481"/>
    <cellStyle name="Normal 4 9 2 7" xfId="20237"/>
    <cellStyle name="Normal 4 9 2 8" xfId="14040"/>
    <cellStyle name="Normal 4 9 3" xfId="691"/>
    <cellStyle name="Normal 4 9 3 2" xfId="1358"/>
    <cellStyle name="Normal 4 9 3 2 2" xfId="4208"/>
    <cellStyle name="Normal 4 9 3 2 2 2" xfId="16891"/>
    <cellStyle name="Normal 4 9 3 2 3" xfId="2786"/>
    <cellStyle name="Normal 4 9 3 2 3 2" xfId="16738"/>
    <cellStyle name="Normal 4 9 3 2 4" xfId="17511"/>
    <cellStyle name="Normal 4 9 3 2 5" xfId="20673"/>
    <cellStyle name="Normal 4 9 3 2 6" xfId="14535"/>
    <cellStyle name="Normal 4 9 3 3" xfId="4207"/>
    <cellStyle name="Normal 4 9 3 3 2" xfId="15692"/>
    <cellStyle name="Normal 4 9 3 4" xfId="2130"/>
    <cellStyle name="Normal 4 9 3 4 2" xfId="17791"/>
    <cellStyle name="Normal 4 9 3 5" xfId="18287"/>
    <cellStyle name="Normal 4 9 3 6" xfId="20373"/>
    <cellStyle name="Normal 4 9 3 7" xfId="13928"/>
    <cellStyle name="Normal 4 9 4" xfId="973"/>
    <cellStyle name="Normal 4 9 4 2" xfId="1632"/>
    <cellStyle name="Normal 4 9 4 2 2" xfId="4210"/>
    <cellStyle name="Normal 4 9 4 2 2 2" xfId="18571"/>
    <cellStyle name="Normal 4 9 4 2 3" xfId="3060"/>
    <cellStyle name="Normal 4 9 4 2 3 2" xfId="16283"/>
    <cellStyle name="Normal 4 9 4 2 4" xfId="17483"/>
    <cellStyle name="Normal 4 9 4 2 5" xfId="19525"/>
    <cellStyle name="Normal 4 9 4 2 6" xfId="14798"/>
    <cellStyle name="Normal 4 9 4 3" xfId="4209"/>
    <cellStyle name="Normal 4 9 4 3 2" xfId="16892"/>
    <cellStyle name="Normal 4 9 4 4" xfId="2404"/>
    <cellStyle name="Normal 4 9 4 4 2" xfId="16568"/>
    <cellStyle name="Normal 4 9 4 5" xfId="16510"/>
    <cellStyle name="Normal 4 9 4 6" xfId="20099"/>
    <cellStyle name="Normal 4 9 4 7" xfId="14177"/>
    <cellStyle name="Normal 4 9 5" xfId="1253"/>
    <cellStyle name="Normal 4 9 5 2" xfId="4211"/>
    <cellStyle name="Normal 4 9 5 2 2" xfId="19239"/>
    <cellStyle name="Normal 4 9 5 3" xfId="2681"/>
    <cellStyle name="Normal 4 9 5 3 2" xfId="15043"/>
    <cellStyle name="Normal 4 9 5 4" xfId="15567"/>
    <cellStyle name="Normal 4 9 5 5" xfId="19872"/>
    <cellStyle name="Normal 4 9 5 6" xfId="14430"/>
    <cellStyle name="Normal 4 9 6" xfId="4202"/>
    <cellStyle name="Normal 4 9 6 2" xfId="16889"/>
    <cellStyle name="Normal 4 9 7" xfId="2020"/>
    <cellStyle name="Normal 4 9 7 2" xfId="15264"/>
    <cellStyle name="Normal 4 9 8" xfId="18274"/>
    <cellStyle name="Normal 4 9 9" xfId="20483"/>
    <cellStyle name="Normal 40" xfId="8769"/>
    <cellStyle name="Normal 40 2" xfId="8770"/>
    <cellStyle name="Normal 41" xfId="8771"/>
    <cellStyle name="Normal 41 2" xfId="8772"/>
    <cellStyle name="Normal 42" xfId="8773"/>
    <cellStyle name="Normal 42 2" xfId="8774"/>
    <cellStyle name="Normal 43" xfId="8775"/>
    <cellStyle name="Normal 43 2" xfId="8776"/>
    <cellStyle name="Normal 44" xfId="8777"/>
    <cellStyle name="Normal 44 2" xfId="8778"/>
    <cellStyle name="Normal 45" xfId="8779"/>
    <cellStyle name="Normal 45 2" xfId="8780"/>
    <cellStyle name="Normal 46" xfId="8781"/>
    <cellStyle name="Normal 46 2" xfId="8782"/>
    <cellStyle name="Normal 47" xfId="8783"/>
    <cellStyle name="Normal 47 2" xfId="8784"/>
    <cellStyle name="Normal 47 2 2" xfId="8785"/>
    <cellStyle name="Normal 47 3" xfId="8786"/>
    <cellStyle name="Normal 47 3 2" xfId="8787"/>
    <cellStyle name="Normal 47 4" xfId="8788"/>
    <cellStyle name="Normal 48" xfId="8789"/>
    <cellStyle name="Normal 48 2" xfId="8790"/>
    <cellStyle name="Normal 49" xfId="8791"/>
    <cellStyle name="Normal 49 2" xfId="8792"/>
    <cellStyle name="Normal 5" xfId="204"/>
    <cellStyle name="Normal 5 10" xfId="1914"/>
    <cellStyle name="Normal 5 10 2" xfId="17707"/>
    <cellStyle name="Normal 5 11" xfId="18911"/>
    <cellStyle name="Normal 5 12" xfId="15663"/>
    <cellStyle name="Normal 5 13" xfId="20589"/>
    <cellStyle name="Normal 5 14" xfId="8793"/>
    <cellStyle name="Normal 5 15" xfId="20929"/>
    <cellStyle name="Normal 5 16" xfId="20949"/>
    <cellStyle name="Normal 5 2" xfId="423"/>
    <cellStyle name="Normal 5 2 10" xfId="15402"/>
    <cellStyle name="Normal 5 2 11" xfId="20519"/>
    <cellStyle name="Normal 5 2 12" xfId="8794"/>
    <cellStyle name="Normal 5 2 2" xfId="598"/>
    <cellStyle name="Normal 5 2 2 10" xfId="13851"/>
    <cellStyle name="Normal 5 2 2 2" xfId="865"/>
    <cellStyle name="Normal 5 2 2 2 2" xfId="1139"/>
    <cellStyle name="Normal 5 2 2 2 2 2" xfId="1798"/>
    <cellStyle name="Normal 5 2 2 2 2 2 2" xfId="4217"/>
    <cellStyle name="Normal 5 2 2 2 2 2 2 2" xfId="16247"/>
    <cellStyle name="Normal 5 2 2 2 2 2 3" xfId="3226"/>
    <cellStyle name="Normal 5 2 2 2 2 2 3 2" xfId="16308"/>
    <cellStyle name="Normal 5 2 2 2 2 2 4" xfId="17804"/>
    <cellStyle name="Normal 5 2 2 2 2 2 5" xfId="19361"/>
    <cellStyle name="Normal 5 2 2 2 2 2 6" xfId="14953"/>
    <cellStyle name="Normal 5 2 2 2 2 3" xfId="4216"/>
    <cellStyle name="Normal 5 2 2 2 2 3 2" xfId="16180"/>
    <cellStyle name="Normal 5 2 2 2 2 4" xfId="2570"/>
    <cellStyle name="Normal 5 2 2 2 2 4 2" xfId="16599"/>
    <cellStyle name="Normal 5 2 2 2 2 5" xfId="17446"/>
    <cellStyle name="Normal 5 2 2 2 2 6" xfId="19933"/>
    <cellStyle name="Normal 5 2 2 2 2 7" xfId="14319"/>
    <cellStyle name="Normal 5 2 2 2 3" xfId="1524"/>
    <cellStyle name="Normal 5 2 2 2 3 2" xfId="4218"/>
    <cellStyle name="Normal 5 2 2 2 3 2 2" xfId="16147"/>
    <cellStyle name="Normal 5 2 2 2 3 3" xfId="2952"/>
    <cellStyle name="Normal 5 2 2 2 3 3 2" xfId="19086"/>
    <cellStyle name="Normal 5 2 2 2 3 4" xfId="17912"/>
    <cellStyle name="Normal 5 2 2 2 3 5" xfId="19633"/>
    <cellStyle name="Normal 5 2 2 2 3 6" xfId="14690"/>
    <cellStyle name="Normal 5 2 2 2 4" xfId="4215"/>
    <cellStyle name="Normal 5 2 2 2 4 2" xfId="16146"/>
    <cellStyle name="Normal 5 2 2 2 5" xfId="2296"/>
    <cellStyle name="Normal 5 2 2 2 5 2" xfId="18620"/>
    <cellStyle name="Normal 5 2 2 2 6" xfId="19138"/>
    <cellStyle name="Normal 5 2 2 2 7" xfId="20207"/>
    <cellStyle name="Normal 5 2 2 2 8" xfId="14069"/>
    <cellStyle name="Normal 5 2 2 3" xfId="721"/>
    <cellStyle name="Normal 5 2 2 3 2" xfId="1388"/>
    <cellStyle name="Normal 5 2 2 3 2 2" xfId="4220"/>
    <cellStyle name="Normal 5 2 2 3 2 2 2" xfId="16248"/>
    <cellStyle name="Normal 5 2 2 3 2 3" xfId="2816"/>
    <cellStyle name="Normal 5 2 2 3 2 3 2" xfId="16761"/>
    <cellStyle name="Normal 5 2 2 3 2 4" xfId="18131"/>
    <cellStyle name="Normal 5 2 2 3 2 5" xfId="19767"/>
    <cellStyle name="Normal 5 2 2 3 2 6" xfId="14565"/>
    <cellStyle name="Normal 5 2 2 3 3" xfId="4219"/>
    <cellStyle name="Normal 5 2 2 3 3 2" xfId="16181"/>
    <cellStyle name="Normal 5 2 2 3 4" xfId="2160"/>
    <cellStyle name="Normal 5 2 2 3 4 2" xfId="17719"/>
    <cellStyle name="Normal 5 2 2 3 5" xfId="17311"/>
    <cellStyle name="Normal 5 2 2 3 6" xfId="20343"/>
    <cellStyle name="Normal 5 2 2 3 7" xfId="13957"/>
    <cellStyle name="Normal 5 2 2 4" xfId="1003"/>
    <cellStyle name="Normal 5 2 2 4 2" xfId="1662"/>
    <cellStyle name="Normal 5 2 2 4 2 2" xfId="4222"/>
    <cellStyle name="Normal 5 2 2 4 2 2 2" xfId="15694"/>
    <cellStyle name="Normal 5 2 2 4 2 3" xfId="3090"/>
    <cellStyle name="Normal 5 2 2 4 2 3 2" xfId="16291"/>
    <cellStyle name="Normal 5 2 2 4 2 4" xfId="19214"/>
    <cellStyle name="Normal 5 2 2 4 2 5" xfId="19495"/>
    <cellStyle name="Normal 5 2 2 4 2 6" xfId="14828"/>
    <cellStyle name="Normal 5 2 2 4 3" xfId="4221"/>
    <cellStyle name="Normal 5 2 2 4 3 2" xfId="15693"/>
    <cellStyle name="Normal 5 2 2 4 4" xfId="2434"/>
    <cellStyle name="Normal 5 2 2 4 4 2" xfId="18945"/>
    <cellStyle name="Normal 5 2 2 4 5" xfId="16219"/>
    <cellStyle name="Normal 5 2 2 4 6" xfId="20069"/>
    <cellStyle name="Normal 5 2 2 4 7" xfId="14207"/>
    <cellStyle name="Normal 5 2 2 5" xfId="1283"/>
    <cellStyle name="Normal 5 2 2 5 2" xfId="4223"/>
    <cellStyle name="Normal 5 2 2 5 2 2" xfId="16893"/>
    <cellStyle name="Normal 5 2 2 5 3" xfId="2711"/>
    <cellStyle name="Normal 5 2 2 5 3 2" xfId="19125"/>
    <cellStyle name="Normal 5 2 2 5 4" xfId="19246"/>
    <cellStyle name="Normal 5 2 2 5 5" xfId="19842"/>
    <cellStyle name="Normal 5 2 2 5 6" xfId="14460"/>
    <cellStyle name="Normal 5 2 2 6" xfId="4214"/>
    <cellStyle name="Normal 5 2 2 6 2" xfId="16246"/>
    <cellStyle name="Normal 5 2 2 7" xfId="2053"/>
    <cellStyle name="Normal 5 2 2 7 2" xfId="15074"/>
    <cellStyle name="Normal 5 2 2 8" xfId="18704"/>
    <cellStyle name="Normal 5 2 2 9" xfId="20450"/>
    <cellStyle name="Normal 5 2 3" xfId="799"/>
    <cellStyle name="Normal 5 2 3 2" xfId="1078"/>
    <cellStyle name="Normal 5 2 3 2 2" xfId="1737"/>
    <cellStyle name="Normal 5 2 3 2 2 2" xfId="4226"/>
    <cellStyle name="Normal 5 2 3 2 2 2 2" xfId="18707"/>
    <cellStyle name="Normal 5 2 3 2 2 3" xfId="3165"/>
    <cellStyle name="Normal 5 2 3 2 2 3 2" xfId="17632"/>
    <cellStyle name="Normal 5 2 3 2 2 4" xfId="18655"/>
    <cellStyle name="Normal 5 2 3 2 2 5" xfId="19422"/>
    <cellStyle name="Normal 5 2 3 2 2 6" xfId="14892"/>
    <cellStyle name="Normal 5 2 3 2 3" xfId="4225"/>
    <cellStyle name="Normal 5 2 3 2 3 2" xfId="15696"/>
    <cellStyle name="Normal 5 2 3 2 4" xfId="2509"/>
    <cellStyle name="Normal 5 2 3 2 4 2" xfId="18357"/>
    <cellStyle name="Normal 5 2 3 2 5" xfId="16537"/>
    <cellStyle name="Normal 5 2 3 2 6" xfId="19994"/>
    <cellStyle name="Normal 5 2 3 2 7" xfId="14261"/>
    <cellStyle name="Normal 5 2 3 3" xfId="1463"/>
    <cellStyle name="Normal 5 2 3 3 2" xfId="4227"/>
    <cellStyle name="Normal 5 2 3 3 2 2" xfId="18217"/>
    <cellStyle name="Normal 5 2 3 3 3" xfId="2891"/>
    <cellStyle name="Normal 5 2 3 3 3 2" xfId="17624"/>
    <cellStyle name="Normal 5 2 3 3 4" xfId="18386"/>
    <cellStyle name="Normal 5 2 3 3 5" xfId="19694"/>
    <cellStyle name="Normal 5 2 3 3 6" xfId="14629"/>
    <cellStyle name="Normal 5 2 3 4" xfId="4224"/>
    <cellStyle name="Normal 5 2 3 4 2" xfId="15695"/>
    <cellStyle name="Normal 5 2 3 5" xfId="2235"/>
    <cellStyle name="Normal 5 2 3 5 2" xfId="17377"/>
    <cellStyle name="Normal 5 2 3 6" xfId="18313"/>
    <cellStyle name="Normal 5 2 3 7" xfId="20268"/>
    <cellStyle name="Normal 5 2 3 8" xfId="14012"/>
    <cellStyle name="Normal 5 2 4" xfId="670"/>
    <cellStyle name="Normal 5 2 4 2" xfId="1337"/>
    <cellStyle name="Normal 5 2 4 2 2" xfId="4229"/>
    <cellStyle name="Normal 5 2 4 2 2 2" xfId="16150"/>
    <cellStyle name="Normal 5 2 4 2 3" xfId="2765"/>
    <cellStyle name="Normal 5 2 4 2 3 2" xfId="16717"/>
    <cellStyle name="Normal 5 2 4 2 4" xfId="18592"/>
    <cellStyle name="Normal 5 2 4 2 5" xfId="20680"/>
    <cellStyle name="Normal 5 2 4 2 6" xfId="14514"/>
    <cellStyle name="Normal 5 2 4 3" xfId="4228"/>
    <cellStyle name="Normal 5 2 4 3 2" xfId="18831"/>
    <cellStyle name="Normal 5 2 4 4" xfId="2109"/>
    <cellStyle name="Normal 5 2 4 4 2" xfId="17380"/>
    <cellStyle name="Normal 5 2 4 5" xfId="17328"/>
    <cellStyle name="Normal 5 2 4 6" xfId="20394"/>
    <cellStyle name="Normal 5 2 4 7" xfId="13907"/>
    <cellStyle name="Normal 5 2 5" xfId="952"/>
    <cellStyle name="Normal 5 2 5 2" xfId="1611"/>
    <cellStyle name="Normal 5 2 5 2 2" xfId="4231"/>
    <cellStyle name="Normal 5 2 5 2 2 2" xfId="16184"/>
    <cellStyle name="Normal 5 2 5 2 3" xfId="3039"/>
    <cellStyle name="Normal 5 2 5 2 3 2" xfId="18007"/>
    <cellStyle name="Normal 5 2 5 2 4" xfId="17392"/>
    <cellStyle name="Normal 5 2 5 2 5" xfId="19546"/>
    <cellStyle name="Normal 5 2 5 2 6" xfId="14777"/>
    <cellStyle name="Normal 5 2 5 3" xfId="4230"/>
    <cellStyle name="Normal 5 2 5 3 2" xfId="18228"/>
    <cellStyle name="Normal 5 2 5 4" xfId="2383"/>
    <cellStyle name="Normal 5 2 5 4 2" xfId="19003"/>
    <cellStyle name="Normal 5 2 5 5" xfId="18969"/>
    <cellStyle name="Normal 5 2 5 6" xfId="20120"/>
    <cellStyle name="Normal 5 2 5 7" xfId="14156"/>
    <cellStyle name="Normal 5 2 6" xfId="1232"/>
    <cellStyle name="Normal 5 2 6 2" xfId="4232"/>
    <cellStyle name="Normal 5 2 6 2 2" xfId="16190"/>
    <cellStyle name="Normal 5 2 6 3" xfId="2660"/>
    <cellStyle name="Normal 5 2 6 3 2" xfId="16639"/>
    <cellStyle name="Normal 5 2 6 4" xfId="17562"/>
    <cellStyle name="Normal 5 2 6 5" xfId="19893"/>
    <cellStyle name="Normal 5 2 6 6" xfId="14409"/>
    <cellStyle name="Normal 5 2 7" xfId="4213"/>
    <cellStyle name="Normal 5 2 7 2" xfId="13734"/>
    <cellStyle name="Normal 5 2 8" xfId="1984"/>
    <cellStyle name="Normal 5 2 8 2" xfId="17186"/>
    <cellStyle name="Normal 5 2 9" xfId="18754"/>
    <cellStyle name="Normal 5 3" xfId="514"/>
    <cellStyle name="Normal 5 3 10" xfId="20497"/>
    <cellStyle name="Normal 5 3 11" xfId="13787"/>
    <cellStyle name="Normal 5 3 2" xfId="617"/>
    <cellStyle name="Normal 5 3 2 10" xfId="13867"/>
    <cellStyle name="Normal 5 3 2 2" xfId="881"/>
    <cellStyle name="Normal 5 3 2 2 2" xfId="1155"/>
    <cellStyle name="Normal 5 3 2 2 2 2" xfId="1814"/>
    <cellStyle name="Normal 5 3 2 2 2 2 2" xfId="4237"/>
    <cellStyle name="Normal 5 3 2 2 2 2 2 2" xfId="16381"/>
    <cellStyle name="Normal 5 3 2 2 2 2 3" xfId="3242"/>
    <cellStyle name="Normal 5 3 2 2 2 2 3 2" xfId="16316"/>
    <cellStyle name="Normal 5 3 2 2 2 2 4" xfId="17152"/>
    <cellStyle name="Normal 5 3 2 2 2 2 5" xfId="19345"/>
    <cellStyle name="Normal 5 3 2 2 2 2 6" xfId="14969"/>
    <cellStyle name="Normal 5 3 2 2 2 3" xfId="4236"/>
    <cellStyle name="Normal 5 3 2 2 2 3 2" xfId="16251"/>
    <cellStyle name="Normal 5 3 2 2 2 4" xfId="2586"/>
    <cellStyle name="Normal 5 3 2 2 2 4 2" xfId="18438"/>
    <cellStyle name="Normal 5 3 2 2 2 5" xfId="18701"/>
    <cellStyle name="Normal 5 3 2 2 2 6" xfId="20744"/>
    <cellStyle name="Normal 5 3 2 2 2 7" xfId="14335"/>
    <cellStyle name="Normal 5 3 2 2 3" xfId="1540"/>
    <cellStyle name="Normal 5 3 2 2 3 2" xfId="4238"/>
    <cellStyle name="Normal 5 3 2 2 3 2 2" xfId="18218"/>
    <cellStyle name="Normal 5 3 2 2 3 3" xfId="2968"/>
    <cellStyle name="Normal 5 3 2 2 3 3 2" xfId="15845"/>
    <cellStyle name="Normal 5 3 2 2 3 4" xfId="18029"/>
    <cellStyle name="Normal 5 3 2 2 3 5" xfId="19617"/>
    <cellStyle name="Normal 5 3 2 2 3 6" xfId="14706"/>
    <cellStyle name="Normal 5 3 2 2 4" xfId="4235"/>
    <cellStyle name="Normal 5 3 2 2 4 2" xfId="16212"/>
    <cellStyle name="Normal 5 3 2 2 5" xfId="2312"/>
    <cellStyle name="Normal 5 3 2 2 5 2" xfId="18258"/>
    <cellStyle name="Normal 5 3 2 2 6" xfId="19060"/>
    <cellStyle name="Normal 5 3 2 2 7" xfId="20191"/>
    <cellStyle name="Normal 5 3 2 2 8" xfId="14085"/>
    <cellStyle name="Normal 5 3 2 3" xfId="737"/>
    <cellStyle name="Normal 5 3 2 3 2" xfId="1404"/>
    <cellStyle name="Normal 5 3 2 3 2 2" xfId="4240"/>
    <cellStyle name="Normal 5 3 2 3 2 2 2" xfId="16382"/>
    <cellStyle name="Normal 5 3 2 3 2 3" xfId="2832"/>
    <cellStyle name="Normal 5 3 2 3 2 3 2" xfId="16770"/>
    <cellStyle name="Normal 5 3 2 3 2 4" xfId="17615"/>
    <cellStyle name="Normal 5 3 2 3 2 5" xfId="19753"/>
    <cellStyle name="Normal 5 3 2 3 2 6" xfId="14581"/>
    <cellStyle name="Normal 5 3 2 3 3" xfId="4239"/>
    <cellStyle name="Normal 5 3 2 3 3 2" xfId="18365"/>
    <cellStyle name="Normal 5 3 2 3 4" xfId="2176"/>
    <cellStyle name="Normal 5 3 2 3 4 2" xfId="15657"/>
    <cellStyle name="Normal 5 3 2 3 5" xfId="17227"/>
    <cellStyle name="Normal 5 3 2 3 6" xfId="20327"/>
    <cellStyle name="Normal 5 3 2 3 7" xfId="13973"/>
    <cellStyle name="Normal 5 3 2 4" xfId="1019"/>
    <cellStyle name="Normal 5 3 2 4 2" xfId="1678"/>
    <cellStyle name="Normal 5 3 2 4 2 2" xfId="4242"/>
    <cellStyle name="Normal 5 3 2 4 2 2 2" xfId="16384"/>
    <cellStyle name="Normal 5 3 2 4 2 3" xfId="3106"/>
    <cellStyle name="Normal 5 3 2 4 2 3 2" xfId="19259"/>
    <cellStyle name="Normal 5 3 2 4 2 4" xfId="17971"/>
    <cellStyle name="Normal 5 3 2 4 2 5" xfId="19479"/>
    <cellStyle name="Normal 5 3 2 4 2 6" xfId="14844"/>
    <cellStyle name="Normal 5 3 2 4 3" xfId="4241"/>
    <cellStyle name="Normal 5 3 2 4 3 2" xfId="16383"/>
    <cellStyle name="Normal 5 3 2 4 4" xfId="2450"/>
    <cellStyle name="Normal 5 3 2 4 4 2" xfId="18850"/>
    <cellStyle name="Normal 5 3 2 4 5" xfId="16138"/>
    <cellStyle name="Normal 5 3 2 4 6" xfId="20053"/>
    <cellStyle name="Normal 5 3 2 4 7" xfId="14223"/>
    <cellStyle name="Normal 5 3 2 5" xfId="1299"/>
    <cellStyle name="Normal 5 3 2 5 2" xfId="4243"/>
    <cellStyle name="Normal 5 3 2 5 2 2" xfId="16385"/>
    <cellStyle name="Normal 5 3 2 5 3" xfId="2727"/>
    <cellStyle name="Normal 5 3 2 5 3 2" xfId="16689"/>
    <cellStyle name="Normal 5 3 2 5 4" xfId="17883"/>
    <cellStyle name="Normal 5 3 2 5 5" xfId="19826"/>
    <cellStyle name="Normal 5 3 2 5 6" xfId="14476"/>
    <cellStyle name="Normal 5 3 2 6" xfId="4234"/>
    <cellStyle name="Normal 5 3 2 6 2" xfId="16202"/>
    <cellStyle name="Normal 5 3 2 7" xfId="2069"/>
    <cellStyle name="Normal 5 3 2 7 2" xfId="17486"/>
    <cellStyle name="Normal 5 3 2 8" xfId="17269"/>
    <cellStyle name="Normal 5 3 2 9" xfId="20434"/>
    <cellStyle name="Normal 5 3 3" xfId="826"/>
    <cellStyle name="Normal 5 3 3 2" xfId="1104"/>
    <cellStyle name="Normal 5 3 3 2 2" xfId="1763"/>
    <cellStyle name="Normal 5 3 3 2 2 2" xfId="4246"/>
    <cellStyle name="Normal 5 3 3 2 2 2 2" xfId="16388"/>
    <cellStyle name="Normal 5 3 3 2 2 3" xfId="3191"/>
    <cellStyle name="Normal 5 3 3 2 2 3 2" xfId="18269"/>
    <cellStyle name="Normal 5 3 3 2 2 4" xfId="18905"/>
    <cellStyle name="Normal 5 3 3 2 2 5" xfId="19396"/>
    <cellStyle name="Normal 5 3 3 2 2 6" xfId="14918"/>
    <cellStyle name="Normal 5 3 3 2 3" xfId="4245"/>
    <cellStyle name="Normal 5 3 3 2 3 2" xfId="16387"/>
    <cellStyle name="Normal 5 3 3 2 4" xfId="2535"/>
    <cellStyle name="Normal 5 3 3 2 4 2" xfId="18430"/>
    <cellStyle name="Normal 5 3 3 2 5" xfId="16556"/>
    <cellStyle name="Normal 5 3 3 2 6" xfId="19968"/>
    <cellStyle name="Normal 5 3 3 2 7" xfId="14285"/>
    <cellStyle name="Normal 5 3 3 3" xfId="1489"/>
    <cellStyle name="Normal 5 3 3 3 2" xfId="4247"/>
    <cellStyle name="Normal 5 3 3 3 2 2" xfId="16389"/>
    <cellStyle name="Normal 5 3 3 3 3" xfId="2917"/>
    <cellStyle name="Normal 5 3 3 3 3 2" xfId="17300"/>
    <cellStyle name="Normal 5 3 3 3 4" xfId="17343"/>
    <cellStyle name="Normal 5 3 3 3 5" xfId="19668"/>
    <cellStyle name="Normal 5 3 3 3 6" xfId="14655"/>
    <cellStyle name="Normal 5 3 3 4" xfId="4244"/>
    <cellStyle name="Normal 5 3 3 4 2" xfId="16386"/>
    <cellStyle name="Normal 5 3 3 5" xfId="2261"/>
    <cellStyle name="Normal 5 3 3 5 2" xfId="18760"/>
    <cellStyle name="Normal 5 3 3 6" xfId="18778"/>
    <cellStyle name="Normal 5 3 3 7" xfId="20242"/>
    <cellStyle name="Normal 5 3 3 8" xfId="14036"/>
    <cellStyle name="Normal 5 3 4" xfId="686"/>
    <cellStyle name="Normal 5 3 4 2" xfId="1353"/>
    <cellStyle name="Normal 5 3 4 2 2" xfId="4249"/>
    <cellStyle name="Normal 5 3 4 2 2 2" xfId="16391"/>
    <cellStyle name="Normal 5 3 4 2 3" xfId="2781"/>
    <cellStyle name="Normal 5 3 4 2 3 2" xfId="16733"/>
    <cellStyle name="Normal 5 3 4 2 4" xfId="17587"/>
    <cellStyle name="Normal 5 3 4 2 5" xfId="20752"/>
    <cellStyle name="Normal 5 3 4 2 6" xfId="14530"/>
    <cellStyle name="Normal 5 3 4 3" xfId="4248"/>
    <cellStyle name="Normal 5 3 4 3 2" xfId="16390"/>
    <cellStyle name="Normal 5 3 4 4" xfId="2125"/>
    <cellStyle name="Normal 5 3 4 4 2" xfId="17940"/>
    <cellStyle name="Normal 5 3 4 5" xfId="16452"/>
    <cellStyle name="Normal 5 3 4 6" xfId="20378"/>
    <cellStyle name="Normal 5 3 4 7" xfId="13923"/>
    <cellStyle name="Normal 5 3 5" xfId="968"/>
    <cellStyle name="Normal 5 3 5 2" xfId="1627"/>
    <cellStyle name="Normal 5 3 5 2 2" xfId="4251"/>
    <cellStyle name="Normal 5 3 5 2 2 2" xfId="19140"/>
    <cellStyle name="Normal 5 3 5 2 3" xfId="3055"/>
    <cellStyle name="Normal 5 3 5 2 3 2" xfId="17540"/>
    <cellStyle name="Normal 5 3 5 2 4" xfId="17856"/>
    <cellStyle name="Normal 5 3 5 2 5" xfId="19530"/>
    <cellStyle name="Normal 5 3 5 2 6" xfId="14793"/>
    <cellStyle name="Normal 5 3 5 3" xfId="4250"/>
    <cellStyle name="Normal 5 3 5 3 2" xfId="16392"/>
    <cellStyle name="Normal 5 3 5 4" xfId="2399"/>
    <cellStyle name="Normal 5 3 5 4 2" xfId="18401"/>
    <cellStyle name="Normal 5 3 5 5" xfId="16507"/>
    <cellStyle name="Normal 5 3 5 6" xfId="20104"/>
    <cellStyle name="Normal 5 3 5 7" xfId="14172"/>
    <cellStyle name="Normal 5 3 6" xfId="1248"/>
    <cellStyle name="Normal 5 3 6 2" xfId="4252"/>
    <cellStyle name="Normal 5 3 6 2 2" xfId="15610"/>
    <cellStyle name="Normal 5 3 6 3" xfId="2676"/>
    <cellStyle name="Normal 5 3 6 3 2" xfId="16653"/>
    <cellStyle name="Normal 5 3 6 4" xfId="17308"/>
    <cellStyle name="Normal 5 3 6 5" xfId="19877"/>
    <cellStyle name="Normal 5 3 6 6" xfId="14425"/>
    <cellStyle name="Normal 5 3 7" xfId="4233"/>
    <cellStyle name="Normal 5 3 7 2" xfId="16201"/>
    <cellStyle name="Normal 5 3 8" xfId="2006"/>
    <cellStyle name="Normal 5 3 8 2" xfId="17193"/>
    <cellStyle name="Normal 5 3 9" xfId="18966"/>
    <cellStyle name="Normal 5 4" xfId="566"/>
    <cellStyle name="Normal 5 4 10" xfId="13823"/>
    <cellStyle name="Normal 5 4 2" xfId="836"/>
    <cellStyle name="Normal 5 4 2 2" xfId="1110"/>
    <cellStyle name="Normal 5 4 2 2 2" xfId="1769"/>
    <cellStyle name="Normal 5 4 2 2 2 2" xfId="4256"/>
    <cellStyle name="Normal 5 4 2 2 2 2 2" xfId="15241"/>
    <cellStyle name="Normal 5 4 2 2 2 3" xfId="3197"/>
    <cellStyle name="Normal 5 4 2 2 2 3 2" xfId="15852"/>
    <cellStyle name="Normal 5 4 2 2 2 4" xfId="17471"/>
    <cellStyle name="Normal 5 4 2 2 2 5" xfId="19390"/>
    <cellStyle name="Normal 5 4 2 2 2 6" xfId="14924"/>
    <cellStyle name="Normal 5 4 2 2 3" xfId="4255"/>
    <cellStyle name="Normal 5 4 2 2 3 2" xfId="15392"/>
    <cellStyle name="Normal 5 4 2 2 4" xfId="2541"/>
    <cellStyle name="Normal 5 4 2 2 4 2" xfId="16577"/>
    <cellStyle name="Normal 5 4 2 2 5" xfId="18484"/>
    <cellStyle name="Normal 5 4 2 2 6" xfId="19962"/>
    <cellStyle name="Normal 5 4 2 2 7" xfId="14291"/>
    <cellStyle name="Normal 5 4 2 3" xfId="1495"/>
    <cellStyle name="Normal 5 4 2 3 2" xfId="4257"/>
    <cellStyle name="Normal 5 4 2 3 2 2" xfId="15502"/>
    <cellStyle name="Normal 5 4 2 3 3" xfId="2923"/>
    <cellStyle name="Normal 5 4 2 3 3 2" xfId="16778"/>
    <cellStyle name="Normal 5 4 2 3 4" xfId="18106"/>
    <cellStyle name="Normal 5 4 2 3 5" xfId="19662"/>
    <cellStyle name="Normal 5 4 2 3 6" xfId="14661"/>
    <cellStyle name="Normal 5 4 2 4" xfId="4254"/>
    <cellStyle name="Normal 5 4 2 4 2" xfId="15137"/>
    <cellStyle name="Normal 5 4 2 5" xfId="2267"/>
    <cellStyle name="Normal 5 4 2 5 2" xfId="15807"/>
    <cellStyle name="Normal 5 4 2 6" xfId="16482"/>
    <cellStyle name="Normal 5 4 2 7" xfId="20236"/>
    <cellStyle name="Normal 5 4 2 8" xfId="14041"/>
    <cellStyle name="Normal 5 4 3" xfId="692"/>
    <cellStyle name="Normal 5 4 3 2" xfId="1359"/>
    <cellStyle name="Normal 5 4 3 2 2" xfId="4259"/>
    <cellStyle name="Normal 5 4 3 2 2 2" xfId="15087"/>
    <cellStyle name="Normal 5 4 3 2 3" xfId="2787"/>
    <cellStyle name="Normal 5 4 3 2 3 2" xfId="16739"/>
    <cellStyle name="Normal 5 4 3 2 4" xfId="17850"/>
    <cellStyle name="Normal 5 4 3 2 5" xfId="20750"/>
    <cellStyle name="Normal 5 4 3 2 6" xfId="14536"/>
    <cellStyle name="Normal 5 4 3 3" xfId="4258"/>
    <cellStyle name="Normal 5 4 3 3 2" xfId="15191"/>
    <cellStyle name="Normal 5 4 3 4" xfId="2131"/>
    <cellStyle name="Normal 5 4 3 4 2" xfId="17403"/>
    <cellStyle name="Normal 5 4 3 5" xfId="18288"/>
    <cellStyle name="Normal 5 4 3 6" xfId="20372"/>
    <cellStyle name="Normal 5 4 3 7" xfId="13929"/>
    <cellStyle name="Normal 5 4 4" xfId="974"/>
    <cellStyle name="Normal 5 4 4 2" xfId="1633"/>
    <cellStyle name="Normal 5 4 4 2 2" xfId="4261"/>
    <cellStyle name="Normal 5 4 4 2 2 2" xfId="15455"/>
    <cellStyle name="Normal 5 4 4 2 3" xfId="3061"/>
    <cellStyle name="Normal 5 4 4 2 3 2" xfId="18479"/>
    <cellStyle name="Normal 5 4 4 2 4" xfId="17609"/>
    <cellStyle name="Normal 5 4 4 2 5" xfId="19524"/>
    <cellStyle name="Normal 5 4 4 2 6" xfId="14799"/>
    <cellStyle name="Normal 5 4 4 3" xfId="4260"/>
    <cellStyle name="Normal 5 4 4 3 2" xfId="15344"/>
    <cellStyle name="Normal 5 4 4 4" xfId="2405"/>
    <cellStyle name="Normal 5 4 4 4 2" xfId="16094"/>
    <cellStyle name="Normal 5 4 4 5" xfId="18320"/>
    <cellStyle name="Normal 5 4 4 6" xfId="20098"/>
    <cellStyle name="Normal 5 4 4 7" xfId="14178"/>
    <cellStyle name="Normal 5 4 5" xfId="1254"/>
    <cellStyle name="Normal 5 4 5 2" xfId="4262"/>
    <cellStyle name="Normal 5 4 5 2 2" xfId="16148"/>
    <cellStyle name="Normal 5 4 5 3" xfId="2682"/>
    <cellStyle name="Normal 5 4 5 3 2" xfId="16658"/>
    <cellStyle name="Normal 5 4 5 4" xfId="15274"/>
    <cellStyle name="Normal 5 4 5 5" xfId="19871"/>
    <cellStyle name="Normal 5 4 5 6" xfId="14431"/>
    <cellStyle name="Normal 5 4 6" xfId="4253"/>
    <cellStyle name="Normal 5 4 6 2" xfId="15289"/>
    <cellStyle name="Normal 5 4 7" xfId="2021"/>
    <cellStyle name="Normal 5 4 7 2" xfId="17194"/>
    <cellStyle name="Normal 5 4 8" xfId="17445"/>
    <cellStyle name="Normal 5 4 9" xfId="20482"/>
    <cellStyle name="Normal 5 5" xfId="758"/>
    <cellStyle name="Normal 5 5 2" xfId="1039"/>
    <cellStyle name="Normal 5 5 2 2" xfId="1698"/>
    <cellStyle name="Normal 5 5 2 2 2" xfId="4265"/>
    <cellStyle name="Normal 5 5 2 2 2 2" xfId="15538"/>
    <cellStyle name="Normal 5 5 2 2 3" xfId="3126"/>
    <cellStyle name="Normal 5 5 2 2 3 2" xfId="18186"/>
    <cellStyle name="Normal 5 5 2 2 4" xfId="18121"/>
    <cellStyle name="Normal 5 5 2 2 5" xfId="19461"/>
    <cellStyle name="Normal 5 5 2 2 6" xfId="14864"/>
    <cellStyle name="Normal 5 5 2 3" xfId="4264"/>
    <cellStyle name="Normal 5 5 2 3 2" xfId="16249"/>
    <cellStyle name="Normal 5 5 2 4" xfId="2470"/>
    <cellStyle name="Normal 5 5 2 4 2" xfId="15060"/>
    <cellStyle name="Normal 5 5 2 5" xfId="16516"/>
    <cellStyle name="Normal 5 5 2 6" xfId="20033"/>
    <cellStyle name="Normal 5 5 2 7" xfId="14238"/>
    <cellStyle name="Normal 5 5 3" xfId="1424"/>
    <cellStyle name="Normal 5 5 3 2" xfId="4266"/>
    <cellStyle name="Normal 5 5 3 2 2" xfId="15266"/>
    <cellStyle name="Normal 5 5 3 3" xfId="2852"/>
    <cellStyle name="Normal 5 5 3 3 2" xfId="16206"/>
    <cellStyle name="Normal 5 5 3 4" xfId="15499"/>
    <cellStyle name="Normal 5 5 3 5" xfId="19733"/>
    <cellStyle name="Normal 5 5 3 6" xfId="14601"/>
    <cellStyle name="Normal 5 5 4" xfId="4263"/>
    <cellStyle name="Normal 5 5 4 2" xfId="16182"/>
    <cellStyle name="Normal 5 5 5" xfId="2196"/>
    <cellStyle name="Normal 5 5 5 2" xfId="15478"/>
    <cellStyle name="Normal 5 5 6" xfId="17095"/>
    <cellStyle name="Normal 5 5 7" xfId="20307"/>
    <cellStyle name="Normal 5 5 8" xfId="13988"/>
    <cellStyle name="Normal 5 6" xfId="641"/>
    <cellStyle name="Normal 5 6 2" xfId="1308"/>
    <cellStyle name="Normal 5 6 2 2" xfId="4268"/>
    <cellStyle name="Normal 5 6 2 2 2" xfId="15369"/>
    <cellStyle name="Normal 5 6 2 3" xfId="2736"/>
    <cellStyle name="Normal 5 6 2 3 2" xfId="16697"/>
    <cellStyle name="Normal 5 6 2 4" xfId="17849"/>
    <cellStyle name="Normal 5 6 2 5" xfId="19817"/>
    <cellStyle name="Normal 5 6 2 6" xfId="14485"/>
    <cellStyle name="Normal 5 6 3" xfId="4267"/>
    <cellStyle name="Normal 5 6 3 2" xfId="15114"/>
    <cellStyle name="Normal 5 6 4" xfId="2080"/>
    <cellStyle name="Normal 5 6 4 2" xfId="17201"/>
    <cellStyle name="Normal 5 6 5" xfId="17218"/>
    <cellStyle name="Normal 5 6 6" xfId="20423"/>
    <cellStyle name="Normal 5 6 7" xfId="13878"/>
    <cellStyle name="Normal 5 7" xfId="923"/>
    <cellStyle name="Normal 5 7 2" xfId="1582"/>
    <cellStyle name="Normal 5 7 2 2" xfId="4270"/>
    <cellStyle name="Normal 5 7 2 2 2" xfId="15479"/>
    <cellStyle name="Normal 5 7 2 3" xfId="3010"/>
    <cellStyle name="Normal 5 7 2 3 2" xfId="16087"/>
    <cellStyle name="Normal 5 7 2 4" xfId="15110"/>
    <cellStyle name="Normal 5 7 2 5" xfId="19575"/>
    <cellStyle name="Normal 5 7 2 6" xfId="14748"/>
    <cellStyle name="Normal 5 7 3" xfId="4269"/>
    <cellStyle name="Normal 5 7 3 2" xfId="15218"/>
    <cellStyle name="Normal 5 7 4" xfId="2354"/>
    <cellStyle name="Normal 5 7 4 2" xfId="15654"/>
    <cellStyle name="Normal 5 7 5" xfId="18953"/>
    <cellStyle name="Normal 5 7 6" xfId="20149"/>
    <cellStyle name="Normal 5 7 7" xfId="14127"/>
    <cellStyle name="Normal 5 8" xfId="1203"/>
    <cellStyle name="Normal 5 8 2" xfId="4271"/>
    <cellStyle name="Normal 5 8 2 2" xfId="15163"/>
    <cellStyle name="Normal 5 8 3" xfId="2631"/>
    <cellStyle name="Normal 5 8 3 2" xfId="17058"/>
    <cellStyle name="Normal 5 8 4" xfId="17679"/>
    <cellStyle name="Normal 5 8 5" xfId="19922"/>
    <cellStyle name="Normal 5 8 6" xfId="14380"/>
    <cellStyle name="Normal 5 9" xfId="4212"/>
    <cellStyle name="Normal 5 9 2" xfId="13695"/>
    <cellStyle name="Normal 50" xfId="8795"/>
    <cellStyle name="Normal 51" xfId="8796"/>
    <cellStyle name="Normal 52" xfId="8797"/>
    <cellStyle name="Normal 53" xfId="8798"/>
    <cellStyle name="Normal 54" xfId="8799"/>
    <cellStyle name="Normal 55" xfId="8800"/>
    <cellStyle name="Normal 55 2" xfId="8801"/>
    <cellStyle name="Normal 55 2 2" xfId="8802"/>
    <cellStyle name="Normal 55 2 2 2" xfId="8803"/>
    <cellStyle name="Normal 55 2 2 2 2" xfId="13214"/>
    <cellStyle name="Normal 55 2 2 3" xfId="13215"/>
    <cellStyle name="Normal 55 2 3" xfId="8804"/>
    <cellStyle name="Normal 55 2 3 2" xfId="13216"/>
    <cellStyle name="Normal 55 2 4" xfId="13217"/>
    <cellStyle name="Normal 55 3" xfId="8805"/>
    <cellStyle name="Normal 55 3 2" xfId="8806"/>
    <cellStyle name="Normal 55 3 2 2" xfId="8807"/>
    <cellStyle name="Normal 55 3 2 2 2" xfId="13218"/>
    <cellStyle name="Normal 55 3 2 3" xfId="13219"/>
    <cellStyle name="Normal 55 3 3" xfId="8808"/>
    <cellStyle name="Normal 55 3 3 2" xfId="13220"/>
    <cellStyle name="Normal 55 3 4" xfId="13221"/>
    <cellStyle name="Normal 55 4" xfId="8809"/>
    <cellStyle name="Normal 55 4 2" xfId="8810"/>
    <cellStyle name="Normal 55 4 2 2" xfId="13222"/>
    <cellStyle name="Normal 55 4 3" xfId="13223"/>
    <cellStyle name="Normal 55 5" xfId="8811"/>
    <cellStyle name="Normal 55 5 2" xfId="13224"/>
    <cellStyle name="Normal 55 6" xfId="13225"/>
    <cellStyle name="Normal 56" xfId="8812"/>
    <cellStyle name="Normal 57" xfId="8813"/>
    <cellStyle name="Normal 58" xfId="8814"/>
    <cellStyle name="Normal 59" xfId="8815"/>
    <cellStyle name="Normal 6" xfId="205"/>
    <cellStyle name="Normal 6 10" xfId="18730"/>
    <cellStyle name="Normal 6 11" xfId="17360"/>
    <cellStyle name="Normal 6 12" xfId="20588"/>
    <cellStyle name="Normal 6 13" xfId="8816"/>
    <cellStyle name="Normal 6 14" xfId="20931"/>
    <cellStyle name="Normal 6 15" xfId="20958"/>
    <cellStyle name="Normal 6 2" xfId="424"/>
    <cellStyle name="Normal 6 2 10" xfId="15212"/>
    <cellStyle name="Normal 6 2 11" xfId="20518"/>
    <cellStyle name="Normal 6 2 12" xfId="8817"/>
    <cellStyle name="Normal 6 2 2" xfId="599"/>
    <cellStyle name="Normal 6 2 2 10" xfId="13852"/>
    <cellStyle name="Normal 6 2 2 2" xfId="866"/>
    <cellStyle name="Normal 6 2 2 2 2" xfId="1140"/>
    <cellStyle name="Normal 6 2 2 2 2 2" xfId="1799"/>
    <cellStyle name="Normal 6 2 2 2 2 2 2" xfId="4277"/>
    <cellStyle name="Normal 6 2 2 2 2 2 2 2" xfId="15279"/>
    <cellStyle name="Normal 6 2 2 2 2 2 3" xfId="3227"/>
    <cellStyle name="Normal 6 2 2 2 2 2 3 2" xfId="17788"/>
    <cellStyle name="Normal 6 2 2 2 2 2 4" xfId="17577"/>
    <cellStyle name="Normal 6 2 2 2 2 2 5" xfId="19360"/>
    <cellStyle name="Normal 6 2 2 2 2 2 6" xfId="14954"/>
    <cellStyle name="Normal 6 2 2 2 2 3" xfId="4276"/>
    <cellStyle name="Normal 6 2 2 2 2 3 2" xfId="15575"/>
    <cellStyle name="Normal 6 2 2 2 2 4" xfId="2571"/>
    <cellStyle name="Normal 6 2 2 2 2 4 2" xfId="16600"/>
    <cellStyle name="Normal 6 2 2 2 2 5" xfId="17243"/>
    <cellStyle name="Normal 6 2 2 2 2 6" xfId="19932"/>
    <cellStyle name="Normal 6 2 2 2 2 7" xfId="14320"/>
    <cellStyle name="Normal 6 2 2 2 3" xfId="1525"/>
    <cellStyle name="Normal 6 2 2 2 3 2" xfId="4278"/>
    <cellStyle name="Normal 6 2 2 2 3 2 2" xfId="15127"/>
    <cellStyle name="Normal 6 2 2 2 3 3" xfId="2953"/>
    <cellStyle name="Normal 6 2 2 2 3 3 2" xfId="18713"/>
    <cellStyle name="Normal 6 2 2 2 3 4" xfId="17500"/>
    <cellStyle name="Normal 6 2 2 2 3 5" xfId="19632"/>
    <cellStyle name="Normal 6 2 2 2 3 6" xfId="14691"/>
    <cellStyle name="Normal 6 2 2 2 4" xfId="4275"/>
    <cellStyle name="Normal 6 2 2 2 4 2" xfId="19017"/>
    <cellStyle name="Normal 6 2 2 2 5" xfId="2297"/>
    <cellStyle name="Normal 6 2 2 2 5 2" xfId="19033"/>
    <cellStyle name="Normal 6 2 2 2 6" xfId="19015"/>
    <cellStyle name="Normal 6 2 2 2 7" xfId="20206"/>
    <cellStyle name="Normal 6 2 2 2 8" xfId="14070"/>
    <cellStyle name="Normal 6 2 2 3" xfId="722"/>
    <cellStyle name="Normal 6 2 2 3 2" xfId="1389"/>
    <cellStyle name="Normal 6 2 2 3 2 2" xfId="4280"/>
    <cellStyle name="Normal 6 2 2 3 2 2 2" xfId="16149"/>
    <cellStyle name="Normal 6 2 2 3 2 3" xfId="2817"/>
    <cellStyle name="Normal 6 2 2 3 2 3 2" xfId="16762"/>
    <cellStyle name="Normal 6 2 2 3 2 4" xfId="17406"/>
    <cellStyle name="Normal 6 2 2 3 2 5" xfId="17676"/>
    <cellStyle name="Normal 6 2 2 3 2 6" xfId="14566"/>
    <cellStyle name="Normal 6 2 2 3 3" xfId="4279"/>
    <cellStyle name="Normal 6 2 2 3 3 2" xfId="15382"/>
    <cellStyle name="Normal 6 2 2 3 4" xfId="2161"/>
    <cellStyle name="Normal 6 2 2 3 4 2" xfId="18084"/>
    <cellStyle name="Normal 6 2 2 3 5" xfId="18292"/>
    <cellStyle name="Normal 6 2 2 3 6" xfId="20342"/>
    <cellStyle name="Normal 6 2 2 3 7" xfId="13958"/>
    <cellStyle name="Normal 6 2 2 4" xfId="1004"/>
    <cellStyle name="Normal 6 2 2 4 2" xfId="1663"/>
    <cellStyle name="Normal 6 2 2 4 2 2" xfId="4282"/>
    <cellStyle name="Normal 6 2 2 4 2 2 2" xfId="16250"/>
    <cellStyle name="Normal 6 2 2 4 2 3" xfId="3091"/>
    <cellStyle name="Normal 6 2 2 4 2 3 2" xfId="16292"/>
    <cellStyle name="Normal 6 2 2 4 2 4" xfId="15298"/>
    <cellStyle name="Normal 6 2 2 4 2 5" xfId="19494"/>
    <cellStyle name="Normal 6 2 2 4 2 6" xfId="14829"/>
    <cellStyle name="Normal 6 2 2 4 3" xfId="4281"/>
    <cellStyle name="Normal 6 2 2 4 3 2" xfId="16183"/>
    <cellStyle name="Normal 6 2 2 4 4" xfId="2435"/>
    <cellStyle name="Normal 6 2 2 4 4 2" xfId="15865"/>
    <cellStyle name="Normal 6 2 2 4 5" xfId="16133"/>
    <cellStyle name="Normal 6 2 2 4 6" xfId="20068"/>
    <cellStyle name="Normal 6 2 2 4 7" xfId="14208"/>
    <cellStyle name="Normal 6 2 2 5" xfId="1284"/>
    <cellStyle name="Normal 6 2 2 5 2" xfId="4283"/>
    <cellStyle name="Normal 6 2 2 5 2 2" xfId="17062"/>
    <cellStyle name="Normal 6 2 2 5 3" xfId="2712"/>
    <cellStyle name="Normal 6 2 2 5 3 2" xfId="16680"/>
    <cellStyle name="Normal 6 2 2 5 4" xfId="15790"/>
    <cellStyle name="Normal 6 2 2 5 5" xfId="19841"/>
    <cellStyle name="Normal 6 2 2 5 6" xfId="14461"/>
    <cellStyle name="Normal 6 2 2 6" xfId="4274"/>
    <cellStyle name="Normal 6 2 2 6 2" xfId="15423"/>
    <cellStyle name="Normal 6 2 2 7" xfId="2054"/>
    <cellStyle name="Normal 6 2 2 7 2" xfId="15329"/>
    <cellStyle name="Normal 6 2 2 8" xfId="18828"/>
    <cellStyle name="Normal 6 2 2 9" xfId="20449"/>
    <cellStyle name="Normal 6 2 3" xfId="800"/>
    <cellStyle name="Normal 6 2 3 2" xfId="1079"/>
    <cellStyle name="Normal 6 2 3 2 2" xfId="1738"/>
    <cellStyle name="Normal 6 2 3 2 2 2" xfId="4286"/>
    <cellStyle name="Normal 6 2 3 2 2 2 2" xfId="15180"/>
    <cellStyle name="Normal 6 2 3 2 2 3" xfId="3166"/>
    <cellStyle name="Normal 6 2 3 2 2 3 2" xfId="17557"/>
    <cellStyle name="Normal 6 2 3 2 2 4" xfId="15519"/>
    <cellStyle name="Normal 6 2 3 2 2 5" xfId="19421"/>
    <cellStyle name="Normal 6 2 3 2 2 6" xfId="14893"/>
    <cellStyle name="Normal 6 2 3 2 3" xfId="4285"/>
    <cellStyle name="Normal 6 2 3 2 3 2" xfId="15491"/>
    <cellStyle name="Normal 6 2 3 2 4" xfId="2510"/>
    <cellStyle name="Normal 6 2 3 2 4 2" xfId="18643"/>
    <cellStyle name="Normal 6 2 3 2 5" xfId="16538"/>
    <cellStyle name="Normal 6 2 3 2 6" xfId="19993"/>
    <cellStyle name="Normal 6 2 3 2 7" xfId="14262"/>
    <cellStyle name="Normal 6 2 3 3" xfId="1464"/>
    <cellStyle name="Normal 6 2 3 3 2" xfId="4287"/>
    <cellStyle name="Normal 6 2 3 3 2 2" xfId="15076"/>
    <cellStyle name="Normal 6 2 3 3 3" xfId="2892"/>
    <cellStyle name="Normal 6 2 3 3 3 2" xfId="17539"/>
    <cellStyle name="Normal 6 2 3 3 4" xfId="17949"/>
    <cellStyle name="Normal 6 2 3 3 5" xfId="19693"/>
    <cellStyle name="Normal 6 2 3 3 6" xfId="14630"/>
    <cellStyle name="Normal 6 2 3 4" xfId="4284"/>
    <cellStyle name="Normal 6 2 3 4 2" xfId="15230"/>
    <cellStyle name="Normal 6 2 3 5" xfId="2236"/>
    <cellStyle name="Normal 6 2 3 5 2" xfId="17124"/>
    <cellStyle name="Normal 6 2 3 6" xfId="16480"/>
    <cellStyle name="Normal 6 2 3 7" xfId="20267"/>
    <cellStyle name="Normal 6 2 3 8" xfId="14013"/>
    <cellStyle name="Normal 6 2 4" xfId="671"/>
    <cellStyle name="Normal 6 2 4 2" xfId="1338"/>
    <cellStyle name="Normal 6 2 4 2 2" xfId="4289"/>
    <cellStyle name="Normal 6 2 4 2 2 2" xfId="16252"/>
    <cellStyle name="Normal 6 2 4 2 3" xfId="2766"/>
    <cellStyle name="Normal 6 2 4 2 3 2" xfId="16718"/>
    <cellStyle name="Normal 6 2 4 2 4" xfId="18670"/>
    <cellStyle name="Normal 6 2 4 2 5" xfId="20757"/>
    <cellStyle name="Normal 6 2 4 2 6" xfId="14515"/>
    <cellStyle name="Normal 6 2 4 3" xfId="4288"/>
    <cellStyle name="Normal 6 2 4 3 2" xfId="15331"/>
    <cellStyle name="Normal 6 2 4 4" xfId="2110"/>
    <cellStyle name="Normal 6 2 4 4 2" xfId="15409"/>
    <cellStyle name="Normal 6 2 4 5" xfId="18138"/>
    <cellStyle name="Normal 6 2 4 6" xfId="20393"/>
    <cellStyle name="Normal 6 2 4 7" xfId="13908"/>
    <cellStyle name="Normal 6 2 5" xfId="953"/>
    <cellStyle name="Normal 6 2 5 2" xfId="1612"/>
    <cellStyle name="Normal 6 2 5 2 2" xfId="4291"/>
    <cellStyle name="Normal 6 2 5 2 2 2" xfId="16254"/>
    <cellStyle name="Normal 6 2 5 2 3" xfId="3040"/>
    <cellStyle name="Normal 6 2 5 2 3 2" xfId="17787"/>
    <cellStyle name="Normal 6 2 5 2 4" xfId="17469"/>
    <cellStyle name="Normal 6 2 5 2 5" xfId="19545"/>
    <cellStyle name="Normal 6 2 5 2 6" xfId="14778"/>
    <cellStyle name="Normal 6 2 5 3" xfId="4290"/>
    <cellStyle name="Normal 6 2 5 3 2" xfId="16253"/>
    <cellStyle name="Normal 6 2 5 4" xfId="2384"/>
    <cellStyle name="Normal 6 2 5 4 2" xfId="15930"/>
    <cellStyle name="Normal 6 2 5 5" xfId="18617"/>
    <cellStyle name="Normal 6 2 5 6" xfId="20119"/>
    <cellStyle name="Normal 6 2 5 7" xfId="14157"/>
    <cellStyle name="Normal 6 2 6" xfId="1233"/>
    <cellStyle name="Normal 6 2 6 2" xfId="4292"/>
    <cellStyle name="Normal 6 2 6 2 2" xfId="16255"/>
    <cellStyle name="Normal 6 2 6 3" xfId="2661"/>
    <cellStyle name="Normal 6 2 6 3 2" xfId="16640"/>
    <cellStyle name="Normal 6 2 6 4" xfId="17901"/>
    <cellStyle name="Normal 6 2 6 5" xfId="19892"/>
    <cellStyle name="Normal 6 2 6 6" xfId="14410"/>
    <cellStyle name="Normal 6 2 7" xfId="4273"/>
    <cellStyle name="Normal 6 2 7 2" xfId="13735"/>
    <cellStyle name="Normal 6 2 8" xfId="1985"/>
    <cellStyle name="Normal 6 2 8 2" xfId="19247"/>
    <cellStyle name="Normal 6 2 9" xfId="19065"/>
    <cellStyle name="Normal 6 3" xfId="567"/>
    <cellStyle name="Normal 6 3 10" xfId="13824"/>
    <cellStyle name="Normal 6 3 2" xfId="837"/>
    <cellStyle name="Normal 6 3 2 2" xfId="1111"/>
    <cellStyle name="Normal 6 3 2 2 2" xfId="1770"/>
    <cellStyle name="Normal 6 3 2 2 2 2" xfId="4296"/>
    <cellStyle name="Normal 6 3 2 2 2 2 2" xfId="16088"/>
    <cellStyle name="Normal 6 3 2 2 2 3" xfId="3198"/>
    <cellStyle name="Normal 6 3 2 2 2 3 2" xfId="19008"/>
    <cellStyle name="Normal 6 3 2 2 2 4" xfId="19174"/>
    <cellStyle name="Normal 6 3 2 2 2 5" xfId="19389"/>
    <cellStyle name="Normal 6 3 2 2 2 6" xfId="14925"/>
    <cellStyle name="Normal 6 3 2 2 3" xfId="4295"/>
    <cellStyle name="Normal 6 3 2 2 3 2" xfId="15056"/>
    <cellStyle name="Normal 6 3 2 2 4" xfId="2542"/>
    <cellStyle name="Normal 6 3 2 2 4 2" xfId="16035"/>
    <cellStyle name="Normal 6 3 2 2 5" xfId="18482"/>
    <cellStyle name="Normal 6 3 2 2 6" xfId="19961"/>
    <cellStyle name="Normal 6 3 2 2 7" xfId="14292"/>
    <cellStyle name="Normal 6 3 2 3" xfId="1496"/>
    <cellStyle name="Normal 6 3 2 3 2" xfId="4297"/>
    <cellStyle name="Normal 6 3 2 3 2 2" xfId="18446"/>
    <cellStyle name="Normal 6 3 2 3 3" xfId="2924"/>
    <cellStyle name="Normal 6 3 2 3 3 2" xfId="17434"/>
    <cellStyle name="Normal 6 3 2 3 4" xfId="17969"/>
    <cellStyle name="Normal 6 3 2 3 5" xfId="19661"/>
    <cellStyle name="Normal 6 3 2 3 6" xfId="14662"/>
    <cellStyle name="Normal 6 3 2 4" xfId="4294"/>
    <cellStyle name="Normal 6 3 2 4 2" xfId="15910"/>
    <cellStyle name="Normal 6 3 2 5" xfId="2268"/>
    <cellStyle name="Normal 6 3 2 5 2" xfId="18794"/>
    <cellStyle name="Normal 6 3 2 6" xfId="16483"/>
    <cellStyle name="Normal 6 3 2 7" xfId="20235"/>
    <cellStyle name="Normal 6 3 2 8" xfId="14042"/>
    <cellStyle name="Normal 6 3 3" xfId="693"/>
    <cellStyle name="Normal 6 3 3 2" xfId="1360"/>
    <cellStyle name="Normal 6 3 3 2 2" xfId="4299"/>
    <cellStyle name="Normal 6 3 3 2 2 2" xfId="18447"/>
    <cellStyle name="Normal 6 3 3 2 3" xfId="2788"/>
    <cellStyle name="Normal 6 3 3 2 3 2" xfId="16740"/>
    <cellStyle name="Normal 6 3 3 2 4" xfId="18153"/>
    <cellStyle name="Normal 6 3 3 2 5" xfId="20724"/>
    <cellStyle name="Normal 6 3 3 2 6" xfId="14537"/>
    <cellStyle name="Normal 6 3 3 3" xfId="4298"/>
    <cellStyle name="Normal 6 3 3 3 2" xfId="16407"/>
    <cellStyle name="Normal 6 3 3 4" xfId="2132"/>
    <cellStyle name="Normal 6 3 3 4 2" xfId="18681"/>
    <cellStyle name="Normal 6 3 3 5" xfId="19256"/>
    <cellStyle name="Normal 6 3 3 6" xfId="20371"/>
    <cellStyle name="Normal 6 3 3 7" xfId="13930"/>
    <cellStyle name="Normal 6 3 4" xfId="975"/>
    <cellStyle name="Normal 6 3 4 2" xfId="1634"/>
    <cellStyle name="Normal 6 3 4 2 2" xfId="4301"/>
    <cellStyle name="Normal 6 3 4 2 2 2" xfId="16408"/>
    <cellStyle name="Normal 6 3 4 2 3" xfId="3062"/>
    <cellStyle name="Normal 6 3 4 2 3 2" xfId="16284"/>
    <cellStyle name="Normal 6 3 4 2 4" xfId="17721"/>
    <cellStyle name="Normal 6 3 4 2 5" xfId="19523"/>
    <cellStyle name="Normal 6 3 4 2 6" xfId="14800"/>
    <cellStyle name="Normal 6 3 4 3" xfId="4300"/>
    <cellStyle name="Normal 6 3 4 3 2" xfId="18461"/>
    <cellStyle name="Normal 6 3 4 4" xfId="2406"/>
    <cellStyle name="Normal 6 3 4 4 2" xfId="18796"/>
    <cellStyle name="Normal 6 3 4 5" xfId="18321"/>
    <cellStyle name="Normal 6 3 4 6" xfId="20097"/>
    <cellStyle name="Normal 6 3 4 7" xfId="14179"/>
    <cellStyle name="Normal 6 3 5" xfId="1255"/>
    <cellStyle name="Normal 6 3 5 2" xfId="4302"/>
    <cellStyle name="Normal 6 3 5 2 2" xfId="16409"/>
    <cellStyle name="Normal 6 3 5 3" xfId="2683"/>
    <cellStyle name="Normal 6 3 5 3 2" xfId="16659"/>
    <cellStyle name="Normal 6 3 5 4" xfId="17386"/>
    <cellStyle name="Normal 6 3 5 5" xfId="19870"/>
    <cellStyle name="Normal 6 3 5 6" xfId="14432"/>
    <cellStyle name="Normal 6 3 6" xfId="4293"/>
    <cellStyle name="Normal 6 3 6 2" xfId="16030"/>
    <cellStyle name="Normal 6 3 7" xfId="2022"/>
    <cellStyle name="Normal 6 3 7 2" xfId="17195"/>
    <cellStyle name="Normal 6 3 8" xfId="17213"/>
    <cellStyle name="Normal 6 3 9" xfId="20481"/>
    <cellStyle name="Normal 6 4" xfId="759"/>
    <cellStyle name="Normal 6 4 2" xfId="1040"/>
    <cellStyle name="Normal 6 4 2 2" xfId="1699"/>
    <cellStyle name="Normal 6 4 2 2 2" xfId="4305"/>
    <cellStyle name="Normal 6 4 2 2 2 2" xfId="15523"/>
    <cellStyle name="Normal 6 4 2 2 3" xfId="3127"/>
    <cellStyle name="Normal 6 4 2 2 3 2" xfId="15876"/>
    <cellStyle name="Normal 6 4 2 2 4" xfId="17984"/>
    <cellStyle name="Normal 6 4 2 2 5" xfId="19460"/>
    <cellStyle name="Normal 6 4 2 2 6" xfId="14865"/>
    <cellStyle name="Normal 6 4 2 3" xfId="4304"/>
    <cellStyle name="Normal 6 4 2 3 2" xfId="15441"/>
    <cellStyle name="Normal 6 4 2 4" xfId="2471"/>
    <cellStyle name="Normal 6 4 2 4 2" xfId="15600"/>
    <cellStyle name="Normal 6 4 2 5" xfId="17239"/>
    <cellStyle name="Normal 6 4 2 6" xfId="20032"/>
    <cellStyle name="Normal 6 4 2 7" xfId="14239"/>
    <cellStyle name="Normal 6 4 3" xfId="1425"/>
    <cellStyle name="Normal 6 4 3 2" xfId="4306"/>
    <cellStyle name="Normal 6 4 3 2 2" xfId="15254"/>
    <cellStyle name="Normal 6 4 3 3" xfId="2853"/>
    <cellStyle name="Normal 6 4 3 3 2" xfId="16196"/>
    <cellStyle name="Normal 6 4 3 4" xfId="15451"/>
    <cellStyle name="Normal 6 4 3 5" xfId="19732"/>
    <cellStyle name="Normal 6 4 3 6" xfId="14602"/>
    <cellStyle name="Normal 6 4 4" xfId="4303"/>
    <cellStyle name="Normal 6 4 4 2" xfId="16114"/>
    <cellStyle name="Normal 6 4 5" xfId="2197"/>
    <cellStyle name="Normal 6 4 5 2" xfId="15422"/>
    <cellStyle name="Normal 6 4 6" xfId="17096"/>
    <cellStyle name="Normal 6 4 7" xfId="20306"/>
    <cellStyle name="Normal 6 4 8" xfId="13989"/>
    <cellStyle name="Normal 6 5" xfId="642"/>
    <cellStyle name="Normal 6 5 2" xfId="1309"/>
    <cellStyle name="Normal 6 5 2 2" xfId="4308"/>
    <cellStyle name="Normal 6 5 2 2 2" xfId="19270"/>
    <cellStyle name="Normal 6 5 2 3" xfId="2737"/>
    <cellStyle name="Normal 6 5 2 3 2" xfId="16698"/>
    <cellStyle name="Normal 6 5 2 4" xfId="17644"/>
    <cellStyle name="Normal 6 5 2 5" xfId="19816"/>
    <cellStyle name="Normal 6 5 2 6" xfId="14486"/>
    <cellStyle name="Normal 6 5 3" xfId="4307"/>
    <cellStyle name="Normal 6 5 3 2" xfId="19261"/>
    <cellStyle name="Normal 6 5 4" xfId="2081"/>
    <cellStyle name="Normal 6 5 4 2" xfId="17364"/>
    <cellStyle name="Normal 6 5 5" xfId="18518"/>
    <cellStyle name="Normal 6 5 6" xfId="20422"/>
    <cellStyle name="Normal 6 5 7" xfId="13879"/>
    <cellStyle name="Normal 6 6" xfId="924"/>
    <cellStyle name="Normal 6 6 2" xfId="1583"/>
    <cellStyle name="Normal 6 6 2 2" xfId="4310"/>
    <cellStyle name="Normal 6 6 2 2 2" xfId="15357"/>
    <cellStyle name="Normal 6 6 2 3" xfId="3011"/>
    <cellStyle name="Normal 6 6 2 3 2" xfId="16279"/>
    <cellStyle name="Normal 6 6 2 4" xfId="18128"/>
    <cellStyle name="Normal 6 6 2 5" xfId="19574"/>
    <cellStyle name="Normal 6 6 2 6" xfId="14749"/>
    <cellStyle name="Normal 6 6 3" xfId="4309"/>
    <cellStyle name="Normal 6 6 3 2" xfId="15103"/>
    <cellStyle name="Normal 6 6 4" xfId="2355"/>
    <cellStyle name="Normal 6 6 4 2" xfId="18181"/>
    <cellStyle name="Normal 6 6 5" xfId="18774"/>
    <cellStyle name="Normal 6 6 6" xfId="20148"/>
    <cellStyle name="Normal 6 6 7" xfId="14128"/>
    <cellStyle name="Normal 6 7" xfId="1204"/>
    <cellStyle name="Normal 6 7 2" xfId="4311"/>
    <cellStyle name="Normal 6 7 2 2" xfId="15206"/>
    <cellStyle name="Normal 6 7 3" xfId="2632"/>
    <cellStyle name="Normal 6 7 3 2" xfId="16616"/>
    <cellStyle name="Normal 6 7 4" xfId="18028"/>
    <cellStyle name="Normal 6 7 5" xfId="19921"/>
    <cellStyle name="Normal 6 7 6" xfId="14381"/>
    <cellStyle name="Normal 6 8" xfId="4272"/>
    <cellStyle name="Normal 6 8 2" xfId="13696"/>
    <cellStyle name="Normal 6 9" xfId="1915"/>
    <cellStyle name="Normal 6 9 2" xfId="18055"/>
    <cellStyle name="Normal 60" xfId="8818"/>
    <cellStyle name="Normal 61" xfId="8819"/>
    <cellStyle name="Normal 61 2" xfId="8820"/>
    <cellStyle name="Normal 61 2 2" xfId="8821"/>
    <cellStyle name="Normal 61 2 2 2" xfId="8822"/>
    <cellStyle name="Normal 61 2 2 2 2" xfId="13226"/>
    <cellStyle name="Normal 61 2 2 3" xfId="13227"/>
    <cellStyle name="Normal 61 2 3" xfId="8823"/>
    <cellStyle name="Normal 61 2 3 2" xfId="13228"/>
    <cellStyle name="Normal 61 2 4" xfId="13229"/>
    <cellStyle name="Normal 61 3" xfId="8824"/>
    <cellStyle name="Normal 61 3 2" xfId="8825"/>
    <cellStyle name="Normal 61 3 2 2" xfId="13230"/>
    <cellStyle name="Normal 61 3 3" xfId="13231"/>
    <cellStyle name="Normal 61 4" xfId="8826"/>
    <cellStyle name="Normal 61 4 2" xfId="13232"/>
    <cellStyle name="Normal 61 5" xfId="13233"/>
    <cellStyle name="Normal 62" xfId="8827"/>
    <cellStyle name="Normal 62 2" xfId="8828"/>
    <cellStyle name="Normal 62 2 2" xfId="8829"/>
    <cellStyle name="Normal 62 2 2 2" xfId="8830"/>
    <cellStyle name="Normal 62 2 2 2 2" xfId="13234"/>
    <cellStyle name="Normal 62 2 2 3" xfId="13235"/>
    <cellStyle name="Normal 62 2 3" xfId="8831"/>
    <cellStyle name="Normal 62 2 3 2" xfId="13236"/>
    <cellStyle name="Normal 62 2 4" xfId="13237"/>
    <cellStyle name="Normal 62 3" xfId="8832"/>
    <cellStyle name="Normal 62 3 2" xfId="8833"/>
    <cellStyle name="Normal 62 3 2 2" xfId="13238"/>
    <cellStyle name="Normal 62 3 3" xfId="13239"/>
    <cellStyle name="Normal 62 4" xfId="8834"/>
    <cellStyle name="Normal 62 4 2" xfId="13240"/>
    <cellStyle name="Normal 62 5" xfId="13241"/>
    <cellStyle name="Normal 63" xfId="8835"/>
    <cellStyle name="Normal 63 2" xfId="8836"/>
    <cellStyle name="Normal 63 2 2" xfId="8837"/>
    <cellStyle name="Normal 63 2 2 2" xfId="8838"/>
    <cellStyle name="Normal 63 2 2 2 2" xfId="13242"/>
    <cellStyle name="Normal 63 2 2 3" xfId="13243"/>
    <cellStyle name="Normal 63 2 3" xfId="8839"/>
    <cellStyle name="Normal 63 2 3 2" xfId="13244"/>
    <cellStyle name="Normal 63 2 4" xfId="13245"/>
    <cellStyle name="Normal 63 3" xfId="8840"/>
    <cellStyle name="Normal 63 3 2" xfId="8841"/>
    <cellStyle name="Normal 63 3 2 2" xfId="13246"/>
    <cellStyle name="Normal 63 3 3" xfId="13247"/>
    <cellStyle name="Normal 63 4" xfId="8842"/>
    <cellStyle name="Normal 63 4 2" xfId="13248"/>
    <cellStyle name="Normal 63 5" xfId="13249"/>
    <cellStyle name="Normal 64" xfId="8843"/>
    <cellStyle name="Normal 64 2" xfId="8844"/>
    <cellStyle name="Normal 64 2 2" xfId="8845"/>
    <cellStyle name="Normal 64 2 2 2" xfId="8846"/>
    <cellStyle name="Normal 64 2 2 2 2" xfId="13250"/>
    <cellStyle name="Normal 64 2 2 3" xfId="13251"/>
    <cellStyle name="Normal 64 2 3" xfId="8847"/>
    <cellStyle name="Normal 64 2 3 2" xfId="13252"/>
    <cellStyle name="Normal 64 2 4" xfId="13253"/>
    <cellStyle name="Normal 64 3" xfId="8848"/>
    <cellStyle name="Normal 64 3 2" xfId="8849"/>
    <cellStyle name="Normal 64 3 2 2" xfId="13254"/>
    <cellStyle name="Normal 64 3 3" xfId="13255"/>
    <cellStyle name="Normal 64 4" xfId="8850"/>
    <cellStyle name="Normal 64 4 2" xfId="13256"/>
    <cellStyle name="Normal 64 5" xfId="13257"/>
    <cellStyle name="Normal 65" xfId="8851"/>
    <cellStyle name="Normal 66" xfId="8852"/>
    <cellStyle name="Normal 67" xfId="8853"/>
    <cellStyle name="Normal 68" xfId="8854"/>
    <cellStyle name="Normal 69" xfId="8855"/>
    <cellStyle name="Normal 7" xfId="206"/>
    <cellStyle name="Normal 7 10" xfId="19044"/>
    <cellStyle name="Normal 7 11" xfId="17306"/>
    <cellStyle name="Normal 7 12" xfId="20587"/>
    <cellStyle name="Normal 7 13" xfId="8856"/>
    <cellStyle name="Normal 7 14" xfId="20926"/>
    <cellStyle name="Normal 7 15" xfId="20957"/>
    <cellStyle name="Normal 7 2" xfId="425"/>
    <cellStyle name="Normal 7 2 10" xfId="17322"/>
    <cellStyle name="Normal 7 2 11" xfId="20517"/>
    <cellStyle name="Normal 7 2 12" xfId="8857"/>
    <cellStyle name="Normal 7 2 2" xfId="600"/>
    <cellStyle name="Normal 7 2 2 10" xfId="20448"/>
    <cellStyle name="Normal 7 2 2 11" xfId="8858"/>
    <cellStyle name="Normal 7 2 2 2" xfId="867"/>
    <cellStyle name="Normal 7 2 2 2 2" xfId="1141"/>
    <cellStyle name="Normal 7 2 2 2 2 2" xfId="1800"/>
    <cellStyle name="Normal 7 2 2 2 2 2 2" xfId="4317"/>
    <cellStyle name="Normal 7 2 2 2 2 2 2 2" xfId="18653"/>
    <cellStyle name="Normal 7 2 2 2 2 2 3" xfId="3228"/>
    <cellStyle name="Normal 7 2 2 2 2 2 3 2" xfId="16309"/>
    <cellStyle name="Normal 7 2 2 2 2 2 4" xfId="17706"/>
    <cellStyle name="Normal 7 2 2 2 2 2 5" xfId="19359"/>
    <cellStyle name="Normal 7 2 2 2 2 2 6" xfId="14955"/>
    <cellStyle name="Normal 7 2 2 2 2 3" xfId="4316"/>
    <cellStyle name="Normal 7 2 2 2 2 3 2" xfId="15411"/>
    <cellStyle name="Normal 7 2 2 2 2 4" xfId="2572"/>
    <cellStyle name="Normal 7 2 2 2 2 4 2" xfId="16601"/>
    <cellStyle name="Normal 7 2 2 2 2 5" xfId="17448"/>
    <cellStyle name="Normal 7 2 2 2 2 6" xfId="19931"/>
    <cellStyle name="Normal 7 2 2 2 2 7" xfId="14321"/>
    <cellStyle name="Normal 7 2 2 2 3" xfId="1526"/>
    <cellStyle name="Normal 7 2 2 2 3 2" xfId="4318"/>
    <cellStyle name="Normal 7 2 2 2 3 2 2" xfId="18954"/>
    <cellStyle name="Normal 7 2 2 2 3 3" xfId="2954"/>
    <cellStyle name="Normal 7 2 2 2 3 3 2" xfId="19230"/>
    <cellStyle name="Normal 7 2 2 2 3 4" xfId="17839"/>
    <cellStyle name="Normal 7 2 2 2 3 5" xfId="19631"/>
    <cellStyle name="Normal 7 2 2 2 3 6" xfId="14692"/>
    <cellStyle name="Normal 7 2 2 2 4" xfId="4315"/>
    <cellStyle name="Normal 7 2 2 2 4 2" xfId="15306"/>
    <cellStyle name="Normal 7 2 2 2 5" xfId="2298"/>
    <cellStyle name="Normal 7 2 2 2 5 2" xfId="18947"/>
    <cellStyle name="Normal 7 2 2 2 6" xfId="18651"/>
    <cellStyle name="Normal 7 2 2 2 7" xfId="20205"/>
    <cellStyle name="Normal 7 2 2 2 8" xfId="14071"/>
    <cellStyle name="Normal 7 2 2 3" xfId="723"/>
    <cellStyle name="Normal 7 2 2 3 2" xfId="1390"/>
    <cellStyle name="Normal 7 2 2 3 2 2" xfId="4320"/>
    <cellStyle name="Normal 7 2 2 3 2 2 2" xfId="19080"/>
    <cellStyle name="Normal 7 2 2 3 2 3" xfId="2818"/>
    <cellStyle name="Normal 7 2 2 3 2 3 2" xfId="16763"/>
    <cellStyle name="Normal 7 2 2 3 2 4" xfId="18924"/>
    <cellStyle name="Normal 7 2 2 3 2 5" xfId="17884"/>
    <cellStyle name="Normal 7 2 2 3 2 6" xfId="14567"/>
    <cellStyle name="Normal 7 2 2 3 3" xfId="4319"/>
    <cellStyle name="Normal 7 2 2 3 3 2" xfId="18775"/>
    <cellStyle name="Normal 7 2 2 3 4" xfId="2162"/>
    <cellStyle name="Normal 7 2 2 3 4 2" xfId="17944"/>
    <cellStyle name="Normal 7 2 2 3 5" xfId="16460"/>
    <cellStyle name="Normal 7 2 2 3 6" xfId="20341"/>
    <cellStyle name="Normal 7 2 2 3 7" xfId="13959"/>
    <cellStyle name="Normal 7 2 2 4" xfId="1005"/>
    <cellStyle name="Normal 7 2 2 4 2" xfId="1664"/>
    <cellStyle name="Normal 7 2 2 4 2 2" xfId="4322"/>
    <cellStyle name="Normal 7 2 2 4 2 2 2" xfId="18598"/>
    <cellStyle name="Normal 7 2 2 4 2 3" xfId="3092"/>
    <cellStyle name="Normal 7 2 2 4 2 3 2" xfId="19254"/>
    <cellStyle name="Normal 7 2 2 4 2 4" xfId="15403"/>
    <cellStyle name="Normal 7 2 2 4 2 5" xfId="19493"/>
    <cellStyle name="Normal 7 2 2 4 2 6" xfId="14830"/>
    <cellStyle name="Normal 7 2 2 4 3" xfId="4321"/>
    <cellStyle name="Normal 7 2 2 4 3 2" xfId="18903"/>
    <cellStyle name="Normal 7 2 2 4 4" xfId="2436"/>
    <cellStyle name="Normal 7 2 2 4 4 2" xfId="19147"/>
    <cellStyle name="Normal 7 2 2 4 5" xfId="16167"/>
    <cellStyle name="Normal 7 2 2 4 6" xfId="20067"/>
    <cellStyle name="Normal 7 2 2 4 7" xfId="14209"/>
    <cellStyle name="Normal 7 2 2 5" xfId="1285"/>
    <cellStyle name="Normal 7 2 2 5 2" xfId="4323"/>
    <cellStyle name="Normal 7 2 2 5 2 2" xfId="18677"/>
    <cellStyle name="Normal 7 2 2 5 3" xfId="2713"/>
    <cellStyle name="Normal 7 2 2 5 3 2" xfId="16681"/>
    <cellStyle name="Normal 7 2 2 5 4" xfId="15353"/>
    <cellStyle name="Normal 7 2 2 5 5" xfId="19840"/>
    <cellStyle name="Normal 7 2 2 5 6" xfId="14462"/>
    <cellStyle name="Normal 7 2 2 6" xfId="4314"/>
    <cellStyle name="Normal 7 2 2 6 2" xfId="13853"/>
    <cellStyle name="Normal 7 2 2 7" xfId="2055"/>
    <cellStyle name="Normal 7 2 2 7 2" xfId="17244"/>
    <cellStyle name="Normal 7 2 2 8" xfId="19137"/>
    <cellStyle name="Normal 7 2 2 9" xfId="15145"/>
    <cellStyle name="Normal 7 2 3" xfId="801"/>
    <cellStyle name="Normal 7 2 3 2" xfId="1080"/>
    <cellStyle name="Normal 7 2 3 2 2" xfId="1739"/>
    <cellStyle name="Normal 7 2 3 2 2 2" xfId="4326"/>
    <cellStyle name="Normal 7 2 3 2 2 2 2" xfId="18984"/>
    <cellStyle name="Normal 7 2 3 2 2 3" xfId="3167"/>
    <cellStyle name="Normal 7 2 3 2 2 3 2" xfId="17896"/>
    <cellStyle name="Normal 7 2 3 2 2 4" xfId="15250"/>
    <cellStyle name="Normal 7 2 3 2 2 5" xfId="19420"/>
    <cellStyle name="Normal 7 2 3 2 2 6" xfId="14894"/>
    <cellStyle name="Normal 7 2 3 2 3" xfId="4325"/>
    <cellStyle name="Normal 7 2 3 2 3 2" xfId="19105"/>
    <cellStyle name="Normal 7 2 3 2 4" xfId="2511"/>
    <cellStyle name="Normal 7 2 3 2 4 2" xfId="15828"/>
    <cellStyle name="Normal 7 2 3 2 5" xfId="17076"/>
    <cellStyle name="Normal 7 2 3 2 6" xfId="19992"/>
    <cellStyle name="Normal 7 2 3 2 7" xfId="14263"/>
    <cellStyle name="Normal 7 2 3 3" xfId="1465"/>
    <cellStyle name="Normal 7 2 3 3 2" xfId="4327"/>
    <cellStyle name="Normal 7 2 3 3 2 2" xfId="18225"/>
    <cellStyle name="Normal 7 2 3 3 3" xfId="2893"/>
    <cellStyle name="Normal 7 2 3 3 3 2" xfId="17878"/>
    <cellStyle name="Normal 7 2 3 3 4" xfId="17530"/>
    <cellStyle name="Normal 7 2 3 3 5" xfId="19692"/>
    <cellStyle name="Normal 7 2 3 3 6" xfId="14631"/>
    <cellStyle name="Normal 7 2 3 4" xfId="4324"/>
    <cellStyle name="Normal 7 2 3 4 2" xfId="18801"/>
    <cellStyle name="Normal 7 2 3 5" xfId="2237"/>
    <cellStyle name="Normal 7 2 3 5 2" xfId="18514"/>
    <cellStyle name="Normal 7 2 3 6" xfId="16118"/>
    <cellStyle name="Normal 7 2 3 7" xfId="20266"/>
    <cellStyle name="Normal 7 2 3 8" xfId="14014"/>
    <cellStyle name="Normal 7 2 4" xfId="672"/>
    <cellStyle name="Normal 7 2 4 2" xfId="1339"/>
    <cellStyle name="Normal 7 2 4 2 2" xfId="4329"/>
    <cellStyle name="Normal 7 2 4 2 2 2" xfId="15792"/>
    <cellStyle name="Normal 7 2 4 2 3" xfId="2767"/>
    <cellStyle name="Normal 7 2 4 2 3 2" xfId="16719"/>
    <cellStyle name="Normal 7 2 4 2 4" xfId="18792"/>
    <cellStyle name="Normal 7 2 4 2 5" xfId="20731"/>
    <cellStyle name="Normal 7 2 4 2 6" xfId="14516"/>
    <cellStyle name="Normal 7 2 4 3" xfId="4328"/>
    <cellStyle name="Normal 7 2 4 3 2" xfId="18629"/>
    <cellStyle name="Normal 7 2 4 4" xfId="2111"/>
    <cellStyle name="Normal 7 2 4 4 2" xfId="17476"/>
    <cellStyle name="Normal 7 2 4 5" xfId="19244"/>
    <cellStyle name="Normal 7 2 4 6" xfId="20392"/>
    <cellStyle name="Normal 7 2 4 7" xfId="13909"/>
    <cellStyle name="Normal 7 2 5" xfId="954"/>
    <cellStyle name="Normal 7 2 5 2" xfId="1613"/>
    <cellStyle name="Normal 7 2 5 2 2" xfId="4331"/>
    <cellStyle name="Normal 7 2 5 2 2 2" xfId="18221"/>
    <cellStyle name="Normal 7 2 5 2 3" xfId="3041"/>
    <cellStyle name="Normal 7 2 5 2 3 2" xfId="17399"/>
    <cellStyle name="Normal 7 2 5 2 4" xfId="19172"/>
    <cellStyle name="Normal 7 2 5 2 5" xfId="19544"/>
    <cellStyle name="Normal 7 2 5 2 6" xfId="14779"/>
    <cellStyle name="Normal 7 2 5 3" xfId="4330"/>
    <cellStyle name="Normal 7 2 5 3 2" xfId="15647"/>
    <cellStyle name="Normal 7 2 5 4" xfId="2385"/>
    <cellStyle name="Normal 7 2 5 4 2" xfId="18403"/>
    <cellStyle name="Normal 7 2 5 5" xfId="18916"/>
    <cellStyle name="Normal 7 2 5 6" xfId="20118"/>
    <cellStyle name="Normal 7 2 5 7" xfId="14158"/>
    <cellStyle name="Normal 7 2 6" xfId="1234"/>
    <cellStyle name="Normal 7 2 6 2" xfId="4332"/>
    <cellStyle name="Normal 7 2 6 2 2" xfId="18437"/>
    <cellStyle name="Normal 7 2 6 3" xfId="2662"/>
    <cellStyle name="Normal 7 2 6 3 2" xfId="16641"/>
    <cellStyle name="Normal 7 2 6 4" xfId="17692"/>
    <cellStyle name="Normal 7 2 6 5" xfId="19891"/>
    <cellStyle name="Normal 7 2 6 6" xfId="14411"/>
    <cellStyle name="Normal 7 2 7" xfId="4313"/>
    <cellStyle name="Normal 7 2 7 2" xfId="13736"/>
    <cellStyle name="Normal 7 2 8" xfId="1986"/>
    <cellStyle name="Normal 7 2 8 2" xfId="19021"/>
    <cellStyle name="Normal 7 2 9" xfId="18885"/>
    <cellStyle name="Normal 7 3" xfId="568"/>
    <cellStyle name="Normal 7 3 10" xfId="20480"/>
    <cellStyle name="Normal 7 3 11" xfId="8859"/>
    <cellStyle name="Normal 7 3 2" xfId="838"/>
    <cellStyle name="Normal 7 3 2 2" xfId="1112"/>
    <cellStyle name="Normal 7 3 2 2 2" xfId="1771"/>
    <cellStyle name="Normal 7 3 2 2 2 2" xfId="4336"/>
    <cellStyle name="Normal 7 3 2 2 2 2 2" xfId="18515"/>
    <cellStyle name="Normal 7 3 2 2 2 3" xfId="3199"/>
    <cellStyle name="Normal 7 3 2 2 2 3 2" xfId="15955"/>
    <cellStyle name="Normal 7 3 2 2 2 4" xfId="17746"/>
    <cellStyle name="Normal 7 3 2 2 2 5" xfId="19388"/>
    <cellStyle name="Normal 7 3 2 2 2 6" xfId="14926"/>
    <cellStyle name="Normal 7 3 2 2 3" xfId="4335"/>
    <cellStyle name="Normal 7 3 2 2 3 2" xfId="15611"/>
    <cellStyle name="Normal 7 3 2 2 4" xfId="2543"/>
    <cellStyle name="Normal 7 3 2 2 4 2" xfId="15781"/>
    <cellStyle name="Normal 7 3 2 2 5" xfId="18563"/>
    <cellStyle name="Normal 7 3 2 2 6" xfId="19960"/>
    <cellStyle name="Normal 7 3 2 2 7" xfId="14293"/>
    <cellStyle name="Normal 7 3 2 3" xfId="1497"/>
    <cellStyle name="Normal 7 3 2 3 2" xfId="4337"/>
    <cellStyle name="Normal 7 3 2 3 2 2" xfId="15290"/>
    <cellStyle name="Normal 7 3 2 3 3" xfId="2925"/>
    <cellStyle name="Normal 7 3 2 3 3 2" xfId="16779"/>
    <cellStyle name="Normal 7 3 2 3 4" xfId="17551"/>
    <cellStyle name="Normal 7 3 2 3 5" xfId="19660"/>
    <cellStyle name="Normal 7 3 2 3 6" xfId="14663"/>
    <cellStyle name="Normal 7 3 2 4" xfId="4334"/>
    <cellStyle name="Normal 7 3 2 4 2" xfId="18749"/>
    <cellStyle name="Normal 7 3 2 5" xfId="2269"/>
    <cellStyle name="Normal 7 3 2 5 2" xfId="17371"/>
    <cellStyle name="Normal 7 3 2 6" xfId="16484"/>
    <cellStyle name="Normal 7 3 2 7" xfId="20234"/>
    <cellStyle name="Normal 7 3 2 8" xfId="14043"/>
    <cellStyle name="Normal 7 3 3" xfId="694"/>
    <cellStyle name="Normal 7 3 3 2" xfId="1361"/>
    <cellStyle name="Normal 7 3 3 2 2" xfId="4339"/>
    <cellStyle name="Normal 7 3 3 2 2 2" xfId="15138"/>
    <cellStyle name="Normal 7 3 3 2 3" xfId="2789"/>
    <cellStyle name="Normal 7 3 3 2 3 2" xfId="16741"/>
    <cellStyle name="Normal 7 3 3 2 4" xfId="17997"/>
    <cellStyle name="Normal 7 3 3 2 5" xfId="20672"/>
    <cellStyle name="Normal 7 3 3 2 6" xfId="14538"/>
    <cellStyle name="Normal 7 3 3 3" xfId="4338"/>
    <cellStyle name="Normal 7 3 3 3 2" xfId="16115"/>
    <cellStyle name="Normal 7 3 3 4" xfId="2133"/>
    <cellStyle name="Normal 7 3 3 4 2" xfId="15546"/>
    <cellStyle name="Normal 7 3 3 5" xfId="19248"/>
    <cellStyle name="Normal 7 3 3 6" xfId="20370"/>
    <cellStyle name="Normal 7 3 3 7" xfId="13931"/>
    <cellStyle name="Normal 7 3 4" xfId="976"/>
    <cellStyle name="Normal 7 3 4 2" xfId="1635"/>
    <cellStyle name="Normal 7 3 4 2 2" xfId="4341"/>
    <cellStyle name="Normal 7 3 4 2 2 2" xfId="17064"/>
    <cellStyle name="Normal 7 3 4 2 3" xfId="3063"/>
    <cellStyle name="Normal 7 3 4 2 3 2" xfId="17808"/>
    <cellStyle name="Normal 7 3 4 2 4" xfId="18086"/>
    <cellStyle name="Normal 7 3 4 2 5" xfId="19522"/>
    <cellStyle name="Normal 7 3 4 2 6" xfId="14801"/>
    <cellStyle name="Normal 7 3 4 3" xfId="4340"/>
    <cellStyle name="Normal 7 3 4 3 2" xfId="15393"/>
    <cellStyle name="Normal 7 3 4 4" xfId="2407"/>
    <cellStyle name="Normal 7 3 4 4 2" xfId="16096"/>
    <cellStyle name="Normal 7 3 4 5" xfId="15669"/>
    <cellStyle name="Normal 7 3 4 6" xfId="20096"/>
    <cellStyle name="Normal 7 3 4 7" xfId="14180"/>
    <cellStyle name="Normal 7 3 5" xfId="1256"/>
    <cellStyle name="Normal 7 3 5 2" xfId="4342"/>
    <cellStyle name="Normal 7 3 5 2 2" xfId="15242"/>
    <cellStyle name="Normal 7 3 5 3" xfId="2684"/>
    <cellStyle name="Normal 7 3 5 3 2" xfId="16660"/>
    <cellStyle name="Normal 7 3 5 4" xfId="17338"/>
    <cellStyle name="Normal 7 3 5 5" xfId="19869"/>
    <cellStyle name="Normal 7 3 5 6" xfId="14433"/>
    <cellStyle name="Normal 7 3 6" xfId="4333"/>
    <cellStyle name="Normal 7 3 6 2" xfId="13825"/>
    <cellStyle name="Normal 7 3 7" xfId="2023"/>
    <cellStyle name="Normal 7 3 7 2" xfId="15112"/>
    <cellStyle name="Normal 7 3 8" xfId="17447"/>
    <cellStyle name="Normal 7 3 9" xfId="19216"/>
    <cellStyle name="Normal 7 4" xfId="760"/>
    <cellStyle name="Normal 7 4 2" xfId="1041"/>
    <cellStyle name="Normal 7 4 2 2" xfId="1700"/>
    <cellStyle name="Normal 7 4 2 2 2" xfId="4345"/>
    <cellStyle name="Normal 7 4 2 2 2 2" xfId="16213"/>
    <cellStyle name="Normal 7 4 2 2 3" xfId="3128"/>
    <cellStyle name="Normal 7 4 2 2 3 2" xfId="19168"/>
    <cellStyle name="Normal 7 4 2 2 4" xfId="17566"/>
    <cellStyle name="Normal 7 4 2 2 5" xfId="19459"/>
    <cellStyle name="Normal 7 4 2 2 6" xfId="14866"/>
    <cellStyle name="Normal 7 4 2 3" xfId="4344"/>
    <cellStyle name="Normal 7 4 2 3 2" xfId="16203"/>
    <cellStyle name="Normal 7 4 2 4" xfId="2472"/>
    <cellStyle name="Normal 7 4 2 4 2" xfId="18920"/>
    <cellStyle name="Normal 7 4 2 5" xfId="17240"/>
    <cellStyle name="Normal 7 4 2 6" xfId="20031"/>
    <cellStyle name="Normal 7 4 2 7" xfId="14240"/>
    <cellStyle name="Normal 7 4 3" xfId="1426"/>
    <cellStyle name="Normal 7 4 3 2" xfId="4346"/>
    <cellStyle name="Normal 7 4 3 2 2" xfId="16256"/>
    <cellStyle name="Normal 7 4 3 3" xfId="2854"/>
    <cellStyle name="Normal 7 4 3 3 2" xfId="16209"/>
    <cellStyle name="Normal 7 4 3 4" xfId="17835"/>
    <cellStyle name="Normal 7 4 3 5" xfId="19731"/>
    <cellStyle name="Normal 7 4 3 6" xfId="14603"/>
    <cellStyle name="Normal 7 4 4" xfId="4343"/>
    <cellStyle name="Normal 7 4 4 2" xfId="16200"/>
    <cellStyle name="Normal 7 4 5" xfId="2198"/>
    <cellStyle name="Normal 7 4 5 2" xfId="15162"/>
    <cellStyle name="Normal 7 4 6" xfId="17097"/>
    <cellStyle name="Normal 7 4 7" xfId="20305"/>
    <cellStyle name="Normal 7 4 8" xfId="13990"/>
    <cellStyle name="Normal 7 5" xfId="643"/>
    <cellStyle name="Normal 7 5 2" xfId="1310"/>
    <cellStyle name="Normal 7 5 2 2" xfId="4348"/>
    <cellStyle name="Normal 7 5 2 2 2" xfId="15192"/>
    <cellStyle name="Normal 7 5 2 3" xfId="2738"/>
    <cellStyle name="Normal 7 5 2 3 2" xfId="16699"/>
    <cellStyle name="Normal 7 5 2 4" xfId="17996"/>
    <cellStyle name="Normal 7 5 2 5" xfId="19815"/>
    <cellStyle name="Normal 7 5 2 6" xfId="14487"/>
    <cellStyle name="Normal 7 5 3" xfId="4347"/>
    <cellStyle name="Normal 7 5 3 2" xfId="15503"/>
    <cellStyle name="Normal 7 5 4" xfId="2082"/>
    <cellStyle name="Normal 7 5 4 2" xfId="17395"/>
    <cellStyle name="Normal 7 5 5" xfId="18578"/>
    <cellStyle name="Normal 7 5 6" xfId="20421"/>
    <cellStyle name="Normal 7 5 7" xfId="13880"/>
    <cellStyle name="Normal 7 6" xfId="925"/>
    <cellStyle name="Normal 7 6 2" xfId="1584"/>
    <cellStyle name="Normal 7 6 2 2" xfId="4350"/>
    <cellStyle name="Normal 7 6 2 2 2" xfId="15088"/>
    <cellStyle name="Normal 7 6 2 3" xfId="3012"/>
    <cellStyle name="Normal 7 6 2 3 2" xfId="17473"/>
    <cellStyle name="Normal 7 6 2 4" xfId="15365"/>
    <cellStyle name="Normal 7 6 2 5" xfId="19573"/>
    <cellStyle name="Normal 7 6 2 6" xfId="14750"/>
    <cellStyle name="Normal 7 6 3" xfId="4349"/>
    <cellStyle name="Normal 7 6 3 2" xfId="18557"/>
    <cellStyle name="Normal 7 6 4" xfId="2356"/>
    <cellStyle name="Normal 7 6 4 2" xfId="18442"/>
    <cellStyle name="Normal 7 6 5" xfId="19079"/>
    <cellStyle name="Normal 7 6 6" xfId="20147"/>
    <cellStyle name="Normal 7 6 7" xfId="14129"/>
    <cellStyle name="Normal 7 7" xfId="1205"/>
    <cellStyle name="Normal 7 7 2" xfId="4351"/>
    <cellStyle name="Normal 7 7 2 2" xfId="15345"/>
    <cellStyle name="Normal 7 7 3" xfId="2633"/>
    <cellStyle name="Normal 7 7 3 2" xfId="16617"/>
    <cellStyle name="Normal 7 7 4" xfId="17815"/>
    <cellStyle name="Normal 7 7 5" xfId="19920"/>
    <cellStyle name="Normal 7 7 6" xfId="14382"/>
    <cellStyle name="Normal 7 8" xfId="4312"/>
    <cellStyle name="Normal 7 8 2" xfId="13697"/>
    <cellStyle name="Normal 7 9" xfId="1916"/>
    <cellStyle name="Normal 7 9 2" xfId="17916"/>
    <cellStyle name="Normal 70" xfId="8860"/>
    <cellStyle name="Normal 71" xfId="8861"/>
    <cellStyle name="Normal 72" xfId="8862"/>
    <cellStyle name="Normal 73" xfId="8863"/>
    <cellStyle name="Normal 74" xfId="8864"/>
    <cellStyle name="Normal 75" xfId="8865"/>
    <cellStyle name="Normal 76" xfId="8866"/>
    <cellStyle name="Normal 77" xfId="8867"/>
    <cellStyle name="Normal 78" xfId="8868"/>
    <cellStyle name="Normal 79" xfId="8869"/>
    <cellStyle name="Normal 8" xfId="207"/>
    <cellStyle name="Normal 8 10" xfId="18860"/>
    <cellStyle name="Normal 8 11" xfId="17019"/>
    <cellStyle name="Normal 8 12" xfId="20586"/>
    <cellStyle name="Normal 8 13" xfId="8870"/>
    <cellStyle name="Normal 8 14" xfId="20927"/>
    <cellStyle name="Normal 8 15" xfId="20948"/>
    <cellStyle name="Normal 8 2" xfId="426"/>
    <cellStyle name="Normal 8 2 10" xfId="15737"/>
    <cellStyle name="Normal 8 2 11" xfId="20516"/>
    <cellStyle name="Normal 8 2 12" xfId="8871"/>
    <cellStyle name="Normal 8 2 2" xfId="601"/>
    <cellStyle name="Normal 8 2 2 10" xfId="20447"/>
    <cellStyle name="Normal 8 2 2 11" xfId="8872"/>
    <cellStyle name="Normal 8 2 2 2" xfId="868"/>
    <cellStyle name="Normal 8 2 2 2 2" xfId="1142"/>
    <cellStyle name="Normal 8 2 2 2 2 2" xfId="1801"/>
    <cellStyle name="Normal 8 2 2 2 2 2 2" xfId="4357"/>
    <cellStyle name="Normal 8 2 2 2 2 2 2 2" xfId="15267"/>
    <cellStyle name="Normal 8 2 2 2 2 2 3" xfId="3229"/>
    <cellStyle name="Normal 8 2 2 2 2 2 3 2" xfId="16310"/>
    <cellStyle name="Normal 8 2 2 2 2 2 4" xfId="18054"/>
    <cellStyle name="Normal 8 2 2 2 2 2 5" xfId="19358"/>
    <cellStyle name="Normal 8 2 2 2 2 2 6" xfId="14956"/>
    <cellStyle name="Normal 8 2 2 2 2 3" xfId="4356"/>
    <cellStyle name="Normal 8 2 2 2 2 3 2" xfId="17065"/>
    <cellStyle name="Normal 8 2 2 2 2 4" xfId="2573"/>
    <cellStyle name="Normal 8 2 2 2 2 4 2" xfId="16602"/>
    <cellStyle name="Normal 8 2 2 2 2 5" xfId="17259"/>
    <cellStyle name="Normal 8 2 2 2 2 6" xfId="20774"/>
    <cellStyle name="Normal 8 2 2 2 2 7" xfId="14322"/>
    <cellStyle name="Normal 8 2 2 2 3" xfId="1527"/>
    <cellStyle name="Normal 8 2 2 2 3 2" xfId="4358"/>
    <cellStyle name="Normal 8 2 2 2 3 2 2" xfId="15115"/>
    <cellStyle name="Normal 8 2 2 2 3 3" xfId="2955"/>
    <cellStyle name="Normal 8 2 2 2 3 3 2" xfId="18853"/>
    <cellStyle name="Normal 8 2 2 2 3 4" xfId="17636"/>
    <cellStyle name="Normal 8 2 2 2 3 5" xfId="19630"/>
    <cellStyle name="Normal 8 2 2 2 3 6" xfId="14693"/>
    <cellStyle name="Normal 8 2 2 2 4" xfId="4355"/>
    <cellStyle name="Normal 8 2 2 2 4 2" xfId="16191"/>
    <cellStyle name="Normal 8 2 2 2 5" xfId="2299"/>
    <cellStyle name="Normal 8 2 2 2 5 2" xfId="15974"/>
    <cellStyle name="Normal 8 2 2 2 6" xfId="18952"/>
    <cellStyle name="Normal 8 2 2 2 7" xfId="20204"/>
    <cellStyle name="Normal 8 2 2 2 8" xfId="14072"/>
    <cellStyle name="Normal 8 2 2 3" xfId="724"/>
    <cellStyle name="Normal 8 2 2 3 2" xfId="1391"/>
    <cellStyle name="Normal 8 2 2 3 2 2" xfId="4360"/>
    <cellStyle name="Normal 8 2 2 3 2 2 2" xfId="16257"/>
    <cellStyle name="Normal 8 2 2 3 2 3" xfId="2819"/>
    <cellStyle name="Normal 8 2 2 3 2 3 2" xfId="18858"/>
    <cellStyle name="Normal 8 2 2 3 2 4" xfId="18744"/>
    <cellStyle name="Normal 8 2 2 3 2 5" xfId="19766"/>
    <cellStyle name="Normal 8 2 2 3 2 6" xfId="14568"/>
    <cellStyle name="Normal 8 2 2 3 3" xfId="4359"/>
    <cellStyle name="Normal 8 2 2 3 3 2" xfId="15370"/>
    <cellStyle name="Normal 8 2 2 3 4" xfId="2163"/>
    <cellStyle name="Normal 8 2 2 3 4 2" xfId="17607"/>
    <cellStyle name="Normal 8 2 2 3 5" xfId="18293"/>
    <cellStyle name="Normal 8 2 2 3 6" xfId="20340"/>
    <cellStyle name="Normal 8 2 2 3 7" xfId="13960"/>
    <cellStyle name="Normal 8 2 2 4" xfId="1006"/>
    <cellStyle name="Normal 8 2 2 4 2" xfId="1665"/>
    <cellStyle name="Normal 8 2 2 4 2 2" xfId="4362"/>
    <cellStyle name="Normal 8 2 2 4 2 2 2" xfId="15480"/>
    <cellStyle name="Normal 8 2 2 4 2 3" xfId="3093"/>
    <cellStyle name="Normal 8 2 2 4 2 3 2" xfId="16293"/>
    <cellStyle name="Normal 8 2 2 4 2 4" xfId="15507"/>
    <cellStyle name="Normal 8 2 2 4 2 5" xfId="19492"/>
    <cellStyle name="Normal 8 2 2 4 2 6" xfId="14831"/>
    <cellStyle name="Normal 8 2 2 4 3" xfId="4361"/>
    <cellStyle name="Normal 8 2 2 4 3 2" xfId="15219"/>
    <cellStyle name="Normal 8 2 2 4 4" xfId="2437"/>
    <cellStyle name="Normal 8 2 2 4 4 2" xfId="19109"/>
    <cellStyle name="Normal 8 2 2 4 5" xfId="16220"/>
    <cellStyle name="Normal 8 2 2 4 6" xfId="20066"/>
    <cellStyle name="Normal 8 2 2 4 7" xfId="14210"/>
    <cellStyle name="Normal 8 2 2 5" xfId="1286"/>
    <cellStyle name="Normal 8 2 2 5 2" xfId="4363"/>
    <cellStyle name="Normal 8 2 2 5 2 2" xfId="18219"/>
    <cellStyle name="Normal 8 2 2 5 3" xfId="2714"/>
    <cellStyle name="Normal 8 2 2 5 3 2" xfId="16682"/>
    <cellStyle name="Normal 8 2 2 5 4" xfId="15201"/>
    <cellStyle name="Normal 8 2 2 5 5" xfId="19839"/>
    <cellStyle name="Normal 8 2 2 5 6" xfId="14463"/>
    <cellStyle name="Normal 8 2 2 6" xfId="4354"/>
    <cellStyle name="Normal 8 2 2 6 2" xfId="13854"/>
    <cellStyle name="Normal 8 2 2 7" xfId="2056"/>
    <cellStyle name="Normal 8 2 2 7 2" xfId="15439"/>
    <cellStyle name="Normal 8 2 2 8" xfId="19014"/>
    <cellStyle name="Normal 8 2 2 9" xfId="15738"/>
    <cellStyle name="Normal 8 2 3" xfId="802"/>
    <cellStyle name="Normal 8 2 3 2" xfId="1081"/>
    <cellStyle name="Normal 8 2 3 2 2" xfId="1740"/>
    <cellStyle name="Normal 8 2 3 2 2 2" xfId="4366"/>
    <cellStyle name="Normal 8 2 3 2 2 2 2" xfId="19197"/>
    <cellStyle name="Normal 8 2 3 2 2 3" xfId="3168"/>
    <cellStyle name="Normal 8 2 3 2 2 3 2" xfId="17688"/>
    <cellStyle name="Normal 8 2 3 2 2 4" xfId="15100"/>
    <cellStyle name="Normal 8 2 3 2 2 5" xfId="19419"/>
    <cellStyle name="Normal 8 2 3 2 2 6" xfId="14895"/>
    <cellStyle name="Normal 8 2 3 2 3" xfId="4365"/>
    <cellStyle name="Normal 8 2 3 2 3 2" xfId="16116"/>
    <cellStyle name="Normal 8 2 3 2 4" xfId="2512"/>
    <cellStyle name="Normal 8 2 3 2 4 2" xfId="18351"/>
    <cellStyle name="Normal 8 2 3 2 5" xfId="17077"/>
    <cellStyle name="Normal 8 2 3 2 6" xfId="19991"/>
    <cellStyle name="Normal 8 2 3 2 7" xfId="14264"/>
    <cellStyle name="Normal 8 2 3 3" xfId="1466"/>
    <cellStyle name="Normal 8 2 3 3 2" xfId="4367"/>
    <cellStyle name="Normal 8 2 3 3 2 2" xfId="17066"/>
    <cellStyle name="Normal 8 2 3 3 3" xfId="2894"/>
    <cellStyle name="Normal 8 2 3 3 3 2" xfId="17671"/>
    <cellStyle name="Normal 8 2 3 3 4" xfId="17869"/>
    <cellStyle name="Normal 8 2 3 3 5" xfId="19691"/>
    <cellStyle name="Normal 8 2 3 3 6" xfId="14632"/>
    <cellStyle name="Normal 8 2 3 4" xfId="4364"/>
    <cellStyle name="Normal 8 2 3 4 2" xfId="15164"/>
    <cellStyle name="Normal 8 2 3 5" xfId="2238"/>
    <cellStyle name="Normal 8 2 3 5 2" xfId="18183"/>
    <cellStyle name="Normal 8 2 3 6" xfId="18396"/>
    <cellStyle name="Normal 8 2 3 7" xfId="20265"/>
    <cellStyle name="Normal 8 2 3 8" xfId="14015"/>
    <cellStyle name="Normal 8 2 4" xfId="673"/>
    <cellStyle name="Normal 8 2 4 2" xfId="1340"/>
    <cellStyle name="Normal 8 2 4 2 2" xfId="4369"/>
    <cellStyle name="Normal 8 2 4 2 2 2" xfId="15316"/>
    <cellStyle name="Normal 8 2 4 2 3" xfId="2768"/>
    <cellStyle name="Normal 8 2 4 2 3 2" xfId="16720"/>
    <cellStyle name="Normal 8 2 4 2 4" xfId="19097"/>
    <cellStyle name="Normal 8 2 4 2 5" xfId="20679"/>
    <cellStyle name="Normal 8 2 4 2 6" xfId="14517"/>
    <cellStyle name="Normal 8 2 4 3" xfId="4368"/>
    <cellStyle name="Normal 8 2 4 3 2" xfId="19269"/>
    <cellStyle name="Normal 8 2 4 4" xfId="2112"/>
    <cellStyle name="Normal 8 2 4 4 2" xfId="19178"/>
    <cellStyle name="Normal 8 2 4 5" xfId="18914"/>
    <cellStyle name="Normal 8 2 4 6" xfId="20391"/>
    <cellStyle name="Normal 8 2 4 7" xfId="13910"/>
    <cellStyle name="Normal 8 2 5" xfId="955"/>
    <cellStyle name="Normal 8 2 5 2" xfId="1614"/>
    <cellStyle name="Normal 8 2 5 2 2" xfId="4371"/>
    <cellStyle name="Normal 8 2 5 2 2 2" xfId="19062"/>
    <cellStyle name="Normal 8 2 5 2 3" xfId="3042"/>
    <cellStyle name="Normal 8 2 5 2 3 2" xfId="16780"/>
    <cellStyle name="Normal 8 2 5 2 4" xfId="17744"/>
    <cellStyle name="Normal 8 2 5 2 5" xfId="19543"/>
    <cellStyle name="Normal 8 2 5 2 6" xfId="14780"/>
    <cellStyle name="Normal 8 2 5 3" xfId="4370"/>
    <cellStyle name="Normal 8 2 5 3 2" xfId="15424"/>
    <cellStyle name="Normal 8 2 5 4" xfId="2386"/>
    <cellStyle name="Normal 8 2 5 4 2" xfId="15982"/>
    <cellStyle name="Normal 8 2 5 5" xfId="18735"/>
    <cellStyle name="Normal 8 2 5 6" xfId="20117"/>
    <cellStyle name="Normal 8 2 5 7" xfId="14159"/>
    <cellStyle name="Normal 8 2 6" xfId="1235"/>
    <cellStyle name="Normal 8 2 6 2" xfId="4372"/>
    <cellStyle name="Normal 8 2 6 2 2" xfId="16198"/>
    <cellStyle name="Normal 8 2 6 3" xfId="2663"/>
    <cellStyle name="Normal 8 2 6 3 2" xfId="16642"/>
    <cellStyle name="Normal 8 2 6 4" xfId="18041"/>
    <cellStyle name="Normal 8 2 6 5" xfId="19890"/>
    <cellStyle name="Normal 8 2 6 6" xfId="14412"/>
    <cellStyle name="Normal 8 2 7" xfId="4353"/>
    <cellStyle name="Normal 8 2 7 2" xfId="13737"/>
    <cellStyle name="Normal 8 2 8" xfId="1987"/>
    <cellStyle name="Normal 8 2 8 2" xfId="18657"/>
    <cellStyle name="Normal 8 2 9" xfId="16418"/>
    <cellStyle name="Normal 8 3" xfId="569"/>
    <cellStyle name="Normal 8 3 10" xfId="20479"/>
    <cellStyle name="Normal 8 3 11" xfId="8873"/>
    <cellStyle name="Normal 8 3 2" xfId="839"/>
    <cellStyle name="Normal 8 3 2 2" xfId="1113"/>
    <cellStyle name="Normal 8 3 2 2 2" xfId="1772"/>
    <cellStyle name="Normal 8 3 2 2 2 2" xfId="4376"/>
    <cellStyle name="Normal 8 3 2 2 2 2 2" xfId="15576"/>
    <cellStyle name="Normal 8 3 2 2 2 3" xfId="3200"/>
    <cellStyle name="Normal 8 3 2 2 2 3 2" xfId="18554"/>
    <cellStyle name="Normal 8 3 2 2 2 4" xfId="18109"/>
    <cellStyle name="Normal 8 3 2 2 2 5" xfId="19387"/>
    <cellStyle name="Normal 8 3 2 2 2 6" xfId="14927"/>
    <cellStyle name="Normal 8 3 2 2 3" xfId="4375"/>
    <cellStyle name="Normal 8 3 2 2 3 2" xfId="16258"/>
    <cellStyle name="Normal 8 3 2 2 4" xfId="2544"/>
    <cellStyle name="Normal 8 3 2 2 4 2" xfId="16578"/>
    <cellStyle name="Normal 8 3 2 2 5" xfId="18481"/>
    <cellStyle name="Normal 8 3 2 2 6" xfId="19959"/>
    <cellStyle name="Normal 8 3 2 2 7" xfId="14294"/>
    <cellStyle name="Normal 8 3 2 3" xfId="1498"/>
    <cellStyle name="Normal 8 3 2 3 2" xfId="4377"/>
    <cellStyle name="Normal 8 3 2 3 2 2" xfId="15280"/>
    <cellStyle name="Normal 8 3 2 3 3" xfId="2926"/>
    <cellStyle name="Normal 8 3 2 3 3 2" xfId="18476"/>
    <cellStyle name="Normal 8 3 2 3 4" xfId="17890"/>
    <cellStyle name="Normal 8 3 2 3 5" xfId="19659"/>
    <cellStyle name="Normal 8 3 2 3 6" xfId="14664"/>
    <cellStyle name="Normal 8 3 2 4" xfId="4374"/>
    <cellStyle name="Normal 8 3 2 4 2" xfId="16214"/>
    <cellStyle name="Normal 8 3 2 5" xfId="2270"/>
    <cellStyle name="Normal 8 3 2 5 2" xfId="17396"/>
    <cellStyle name="Normal 8 3 2 6" xfId="18906"/>
    <cellStyle name="Normal 8 3 2 7" xfId="20233"/>
    <cellStyle name="Normal 8 3 2 8" xfId="14044"/>
    <cellStyle name="Normal 8 3 3" xfId="695"/>
    <cellStyle name="Normal 8 3 3 2" xfId="1362"/>
    <cellStyle name="Normal 8 3 3 2 2" xfId="4379"/>
    <cellStyle name="Normal 8 3 3 2 2 2" xfId="15128"/>
    <cellStyle name="Normal 8 3 3 2 3" xfId="2790"/>
    <cellStyle name="Normal 8 3 3 2 3 2" xfId="18471"/>
    <cellStyle name="Normal 8 3 3 2 4" xfId="17777"/>
    <cellStyle name="Normal 8 3 3 2 5" xfId="19793"/>
    <cellStyle name="Normal 8 3 3 2 6" xfId="14539"/>
    <cellStyle name="Normal 8 3 3 3" xfId="4378"/>
    <cellStyle name="Normal 8 3 3 3 2" xfId="16051"/>
    <cellStyle name="Normal 8 3 3 4" xfId="2134"/>
    <cellStyle name="Normal 8 3 3 4 2" xfId="19179"/>
    <cellStyle name="Normal 8 3 3 5" xfId="16455"/>
    <cellStyle name="Normal 8 3 3 6" xfId="20369"/>
    <cellStyle name="Normal 8 3 3 7" xfId="13932"/>
    <cellStyle name="Normal 8 3 4" xfId="977"/>
    <cellStyle name="Normal 8 3 4 2" xfId="1636"/>
    <cellStyle name="Normal 8 3 4 2 2" xfId="4381"/>
    <cellStyle name="Normal 8 3 4 2 2 2" xfId="15047"/>
    <cellStyle name="Normal 8 3 4 2 3" xfId="3064"/>
    <cellStyle name="Normal 8 3 4 2 3 2" xfId="17459"/>
    <cellStyle name="Normal 8 3 4 2 4" xfId="17946"/>
    <cellStyle name="Normal 8 3 4 2 5" xfId="19521"/>
    <cellStyle name="Normal 8 3 4 2 6" xfId="14802"/>
    <cellStyle name="Normal 8 3 4 3" xfId="4380"/>
    <cellStyle name="Normal 8 3 4 3 2" xfId="15383"/>
    <cellStyle name="Normal 8 3 4 4" xfId="2408"/>
    <cellStyle name="Normal 8 3 4 4 2" xfId="19100"/>
    <cellStyle name="Normal 8 3 4 5" xfId="16511"/>
    <cellStyle name="Normal 8 3 4 6" xfId="20095"/>
    <cellStyle name="Normal 8 3 4 7" xfId="14181"/>
    <cellStyle name="Normal 8 3 5" xfId="1257"/>
    <cellStyle name="Normal 8 3 5 2" xfId="4382"/>
    <cellStyle name="Normal 8 3 5 2 2" xfId="15231"/>
    <cellStyle name="Normal 8 3 5 3" xfId="2685"/>
    <cellStyle name="Normal 8 3 5 3 2" xfId="16661"/>
    <cellStyle name="Normal 8 3 5 4" xfId="17106"/>
    <cellStyle name="Normal 8 3 5 5" xfId="19868"/>
    <cellStyle name="Normal 8 3 5 6" xfId="14434"/>
    <cellStyle name="Normal 8 3 6" xfId="4373"/>
    <cellStyle name="Normal 8 3 6 2" xfId="13826"/>
    <cellStyle name="Normal 8 3 7" xfId="2024"/>
    <cellStyle name="Normal 8 3 7 2" xfId="15367"/>
    <cellStyle name="Normal 8 3 8" xfId="17255"/>
    <cellStyle name="Normal 8 3 9" xfId="17020"/>
    <cellStyle name="Normal 8 4" xfId="761"/>
    <cellStyle name="Normal 8 4 2" xfId="1042"/>
    <cellStyle name="Normal 8 4 2 2" xfId="1701"/>
    <cellStyle name="Normal 8 4 2 2 2" xfId="4385"/>
    <cellStyle name="Normal 8 4 2 2 2 2" xfId="17067"/>
    <cellStyle name="Normal 8 4 2 2 3" xfId="3129"/>
    <cellStyle name="Normal 8 4 2 2 3 2" xfId="15889"/>
    <cellStyle name="Normal 8 4 2 2 4" xfId="17905"/>
    <cellStyle name="Normal 8 4 2 2 5" xfId="19458"/>
    <cellStyle name="Normal 8 4 2 2 6" xfId="14867"/>
    <cellStyle name="Normal 8 4 2 3" xfId="4384"/>
    <cellStyle name="Normal 8 4 2 3 2" xfId="16192"/>
    <cellStyle name="Normal 8 4 2 4" xfId="2473"/>
    <cellStyle name="Normal 8 4 2 4 2" xfId="15810"/>
    <cellStyle name="Normal 8 4 2 5" xfId="17241"/>
    <cellStyle name="Normal 8 4 2 6" xfId="20030"/>
    <cellStyle name="Normal 8 4 2 7" xfId="14241"/>
    <cellStyle name="Normal 8 4 3" xfId="1427"/>
    <cellStyle name="Normal 8 4 3 2" xfId="4386"/>
    <cellStyle name="Normal 8 4 3 2 2" xfId="15077"/>
    <cellStyle name="Normal 8 4 3 3" xfId="2855"/>
    <cellStyle name="Normal 8 4 3 3 2" xfId="16228"/>
    <cellStyle name="Normal 8 4 3 4" xfId="17495"/>
    <cellStyle name="Normal 8 4 3 5" xfId="19730"/>
    <cellStyle name="Normal 8 4 3 6" xfId="14604"/>
    <cellStyle name="Normal 8 4 4" xfId="4383"/>
    <cellStyle name="Normal 8 4 4 2" xfId="15492"/>
    <cellStyle name="Normal 8 4 5" xfId="2199"/>
    <cellStyle name="Normal 8 4 5 2" xfId="19198"/>
    <cellStyle name="Normal 8 4 6" xfId="17098"/>
    <cellStyle name="Normal 8 4 7" xfId="20304"/>
    <cellStyle name="Normal 8 4 8" xfId="13991"/>
    <cellStyle name="Normal 8 5" xfId="644"/>
    <cellStyle name="Normal 8 5 2" xfId="1311"/>
    <cellStyle name="Normal 8 5 2 2" xfId="4388"/>
    <cellStyle name="Normal 8 5 2 2 2" xfId="15442"/>
    <cellStyle name="Normal 8 5 2 3" xfId="2739"/>
    <cellStyle name="Normal 8 5 2 3 2" xfId="16700"/>
    <cellStyle name="Normal 8 5 2 4" xfId="17776"/>
    <cellStyle name="Normal 8 5 2 5" xfId="19814"/>
    <cellStyle name="Normal 8 5 2 6" xfId="14488"/>
    <cellStyle name="Normal 8 5 3" xfId="4387"/>
    <cellStyle name="Normal 8 5 3 2" xfId="15332"/>
    <cellStyle name="Normal 8 5 4" xfId="2083"/>
    <cellStyle name="Normal 8 5 4 2" xfId="17423"/>
    <cellStyle name="Normal 8 5 5" xfId="18689"/>
    <cellStyle name="Normal 8 5 6" xfId="20420"/>
    <cellStyle name="Normal 8 5 7" xfId="13881"/>
    <cellStyle name="Normal 8 6" xfId="926"/>
    <cellStyle name="Normal 8 6 2" xfId="1585"/>
    <cellStyle name="Normal 8 6 2 2" xfId="4390"/>
    <cellStyle name="Normal 8 6 2 2 2" xfId="15255"/>
    <cellStyle name="Normal 8 6 2 3" xfId="3013"/>
    <cellStyle name="Normal 8 6 2 3 2" xfId="16042"/>
    <cellStyle name="Normal 8 6 2 4" xfId="18129"/>
    <cellStyle name="Normal 8 6 2 5" xfId="19572"/>
    <cellStyle name="Normal 8 6 2 6" xfId="14751"/>
    <cellStyle name="Normal 8 6 3" xfId="4389"/>
    <cellStyle name="Normal 8 6 3 2" xfId="15524"/>
    <cellStyle name="Normal 8 6 4" xfId="2357"/>
    <cellStyle name="Normal 8 6 4 2" xfId="18645"/>
    <cellStyle name="Normal 8 6 5" xfId="18902"/>
    <cellStyle name="Normal 8 6 6" xfId="20146"/>
    <cellStyle name="Normal 8 6 7" xfId="14130"/>
    <cellStyle name="Normal 8 7" xfId="1206"/>
    <cellStyle name="Normal 8 7 2" xfId="4391"/>
    <cellStyle name="Normal 8 7 2 2" xfId="16259"/>
    <cellStyle name="Normal 8 7 3" xfId="2634"/>
    <cellStyle name="Normal 8 7 3 2" xfId="16618"/>
    <cellStyle name="Normal 8 7 4" xfId="17592"/>
    <cellStyle name="Normal 8 7 5" xfId="19919"/>
    <cellStyle name="Normal 8 7 6" xfId="14383"/>
    <cellStyle name="Normal 8 8" xfId="4352"/>
    <cellStyle name="Normal 8 8 2" xfId="13698"/>
    <cellStyle name="Normal 8 9" xfId="1917"/>
    <cellStyle name="Normal 8 9 2" xfId="17504"/>
    <cellStyle name="Normal 80" xfId="8874"/>
    <cellStyle name="Normal 80 2" xfId="8875"/>
    <cellStyle name="Normal 80 2 2" xfId="8876"/>
    <cellStyle name="Normal 80 2 2 2" xfId="13258"/>
    <cellStyle name="Normal 80 2 3" xfId="13259"/>
    <cellStyle name="Normal 80 3" xfId="8877"/>
    <cellStyle name="Normal 80 3 2" xfId="13260"/>
    <cellStyle name="Normal 80 4" xfId="13261"/>
    <cellStyle name="Normal 80 5" xfId="15030"/>
    <cellStyle name="Normal 81" xfId="8878"/>
    <cellStyle name="Normal 81 2" xfId="8879"/>
    <cellStyle name="Normal 81 2 2" xfId="8880"/>
    <cellStyle name="Normal 81 2 2 2" xfId="13262"/>
    <cellStyle name="Normal 81 2 3" xfId="13263"/>
    <cellStyle name="Normal 81 3" xfId="8881"/>
    <cellStyle name="Normal 81 3 2" xfId="13264"/>
    <cellStyle name="Normal 81 4" xfId="13265"/>
    <cellStyle name="Normal 82" xfId="8882"/>
    <cellStyle name="Normal 82 2" xfId="8883"/>
    <cellStyle name="Normal 82 2 2" xfId="8884"/>
    <cellStyle name="Normal 82 2 2 2" xfId="13266"/>
    <cellStyle name="Normal 82 2 3" xfId="13267"/>
    <cellStyle name="Normal 82 3" xfId="8885"/>
    <cellStyle name="Normal 82 3 2" xfId="13268"/>
    <cellStyle name="Normal 82 4" xfId="13269"/>
    <cellStyle name="Normal 82 5" xfId="15029"/>
    <cellStyle name="Normal 83" xfId="8886"/>
    <cellStyle name="Normal 83 2" xfId="8887"/>
    <cellStyle name="Normal 83 2 2" xfId="13270"/>
    <cellStyle name="Normal 83 3" xfId="13271"/>
    <cellStyle name="Normal 83 4" xfId="15032"/>
    <cellStyle name="Normal 84" xfId="8888"/>
    <cellStyle name="Normal 85" xfId="8889"/>
    <cellStyle name="Normal 86" xfId="8890"/>
    <cellStyle name="Normal 87" xfId="8891"/>
    <cellStyle name="Normal 88" xfId="8892"/>
    <cellStyle name="Normal 89" xfId="8893"/>
    <cellStyle name="Normal 9" xfId="208"/>
    <cellStyle name="Normal 9 2" xfId="8895"/>
    <cellStyle name="Normal 9 2 2" xfId="8896"/>
    <cellStyle name="Normal 9 3" xfId="8897"/>
    <cellStyle name="Normal 9 4" xfId="15763"/>
    <cellStyle name="Normal 9 5" xfId="8894"/>
    <cellStyle name="Normal 90" xfId="8898"/>
    <cellStyle name="Normal 91" xfId="8899"/>
    <cellStyle name="Normal 91 2" xfId="8900"/>
    <cellStyle name="Normal 91 2 2" xfId="13272"/>
    <cellStyle name="Normal 91 3" xfId="13273"/>
    <cellStyle name="Normal 92" xfId="8901"/>
    <cellStyle name="Normal 92 2" xfId="8902"/>
    <cellStyle name="Normal 92 2 2" xfId="13274"/>
    <cellStyle name="Normal 92 3" xfId="13275"/>
    <cellStyle name="Normal 93" xfId="8903"/>
    <cellStyle name="Normal 94" xfId="8904"/>
    <cellStyle name="Normal 94 2" xfId="13276"/>
    <cellStyle name="Normal 95" xfId="8905"/>
    <cellStyle name="Normal 95 2" xfId="13277"/>
    <cellStyle name="Normal 96" xfId="8906"/>
    <cellStyle name="Normal 96 2" xfId="13278"/>
    <cellStyle name="Normal 97" xfId="8907"/>
    <cellStyle name="Normal 97 2" xfId="13279"/>
    <cellStyle name="Normal 98" xfId="8908"/>
    <cellStyle name="Normal 99" xfId="8909"/>
    <cellStyle name="Normal a&amp;b underline" xfId="8910"/>
    <cellStyle name="Normal bold" xfId="8911"/>
    <cellStyle name="Normal bold 2" xfId="8912"/>
    <cellStyle name="Normal db underline" xfId="8913"/>
    <cellStyle name="Normal GHG-Shade" xfId="209"/>
    <cellStyle name="Normal U" xfId="8914"/>
    <cellStyle name="Normal underline" xfId="8915"/>
    <cellStyle name="Normal underline 2" xfId="8916"/>
    <cellStyle name="Normal1" xfId="8917"/>
    <cellStyle name="Normal2" xfId="8918"/>
    <cellStyle name="Normal2 2" xfId="8919"/>
    <cellStyle name="Normal2 2 2" xfId="8920"/>
    <cellStyle name="Normal2 2_6.1 Contingency Allocation" xfId="8921"/>
    <cellStyle name="Normal2 3" xfId="8922"/>
    <cellStyle name="Normal2_6.1 Contingency Allocation" xfId="8923"/>
    <cellStyle name="normal5" xfId="8924"/>
    <cellStyle name="normal5 2" xfId="8925"/>
    <cellStyle name="Normale_Non UK Airports Capital Plan Template 20067 to 20089 Euro" xfId="13383"/>
    <cellStyle name="NormalGB" xfId="8926"/>
    <cellStyle name="Note 10" xfId="13497"/>
    <cellStyle name="Note 2" xfId="210"/>
    <cellStyle name="Note 2 10" xfId="15642"/>
    <cellStyle name="Note 2 11" xfId="20585"/>
    <cellStyle name="Note 2 12" xfId="8927"/>
    <cellStyle name="Note 2 2" xfId="211"/>
    <cellStyle name="Note 2 2 10" xfId="8928"/>
    <cellStyle name="Note 2 2 2" xfId="212"/>
    <cellStyle name="Note 2 2 2 2" xfId="213"/>
    <cellStyle name="Note 2 2 2 2 2" xfId="285"/>
    <cellStyle name="Note 2 2 2 2 2 2" xfId="4396"/>
    <cellStyle name="Note 2 2 2 2 2 2 2" xfId="15155"/>
    <cellStyle name="Note 2 2 2 2 2 3" xfId="1948"/>
    <cellStyle name="Note 2 2 2 2 2 4" xfId="19089"/>
    <cellStyle name="Note 2 2 2 2 2 5" xfId="20555"/>
    <cellStyle name="Note 2 2 2 2 3" xfId="4395"/>
    <cellStyle name="Note 2 2 2 2 3 2" xfId="15469"/>
    <cellStyle name="Note 2 2 2 2 4" xfId="1921"/>
    <cellStyle name="Note 2 2 2 2 5" xfId="18594"/>
    <cellStyle name="Note 2 2 2 2 6" xfId="20582"/>
    <cellStyle name="Note 2 2 2 3" xfId="214"/>
    <cellStyle name="Note 2 2 2 3 2" xfId="286"/>
    <cellStyle name="Note 2 2 2 3 2 2" xfId="4398"/>
    <cellStyle name="Note 2 2 2 3 2 2 2" xfId="15307"/>
    <cellStyle name="Note 2 2 2 3 2 3" xfId="1949"/>
    <cellStyle name="Note 2 2 2 3 2 4" xfId="18965"/>
    <cellStyle name="Note 2 2 2 3 2 5" xfId="20554"/>
    <cellStyle name="Note 2 2 2 3 3" xfId="4397"/>
    <cellStyle name="Note 2 2 2 3 3 2" xfId="19206"/>
    <cellStyle name="Note 2 2 2 3 4" xfId="1922"/>
    <cellStyle name="Note 2 2 2 3 5" xfId="18703"/>
    <cellStyle name="Note 2 2 2 3 6" xfId="20581"/>
    <cellStyle name="Note 2 2 2 4" xfId="284"/>
    <cellStyle name="Note 2 2 2 4 2" xfId="4399"/>
    <cellStyle name="Note 2 2 2 4 2 2" xfId="15412"/>
    <cellStyle name="Note 2 2 2 4 3" xfId="1947"/>
    <cellStyle name="Note 2 2 2 4 4" xfId="18785"/>
    <cellStyle name="Note 2 2 2 4 5" xfId="20556"/>
    <cellStyle name="Note 2 2 2 5" xfId="517"/>
    <cellStyle name="Note 2 2 2 5 2" xfId="4400"/>
    <cellStyle name="Note 2 2 2 5 2 2" xfId="18879"/>
    <cellStyle name="Note 2 2 2 5 3" xfId="2009"/>
    <cellStyle name="Note 2 2 2 5 4" xfId="18732"/>
    <cellStyle name="Note 2 2 2 5 5" xfId="20494"/>
    <cellStyle name="Note 2 2 2 6" xfId="4394"/>
    <cellStyle name="Note 2 2 2 6 2" xfId="15207"/>
    <cellStyle name="Note 2 2 2 7" xfId="1920"/>
    <cellStyle name="Note 2 2 2 8" xfId="18517"/>
    <cellStyle name="Note 2 2 2 9" xfId="20583"/>
    <cellStyle name="Note 2 2 3" xfId="283"/>
    <cellStyle name="Note 2 2 3 2" xfId="4401"/>
    <cellStyle name="Note 2 2 3 2 2" xfId="18524"/>
    <cellStyle name="Note 2 2 3 3" xfId="1946"/>
    <cellStyle name="Note 2 2 3 4" xfId="18663"/>
    <cellStyle name="Note 2 2 3 5" xfId="20557"/>
    <cellStyle name="Note 2 2 4" xfId="516"/>
    <cellStyle name="Note 2 2 4 2" xfId="619"/>
    <cellStyle name="Note 2 2 4 2 2" xfId="4403"/>
    <cellStyle name="Note 2 2 4 2 2 2" xfId="18609"/>
    <cellStyle name="Note 2 2 4 2 3" xfId="2071"/>
    <cellStyle name="Note 2 2 4 2 4" xfId="19102"/>
    <cellStyle name="Note 2 2 4 2 5" xfId="20432"/>
    <cellStyle name="Note 2 2 4 3" xfId="4402"/>
    <cellStyle name="Note 2 2 4 3 2" xfId="16894"/>
    <cellStyle name="Note 2 2 4 4" xfId="2008"/>
    <cellStyle name="Note 2 2 4 5" xfId="18913"/>
    <cellStyle name="Note 2 2 4 6" xfId="20495"/>
    <cellStyle name="Note 2 2 5" xfId="4393"/>
    <cellStyle name="Note 2 2 5 2" xfId="15358"/>
    <cellStyle name="Note 2 2 6" xfId="1919"/>
    <cellStyle name="Note 2 2 7" xfId="18151"/>
    <cellStyle name="Note 2 2 8" xfId="15401"/>
    <cellStyle name="Note 2 2 9" xfId="20584"/>
    <cellStyle name="Note 2 3" xfId="215"/>
    <cellStyle name="Note 2 3 10" xfId="20580"/>
    <cellStyle name="Note 2 3 11" xfId="8929"/>
    <cellStyle name="Note 2 3 2" xfId="216"/>
    <cellStyle name="Note 2 3 2 2" xfId="288"/>
    <cellStyle name="Note 2 3 2 2 2" xfId="4406"/>
    <cellStyle name="Note 2 3 2 2 2 2" xfId="20777"/>
    <cellStyle name="Note 2 3 2 2 2 3" xfId="13721"/>
    <cellStyle name="Note 2 3 2 2 3" xfId="1951"/>
    <cellStyle name="Note 2 3 2 2 4" xfId="18912"/>
    <cellStyle name="Note 2 3 2 2 5" xfId="20641"/>
    <cellStyle name="Note 2 3 2 2 6" xfId="20552"/>
    <cellStyle name="Note 2 3 2 2 7" xfId="13280"/>
    <cellStyle name="Note 2 3 2 3" xfId="4405"/>
    <cellStyle name="Note 2 3 2 3 2" xfId="20775"/>
    <cellStyle name="Note 2 3 2 3 3" xfId="13699"/>
    <cellStyle name="Note 2 3 2 4" xfId="1924"/>
    <cellStyle name="Note 2 3 2 5" xfId="19136"/>
    <cellStyle name="Note 2 3 2 6" xfId="19215"/>
    <cellStyle name="Note 2 3 2 7" xfId="20579"/>
    <cellStyle name="Note 2 3 2 8" xfId="8930"/>
    <cellStyle name="Note 2 3 3" xfId="217"/>
    <cellStyle name="Note 2 3 3 2" xfId="289"/>
    <cellStyle name="Note 2 3 3 2 2" xfId="4408"/>
    <cellStyle name="Note 2 3 3 2 2 2" xfId="15697"/>
    <cellStyle name="Note 2 3 3 2 3" xfId="1952"/>
    <cellStyle name="Note 2 3 3 2 4" xfId="18731"/>
    <cellStyle name="Note 2 3 3 2 5" xfId="20551"/>
    <cellStyle name="Note 2 3 3 3" xfId="4407"/>
    <cellStyle name="Note 2 3 3 3 2" xfId="18959"/>
    <cellStyle name="Note 2 3 3 4" xfId="1925"/>
    <cellStyle name="Note 2 3 3 5" xfId="19013"/>
    <cellStyle name="Note 2 3 3 6" xfId="20578"/>
    <cellStyle name="Note 2 3 4" xfId="287"/>
    <cellStyle name="Note 2 3 4 2" xfId="4409"/>
    <cellStyle name="Note 2 3 4 2 2" xfId="15698"/>
    <cellStyle name="Note 2 3 4 3" xfId="1950"/>
    <cellStyle name="Note 2 3 4 4" xfId="18614"/>
    <cellStyle name="Note 2 3 4 5" xfId="20553"/>
    <cellStyle name="Note 2 3 5" xfId="518"/>
    <cellStyle name="Note 2 3 5 2" xfId="4410"/>
    <cellStyle name="Note 2 3 5 2 2" xfId="16895"/>
    <cellStyle name="Note 2 3 5 3" xfId="2010"/>
    <cellStyle name="Note 2 3 5 4" xfId="19046"/>
    <cellStyle name="Note 2 3 5 5" xfId="20493"/>
    <cellStyle name="Note 2 3 6" xfId="4404"/>
    <cellStyle name="Note 2 3 6 2" xfId="18659"/>
    <cellStyle name="Note 2 3 7" xfId="1923"/>
    <cellStyle name="Note 2 3 8" xfId="18827"/>
    <cellStyle name="Note 2 3 9" xfId="15146"/>
    <cellStyle name="Note 2 4" xfId="282"/>
    <cellStyle name="Note 2 4 2" xfId="4411"/>
    <cellStyle name="Note 2 4 2 2" xfId="20642"/>
    <cellStyle name="Note 2 4 2 3" xfId="20856"/>
    <cellStyle name="Note 2 4 2 4" xfId="20849"/>
    <cellStyle name="Note 2 4 2 5" xfId="13281"/>
    <cellStyle name="Note 2 4 3" xfId="1945"/>
    <cellStyle name="Note 2 4 3 2" xfId="20776"/>
    <cellStyle name="Note 2 4 4" xfId="18884"/>
    <cellStyle name="Note 2 4 5" xfId="15297"/>
    <cellStyle name="Note 2 4 6" xfId="20558"/>
    <cellStyle name="Note 2 4 7" xfId="8931"/>
    <cellStyle name="Note 2 5" xfId="427"/>
    <cellStyle name="Note 2 5 2" xfId="4412"/>
    <cellStyle name="Note 2 5 2 2" xfId="15699"/>
    <cellStyle name="Note 2 5 3" xfId="1988"/>
    <cellStyle name="Note 2 5 4" xfId="16419"/>
    <cellStyle name="Note 2 5 5" xfId="20515"/>
    <cellStyle name="Note 2 6" xfId="515"/>
    <cellStyle name="Note 2 6 2" xfId="618"/>
    <cellStyle name="Note 2 6 2 2" xfId="4414"/>
    <cellStyle name="Note 2 6 2 2 2" xfId="16261"/>
    <cellStyle name="Note 2 6 2 3" xfId="2070"/>
    <cellStyle name="Note 2 6 2 4" xfId="17275"/>
    <cellStyle name="Note 2 6 2 5" xfId="20433"/>
    <cellStyle name="Note 2 6 3" xfId="4413"/>
    <cellStyle name="Note 2 6 3 2" xfId="16260"/>
    <cellStyle name="Note 2 6 4" xfId="2007"/>
    <cellStyle name="Note 2 6 5" xfId="18615"/>
    <cellStyle name="Note 2 6 6" xfId="20496"/>
    <cellStyle name="Note 2 7" xfId="4392"/>
    <cellStyle name="Note 2 7 2" xfId="15104"/>
    <cellStyle name="Note 2 8" xfId="1918"/>
    <cellStyle name="Note 2 9" xfId="18465"/>
    <cellStyle name="Note 2_Data" xfId="8932"/>
    <cellStyle name="Note 3" xfId="344"/>
    <cellStyle name="Note 3 10" xfId="19169"/>
    <cellStyle name="Note 3 11" xfId="15399"/>
    <cellStyle name="Note 3 12" xfId="20527"/>
    <cellStyle name="Note 3 13" xfId="8933"/>
    <cellStyle name="Note 3 2" xfId="519"/>
    <cellStyle name="Note 3 2 2" xfId="4416"/>
    <cellStyle name="Note 3 2 2 2" xfId="20778"/>
    <cellStyle name="Note 3 2 2 3" xfId="13788"/>
    <cellStyle name="Note 3 2 3" xfId="2011"/>
    <cellStyle name="Note 3 2 4" xfId="18862"/>
    <cellStyle name="Note 3 2 5" xfId="15142"/>
    <cellStyle name="Note 3 2 6" xfId="20492"/>
    <cellStyle name="Note 3 2 7" xfId="8934"/>
    <cellStyle name="Note 3 3" xfId="592"/>
    <cellStyle name="Note 3 3 10" xfId="20456"/>
    <cellStyle name="Note 3 3 11" xfId="8935"/>
    <cellStyle name="Note 3 3 2" xfId="859"/>
    <cellStyle name="Note 3 3 2 2" xfId="1133"/>
    <cellStyle name="Note 3 3 2 2 2" xfId="1792"/>
    <cellStyle name="Note 3 3 2 2 2 2" xfId="4420"/>
    <cellStyle name="Note 3 3 2 2 2 2 2" xfId="16262"/>
    <cellStyle name="Note 3 3 2 2 2 3" xfId="3220"/>
    <cellStyle name="Note 3 3 2 2 2 3 2" xfId="17861"/>
    <cellStyle name="Note 3 3 2 2 2 4" xfId="18094"/>
    <cellStyle name="Note 3 3 2 2 2 5" xfId="19367"/>
    <cellStyle name="Note 3 3 2 2 2 6" xfId="14947"/>
    <cellStyle name="Note 3 3 2 2 3" xfId="4419"/>
    <cellStyle name="Note 3 3 2 2 3 2" xfId="16025"/>
    <cellStyle name="Note 3 3 2 2 4" xfId="2564"/>
    <cellStyle name="Note 3 3 2 2 4 2" xfId="18338"/>
    <cellStyle name="Note 3 3 2 2 5" xfId="16560"/>
    <cellStyle name="Note 3 3 2 2 6" xfId="19939"/>
    <cellStyle name="Note 3 3 2 2 7" xfId="14313"/>
    <cellStyle name="Note 3 3 2 3" xfId="1518"/>
    <cellStyle name="Note 3 3 2 3 2" xfId="4421"/>
    <cellStyle name="Note 3 3 2 3 2 2" xfId="16027"/>
    <cellStyle name="Note 3 3 2 3 3" xfId="2946"/>
    <cellStyle name="Note 3 3 2 3 3 2" xfId="15844"/>
    <cellStyle name="Note 3 3 2 3 4" xfId="17667"/>
    <cellStyle name="Note 3 3 2 3 5" xfId="19639"/>
    <cellStyle name="Note 3 3 2 3 6" xfId="14684"/>
    <cellStyle name="Note 3 3 2 4" xfId="4418"/>
    <cellStyle name="Note 3 3 2 4 2" xfId="16215"/>
    <cellStyle name="Note 3 3 2 5" xfId="2290"/>
    <cellStyle name="Note 3 3 2 5 2" xfId="19007"/>
    <cellStyle name="Note 3 3 2 6" xfId="19063"/>
    <cellStyle name="Note 3 3 2 7" xfId="20213"/>
    <cellStyle name="Note 3 3 2 8" xfId="14063"/>
    <cellStyle name="Note 3 3 3" xfId="715"/>
    <cellStyle name="Note 3 3 3 2" xfId="1382"/>
    <cellStyle name="Note 3 3 3 2 2" xfId="4423"/>
    <cellStyle name="Note 3 3 3 2 2 2" xfId="16029"/>
    <cellStyle name="Note 3 3 3 2 3" xfId="2810"/>
    <cellStyle name="Note 3 3 3 2 3 2" xfId="16756"/>
    <cellStyle name="Note 3 3 3 2 4" xfId="17528"/>
    <cellStyle name="Note 3 3 3 2 5" xfId="19773"/>
    <cellStyle name="Note 3 3 3 2 6" xfId="14559"/>
    <cellStyle name="Note 3 3 3 3" xfId="4422"/>
    <cellStyle name="Note 3 3 3 3 2" xfId="16896"/>
    <cellStyle name="Note 3 3 3 4" xfId="2154"/>
    <cellStyle name="Note 3 3 3 4 2" xfId="18804"/>
    <cellStyle name="Note 3 3 3 5" xfId="16458"/>
    <cellStyle name="Note 3 3 3 6" xfId="20349"/>
    <cellStyle name="Note 3 3 3 7" xfId="13951"/>
    <cellStyle name="Note 3 3 4" xfId="997"/>
    <cellStyle name="Note 3 3 4 2" xfId="1656"/>
    <cellStyle name="Note 3 3 4 2 2" xfId="4425"/>
    <cellStyle name="Note 3 3 4 2 2 2" xfId="18671"/>
    <cellStyle name="Note 3 3 4 2 3" xfId="3084"/>
    <cellStyle name="Note 3 3 4 2 3 2" xfId="19260"/>
    <cellStyle name="Note 3 3 4 2 4" xfId="15245"/>
    <cellStyle name="Note 3 3 4 2 5" xfId="19501"/>
    <cellStyle name="Note 3 3 4 2 6" xfId="14822"/>
    <cellStyle name="Note 3 3 4 3" xfId="4424"/>
    <cellStyle name="Note 3 3 4 3 2" xfId="18815"/>
    <cellStyle name="Note 3 3 4 4" xfId="2428"/>
    <cellStyle name="Note 3 3 4 4 2" xfId="18187"/>
    <cellStyle name="Note 3 3 4 5" xfId="18526"/>
    <cellStyle name="Note 3 3 4 6" xfId="20075"/>
    <cellStyle name="Note 3 3 4 7" xfId="14201"/>
    <cellStyle name="Note 3 3 5" xfId="1277"/>
    <cellStyle name="Note 3 3 5 2" xfId="4426"/>
    <cellStyle name="Note 3 3 5 2 2" xfId="15965"/>
    <cellStyle name="Note 3 3 5 3" xfId="2705"/>
    <cellStyle name="Note 3 3 5 3 2" xfId="16676"/>
    <cellStyle name="Note 3 3 5 4" xfId="15249"/>
    <cellStyle name="Note 3 3 5 5" xfId="19848"/>
    <cellStyle name="Note 3 3 5 6" xfId="14454"/>
    <cellStyle name="Note 3 3 6" xfId="4417"/>
    <cellStyle name="Note 3 3 6 2" xfId="13845"/>
    <cellStyle name="Note 3 3 7" xfId="2047"/>
    <cellStyle name="Note 3 3 7 2" xfId="15277"/>
    <cellStyle name="Note 3 3 8" xfId="16443"/>
    <cellStyle name="Note 3 3 9" xfId="19218"/>
    <cellStyle name="Note 3 4" xfId="782"/>
    <cellStyle name="Note 3 4 2" xfId="1063"/>
    <cellStyle name="Note 3 4 2 2" xfId="1722"/>
    <cellStyle name="Note 3 4 2 2 2" xfId="4429"/>
    <cellStyle name="Note 3 4 2 2 2 2" xfId="18558"/>
    <cellStyle name="Note 3 4 2 2 3" xfId="3150"/>
    <cellStyle name="Note 3 4 2 2 3 2" xfId="18923"/>
    <cellStyle name="Note 3 4 2 2 4" xfId="18022"/>
    <cellStyle name="Note 3 4 2 2 5" xfId="19437"/>
    <cellStyle name="Note 3 4 2 2 6" xfId="14877"/>
    <cellStyle name="Note 3 4 2 3" xfId="4428"/>
    <cellStyle name="Note 3 4 2 3 2" xfId="16393"/>
    <cellStyle name="Note 3 4 2 4" xfId="2494"/>
    <cellStyle name="Note 3 4 2 4 2" xfId="18400"/>
    <cellStyle name="Note 3 4 2 5" xfId="18329"/>
    <cellStyle name="Note 3 4 2 6" xfId="20009"/>
    <cellStyle name="Note 3 4 2 7" xfId="14249"/>
    <cellStyle name="Note 3 4 3" xfId="1448"/>
    <cellStyle name="Note 3 4 3 2" xfId="4430"/>
    <cellStyle name="Note 3 4 3 2 2" xfId="18366"/>
    <cellStyle name="Note 3 4 3 3" xfId="2876"/>
    <cellStyle name="Note 3 4 3 3 2" xfId="16365"/>
    <cellStyle name="Note 3 4 3 4" xfId="18001"/>
    <cellStyle name="Note 3 4 3 5" xfId="19709"/>
    <cellStyle name="Note 3 4 3 6" xfId="14614"/>
    <cellStyle name="Note 3 4 4" xfId="4427"/>
    <cellStyle name="Note 3 4 4 2" xfId="15700"/>
    <cellStyle name="Note 3 4 5" xfId="2220"/>
    <cellStyle name="Note 3 4 5 2" xfId="17375"/>
    <cellStyle name="Note 3 4 6" xfId="17292"/>
    <cellStyle name="Note 3 4 7" xfId="20283"/>
    <cellStyle name="Note 3 4 8" xfId="14000"/>
    <cellStyle name="Note 3 5" xfId="664"/>
    <cellStyle name="Note 3 5 2" xfId="1331"/>
    <cellStyle name="Note 3 5 2 2" xfId="4432"/>
    <cellStyle name="Note 3 5 2 2 2" xfId="16395"/>
    <cellStyle name="Note 3 5 2 3" xfId="2759"/>
    <cellStyle name="Note 3 5 2 3 2" xfId="16711"/>
    <cellStyle name="Note 3 5 2 4" xfId="17907"/>
    <cellStyle name="Note 3 5 2 5" xfId="19794"/>
    <cellStyle name="Note 3 5 2 6" xfId="14508"/>
    <cellStyle name="Note 3 5 3" xfId="4431"/>
    <cellStyle name="Note 3 5 3 2" xfId="16394"/>
    <cellStyle name="Note 3 5 4" xfId="2103"/>
    <cellStyle name="Note 3 5 4 2" xfId="17925"/>
    <cellStyle name="Note 3 5 5" xfId="18787"/>
    <cellStyle name="Note 3 5 6" xfId="20400"/>
    <cellStyle name="Note 3 5 7" xfId="13901"/>
    <cellStyle name="Note 3 6" xfId="946"/>
    <cellStyle name="Note 3 6 2" xfId="1605"/>
    <cellStyle name="Note 3 6 2 2" xfId="4434"/>
    <cellStyle name="Note 3 6 2 2 2" xfId="15701"/>
    <cellStyle name="Note 3 6 2 3" xfId="3033"/>
    <cellStyle name="Note 3 6 2 3 2" xfId="17937"/>
    <cellStyle name="Note 3 6 2 4" xfId="17109"/>
    <cellStyle name="Note 3 6 2 5" xfId="19552"/>
    <cellStyle name="Note 3 6 2 6" xfId="14771"/>
    <cellStyle name="Note 3 6 3" xfId="4433"/>
    <cellStyle name="Note 3 6 3 2" xfId="16396"/>
    <cellStyle name="Note 3 6 4" xfId="2377"/>
    <cellStyle name="Note 3 6 4 2" xfId="15918"/>
    <cellStyle name="Note 3 6 5" xfId="19068"/>
    <cellStyle name="Note 3 6 6" xfId="20126"/>
    <cellStyle name="Note 3 6 7" xfId="14150"/>
    <cellStyle name="Note 3 7" xfId="1226"/>
    <cellStyle name="Note 3 7 2" xfId="4435"/>
    <cellStyle name="Note 3 7 2 2" xfId="16193"/>
    <cellStyle name="Note 3 7 3" xfId="2654"/>
    <cellStyle name="Note 3 7 3 2" xfId="17834"/>
    <cellStyle name="Note 3 7 4" xfId="17307"/>
    <cellStyle name="Note 3 7 5" xfId="19899"/>
    <cellStyle name="Note 3 7 6" xfId="14403"/>
    <cellStyle name="Note 3 8" xfId="4415"/>
    <cellStyle name="Note 3 8 2" xfId="13725"/>
    <cellStyle name="Note 3 9" xfId="1976"/>
    <cellStyle name="Note 3 9 2" xfId="17347"/>
    <cellStyle name="Note 4" xfId="435"/>
    <cellStyle name="Note 4 10" xfId="15295"/>
    <cellStyle name="Note 4 11" xfId="20508"/>
    <cellStyle name="Note 4 12" xfId="8936"/>
    <cellStyle name="Note 4 2" xfId="607"/>
    <cellStyle name="Note 4 2 10" xfId="13860"/>
    <cellStyle name="Note 4 2 2" xfId="874"/>
    <cellStyle name="Note 4 2 2 2" xfId="1148"/>
    <cellStyle name="Note 4 2 2 2 2" xfId="1807"/>
    <cellStyle name="Note 4 2 2 2 2 2" xfId="4440"/>
    <cellStyle name="Note 4 2 2 2 2 2 2" xfId="18999"/>
    <cellStyle name="Note 4 2 2 2 2 3" xfId="3235"/>
    <cellStyle name="Note 4 2 2 2 2 3 2" xfId="16312"/>
    <cellStyle name="Note 4 2 2 2 2 4" xfId="17771"/>
    <cellStyle name="Note 4 2 2 2 2 5" xfId="19352"/>
    <cellStyle name="Note 4 2 2 2 2 6" xfId="14962"/>
    <cellStyle name="Note 4 2 2 2 3" xfId="4439"/>
    <cellStyle name="Note 4 2 2 2 3 2" xfId="15703"/>
    <cellStyle name="Note 4 2 2 2 4" xfId="2579"/>
    <cellStyle name="Note 4 2 2 2 4 2" xfId="18375"/>
    <cellStyle name="Note 4 2 2 2 5" xfId="18605"/>
    <cellStyle name="Note 4 2 2 2 6" xfId="20772"/>
    <cellStyle name="Note 4 2 2 2 7" xfId="14328"/>
    <cellStyle name="Note 4 2 2 3" xfId="1533"/>
    <cellStyle name="Note 4 2 2 3 2" xfId="4441"/>
    <cellStyle name="Note 4 2 2 3 2 2" xfId="18692"/>
    <cellStyle name="Note 4 2 2 3 3" xfId="2961"/>
    <cellStyle name="Note 4 2 2 3 3 2" xfId="16054"/>
    <cellStyle name="Note 4 2 2 3 4" xfId="18496"/>
    <cellStyle name="Note 4 2 2 3 5" xfId="19624"/>
    <cellStyle name="Note 4 2 2 3 6" xfId="14699"/>
    <cellStyle name="Note 4 2 2 4" xfId="4438"/>
    <cellStyle name="Note 4 2 2 4 2" xfId="15702"/>
    <cellStyle name="Note 4 2 2 5" xfId="2305"/>
    <cellStyle name="Note 4 2 2 5 2" xfId="15330"/>
    <cellStyle name="Note 4 2 2 6" xfId="17230"/>
    <cellStyle name="Note 4 2 2 7" xfId="20198"/>
    <cellStyle name="Note 4 2 2 8" xfId="14078"/>
    <cellStyle name="Note 4 2 3" xfId="730"/>
    <cellStyle name="Note 4 2 3 2" xfId="1397"/>
    <cellStyle name="Note 4 2 3 2 2" xfId="4443"/>
    <cellStyle name="Note 4 2 3 2 2 2" xfId="18938"/>
    <cellStyle name="Note 4 2 3 2 3" xfId="2825"/>
    <cellStyle name="Note 4 2 3 2 3 2" xfId="17205"/>
    <cellStyle name="Note 4 2 3 2 4" xfId="18874"/>
    <cellStyle name="Note 4 2 3 2 5" xfId="19760"/>
    <cellStyle name="Note 4 2 3 2 6" xfId="14574"/>
    <cellStyle name="Note 4 2 3 3" xfId="4442"/>
    <cellStyle name="Note 4 2 3 3 2" xfId="18638"/>
    <cellStyle name="Note 4 2 3 4" xfId="2169"/>
    <cellStyle name="Note 4 2 3 4 2" xfId="15623"/>
    <cellStyle name="Note 4 2 3 5" xfId="16463"/>
    <cellStyle name="Note 4 2 3 6" xfId="20334"/>
    <cellStyle name="Note 4 2 3 7" xfId="13966"/>
    <cellStyle name="Note 4 2 4" xfId="1012"/>
    <cellStyle name="Note 4 2 4 2" xfId="1671"/>
    <cellStyle name="Note 4 2 4 2 2" xfId="4445"/>
    <cellStyle name="Note 4 2 4 2 2 2" xfId="15704"/>
    <cellStyle name="Note 4 2 4 2 3" xfId="3099"/>
    <cellStyle name="Note 4 2 4 2 3 2" xfId="16296"/>
    <cellStyle name="Note 4 2 4 2 4" xfId="15226"/>
    <cellStyle name="Note 4 2 4 2 5" xfId="19486"/>
    <cellStyle name="Note 4 2 4 2 6" xfId="14837"/>
    <cellStyle name="Note 4 2 4 3" xfId="4444"/>
    <cellStyle name="Note 4 2 4 3 2" xfId="16263"/>
    <cellStyle name="Note 4 2 4 4" xfId="2443"/>
    <cellStyle name="Note 4 2 4 4 2" xfId="15976"/>
    <cellStyle name="Note 4 2 4 5" xfId="16222"/>
    <cellStyle name="Note 4 2 4 6" xfId="20060"/>
    <cellStyle name="Note 4 2 4 7" xfId="14216"/>
    <cellStyle name="Note 4 2 5" xfId="1292"/>
    <cellStyle name="Note 4 2 5 2" xfId="4446"/>
    <cellStyle name="Note 4 2 5 2 2" xfId="15705"/>
    <cellStyle name="Note 4 2 5 3" xfId="2720"/>
    <cellStyle name="Note 4 2 5 3 2" xfId="16686"/>
    <cellStyle name="Note 4 2 5 4" xfId="17388"/>
    <cellStyle name="Note 4 2 5 5" xfId="19833"/>
    <cellStyle name="Note 4 2 5 6" xfId="14469"/>
    <cellStyle name="Note 4 2 6" xfId="4437"/>
    <cellStyle name="Note 4 2 6 2" xfId="19122"/>
    <cellStyle name="Note 4 2 7" xfId="2062"/>
    <cellStyle name="Note 4 2 7 2" xfId="17367"/>
    <cellStyle name="Note 4 2 8" xfId="19077"/>
    <cellStyle name="Note 4 2 9" xfId="20441"/>
    <cellStyle name="Note 4 3" xfId="808"/>
    <cellStyle name="Note 4 3 2" xfId="1087"/>
    <cellStyle name="Note 4 3 2 2" xfId="1746"/>
    <cellStyle name="Note 4 3 2 2 2" xfId="4449"/>
    <cellStyle name="Note 4 3 2 2 2 2" xfId="15706"/>
    <cellStyle name="Note 4 3 2 2 3" xfId="3174"/>
    <cellStyle name="Note 4 3 2 2 3 2" xfId="18552"/>
    <cellStyle name="Note 4 3 2 2 4" xfId="17142"/>
    <cellStyle name="Note 4 3 2 2 5" xfId="19413"/>
    <cellStyle name="Note 4 3 2 2 6" xfId="14901"/>
    <cellStyle name="Note 4 3 2 3" xfId="4448"/>
    <cellStyle name="Note 4 3 2 3 2" xfId="18758"/>
    <cellStyle name="Note 4 3 2 4" xfId="2518"/>
    <cellStyle name="Note 4 3 2 4 2" xfId="19234"/>
    <cellStyle name="Note 4 3 2 5" xfId="16543"/>
    <cellStyle name="Note 4 3 2 6" xfId="19985"/>
    <cellStyle name="Note 4 3 2 7" xfId="14270"/>
    <cellStyle name="Note 4 3 3" xfId="1472"/>
    <cellStyle name="Note 4 3 3 2" xfId="4450"/>
    <cellStyle name="Note 4 3 3 2 2" xfId="15707"/>
    <cellStyle name="Note 4 3 3 3" xfId="2900"/>
    <cellStyle name="Note 4 3 3 3 2" xfId="18057"/>
    <cellStyle name="Note 4 3 3 4" xfId="17728"/>
    <cellStyle name="Note 4 3 3 5" xfId="19685"/>
    <cellStyle name="Note 4 3 3 6" xfId="14638"/>
    <cellStyle name="Note 4 3 4" xfId="4447"/>
    <cellStyle name="Note 4 3 4 2" xfId="16264"/>
    <cellStyle name="Note 4 3 5" xfId="2244"/>
    <cellStyle name="Note 4 3 5 2" xfId="15824"/>
    <cellStyle name="Note 4 3 6" xfId="18417"/>
    <cellStyle name="Note 4 3 7" xfId="20259"/>
    <cellStyle name="Note 4 3 8" xfId="14021"/>
    <cellStyle name="Note 4 4" xfId="679"/>
    <cellStyle name="Note 4 4 2" xfId="1346"/>
    <cellStyle name="Note 4 4 2 2" xfId="4452"/>
    <cellStyle name="Note 4 4 2 2 2" xfId="18889"/>
    <cellStyle name="Note 4 4 2 3" xfId="2774"/>
    <cellStyle name="Note 4 4 2 3 2" xfId="16726"/>
    <cellStyle name="Note 4 4 2 4" xfId="17546"/>
    <cellStyle name="Note 4 4 2 5" xfId="20677"/>
    <cellStyle name="Note 4 4 2 6" xfId="14523"/>
    <cellStyle name="Note 4 4 3" xfId="4451"/>
    <cellStyle name="Note 4 4 3 2" xfId="19069"/>
    <cellStyle name="Note 4 4 4" xfId="2118"/>
    <cellStyle name="Note 4 4 4 2" xfId="17690"/>
    <cellStyle name="Note 4 4 5" xfId="16447"/>
    <cellStyle name="Note 4 4 6" xfId="20385"/>
    <cellStyle name="Note 4 4 7" xfId="13916"/>
    <cellStyle name="Note 4 5" xfId="961"/>
    <cellStyle name="Note 4 5 2" xfId="1620"/>
    <cellStyle name="Note 4 5 2 2" xfId="4454"/>
    <cellStyle name="Note 4 5 2 2 2" xfId="15709"/>
    <cellStyle name="Note 4 5 2 3" xfId="3048"/>
    <cellStyle name="Note 4 5 2 3 2" xfId="16781"/>
    <cellStyle name="Note 4 5 2 4" xfId="18032"/>
    <cellStyle name="Note 4 5 2 5" xfId="19537"/>
    <cellStyle name="Note 4 5 2 6" xfId="14786"/>
    <cellStyle name="Note 4 5 3" xfId="4453"/>
    <cellStyle name="Note 4 5 3 2" xfId="15708"/>
    <cellStyle name="Note 4 5 4" xfId="2392"/>
    <cellStyle name="Note 4 5 4 2" xfId="18443"/>
    <cellStyle name="Note 4 5 5" xfId="16505"/>
    <cellStyle name="Note 4 5 6" xfId="20111"/>
    <cellStyle name="Note 4 5 7" xfId="14165"/>
    <cellStyle name="Note 4 6" xfId="1241"/>
    <cellStyle name="Note 4 6 2" xfId="4455"/>
    <cellStyle name="Note 4 6 2 2" xfId="18581"/>
    <cellStyle name="Note 4 6 3" xfId="2669"/>
    <cellStyle name="Note 4 6 3 2" xfId="16647"/>
    <cellStyle name="Note 4 6 4" xfId="17527"/>
    <cellStyle name="Note 4 6 5" xfId="19884"/>
    <cellStyle name="Note 4 6 6" xfId="14418"/>
    <cellStyle name="Note 4 7" xfId="4436"/>
    <cellStyle name="Note 4 7 2" xfId="13744"/>
    <cellStyle name="Note 4 8" xfId="1995"/>
    <cellStyle name="Note 4 8 2" xfId="19241"/>
    <cellStyle name="Note 4 9" xfId="16426"/>
    <cellStyle name="Note 5" xfId="437"/>
    <cellStyle name="Note 5 10" xfId="15667"/>
    <cellStyle name="Note 5 11" xfId="20506"/>
    <cellStyle name="Note 5 12" xfId="8937"/>
    <cellStyle name="Note 5 2" xfId="609"/>
    <cellStyle name="Note 5 2 10" xfId="20439"/>
    <cellStyle name="Note 5 2 11" xfId="8938"/>
    <cellStyle name="Note 5 2 2" xfId="876"/>
    <cellStyle name="Note 5 2 2 2" xfId="1150"/>
    <cellStyle name="Note 5 2 2 2 2" xfId="1809"/>
    <cellStyle name="Note 5 2 2 2 2 2" xfId="4460"/>
    <cellStyle name="Note 5 2 2 2 2 2 2" xfId="19094"/>
    <cellStyle name="Note 5 2 2 2 2 3" xfId="3237"/>
    <cellStyle name="Note 5 2 2 2 2 3 2" xfId="16313"/>
    <cellStyle name="Note 5 2 2 2 2 4" xfId="15189"/>
    <cellStyle name="Note 5 2 2 2 2 5" xfId="19350"/>
    <cellStyle name="Note 5 2 2 2 2 6" xfId="14964"/>
    <cellStyle name="Note 5 2 2 2 3" xfId="4459"/>
    <cellStyle name="Note 5 2 2 2 3 2" xfId="18790"/>
    <cellStyle name="Note 5 2 2 2 4" xfId="2581"/>
    <cellStyle name="Note 5 2 2 2 4 2" xfId="16609"/>
    <cellStyle name="Note 5 2 2 2 5" xfId="16562"/>
    <cellStyle name="Note 5 2 2 2 6" xfId="20699"/>
    <cellStyle name="Note 5 2 2 2 7" xfId="14330"/>
    <cellStyle name="Note 5 2 2 3" xfId="1535"/>
    <cellStyle name="Note 5 2 2 3 2" xfId="4461"/>
    <cellStyle name="Note 5 2 2 3 2 2" xfId="18970"/>
    <cellStyle name="Note 5 2 2 3 3" xfId="2963"/>
    <cellStyle name="Note 5 2 2 3 3 2" xfId="18694"/>
    <cellStyle name="Note 5 2 2 3 4" xfId="18104"/>
    <cellStyle name="Note 5 2 2 3 5" xfId="19622"/>
    <cellStyle name="Note 5 2 2 3 6" xfId="14701"/>
    <cellStyle name="Note 5 2 2 4" xfId="4458"/>
    <cellStyle name="Note 5 2 2 4 2" xfId="16897"/>
    <cellStyle name="Note 5 2 2 5" xfId="2307"/>
    <cellStyle name="Note 5 2 2 5 2" xfId="18695"/>
    <cellStyle name="Note 5 2 2 6" xfId="19103"/>
    <cellStyle name="Note 5 2 2 7" xfId="20196"/>
    <cellStyle name="Note 5 2 2 8" xfId="14080"/>
    <cellStyle name="Note 5 2 3" xfId="732"/>
    <cellStyle name="Note 5 2 3 2" xfId="1399"/>
    <cellStyle name="Note 5 2 3 2 2" xfId="4463"/>
    <cellStyle name="Note 5 2 3 2 2 2" xfId="15711"/>
    <cellStyle name="Note 5 2 3 2 3" xfId="2827"/>
    <cellStyle name="Note 5 2 3 2 3 2" xfId="16766"/>
    <cellStyle name="Note 5 2 3 2 4" xfId="17701"/>
    <cellStyle name="Note 5 2 3 2 5" xfId="19758"/>
    <cellStyle name="Note 5 2 3 2 6" xfId="14576"/>
    <cellStyle name="Note 5 2 3 3" xfId="4462"/>
    <cellStyle name="Note 5 2 3 3 2" xfId="15710"/>
    <cellStyle name="Note 5 2 3 4" xfId="2171"/>
    <cellStyle name="Note 5 2 3 4 2" xfId="15628"/>
    <cellStyle name="Note 5 2 3 5" xfId="18298"/>
    <cellStyle name="Note 5 2 3 6" xfId="20332"/>
    <cellStyle name="Note 5 2 3 7" xfId="13968"/>
    <cellStyle name="Note 5 2 4" xfId="1014"/>
    <cellStyle name="Note 5 2 4 2" xfId="1673"/>
    <cellStyle name="Note 5 2 4 2 2" xfId="4465"/>
    <cellStyle name="Note 5 2 4 2 2 2" xfId="15712"/>
    <cellStyle name="Note 5 2 4 2 3" xfId="3101"/>
    <cellStyle name="Note 5 2 4 2 3 2" xfId="16297"/>
    <cellStyle name="Note 5 2 4 2 4" xfId="15437"/>
    <cellStyle name="Note 5 2 4 2 5" xfId="19484"/>
    <cellStyle name="Note 5 2 4 2 6" xfId="14839"/>
    <cellStyle name="Note 5 2 4 3" xfId="4464"/>
    <cellStyle name="Note 5 2 4 3 2" xfId="18667"/>
    <cellStyle name="Note 5 2 4 4" xfId="2445"/>
    <cellStyle name="Note 5 2 4 4 2" xfId="19005"/>
    <cellStyle name="Note 5 2 4 5" xfId="16170"/>
    <cellStyle name="Note 5 2 4 6" xfId="20058"/>
    <cellStyle name="Note 5 2 4 7" xfId="14218"/>
    <cellStyle name="Note 5 2 5" xfId="1294"/>
    <cellStyle name="Note 5 2 5 2" xfId="4466"/>
    <cellStyle name="Note 5 2 5 2 2" xfId="15713"/>
    <cellStyle name="Note 5 2 5 3" xfId="2722"/>
    <cellStyle name="Note 5 2 5 3 2" xfId="16687"/>
    <cellStyle name="Note 5 2 5 4" xfId="17629"/>
    <cellStyle name="Note 5 2 5 5" xfId="19831"/>
    <cellStyle name="Note 5 2 5 6" xfId="14471"/>
    <cellStyle name="Note 5 2 6" xfId="4457"/>
    <cellStyle name="Note 5 2 6 2" xfId="13862"/>
    <cellStyle name="Note 5 2 7" xfId="2064"/>
    <cellStyle name="Note 5 2 7 2" xfId="17368"/>
    <cellStyle name="Note 5 2 8" xfId="17408"/>
    <cellStyle name="Note 5 2 9" xfId="15430"/>
    <cellStyle name="Note 5 3" xfId="810"/>
    <cellStyle name="Note 5 3 2" xfId="1089"/>
    <cellStyle name="Note 5 3 2 2" xfId="1748"/>
    <cellStyle name="Note 5 3 2 2 2" xfId="4469"/>
    <cellStyle name="Note 5 3 2 2 2 2" xfId="18917"/>
    <cellStyle name="Note 5 3 2 2 3" xfId="3176"/>
    <cellStyle name="Note 5 3 2 2 3 2" xfId="15868"/>
    <cellStyle name="Note 5 3 2 2 4" xfId="15408"/>
    <cellStyle name="Note 5 3 2 2 5" xfId="19411"/>
    <cellStyle name="Note 5 3 2 2 6" xfId="14903"/>
    <cellStyle name="Note 5 3 2 3" xfId="4468"/>
    <cellStyle name="Note 5 3 2 3 2" xfId="18618"/>
    <cellStyle name="Note 5 3 2 4" xfId="2520"/>
    <cellStyle name="Note 5 3 2 4 2" xfId="16576"/>
    <cellStyle name="Note 5 3 2 5" xfId="16545"/>
    <cellStyle name="Note 5 3 2 6" xfId="19983"/>
    <cellStyle name="Note 5 3 2 7" xfId="14272"/>
    <cellStyle name="Note 5 3 3" xfId="1474"/>
    <cellStyle name="Note 5 3 3 2" xfId="4470"/>
    <cellStyle name="Note 5 3 3 2 2" xfId="15714"/>
    <cellStyle name="Note 5 3 3 3" xfId="2902"/>
    <cellStyle name="Note 5 3 3 3 2" xfId="17918"/>
    <cellStyle name="Note 5 3 3 4" xfId="17953"/>
    <cellStyle name="Note 5 3 3 5" xfId="19683"/>
    <cellStyle name="Note 5 3 3 6" xfId="14640"/>
    <cellStyle name="Note 5 3 4" xfId="4467"/>
    <cellStyle name="Note 5 3 4 2" xfId="16265"/>
    <cellStyle name="Note 5 3 5" xfId="2246"/>
    <cellStyle name="Note 5 3 5 2" xfId="18391"/>
    <cellStyle name="Note 5 3 6" xfId="18416"/>
    <cellStyle name="Note 5 3 7" xfId="20257"/>
    <cellStyle name="Note 5 3 8" xfId="14023"/>
    <cellStyle name="Note 5 4" xfId="681"/>
    <cellStyle name="Note 5 4 2" xfId="1348"/>
    <cellStyle name="Note 5 4 2 2" xfId="4472"/>
    <cellStyle name="Note 5 4 2 2 2" xfId="18736"/>
    <cellStyle name="Note 5 4 2 3" xfId="2776"/>
    <cellStyle name="Note 5 4 2 3 2" xfId="16728"/>
    <cellStyle name="Note 5 4 2 4" xfId="17677"/>
    <cellStyle name="Note 5 4 2 5" xfId="20728"/>
    <cellStyle name="Note 5 4 2 6" xfId="14525"/>
    <cellStyle name="Note 5 4 3" xfId="4471"/>
    <cellStyle name="Note 5 4 3 2" xfId="15715"/>
    <cellStyle name="Note 5 4 4" xfId="2120"/>
    <cellStyle name="Note 5 4 4 2" xfId="17826"/>
    <cellStyle name="Note 5 4 5" xfId="16449"/>
    <cellStyle name="Note 5 4 6" xfId="20383"/>
    <cellStyle name="Note 5 4 7" xfId="13918"/>
    <cellStyle name="Note 5 5" xfId="963"/>
    <cellStyle name="Note 5 5 2" xfId="1622"/>
    <cellStyle name="Note 5 5 2 2" xfId="4474"/>
    <cellStyle name="Note 5 5 2 2 2" xfId="15717"/>
    <cellStyle name="Note 5 5 2 3" xfId="3050"/>
    <cellStyle name="Note 5 5 2 3 2" xfId="16782"/>
    <cellStyle name="Note 5 5 2 4" xfId="17596"/>
    <cellStyle name="Note 5 5 2 5" xfId="19535"/>
    <cellStyle name="Note 5 5 2 6" xfId="14788"/>
    <cellStyle name="Note 5 5 3" xfId="4473"/>
    <cellStyle name="Note 5 5 3 2" xfId="15716"/>
    <cellStyle name="Note 5 5 4" xfId="2394"/>
    <cellStyle name="Note 5 5 4 2" xfId="18891"/>
    <cellStyle name="Note 5 5 5" xfId="18315"/>
    <cellStyle name="Note 5 5 6" xfId="20109"/>
    <cellStyle name="Note 5 5 7" xfId="14167"/>
    <cellStyle name="Note 5 6" xfId="1243"/>
    <cellStyle name="Note 5 6 2" xfId="4475"/>
    <cellStyle name="Note 5 6 2 2" xfId="19050"/>
    <cellStyle name="Note 5 6 3" xfId="2671"/>
    <cellStyle name="Note 5 6 3 2" xfId="16648"/>
    <cellStyle name="Note 5 6 4" xfId="17659"/>
    <cellStyle name="Note 5 6 5" xfId="19882"/>
    <cellStyle name="Note 5 6 6" xfId="14420"/>
    <cellStyle name="Note 5 7" xfId="4456"/>
    <cellStyle name="Note 5 7 2" xfId="13746"/>
    <cellStyle name="Note 5 8" xfId="1997"/>
    <cellStyle name="Note 5 8 2" xfId="17190"/>
    <cellStyle name="Note 5 9" xfId="16428"/>
    <cellStyle name="Note 6" xfId="789"/>
    <cellStyle name="Note 6 2" xfId="1068"/>
    <cellStyle name="Note 6 2 2" xfId="1727"/>
    <cellStyle name="Note 6 2 2 2" xfId="4478"/>
    <cellStyle name="Note 6 2 2 2 2" xfId="18343"/>
    <cellStyle name="Note 6 2 2 3" xfId="3155"/>
    <cellStyle name="Note 6 2 2 3 2" xfId="18546"/>
    <cellStyle name="Note 6 2 2 4" xfId="17914"/>
    <cellStyle name="Note 6 2 2 5" xfId="19432"/>
    <cellStyle name="Note 6 2 2 6" xfId="14882"/>
    <cellStyle name="Note 6 2 3" xfId="4477"/>
    <cellStyle name="Note 6 2 3 2" xfId="18474"/>
    <cellStyle name="Note 6 2 4" xfId="2499"/>
    <cellStyle name="Note 6 2 4 2" xfId="18766"/>
    <cellStyle name="Note 6 2 5" xfId="16532"/>
    <cellStyle name="Note 6 2 6" xfId="20004"/>
    <cellStyle name="Note 6 2 7" xfId="14254"/>
    <cellStyle name="Note 6 3" xfId="1453"/>
    <cellStyle name="Note 6 3 2" xfId="4479"/>
    <cellStyle name="Note 6 3 2 2" xfId="15718"/>
    <cellStyle name="Note 6 3 3" xfId="2881"/>
    <cellStyle name="Note 6 3 3 2" xfId="16229"/>
    <cellStyle name="Note 6 3 4" xfId="17757"/>
    <cellStyle name="Note 6 3 5" xfId="19704"/>
    <cellStyle name="Note 6 3 6" xfId="14619"/>
    <cellStyle name="Note 6 4" xfId="4476"/>
    <cellStyle name="Note 6 4 2" xfId="14005"/>
    <cellStyle name="Note 6 5" xfId="2225"/>
    <cellStyle name="Note 6 5 2" xfId="19054"/>
    <cellStyle name="Note 6 6" xfId="17314"/>
    <cellStyle name="Note 6 7" xfId="15169"/>
    <cellStyle name="Note 6 8" xfId="20278"/>
    <cellStyle name="Note 6 9" xfId="8939"/>
    <cellStyle name="Note 7" xfId="814"/>
    <cellStyle name="Note 7 2" xfId="1092"/>
    <cellStyle name="Note 7 2 2" xfId="1751"/>
    <cellStyle name="Note 7 2 2 2" xfId="4482"/>
    <cellStyle name="Note 7 2 2 2 2" xfId="15719"/>
    <cellStyle name="Note 7 2 2 3" xfId="3179"/>
    <cellStyle name="Note 7 2 2 3 2" xfId="18423"/>
    <cellStyle name="Note 7 2 2 4" xfId="17144"/>
    <cellStyle name="Note 7 2 2 5" xfId="19408"/>
    <cellStyle name="Note 7 2 2 6" xfId="14906"/>
    <cellStyle name="Note 7 2 3" xfId="4481"/>
    <cellStyle name="Note 7 2 3 2" xfId="18344"/>
    <cellStyle name="Note 7 2 4" xfId="2523"/>
    <cellStyle name="Note 7 2 4 2" xfId="18941"/>
    <cellStyle name="Note 7 2 5" xfId="16548"/>
    <cellStyle name="Note 7 2 6" xfId="19980"/>
    <cellStyle name="Note 7 2 7" xfId="14275"/>
    <cellStyle name="Note 7 3" xfId="1477"/>
    <cellStyle name="Note 7 3 2" xfId="4483"/>
    <cellStyle name="Note 7 3 2 2" xfId="15720"/>
    <cellStyle name="Note 7 3 3" xfId="2905"/>
    <cellStyle name="Note 7 3 3 2" xfId="17844"/>
    <cellStyle name="Note 7 3 4" xfId="17666"/>
    <cellStyle name="Note 7 3 5" xfId="19680"/>
    <cellStyle name="Note 7 3 6" xfId="14643"/>
    <cellStyle name="Note 7 4" xfId="4480"/>
    <cellStyle name="Note 7 4 2" xfId="14026"/>
    <cellStyle name="Note 7 5" xfId="2249"/>
    <cellStyle name="Note 7 5 2" xfId="18588"/>
    <cellStyle name="Note 7 6" xfId="16152"/>
    <cellStyle name="Note 7 7" xfId="20667"/>
    <cellStyle name="Note 7 8" xfId="20254"/>
    <cellStyle name="Note 7 9" xfId="13384"/>
    <cellStyle name="Note 8" xfId="13462"/>
    <cellStyle name="Note 9" xfId="13507"/>
    <cellStyle name="Note Number" xfId="8940"/>
    <cellStyle name="Notes" xfId="8941"/>
    <cellStyle name="Notes 2" xfId="8942"/>
    <cellStyle name="nPlosion" xfId="8943"/>
    <cellStyle name="Number" xfId="8944"/>
    <cellStyle name="Numbers" xfId="8945"/>
    <cellStyle name="Numbers - Bold" xfId="8946"/>
    <cellStyle name="Numbers - Bold - Italic" xfId="8947"/>
    <cellStyle name="Numbers - Bold 10" xfId="8948"/>
    <cellStyle name="Numbers - Bold 11" xfId="8949"/>
    <cellStyle name="Numbers - Bold 12" xfId="8950"/>
    <cellStyle name="Numbers - Bold 13" xfId="8951"/>
    <cellStyle name="Numbers - Bold 14" xfId="8952"/>
    <cellStyle name="Numbers - Bold 15" xfId="8953"/>
    <cellStyle name="Numbers - Bold 16" xfId="8954"/>
    <cellStyle name="Numbers - Bold 17" xfId="8955"/>
    <cellStyle name="Numbers - Bold 18" xfId="8956"/>
    <cellStyle name="Numbers - Bold 19" xfId="8957"/>
    <cellStyle name="Numbers - Bold 2" xfId="8958"/>
    <cellStyle name="Numbers - Bold 20" xfId="8959"/>
    <cellStyle name="Numbers - Bold 21" xfId="8960"/>
    <cellStyle name="Numbers - Bold 22" xfId="8961"/>
    <cellStyle name="Numbers - Bold 23" xfId="8962"/>
    <cellStyle name="Numbers - Bold 24" xfId="8963"/>
    <cellStyle name="Numbers - Bold 25" xfId="8964"/>
    <cellStyle name="Numbers - Bold 26" xfId="13282"/>
    <cellStyle name="Numbers - Bold 3" xfId="8965"/>
    <cellStyle name="Numbers - Bold 4" xfId="8966"/>
    <cellStyle name="Numbers - Bold 5" xfId="8967"/>
    <cellStyle name="Numbers - Bold 6" xfId="8968"/>
    <cellStyle name="Numbers - Bold 7" xfId="8969"/>
    <cellStyle name="Numbers - Bold 8" xfId="8970"/>
    <cellStyle name="Numbers - Bold 9" xfId="8971"/>
    <cellStyle name="Numbers - Bold_LBO from TP" xfId="8972"/>
    <cellStyle name="Numbers - Large" xfId="8973"/>
    <cellStyle name="Numbers - Large 2" xfId="8974"/>
    <cellStyle name="Numbers_DCF_RPS" xfId="8975"/>
    <cellStyle name="nvision" xfId="8976"/>
    <cellStyle name="OLELink" xfId="8977"/>
    <cellStyle name="Onedec" xfId="8978"/>
    <cellStyle name="Open" xfId="13385"/>
    <cellStyle name="Operis date" xfId="8979"/>
    <cellStyle name="Operis date 2" xfId="8980"/>
    <cellStyle name="Option" xfId="8981"/>
    <cellStyle name="OptionHeading2" xfId="8982"/>
    <cellStyle name="other" xfId="13386"/>
    <cellStyle name="Output" xfId="312" builtinId="21" customBuiltin="1"/>
    <cellStyle name="Output 10" xfId="13545"/>
    <cellStyle name="Output 2" xfId="218"/>
    <cellStyle name="Output 2 10" xfId="18140"/>
    <cellStyle name="Output 2 11" xfId="20577"/>
    <cellStyle name="Output 2 12" xfId="8983"/>
    <cellStyle name="Output 2 2" xfId="219"/>
    <cellStyle name="Output 2 2 2" xfId="220"/>
    <cellStyle name="Output 2 2 2 2" xfId="221"/>
    <cellStyle name="Output 2 2 2 2 2" xfId="293"/>
    <cellStyle name="Output 2 2 2 2 2 2" xfId="4488"/>
    <cellStyle name="Output 2 2 2 2 2 3" xfId="1956"/>
    <cellStyle name="Output 2 2 2 2 2 4" xfId="18516"/>
    <cellStyle name="Output 2 2 2 2 2 5" xfId="20547"/>
    <cellStyle name="Output 2 2 2 2 3" xfId="4487"/>
    <cellStyle name="Output 2 2 2 2 4" xfId="1929"/>
    <cellStyle name="Output 2 2 2 2 5" xfId="19076"/>
    <cellStyle name="Output 2 2 2 2 6" xfId="20574"/>
    <cellStyle name="Output 2 2 2 3" xfId="222"/>
    <cellStyle name="Output 2 2 2 3 2" xfId="294"/>
    <cellStyle name="Output 2 2 2 3 2 2" xfId="4490"/>
    <cellStyle name="Output 2 2 2 3 2 3" xfId="1957"/>
    <cellStyle name="Output 2 2 2 3 2 4" xfId="18593"/>
    <cellStyle name="Output 2 2 2 3 2 5" xfId="20546"/>
    <cellStyle name="Output 2 2 2 3 3" xfId="4489"/>
    <cellStyle name="Output 2 2 2 3 4" xfId="1930"/>
    <cellStyle name="Output 2 2 2 3 5" xfId="18899"/>
    <cellStyle name="Output 2 2 2 3 6" xfId="20573"/>
    <cellStyle name="Output 2 2 2 4" xfId="292"/>
    <cellStyle name="Output 2 2 2 4 2" xfId="4491"/>
    <cellStyle name="Output 2 2 2 4 3" xfId="1955"/>
    <cellStyle name="Output 2 2 2 4 4" xfId="18229"/>
    <cellStyle name="Output 2 2 2 4 5" xfId="20548"/>
    <cellStyle name="Output 2 2 2 5" xfId="4486"/>
    <cellStyle name="Output 2 2 2 6" xfId="1928"/>
    <cellStyle name="Output 2 2 2 7" xfId="18771"/>
    <cellStyle name="Output 2 2 2 8" xfId="20575"/>
    <cellStyle name="Output 2 2 3" xfId="291"/>
    <cellStyle name="Output 2 2 3 2" xfId="4492"/>
    <cellStyle name="Output 2 2 3 3" xfId="1954"/>
    <cellStyle name="Output 2 2 3 4" xfId="18861"/>
    <cellStyle name="Output 2 2 3 5" xfId="20549"/>
    <cellStyle name="Output 2 2 4" xfId="4485"/>
    <cellStyle name="Output 2 2 5" xfId="1927"/>
    <cellStyle name="Output 2 2 6" xfId="18950"/>
    <cellStyle name="Output 2 2 7" xfId="20576"/>
    <cellStyle name="Output 2 3" xfId="223"/>
    <cellStyle name="Output 2 3 2" xfId="224"/>
    <cellStyle name="Output 2 3 2 2" xfId="296"/>
    <cellStyle name="Output 2 3 2 2 2" xfId="4495"/>
    <cellStyle name="Output 2 3 2 2 3" xfId="1959"/>
    <cellStyle name="Output 2 3 2 2 4" xfId="18826"/>
    <cellStyle name="Output 2 3 2 2 5" xfId="20544"/>
    <cellStyle name="Output 2 3 2 3" xfId="4494"/>
    <cellStyle name="Output 2 3 2 4" xfId="1932"/>
    <cellStyle name="Output 2 3 2 5" xfId="18797"/>
    <cellStyle name="Output 2 3 2 6" xfId="20571"/>
    <cellStyle name="Output 2 3 3" xfId="225"/>
    <cellStyle name="Output 2 3 3 2" xfId="297"/>
    <cellStyle name="Output 2 3 3 2 2" xfId="4497"/>
    <cellStyle name="Output 2 3 3 2 3" xfId="1960"/>
    <cellStyle name="Output 2 3 3 2 4" xfId="19135"/>
    <cellStyle name="Output 2 3 3 2 5" xfId="20543"/>
    <cellStyle name="Output 2 3 3 3" xfId="4496"/>
    <cellStyle name="Output 2 3 3 4" xfId="1933"/>
    <cellStyle name="Output 2 3 3 5" xfId="19101"/>
    <cellStyle name="Output 2 3 3 6" xfId="20570"/>
    <cellStyle name="Output 2 3 4" xfId="295"/>
    <cellStyle name="Output 2 3 4 2" xfId="4498"/>
    <cellStyle name="Output 2 3 4 3" xfId="1958"/>
    <cellStyle name="Output 2 3 4 4" xfId="18702"/>
    <cellStyle name="Output 2 3 4 5" xfId="20545"/>
    <cellStyle name="Output 2 3 5" xfId="4493"/>
    <cellStyle name="Output 2 3 6" xfId="1931"/>
    <cellStyle name="Output 2 3 7" xfId="18673"/>
    <cellStyle name="Output 2 3 8" xfId="20572"/>
    <cellStyle name="Output 2 4" xfId="290"/>
    <cellStyle name="Output 2 4 2" xfId="4499"/>
    <cellStyle name="Output 2 4 3" xfId="1953"/>
    <cellStyle name="Output 2 4 4" xfId="19045"/>
    <cellStyle name="Output 2 4 5" xfId="20550"/>
    <cellStyle name="Output 2 5" xfId="428"/>
    <cellStyle name="Output 2 5 2" xfId="4500"/>
    <cellStyle name="Output 2 5 3" xfId="1989"/>
    <cellStyle name="Output 2 5 4" xfId="16420"/>
    <cellStyle name="Output 2 5 5" xfId="20514"/>
    <cellStyle name="Output 2 6" xfId="520"/>
    <cellStyle name="Output 2 6 2" xfId="4501"/>
    <cellStyle name="Output 2 6 3" xfId="2012"/>
    <cellStyle name="Output 2 6 4" xfId="18466"/>
    <cellStyle name="Output 2 6 5" xfId="20491"/>
    <cellStyle name="Output 2 7" xfId="4484"/>
    <cellStyle name="Output 2 8" xfId="1926"/>
    <cellStyle name="Output 2 9" xfId="18650"/>
    <cellStyle name="Output 2_SSP report" xfId="20942"/>
    <cellStyle name="Output 3" xfId="521"/>
    <cellStyle name="Output 3 2" xfId="4502"/>
    <cellStyle name="Output 3 3" xfId="2013"/>
    <cellStyle name="Output 3 4" xfId="16431"/>
    <cellStyle name="Output 3 5" xfId="15396"/>
    <cellStyle name="Output 3 6" xfId="20490"/>
    <cellStyle name="Output 3 7" xfId="8984"/>
    <cellStyle name="Output 4" xfId="4503"/>
    <cellStyle name="Output 5" xfId="8985"/>
    <cellStyle name="Output 6" xfId="13387"/>
    <cellStyle name="Output 7" xfId="13463"/>
    <cellStyle name="Output 8" xfId="13508"/>
    <cellStyle name="Output 9" xfId="13496"/>
    <cellStyle name="Output Amounts" xfId="8986"/>
    <cellStyle name="Output Column Headings" xfId="8987"/>
    <cellStyle name="Output Line Items" xfId="8988"/>
    <cellStyle name="Output Report Heading" xfId="8989"/>
    <cellStyle name="Output Report Title" xfId="8990"/>
    <cellStyle name="Owner" xfId="8991"/>
    <cellStyle name="Owner 10" xfId="8992"/>
    <cellStyle name="Owner 10 2" xfId="8993"/>
    <cellStyle name="Owner 11" xfId="8994"/>
    <cellStyle name="Owner 11 2" xfId="8995"/>
    <cellStyle name="Owner 2" xfId="8996"/>
    <cellStyle name="Owner 2 2" xfId="8997"/>
    <cellStyle name="Owner 2 2 2" xfId="8998"/>
    <cellStyle name="Owner 2 3" xfId="8999"/>
    <cellStyle name="Owner 3" xfId="9000"/>
    <cellStyle name="Owner 3 2" xfId="9001"/>
    <cellStyle name="Owner 3 2 2" xfId="9002"/>
    <cellStyle name="Owner 3 2 2 2" xfId="9003"/>
    <cellStyle name="Owner 3 2 3" xfId="9004"/>
    <cellStyle name="Owner 3 3" xfId="9005"/>
    <cellStyle name="Owner 3 3 2" xfId="9006"/>
    <cellStyle name="Owner 3 4" xfId="9007"/>
    <cellStyle name="Owner 3_6.1 Contingency Allocation" xfId="9008"/>
    <cellStyle name="Owner 4" xfId="9009"/>
    <cellStyle name="Owner 4 2" xfId="9010"/>
    <cellStyle name="Owner 5" xfId="9011"/>
    <cellStyle name="Owner 5 2" xfId="9012"/>
    <cellStyle name="Owner 6" xfId="9013"/>
    <cellStyle name="Owner 6 2" xfId="9014"/>
    <cellStyle name="Owner 7" xfId="9015"/>
    <cellStyle name="Owner 7 2" xfId="9016"/>
    <cellStyle name="Owner 8" xfId="9017"/>
    <cellStyle name="Owner 8 2" xfId="9018"/>
    <cellStyle name="Owner 9" xfId="9019"/>
    <cellStyle name="Owner 9 2" xfId="9020"/>
    <cellStyle name="p1" xfId="9021"/>
    <cellStyle name="Page Heading" xfId="9022"/>
    <cellStyle name="Page Heading Large" xfId="9023"/>
    <cellStyle name="Page Heading Small" xfId="9024"/>
    <cellStyle name="Page Number" xfId="9025"/>
    <cellStyle name="pb_page_heading_LS" xfId="20946"/>
    <cellStyle name="per m3" xfId="9026"/>
    <cellStyle name="per Ton" xfId="9027"/>
    <cellStyle name="Percent" xfId="16" builtinId="5"/>
    <cellStyle name="Percent [0]" xfId="9028"/>
    <cellStyle name="Percent [0] 2" xfId="9029"/>
    <cellStyle name="Percent [0] 2 2" xfId="9030"/>
    <cellStyle name="Percent [0] 2 2 2" xfId="9031"/>
    <cellStyle name="Percent [0] 2 3" xfId="9032"/>
    <cellStyle name="Percent [00]" xfId="9033"/>
    <cellStyle name="Percent [00] 2" xfId="9034"/>
    <cellStyle name="Percent [00] 2 2" xfId="9035"/>
    <cellStyle name="Percent [00] 2 2 2" xfId="9036"/>
    <cellStyle name="Percent [00] 2 3" xfId="9037"/>
    <cellStyle name="Percent [00] 2 3 2" xfId="9038"/>
    <cellStyle name="Percent [00] 2 3 3" xfId="9039"/>
    <cellStyle name="Percent [00] 2 3 3 2" xfId="9040"/>
    <cellStyle name="Percent [00] 2 3 4" xfId="9041"/>
    <cellStyle name="Percent [00] 3" xfId="9042"/>
    <cellStyle name="Percent [00] 3 2" xfId="9043"/>
    <cellStyle name="Percent [00] 3 2 2" xfId="9044"/>
    <cellStyle name="Percent [00] 3 2 2 2" xfId="9045"/>
    <cellStyle name="Percent [00] 3 2 3" xfId="9046"/>
    <cellStyle name="Percent [00] 3 3" xfId="9047"/>
    <cellStyle name="Percent [00] 3 4" xfId="9048"/>
    <cellStyle name="Percent [00] 3 4 2" xfId="9049"/>
    <cellStyle name="Percent [00] 3 5" xfId="9050"/>
    <cellStyle name="Percent [00] 4" xfId="9051"/>
    <cellStyle name="Percent [00] 4 2" xfId="9052"/>
    <cellStyle name="Percent [00] 4 2 2" xfId="9053"/>
    <cellStyle name="Percent [00] 4 2 2 2" xfId="9054"/>
    <cellStyle name="Percent [00] 4 2 3" xfId="9055"/>
    <cellStyle name="Percent [00] 4 3" xfId="9056"/>
    <cellStyle name="Percent [00] 4 4" xfId="9057"/>
    <cellStyle name="Percent [00] 4 4 2" xfId="9058"/>
    <cellStyle name="Percent [00] 4 5" xfId="9059"/>
    <cellStyle name="Percent [1]" xfId="9060"/>
    <cellStyle name="Percent [1] 2" xfId="9061"/>
    <cellStyle name="Percent [1] 3" xfId="9062"/>
    <cellStyle name="Percent [1] 3 2" xfId="9063"/>
    <cellStyle name="Percent [1] 4" xfId="9064"/>
    <cellStyle name="Percent [2]" xfId="9065"/>
    <cellStyle name="Percent [2] 2" xfId="9066"/>
    <cellStyle name="Percent [2] 2 2" xfId="9067"/>
    <cellStyle name="Percent [2] 2 2 2" xfId="9068"/>
    <cellStyle name="Percent [2] 2 2 2 2" xfId="9069"/>
    <cellStyle name="Percent [2] 2 2 3" xfId="9070"/>
    <cellStyle name="Percent [2] 2 3" xfId="9071"/>
    <cellStyle name="Percent [2] 2 4" xfId="9072"/>
    <cellStyle name="Percent [2] 2 4 2" xfId="9073"/>
    <cellStyle name="Percent [2] 2 5" xfId="9074"/>
    <cellStyle name="Percent [2] 3" xfId="9075"/>
    <cellStyle name="Percent [2] 3 2" xfId="9076"/>
    <cellStyle name="Percent [2] 3 2 2" xfId="9077"/>
    <cellStyle name="Percent [2] 3 2 2 2" xfId="9078"/>
    <cellStyle name="Percent [2] 3 2 2 2 2" xfId="9079"/>
    <cellStyle name="Percent [2] 3 2 2 3" xfId="9080"/>
    <cellStyle name="Percent [2] 3 2 3" xfId="9081"/>
    <cellStyle name="Percent [2] 3 2 4" xfId="9082"/>
    <cellStyle name="Percent [2] 3 2 4 2" xfId="9083"/>
    <cellStyle name="Percent [2] 3 2 5" xfId="9084"/>
    <cellStyle name="Percent [2] 3 3" xfId="9085"/>
    <cellStyle name="Percent [2] 3 3 2" xfId="9086"/>
    <cellStyle name="Percent [2] 3 3 2 2" xfId="9087"/>
    <cellStyle name="Percent [2] 3 3 3" xfId="9088"/>
    <cellStyle name="Percent [2] 3 4" xfId="9089"/>
    <cellStyle name="Percent [2] 3 5" xfId="9090"/>
    <cellStyle name="Percent [2] 3 5 2" xfId="9091"/>
    <cellStyle name="Percent [2] 3 6" xfId="9092"/>
    <cellStyle name="Percent [2] 4" xfId="9093"/>
    <cellStyle name="Percent [2] 5" xfId="9094"/>
    <cellStyle name="Percent [2] 5 2" xfId="9095"/>
    <cellStyle name="Percent [2] 6" xfId="9096"/>
    <cellStyle name="Percent [2] U" xfId="9097"/>
    <cellStyle name="Percent [2] U 2" xfId="9098"/>
    <cellStyle name="Percent [2] U 3" xfId="9099"/>
    <cellStyle name="Percent [2] U 3 2" xfId="9100"/>
    <cellStyle name="Percent [2] U 4" xfId="9101"/>
    <cellStyle name="Percent [2]_A1.  Major AFC var by contract" xfId="9102"/>
    <cellStyle name="Percent 1" xfId="9103"/>
    <cellStyle name="Percent 1 2" xfId="9104"/>
    <cellStyle name="Percent 1 3" xfId="9105"/>
    <cellStyle name="Percent 1 3 2" xfId="9106"/>
    <cellStyle name="Percent 1 4" xfId="9107"/>
    <cellStyle name="Percent 10" xfId="226"/>
    <cellStyle name="Percent 10 2" xfId="227"/>
    <cellStyle name="Percent 10 2 2" xfId="9110"/>
    <cellStyle name="Percent 10 2 2 2" xfId="9111"/>
    <cellStyle name="Percent 10 2 3" xfId="9112"/>
    <cellStyle name="Percent 10 2 4" xfId="13700"/>
    <cellStyle name="Percent 10 2 5" xfId="15144"/>
    <cellStyle name="Percent 10 2 6" xfId="9109"/>
    <cellStyle name="Percent 10 3" xfId="228"/>
    <cellStyle name="Percent 10 3 2" xfId="13701"/>
    <cellStyle name="Percent 10 3 3" xfId="15091"/>
    <cellStyle name="Percent 10 3 4" xfId="9113"/>
    <cellStyle name="Percent 10 4" xfId="429"/>
    <cellStyle name="Percent 10 4 2" xfId="9115"/>
    <cellStyle name="Percent 10 4 3" xfId="13738"/>
    <cellStyle name="Percent 10 4 4" xfId="15739"/>
    <cellStyle name="Percent 10 4 5" xfId="9114"/>
    <cellStyle name="Percent 10 5" xfId="9116"/>
    <cellStyle name="Percent 10 6" xfId="17085"/>
    <cellStyle name="Percent 10 7" xfId="9108"/>
    <cellStyle name="Percent 11" xfId="633"/>
    <cellStyle name="Percent 11 2" xfId="1301"/>
    <cellStyle name="Percent 11 2 2" xfId="4505"/>
    <cellStyle name="Percent 11 2 2 2" xfId="9120"/>
    <cellStyle name="Percent 11 2 2 3" xfId="15529"/>
    <cellStyle name="Percent 11 2 2 4" xfId="20858"/>
    <cellStyle name="Percent 11 2 2 5" xfId="20812"/>
    <cellStyle name="Percent 11 2 2 6" xfId="9119"/>
    <cellStyle name="Percent 11 2 3" xfId="2729"/>
    <cellStyle name="Percent 11 2 3 2" xfId="15363"/>
    <cellStyle name="Percent 11 2 3 3" xfId="20823"/>
    <cellStyle name="Percent 11 2 3 4" xfId="20820"/>
    <cellStyle name="Percent 11 2 3 5" xfId="9121"/>
    <cellStyle name="Percent 11 2 4" xfId="14478"/>
    <cellStyle name="Percent 11 2 5" xfId="17022"/>
    <cellStyle name="Percent 11 2 6" xfId="19824"/>
    <cellStyle name="Percent 11 2 7" xfId="9118"/>
    <cellStyle name="Percent 11 3" xfId="4504"/>
    <cellStyle name="Percent 11 3 2" xfId="15211"/>
    <cellStyle name="Percent 11 3 3" xfId="20857"/>
    <cellStyle name="Percent 11 3 4" xfId="20876"/>
    <cellStyle name="Percent 11 3 5" xfId="9122"/>
    <cellStyle name="Percent 11 4" xfId="2073"/>
    <cellStyle name="Percent 11 4 2" xfId="9124"/>
    <cellStyle name="Percent 11 4 3" xfId="15473"/>
    <cellStyle name="Percent 11 4 4" xfId="20817"/>
    <cellStyle name="Percent 11 4 5" xfId="20811"/>
    <cellStyle name="Percent 11 4 6" xfId="9123"/>
    <cellStyle name="Percent 11 5" xfId="9125"/>
    <cellStyle name="Percent 11 5 2" xfId="15310"/>
    <cellStyle name="Percent 11 5 3" xfId="20803"/>
    <cellStyle name="Percent 11 5 4" xfId="20879"/>
    <cellStyle name="Percent 11 6" xfId="13871"/>
    <cellStyle name="Percent 11 7" xfId="17021"/>
    <cellStyle name="Percent 11 8" xfId="20430"/>
    <cellStyle name="Percent 11 9" xfId="9117"/>
    <cellStyle name="Percent 12" xfId="1195"/>
    <cellStyle name="Percent 12 2" xfId="1854"/>
    <cellStyle name="Percent 12 2 2" xfId="4507"/>
    <cellStyle name="Percent 12 2 2 2" xfId="9129"/>
    <cellStyle name="Percent 12 2 2 3" xfId="15564"/>
    <cellStyle name="Percent 12 2 2 4" xfId="20860"/>
    <cellStyle name="Percent 12 2 2 5" xfId="20848"/>
    <cellStyle name="Percent 12 2 2 6" xfId="9128"/>
    <cellStyle name="Percent 12 2 3" xfId="3282"/>
    <cellStyle name="Percent 12 2 3 2" xfId="15093"/>
    <cellStyle name="Percent 12 2 3 3" xfId="20825"/>
    <cellStyle name="Percent 12 2 3 4" xfId="20855"/>
    <cellStyle name="Percent 12 2 3 5" xfId="9130"/>
    <cellStyle name="Percent 12 2 4" xfId="15009"/>
    <cellStyle name="Percent 12 2 5" xfId="17023"/>
    <cellStyle name="Percent 12 2 6" xfId="19305"/>
    <cellStyle name="Percent 12 2 7" xfId="9127"/>
    <cellStyle name="Percent 12 3" xfId="4506"/>
    <cellStyle name="Percent 12 3 2" xfId="15347"/>
    <cellStyle name="Percent 12 3 3" xfId="20859"/>
    <cellStyle name="Percent 12 3 4" xfId="20826"/>
    <cellStyle name="Percent 12 3 5" xfId="9131"/>
    <cellStyle name="Percent 12 4" xfId="2626"/>
    <cellStyle name="Percent 12 4 2" xfId="9133"/>
    <cellStyle name="Percent 12 4 3" xfId="15458"/>
    <cellStyle name="Percent 12 4 4" xfId="20821"/>
    <cellStyle name="Percent 12 4 5" xfId="20878"/>
    <cellStyle name="Percent 12 4 6" xfId="9132"/>
    <cellStyle name="Percent 12 5" xfId="9134"/>
    <cellStyle name="Percent 12 5 2" xfId="15764"/>
    <cellStyle name="Percent 12 5 3" xfId="20809"/>
    <cellStyle name="Percent 12 5 4" xfId="20824"/>
    <cellStyle name="Percent 12 6" xfId="14375"/>
    <cellStyle name="Percent 12 7" xfId="15417"/>
    <cellStyle name="Percent 12 8" xfId="20683"/>
    <cellStyle name="Percent 12 9" xfId="9126"/>
    <cellStyle name="Percent 13" xfId="9135"/>
    <cellStyle name="Percent 13 2" xfId="9136"/>
    <cellStyle name="Percent 13 2 2" xfId="9137"/>
    <cellStyle name="Percent 13 2 2 2" xfId="9138"/>
    <cellStyle name="Percent 13 2 3" xfId="9139"/>
    <cellStyle name="Percent 13 3" xfId="9140"/>
    <cellStyle name="Percent 13 4" xfId="9141"/>
    <cellStyle name="Percent 13 4 2" xfId="9142"/>
    <cellStyle name="Percent 13 5" xfId="9143"/>
    <cellStyle name="Percent 14" xfId="9144"/>
    <cellStyle name="Percent 14 2" xfId="9145"/>
    <cellStyle name="Percent 14 2 2" xfId="9146"/>
    <cellStyle name="Percent 14 2 2 2" xfId="9147"/>
    <cellStyle name="Percent 14 2 3" xfId="9148"/>
    <cellStyle name="Percent 14 3" xfId="9149"/>
    <cellStyle name="Percent 14 4" xfId="9150"/>
    <cellStyle name="Percent 14 4 2" xfId="9151"/>
    <cellStyle name="Percent 14 5" xfId="9152"/>
    <cellStyle name="Percent 15" xfId="9153"/>
    <cellStyle name="Percent 15 2" xfId="9154"/>
    <cellStyle name="Percent 15 2 2" xfId="9155"/>
    <cellStyle name="Percent 15 2 2 2" xfId="9156"/>
    <cellStyle name="Percent 15 2 3" xfId="9157"/>
    <cellStyle name="Percent 15 3" xfId="9158"/>
    <cellStyle name="Percent 15 4" xfId="9159"/>
    <cellStyle name="Percent 15 4 2" xfId="9160"/>
    <cellStyle name="Percent 15 5" xfId="9161"/>
    <cellStyle name="Percent 16" xfId="9162"/>
    <cellStyle name="Percent 16 2" xfId="9163"/>
    <cellStyle name="Percent 16 2 2" xfId="9164"/>
    <cellStyle name="Percent 16 2 2 2" xfId="9165"/>
    <cellStyle name="Percent 16 2 3" xfId="9166"/>
    <cellStyle name="Percent 16 3" xfId="9167"/>
    <cellStyle name="Percent 16 4" xfId="9168"/>
    <cellStyle name="Percent 16 4 2" xfId="9169"/>
    <cellStyle name="Percent 16 5" xfId="9170"/>
    <cellStyle name="Percent 17" xfId="9171"/>
    <cellStyle name="Percent 17 2" xfId="9172"/>
    <cellStyle name="Percent 17 2 2" xfId="9173"/>
    <cellStyle name="Percent 17 2 2 2" xfId="9174"/>
    <cellStyle name="Percent 17 2 3" xfId="9175"/>
    <cellStyle name="Percent 17 3" xfId="9176"/>
    <cellStyle name="Percent 17 4" xfId="9177"/>
    <cellStyle name="Percent 17 4 2" xfId="9178"/>
    <cellStyle name="Percent 17 5" xfId="9179"/>
    <cellStyle name="Percent 18" xfId="9180"/>
    <cellStyle name="Percent 18 2" xfId="9181"/>
    <cellStyle name="Percent 18 2 2" xfId="9182"/>
    <cellStyle name="Percent 18 2 2 2" xfId="9183"/>
    <cellStyle name="Percent 18 2 3" xfId="9184"/>
    <cellStyle name="Percent 18 3" xfId="9185"/>
    <cellStyle name="Percent 18 4" xfId="9186"/>
    <cellStyle name="Percent 18 4 2" xfId="9187"/>
    <cellStyle name="Percent 18 5" xfId="9188"/>
    <cellStyle name="Percent 19" xfId="9189"/>
    <cellStyle name="Percent 19 2" xfId="9190"/>
    <cellStyle name="Percent 19 2 2" xfId="9191"/>
    <cellStyle name="Percent 19 2 2 2" xfId="9192"/>
    <cellStyle name="Percent 19 2 3" xfId="9193"/>
    <cellStyle name="Percent 19 3" xfId="9194"/>
    <cellStyle name="Percent 19 4" xfId="9195"/>
    <cellStyle name="Percent 19 4 2" xfId="9196"/>
    <cellStyle name="Percent 19 5" xfId="9197"/>
    <cellStyle name="Percent 2" xfId="8"/>
    <cellStyle name="Percent 2 2" xfId="229"/>
    <cellStyle name="Percent 2 2 2" xfId="524"/>
    <cellStyle name="Percent 2 2 2 2" xfId="9200"/>
    <cellStyle name="Percent 2 2 2 3" xfId="13791"/>
    <cellStyle name="Percent 2 2 2 4" xfId="15236"/>
    <cellStyle name="Percent 2 2 2 5" xfId="9199"/>
    <cellStyle name="Percent 2 2 3" xfId="523"/>
    <cellStyle name="Percent 2 2 3 2" xfId="621"/>
    <cellStyle name="Percent 2 2 3 3" xfId="13790"/>
    <cellStyle name="Percent 2 2 3 4" xfId="18142"/>
    <cellStyle name="Percent 2 2 3 5" xfId="9201"/>
    <cellStyle name="Percent 2 2 4" xfId="13702"/>
    <cellStyle name="Percent 2 2 5" xfId="15497"/>
    <cellStyle name="Percent 2 2 6" xfId="9198"/>
    <cellStyle name="Percent 2 3" xfId="230"/>
    <cellStyle name="Percent 2 4" xfId="522"/>
    <cellStyle name="Percent 2 4 2" xfId="620"/>
    <cellStyle name="Percent 2 4 2 2" xfId="13868"/>
    <cellStyle name="Percent 2 4 2 3" xfId="15141"/>
    <cellStyle name="Percent 2 4 2 4" xfId="9203"/>
    <cellStyle name="Percent 2 4 3" xfId="13789"/>
    <cellStyle name="Percent 2 4 4" xfId="15397"/>
    <cellStyle name="Percent 2 4 5" xfId="9202"/>
    <cellStyle name="Percent 2 5" xfId="9204"/>
    <cellStyle name="Percent 2 6" xfId="13575"/>
    <cellStyle name="Percent 2 7" xfId="13641"/>
    <cellStyle name="Percent 20" xfId="9205"/>
    <cellStyle name="Percent 20 2" xfId="9206"/>
    <cellStyle name="Percent 20 2 2" xfId="9207"/>
    <cellStyle name="Percent 20 2 2 2" xfId="9208"/>
    <cellStyle name="Percent 20 2 3" xfId="9209"/>
    <cellStyle name="Percent 20 3" xfId="9210"/>
    <cellStyle name="Percent 20 4" xfId="9211"/>
    <cellStyle name="Percent 20 4 2" xfId="9212"/>
    <cellStyle name="Percent 20 5" xfId="9213"/>
    <cellStyle name="Percent 21" xfId="9214"/>
    <cellStyle name="Percent 21 2" xfId="9215"/>
    <cellStyle name="Percent 21 2 2" xfId="9216"/>
    <cellStyle name="Percent 21 2 2 2" xfId="9217"/>
    <cellStyle name="Percent 21 2 3" xfId="9218"/>
    <cellStyle name="Percent 21 3" xfId="9219"/>
    <cellStyle name="Percent 21 4" xfId="9220"/>
    <cellStyle name="Percent 21 4 2" xfId="9221"/>
    <cellStyle name="Percent 21 5" xfId="9222"/>
    <cellStyle name="Percent 22" xfId="9223"/>
    <cellStyle name="Percent 22 2" xfId="9224"/>
    <cellStyle name="Percent 22 2 2" xfId="9225"/>
    <cellStyle name="Percent 22 2 2 2" xfId="9226"/>
    <cellStyle name="Percent 22 2 3" xfId="9227"/>
    <cellStyle name="Percent 22 3" xfId="9228"/>
    <cellStyle name="Percent 22 4" xfId="9229"/>
    <cellStyle name="Percent 22 4 2" xfId="9230"/>
    <cellStyle name="Percent 22 5" xfId="9231"/>
    <cellStyle name="Percent 23" xfId="9232"/>
    <cellStyle name="Percent 23 2" xfId="9233"/>
    <cellStyle name="Percent 23 2 2" xfId="9234"/>
    <cellStyle name="Percent 23 2 2 2" xfId="9235"/>
    <cellStyle name="Percent 23 2 3" xfId="9236"/>
    <cellStyle name="Percent 23 3" xfId="9237"/>
    <cellStyle name="Percent 23 4" xfId="9238"/>
    <cellStyle name="Percent 23 4 2" xfId="9239"/>
    <cellStyle name="Percent 23 5" xfId="9240"/>
    <cellStyle name="Percent 24" xfId="9241"/>
    <cellStyle name="Percent 24 2" xfId="9242"/>
    <cellStyle name="Percent 24 2 2" xfId="9243"/>
    <cellStyle name="Percent 24 2 2 2" xfId="9244"/>
    <cellStyle name="Percent 24 2 3" xfId="9245"/>
    <cellStyle name="Percent 24 3" xfId="9246"/>
    <cellStyle name="Percent 24 4" xfId="9247"/>
    <cellStyle name="Percent 24 4 2" xfId="9248"/>
    <cellStyle name="Percent 24 5" xfId="9249"/>
    <cellStyle name="Percent 25" xfId="9250"/>
    <cellStyle name="Percent 25 2" xfId="9251"/>
    <cellStyle name="Percent 25 2 2" xfId="9252"/>
    <cellStyle name="Percent 25 2 2 2" xfId="9253"/>
    <cellStyle name="Percent 25 2 3" xfId="9254"/>
    <cellStyle name="Percent 25 3" xfId="9255"/>
    <cellStyle name="Percent 25 4" xfId="9256"/>
    <cellStyle name="Percent 25 4 2" xfId="9257"/>
    <cellStyle name="Percent 25 5" xfId="9258"/>
    <cellStyle name="Percent 26" xfId="9259"/>
    <cellStyle name="Percent 26 2" xfId="9260"/>
    <cellStyle name="Percent 26 2 2" xfId="9261"/>
    <cellStyle name="Percent 26 2 2 2" xfId="9262"/>
    <cellStyle name="Percent 26 2 3" xfId="9263"/>
    <cellStyle name="Percent 26 3" xfId="9264"/>
    <cellStyle name="Percent 26 4" xfId="9265"/>
    <cellStyle name="Percent 26 4 2" xfId="9266"/>
    <cellStyle name="Percent 26 5" xfId="9267"/>
    <cellStyle name="Percent 27" xfId="9268"/>
    <cellStyle name="Percent 27 2" xfId="13283"/>
    <cellStyle name="Percent 28" xfId="13284"/>
    <cellStyle name="Percent 28 2" xfId="13285"/>
    <cellStyle name="Percent 29" xfId="13286"/>
    <cellStyle name="Percent 3" xfId="231"/>
    <cellStyle name="Percent 3 10" xfId="1934"/>
    <cellStyle name="Percent 3 10 2" xfId="16566"/>
    <cellStyle name="Percent 3 11" xfId="18980"/>
    <cellStyle name="Percent 3 12" xfId="17024"/>
    <cellStyle name="Percent 3 13" xfId="20569"/>
    <cellStyle name="Percent 3 14" xfId="9269"/>
    <cellStyle name="Percent 3 15" xfId="20930"/>
    <cellStyle name="Percent 3 16" xfId="20955"/>
    <cellStyle name="Percent 3 2" xfId="430"/>
    <cellStyle name="Percent 3 2 10" xfId="16421"/>
    <cellStyle name="Percent 3 2 11" xfId="17025"/>
    <cellStyle name="Percent 3 2 12" xfId="20513"/>
    <cellStyle name="Percent 3 2 13" xfId="9270"/>
    <cellStyle name="Percent 3 2 2" xfId="527"/>
    <cellStyle name="Percent 3 2 2 2" xfId="9272"/>
    <cellStyle name="Percent 3 2 2 3" xfId="13792"/>
    <cellStyle name="Percent 3 2 2 4" xfId="17026"/>
    <cellStyle name="Percent 3 2 2 5" xfId="9271"/>
    <cellStyle name="Percent 3 2 3" xfId="602"/>
    <cellStyle name="Percent 3 2 3 10" xfId="20446"/>
    <cellStyle name="Percent 3 2 3 11" xfId="9273"/>
    <cellStyle name="Percent 3 2 3 2" xfId="869"/>
    <cellStyle name="Percent 3 2 3 2 2" xfId="1143"/>
    <cellStyle name="Percent 3 2 3 2 2 2" xfId="1802"/>
    <cellStyle name="Percent 3 2 3 2 2 2 2" xfId="4513"/>
    <cellStyle name="Percent 3 2 3 2 2 2 2 2" xfId="15165"/>
    <cellStyle name="Percent 3 2 3 2 2 2 3" xfId="3230"/>
    <cellStyle name="Percent 3 2 3 2 2 2 3 2" xfId="17400"/>
    <cellStyle name="Percent 3 2 3 2 2 2 4" xfId="17915"/>
    <cellStyle name="Percent 3 2 3 2 2 2 5" xfId="19357"/>
    <cellStyle name="Percent 3 2 3 2 2 2 6" xfId="14957"/>
    <cellStyle name="Percent 3 2 3 2 2 3" xfId="4512"/>
    <cellStyle name="Percent 3 2 3 2 2 3 2" xfId="15481"/>
    <cellStyle name="Percent 3 2 3 2 2 4" xfId="2574"/>
    <cellStyle name="Percent 3 2 3 2 2 4 2" xfId="16603"/>
    <cellStyle name="Percent 3 2 3 2 2 5" xfId="17450"/>
    <cellStyle name="Percent 3 2 3 2 2 6" xfId="20748"/>
    <cellStyle name="Percent 3 2 3 2 2 7" xfId="14323"/>
    <cellStyle name="Percent 3 2 3 2 3" xfId="1528"/>
    <cellStyle name="Percent 3 2 3 2 3 2" xfId="4514"/>
    <cellStyle name="Percent 3 2 3 2 3 2 2" xfId="19196"/>
    <cellStyle name="Percent 3 2 3 2 3 3" xfId="2956"/>
    <cellStyle name="Percent 3 2 3 2 3 3 2" xfId="15805"/>
    <cellStyle name="Percent 3 2 3 2 3 4" xfId="17987"/>
    <cellStyle name="Percent 3 2 3 2 3 5" xfId="19629"/>
    <cellStyle name="Percent 3 2 3 2 3 6" xfId="14694"/>
    <cellStyle name="Percent 3 2 3 2 4" xfId="4511"/>
    <cellStyle name="Percent 3 2 3 2 4 2" xfId="15220"/>
    <cellStyle name="Percent 3 2 3 2 5" xfId="2300"/>
    <cellStyle name="Percent 3 2 3 2 5 2" xfId="18409"/>
    <cellStyle name="Percent 3 2 3 2 6" xfId="18773"/>
    <cellStyle name="Percent 3 2 3 2 7" xfId="20203"/>
    <cellStyle name="Percent 3 2 3 2 8" xfId="14073"/>
    <cellStyle name="Percent 3 2 3 3" xfId="725"/>
    <cellStyle name="Percent 3 2 3 3 2" xfId="1392"/>
    <cellStyle name="Percent 3 2 3 3 2 2" xfId="4516"/>
    <cellStyle name="Percent 3 2 3 3 2 2 2" xfId="15425"/>
    <cellStyle name="Percent 3 2 3 3 2 3" xfId="2820"/>
    <cellStyle name="Percent 3 2 3 3 2 3 2" xfId="16764"/>
    <cellStyle name="Percent 3 2 3 3 2 4" xfId="17591"/>
    <cellStyle name="Percent 3 2 3 3 2 5" xfId="19765"/>
    <cellStyle name="Percent 3 2 3 3 2 6" xfId="14569"/>
    <cellStyle name="Percent 3 2 3 3 3" xfId="4515"/>
    <cellStyle name="Percent 3 2 3 3 3 2" xfId="15317"/>
    <cellStyle name="Percent 3 2 3 3 4" xfId="2164"/>
    <cellStyle name="Percent 3 2 3 3 4 2" xfId="17260"/>
    <cellStyle name="Percent 3 2 3 3 5" xfId="18294"/>
    <cellStyle name="Percent 3 2 3 3 6" xfId="20339"/>
    <cellStyle name="Percent 3 2 3 3 7" xfId="13961"/>
    <cellStyle name="Percent 3 2 3 4" xfId="1007"/>
    <cellStyle name="Percent 3 2 3 4 2" xfId="1666"/>
    <cellStyle name="Percent 3 2 3 4 2 2" xfId="4518"/>
    <cellStyle name="Percent 3 2 3 4 2 2 2" xfId="15577"/>
    <cellStyle name="Percent 3 2 3 4 2 3" xfId="3094"/>
    <cellStyle name="Percent 3 2 3 4 2 3 2" xfId="16294"/>
    <cellStyle name="Percent 3 2 3 4 2 4" xfId="19019"/>
    <cellStyle name="Percent 3 2 3 4 2 5" xfId="19491"/>
    <cellStyle name="Percent 3 2 3 4 2 6" xfId="14832"/>
    <cellStyle name="Percent 3 2 3 4 3" xfId="4517"/>
    <cellStyle name="Percent 3 2 3 4 3 2" xfId="15539"/>
    <cellStyle name="Percent 3 2 3 4 4" xfId="2438"/>
    <cellStyle name="Percent 3 2 3 4 4 2" xfId="18362"/>
    <cellStyle name="Percent 3 2 3 4 5" xfId="16134"/>
    <cellStyle name="Percent 3 2 3 4 6" xfId="20065"/>
    <cellStyle name="Percent 3 2 3 4 7" xfId="14211"/>
    <cellStyle name="Percent 3 2 3 5" xfId="1287"/>
    <cellStyle name="Percent 3 2 3 5 2" xfId="4519"/>
    <cellStyle name="Percent 3 2 3 5 2 2" xfId="15281"/>
    <cellStyle name="Percent 3 2 3 5 3" xfId="2715"/>
    <cellStyle name="Percent 3 2 3 5 3 2" xfId="16683"/>
    <cellStyle name="Percent 3 2 3 5 4" xfId="17418"/>
    <cellStyle name="Percent 3 2 3 5 5" xfId="19838"/>
    <cellStyle name="Percent 3 2 3 5 6" xfId="14464"/>
    <cellStyle name="Percent 3 2 3 6" xfId="4510"/>
    <cellStyle name="Percent 3 2 3 6 2" xfId="13855"/>
    <cellStyle name="Percent 3 2 3 7" xfId="2057"/>
    <cellStyle name="Percent 3 2 3 7 2" xfId="17266"/>
    <cellStyle name="Percent 3 2 3 8" xfId="15782"/>
    <cellStyle name="Percent 3 2 3 9" xfId="17027"/>
    <cellStyle name="Percent 3 2 4" xfId="803"/>
    <cellStyle name="Percent 3 2 4 2" xfId="1082"/>
    <cellStyle name="Percent 3 2 4 2 2" xfId="1741"/>
    <cellStyle name="Percent 3 2 4 2 2 2" xfId="4522"/>
    <cellStyle name="Percent 3 2 4 2 2 2 2" xfId="15384"/>
    <cellStyle name="Percent 3 2 4 2 2 3" xfId="3169"/>
    <cellStyle name="Percent 3 2 4 2 2 3 2" xfId="16104"/>
    <cellStyle name="Percent 3 2 4 2 2 4" xfId="15354"/>
    <cellStyle name="Percent 3 2 4 2 2 5" xfId="19418"/>
    <cellStyle name="Percent 3 2 4 2 2 6" xfId="14896"/>
    <cellStyle name="Percent 3 2 4 2 3" xfId="4521"/>
    <cellStyle name="Percent 3 2 4 2 3 2" xfId="15129"/>
    <cellStyle name="Percent 3 2 4 2 4" xfId="2513"/>
    <cellStyle name="Percent 3 2 4 2 4 2" xfId="16574"/>
    <cellStyle name="Percent 3 2 4 2 5" xfId="16539"/>
    <cellStyle name="Percent 3 2 4 2 6" xfId="19990"/>
    <cellStyle name="Percent 3 2 4 2 7" xfId="14265"/>
    <cellStyle name="Percent 3 2 4 3" xfId="1467"/>
    <cellStyle name="Percent 3 2 4 3 2" xfId="4523"/>
    <cellStyle name="Percent 3 2 4 3 2 2" xfId="15232"/>
    <cellStyle name="Percent 3 2 4 3 3" xfId="2895"/>
    <cellStyle name="Percent 3 2 4 3 3 2" xfId="18499"/>
    <cellStyle name="Percent 3 2 4 3 4" xfId="17662"/>
    <cellStyle name="Percent 3 2 4 3 5" xfId="19690"/>
    <cellStyle name="Percent 3 2 4 3 6" xfId="14633"/>
    <cellStyle name="Percent 3 2 4 4" xfId="4520"/>
    <cellStyle name="Percent 3 2 4 4 2" xfId="16266"/>
    <cellStyle name="Percent 3 2 4 5" xfId="2239"/>
    <cellStyle name="Percent 3 2 4 5 2" xfId="18918"/>
    <cellStyle name="Percent 3 2 4 6" xfId="16216"/>
    <cellStyle name="Percent 3 2 4 7" xfId="20264"/>
    <cellStyle name="Percent 3 2 4 8" xfId="14016"/>
    <cellStyle name="Percent 3 2 5" xfId="674"/>
    <cellStyle name="Percent 3 2 5 2" xfId="1341"/>
    <cellStyle name="Percent 3 2 5 2 2" xfId="4525"/>
    <cellStyle name="Percent 3 2 5 2 2 2" xfId="15493"/>
    <cellStyle name="Percent 3 2 5 2 3" xfId="2769"/>
    <cellStyle name="Percent 3 2 5 2 3 2" xfId="16721"/>
    <cellStyle name="Percent 3 2 5 2 4" xfId="15603"/>
    <cellStyle name="Percent 3 2 5 2 5" xfId="20756"/>
    <cellStyle name="Percent 3 2 5 2 6" xfId="14518"/>
    <cellStyle name="Percent 3 2 5 3" xfId="4524"/>
    <cellStyle name="Percent 3 2 5 3 2" xfId="16267"/>
    <cellStyle name="Percent 3 2 5 4" xfId="2113"/>
    <cellStyle name="Percent 3 2 5 4 2" xfId="17754"/>
    <cellStyle name="Percent 3 2 5 5" xfId="17324"/>
    <cellStyle name="Percent 3 2 5 6" xfId="20390"/>
    <cellStyle name="Percent 3 2 5 7" xfId="13911"/>
    <cellStyle name="Percent 3 2 6" xfId="956"/>
    <cellStyle name="Percent 3 2 6 2" xfId="1615"/>
    <cellStyle name="Percent 3 2 6 2 2" xfId="4527"/>
    <cellStyle name="Percent 3 2 6 2 2 2" xfId="15078"/>
    <cellStyle name="Percent 3 2 6 2 3" xfId="3043"/>
    <cellStyle name="Percent 3 2 6 2 3 2" xfId="17490"/>
    <cellStyle name="Percent 3 2 6 2 4" xfId="18107"/>
    <cellStyle name="Percent 3 2 6 2 5" xfId="19542"/>
    <cellStyle name="Percent 3 2 6 2 6" xfId="14781"/>
    <cellStyle name="Percent 3 2 6 3" xfId="4526"/>
    <cellStyle name="Percent 3 2 6 3 2" xfId="15181"/>
    <cellStyle name="Percent 3 2 6 4" xfId="2387"/>
    <cellStyle name="Percent 3 2 6 4 2" xfId="18455"/>
    <cellStyle name="Percent 3 2 6 5" xfId="19049"/>
    <cellStyle name="Percent 3 2 6 6" xfId="20116"/>
    <cellStyle name="Percent 3 2 6 7" xfId="14160"/>
    <cellStyle name="Percent 3 2 7" xfId="1236"/>
    <cellStyle name="Percent 3 2 7 2" xfId="4528"/>
    <cellStyle name="Percent 3 2 7 2 2" xfId="15333"/>
    <cellStyle name="Percent 3 2 7 3" xfId="2664"/>
    <cellStyle name="Percent 3 2 7 3 2" xfId="16643"/>
    <cellStyle name="Percent 3 2 7 4" xfId="17828"/>
    <cellStyle name="Percent 3 2 7 5" xfId="19889"/>
    <cellStyle name="Percent 3 2 7 6" xfId="14413"/>
    <cellStyle name="Percent 3 2 8" xfId="4509"/>
    <cellStyle name="Percent 3 2 8 2" xfId="13739"/>
    <cellStyle name="Percent 3 2 9" xfId="1990"/>
    <cellStyle name="Percent 3 2 9 2" xfId="17187"/>
    <cellStyle name="Percent 3 3" xfId="526"/>
    <cellStyle name="Percent 3 3 2" xfId="623"/>
    <cellStyle name="Percent 3 3 3" xfId="741"/>
    <cellStyle name="Percent 3 3 3 2" xfId="1022"/>
    <cellStyle name="Percent 3 3 3 2 2" xfId="1681"/>
    <cellStyle name="Percent 3 3 3 2 2 2" xfId="4531"/>
    <cellStyle name="Percent 3 3 3 2 2 2 2" xfId="15105"/>
    <cellStyle name="Percent 3 3 3 2 2 3" xfId="3109"/>
    <cellStyle name="Percent 3 3 3 2 2 3 2" xfId="17491"/>
    <cellStyle name="Percent 3 3 3 2 2 4" xfId="17684"/>
    <cellStyle name="Percent 3 3 3 2 2 5" xfId="19476"/>
    <cellStyle name="Percent 3 3 3 2 2 6" xfId="14847"/>
    <cellStyle name="Percent 3 3 3 2 3" xfId="4530"/>
    <cellStyle name="Percent 3 3 3 2 3 2" xfId="15256"/>
    <cellStyle name="Percent 3 3 3 2 4" xfId="2453"/>
    <cellStyle name="Percent 3 3 3 2 4 2" xfId="18511"/>
    <cellStyle name="Percent 3 3 3 2 5" xfId="17234"/>
    <cellStyle name="Percent 3 3 3 2 6" xfId="20050"/>
    <cellStyle name="Percent 3 3 3 2 7" xfId="14226"/>
    <cellStyle name="Percent 3 3 3 3" xfId="1407"/>
    <cellStyle name="Percent 3 3 3 3 2" xfId="4532"/>
    <cellStyle name="Percent 3 3 3 3 2 2" xfId="15359"/>
    <cellStyle name="Percent 3 3 3 3 3" xfId="2835"/>
    <cellStyle name="Percent 3 3 3 3 3 2" xfId="18112"/>
    <cellStyle name="Percent 3 3 3 3 4" xfId="18048"/>
    <cellStyle name="Percent 3 3 3 3 5" xfId="19750"/>
    <cellStyle name="Percent 3 3 3 3 6" xfId="14584"/>
    <cellStyle name="Percent 3 3 3 4" xfId="4529"/>
    <cellStyle name="Percent 3 3 3 4 2" xfId="15443"/>
    <cellStyle name="Percent 3 3 3 5" xfId="2179"/>
    <cellStyle name="Percent 3 3 3 5 2" xfId="15605"/>
    <cellStyle name="Percent 3 3 3 6" xfId="18299"/>
    <cellStyle name="Percent 3 3 3 7" xfId="20324"/>
    <cellStyle name="Percent 3 3 3 8" xfId="13976"/>
    <cellStyle name="Percent 3 4" xfId="570"/>
    <cellStyle name="Percent 3 4 10" xfId="20478"/>
    <cellStyle name="Percent 3 4 11" xfId="9274"/>
    <cellStyle name="Percent 3 4 2" xfId="840"/>
    <cellStyle name="Percent 3 4 2 2" xfId="1114"/>
    <cellStyle name="Percent 3 4 2 2 2" xfId="1773"/>
    <cellStyle name="Percent 3 4 2 2 2 2" xfId="4536"/>
    <cellStyle name="Percent 3 4 2 2 2 2 2" xfId="19205"/>
    <cellStyle name="Percent 3 4 2 2 2 3" xfId="3201"/>
    <cellStyle name="Percent 3 4 2 2 2 3 2" xfId="15901"/>
    <cellStyle name="Percent 3 4 2 2 2 4" xfId="17972"/>
    <cellStyle name="Percent 3 4 2 2 2 5" xfId="19386"/>
    <cellStyle name="Percent 3 4 2 2 2 6" xfId="14928"/>
    <cellStyle name="Percent 3 4 2 2 3" xfId="4535"/>
    <cellStyle name="Percent 3 4 2 2 3 2" xfId="15156"/>
    <cellStyle name="Percent 3 4 2 2 4" xfId="2545"/>
    <cellStyle name="Percent 3 4 2 2 4 2" xfId="16579"/>
    <cellStyle name="Percent 3 4 2 2 5" xfId="18562"/>
    <cellStyle name="Percent 3 4 2 2 6" xfId="19958"/>
    <cellStyle name="Percent 3 4 2 2 7" xfId="14295"/>
    <cellStyle name="Percent 3 4 2 3" xfId="1499"/>
    <cellStyle name="Percent 3 4 2 3 2" xfId="4537"/>
    <cellStyle name="Percent 3 4 2 3 2 2" xfId="15308"/>
    <cellStyle name="Percent 3 4 2 3 3" xfId="2927"/>
    <cellStyle name="Percent 3 4 2 3 3 2" xfId="16197"/>
    <cellStyle name="Percent 3 4 2 3 4" xfId="17682"/>
    <cellStyle name="Percent 3 4 2 3 5" xfId="19658"/>
    <cellStyle name="Percent 3 4 2 3 6" xfId="14665"/>
    <cellStyle name="Percent 3 4 2 4" xfId="4534"/>
    <cellStyle name="Percent 3 4 2 4 2" xfId="14045"/>
    <cellStyle name="Percent 3 4 2 5" xfId="2271"/>
    <cellStyle name="Percent 3 4 2 5 2" xfId="17428"/>
    <cellStyle name="Percent 3 4 2 6" xfId="18680"/>
    <cellStyle name="Percent 3 4 2 7" xfId="17029"/>
    <cellStyle name="Percent 3 4 2 8" xfId="20232"/>
    <cellStyle name="Percent 3 4 2 9" xfId="9275"/>
    <cellStyle name="Percent 3 4 3" xfId="696"/>
    <cellStyle name="Percent 3 4 3 2" xfId="1363"/>
    <cellStyle name="Percent 3 4 3 2 2" xfId="4539"/>
    <cellStyle name="Percent 3 4 3 2 2 2" xfId="15525"/>
    <cellStyle name="Percent 3 4 3 2 3" xfId="2791"/>
    <cellStyle name="Percent 3 4 3 2 3 2" xfId="16742"/>
    <cellStyle name="Percent 3 4 3 2 4" xfId="17379"/>
    <cellStyle name="Percent 3 4 3 2 5" xfId="19792"/>
    <cellStyle name="Percent 3 4 3 2 6" xfId="14540"/>
    <cellStyle name="Percent 3 4 3 3" xfId="4538"/>
    <cellStyle name="Percent 3 4 3 3 2" xfId="15413"/>
    <cellStyle name="Percent 3 4 3 4" xfId="2135"/>
    <cellStyle name="Percent 3 4 3 4 2" xfId="18383"/>
    <cellStyle name="Percent 3 4 3 5" xfId="18289"/>
    <cellStyle name="Percent 3 4 3 6" xfId="20368"/>
    <cellStyle name="Percent 3 4 3 7" xfId="13933"/>
    <cellStyle name="Percent 3 4 4" xfId="978"/>
    <cellStyle name="Percent 3 4 4 2" xfId="1637"/>
    <cellStyle name="Percent 3 4 4 2 2" xfId="4541"/>
    <cellStyle name="Percent 3 4 4 2 2 2" xfId="16899"/>
    <cellStyle name="Percent 3 4 4 2 3" xfId="3065"/>
    <cellStyle name="Percent 3 4 4 2 3 2" xfId="16285"/>
    <cellStyle name="Percent 3 4 4 2 4" xfId="17438"/>
    <cellStyle name="Percent 3 4 4 2 5" xfId="19520"/>
    <cellStyle name="Percent 3 4 4 2 6" xfId="14803"/>
    <cellStyle name="Percent 3 4 4 3" xfId="4540"/>
    <cellStyle name="Percent 3 4 4 3 2" xfId="16898"/>
    <cellStyle name="Percent 3 4 4 4" xfId="2409"/>
    <cellStyle name="Percent 3 4 4 4 2" xfId="18363"/>
    <cellStyle name="Percent 3 4 4 5" xfId="16512"/>
    <cellStyle name="Percent 3 4 4 6" xfId="20094"/>
    <cellStyle name="Percent 3 4 4 7" xfId="14182"/>
    <cellStyle name="Percent 3 4 5" xfId="1258"/>
    <cellStyle name="Percent 3 4 5 2" xfId="4542"/>
    <cellStyle name="Percent 3 4 5 2 2" xfId="16900"/>
    <cellStyle name="Percent 3 4 5 3" xfId="2686"/>
    <cellStyle name="Percent 3 4 5 3 2" xfId="16662"/>
    <cellStyle name="Percent 3 4 5 4" xfId="17107"/>
    <cellStyle name="Percent 3 4 5 5" xfId="19867"/>
    <cellStyle name="Percent 3 4 5 6" xfId="14435"/>
    <cellStyle name="Percent 3 4 6" xfId="4533"/>
    <cellStyle name="Percent 3 4 6 2" xfId="13827"/>
    <cellStyle name="Percent 3 4 7" xfId="2025"/>
    <cellStyle name="Percent 3 4 7 2" xfId="17196"/>
    <cellStyle name="Percent 3 4 8" xfId="17449"/>
    <cellStyle name="Percent 3 4 9" xfId="17028"/>
    <cellStyle name="Percent 3 5" xfId="762"/>
    <cellStyle name="Percent 3 5 2" xfId="1043"/>
    <cellStyle name="Percent 3 5 2 2" xfId="1702"/>
    <cellStyle name="Percent 3 5 2 2 2" xfId="4545"/>
    <cellStyle name="Percent 3 5 2 2 2 2" xfId="16901"/>
    <cellStyle name="Percent 3 5 2 2 3" xfId="3130"/>
    <cellStyle name="Percent 3 5 2 2 3 2" xfId="18209"/>
    <cellStyle name="Percent 3 5 2 2 4" xfId="17696"/>
    <cellStyle name="Percent 3 5 2 2 5" xfId="19457"/>
    <cellStyle name="Percent 3 5 2 2 6" xfId="14868"/>
    <cellStyle name="Percent 3 5 2 3" xfId="4544"/>
    <cellStyle name="Percent 3 5 2 3 2" xfId="18572"/>
    <cellStyle name="Percent 3 5 2 4" xfId="2474"/>
    <cellStyle name="Percent 3 5 2 4 2" xfId="15912"/>
    <cellStyle name="Percent 3 5 2 5" xfId="17242"/>
    <cellStyle name="Percent 3 5 2 6" xfId="20029"/>
    <cellStyle name="Percent 3 5 2 7" xfId="14242"/>
    <cellStyle name="Percent 3 5 3" xfId="1428"/>
    <cellStyle name="Percent 3 5 3 2" xfId="4546"/>
    <cellStyle name="Percent 3 5 3 2 2" xfId="15721"/>
    <cellStyle name="Percent 3 5 3 3" xfId="2856"/>
    <cellStyle name="Percent 3 5 3 3 2" xfId="17398"/>
    <cellStyle name="Percent 3 5 3 4" xfId="15188"/>
    <cellStyle name="Percent 3 5 3 5" xfId="19729"/>
    <cellStyle name="Percent 3 5 3 6" xfId="14605"/>
    <cellStyle name="Percent 3 5 4" xfId="4543"/>
    <cellStyle name="Percent 3 5 4 2" xfId="13992"/>
    <cellStyle name="Percent 3 5 5" xfId="2200"/>
    <cellStyle name="Percent 3 5 5 2" xfId="15315"/>
    <cellStyle name="Percent 3 5 6" xfId="17384"/>
    <cellStyle name="Percent 3 5 7" xfId="17030"/>
    <cellStyle name="Percent 3 5 8" xfId="20303"/>
    <cellStyle name="Percent 3 5 9" xfId="9276"/>
    <cellStyle name="Percent 3 6" xfId="645"/>
    <cellStyle name="Percent 3 6 2" xfId="1312"/>
    <cellStyle name="Percent 3 6 2 2" xfId="4548"/>
    <cellStyle name="Percent 3 6 2 2 2" xfId="18708"/>
    <cellStyle name="Percent 3 6 2 3" xfId="2740"/>
    <cellStyle name="Percent 3 6 2 3 2" xfId="16701"/>
    <cellStyle name="Percent 3 6 2 4" xfId="17362"/>
    <cellStyle name="Percent 3 6 2 5" xfId="19813"/>
    <cellStyle name="Percent 3 6 2 6" xfId="14489"/>
    <cellStyle name="Percent 3 6 3" xfId="4547"/>
    <cellStyle name="Percent 3 6 3 2" xfId="15722"/>
    <cellStyle name="Percent 3 6 4" xfId="2084"/>
    <cellStyle name="Percent 3 6 4 2" xfId="17485"/>
    <cellStyle name="Percent 3 6 5" xfId="15784"/>
    <cellStyle name="Percent 3 6 6" xfId="20419"/>
    <cellStyle name="Percent 3 6 7" xfId="13882"/>
    <cellStyle name="Percent 3 7" xfId="927"/>
    <cellStyle name="Percent 3 7 2" xfId="1586"/>
    <cellStyle name="Percent 3 7 2 2" xfId="4550"/>
    <cellStyle name="Percent 3 7 2 2 2" xfId="15723"/>
    <cellStyle name="Percent 3 7 2 3" xfId="3014"/>
    <cellStyle name="Percent 3 7 2 3 2" xfId="16082"/>
    <cellStyle name="Percent 3 7 2 4" xfId="15214"/>
    <cellStyle name="Percent 3 7 2 5" xfId="19571"/>
    <cellStyle name="Percent 3 7 2 6" xfId="14752"/>
    <cellStyle name="Percent 3 7 3" xfId="4549"/>
    <cellStyle name="Percent 3 7 3 2" xfId="16268"/>
    <cellStyle name="Percent 3 7 4" xfId="2358"/>
    <cellStyle name="Percent 3 7 4 2" xfId="15864"/>
    <cellStyle name="Percent 3 7 5" xfId="18597"/>
    <cellStyle name="Percent 3 7 6" xfId="20145"/>
    <cellStyle name="Percent 3 7 7" xfId="14131"/>
    <cellStyle name="Percent 3 8" xfId="1207"/>
    <cellStyle name="Percent 3 8 2" xfId="4551"/>
    <cellStyle name="Percent 3 8 2 2" xfId="15724"/>
    <cellStyle name="Percent 3 8 3" xfId="2635"/>
    <cellStyle name="Percent 3 8 3 2" xfId="16619"/>
    <cellStyle name="Percent 3 8 4" xfId="18381"/>
    <cellStyle name="Percent 3 8 5" xfId="19918"/>
    <cellStyle name="Percent 3 8 6" xfId="14384"/>
    <cellStyle name="Percent 3 9" xfId="4508"/>
    <cellStyle name="Percent 3 9 2" xfId="13703"/>
    <cellStyle name="Percent 30" xfId="13287"/>
    <cellStyle name="Percent 31" xfId="13290"/>
    <cellStyle name="Percent 32" xfId="13392"/>
    <cellStyle name="Percent 33" xfId="13464"/>
    <cellStyle name="Percent 34" xfId="13510"/>
    <cellStyle name="Percent 35" xfId="13495"/>
    <cellStyle name="Percent 36" xfId="13546"/>
    <cellStyle name="Percent 37" xfId="13574"/>
    <cellStyle name="Percent 38" xfId="13611"/>
    <cellStyle name="Percent 39" xfId="13640"/>
    <cellStyle name="Percent 4" xfId="232"/>
    <cellStyle name="Percent 4 10" xfId="1935"/>
    <cellStyle name="Percent 4 10 2" xfId="16567"/>
    <cellStyle name="Percent 4 11" xfId="18626"/>
    <cellStyle name="Percent 4 12" xfId="17031"/>
    <cellStyle name="Percent 4 13" xfId="20568"/>
    <cellStyle name="Percent 4 14" xfId="9277"/>
    <cellStyle name="Percent 4 15" xfId="20934"/>
    <cellStyle name="Percent 4 16" xfId="20952"/>
    <cellStyle name="Percent 4 2" xfId="431"/>
    <cellStyle name="Percent 4 2 10" xfId="16422"/>
    <cellStyle name="Percent 4 2 11" xfId="17032"/>
    <cellStyle name="Percent 4 2 12" xfId="20512"/>
    <cellStyle name="Percent 4 2 13" xfId="9278"/>
    <cellStyle name="Percent 4 2 2" xfId="529"/>
    <cellStyle name="Percent 4 2 2 2" xfId="9280"/>
    <cellStyle name="Percent 4 2 2 3" xfId="13793"/>
    <cellStyle name="Percent 4 2 2 4" xfId="17033"/>
    <cellStyle name="Percent 4 2 2 5" xfId="9279"/>
    <cellStyle name="Percent 4 2 3" xfId="603"/>
    <cellStyle name="Percent 4 2 3 10" xfId="20445"/>
    <cellStyle name="Percent 4 2 3 11" xfId="9281"/>
    <cellStyle name="Percent 4 2 3 2" xfId="870"/>
    <cellStyle name="Percent 4 2 3 2 2" xfId="1144"/>
    <cellStyle name="Percent 4 2 3 2 2 2" xfId="1803"/>
    <cellStyle name="Percent 4 2 3 2 2 2 2" xfId="4557"/>
    <cellStyle name="Percent 4 2 3 2 2 2 2 2" xfId="17059"/>
    <cellStyle name="Percent 4 2 3 2 2 2 3" xfId="3231"/>
    <cellStyle name="Percent 4 2 3 2 2 2 3 2" xfId="16798"/>
    <cellStyle name="Percent 4 2 3 2 2 2 4" xfId="17503"/>
    <cellStyle name="Percent 4 2 3 2 2 2 5" xfId="19356"/>
    <cellStyle name="Percent 4 2 3 2 2 2 6" xfId="14958"/>
    <cellStyle name="Percent 4 2 3 2 2 3" xfId="4556"/>
    <cellStyle name="Percent 4 2 3 2 2 3 2" xfId="19141"/>
    <cellStyle name="Percent 4 2 3 2 2 4" xfId="2575"/>
    <cellStyle name="Percent 4 2 3 2 2 4 2" xfId="16604"/>
    <cellStyle name="Percent 4 2 3 2 2 5" xfId="17274"/>
    <cellStyle name="Percent 4 2 3 2 2 6" xfId="20701"/>
    <cellStyle name="Percent 4 2 3 2 2 7" xfId="14324"/>
    <cellStyle name="Percent 4 2 3 2 3" xfId="1529"/>
    <cellStyle name="Percent 4 2 3 2 3 2" xfId="4558"/>
    <cellStyle name="Percent 4 2 3 2 3 2 2" xfId="15725"/>
    <cellStyle name="Percent 4 2 3 2 3 3" xfId="2957"/>
    <cellStyle name="Percent 4 2 3 2 3 3 2" xfId="18539"/>
    <cellStyle name="Percent 4 2 3 2 3 4" xfId="17768"/>
    <cellStyle name="Percent 4 2 3 2 3 5" xfId="19628"/>
    <cellStyle name="Percent 4 2 3 2 3 6" xfId="14695"/>
    <cellStyle name="Percent 4 2 3 2 4" xfId="4555"/>
    <cellStyle name="Percent 4 2 3 2 4 2" xfId="18575"/>
    <cellStyle name="Percent 4 2 3 2 5" xfId="2301"/>
    <cellStyle name="Percent 4 2 3 2 5 2" xfId="18821"/>
    <cellStyle name="Percent 4 2 3 2 6" xfId="19078"/>
    <cellStyle name="Percent 4 2 3 2 7" xfId="20202"/>
    <cellStyle name="Percent 4 2 3 2 8" xfId="14074"/>
    <cellStyle name="Percent 4 2 3 3" xfId="726"/>
    <cellStyle name="Percent 4 2 3 3 2" xfId="1393"/>
    <cellStyle name="Percent 4 2 3 3 2 2" xfId="4560"/>
    <cellStyle name="Percent 4 2 3 3 2 2 2" xfId="16185"/>
    <cellStyle name="Percent 4 2 3 3 2 3" xfId="2821"/>
    <cellStyle name="Percent 4 2 3 3 2 3 2" xfId="16765"/>
    <cellStyle name="Percent 4 2 3 3 2 4" xfId="18380"/>
    <cellStyle name="Percent 4 2 3 3 2 5" xfId="19764"/>
    <cellStyle name="Percent 4 2 3 3 2 6" xfId="14570"/>
    <cellStyle name="Percent 4 2 3 3 3" xfId="4559"/>
    <cellStyle name="Percent 4 2 3 3 3 2" xfId="16151"/>
    <cellStyle name="Percent 4 2 3 3 4" xfId="2165"/>
    <cellStyle name="Percent 4 2 3 3 4 2" xfId="17276"/>
    <cellStyle name="Percent 4 2 3 3 5" xfId="16461"/>
    <cellStyle name="Percent 4 2 3 3 6" xfId="20338"/>
    <cellStyle name="Percent 4 2 3 3 7" xfId="13962"/>
    <cellStyle name="Percent 4 2 3 4" xfId="1008"/>
    <cellStyle name="Percent 4 2 3 4 2" xfId="1667"/>
    <cellStyle name="Percent 4 2 3 4 2 2" xfId="4562"/>
    <cellStyle name="Percent 4 2 3 4 2 2 2" xfId="19018"/>
    <cellStyle name="Percent 4 2 3 4 2 3" xfId="3095"/>
    <cellStyle name="Percent 4 2 3 4 2 3 2" xfId="16784"/>
    <cellStyle name="Percent 4 2 3 4 2 4" xfId="15568"/>
    <cellStyle name="Percent 4 2 3 4 2 5" xfId="19490"/>
    <cellStyle name="Percent 4 2 3 4 2 6" xfId="14833"/>
    <cellStyle name="Percent 4 2 3 4 3" xfId="4561"/>
    <cellStyle name="Percent 4 2 3 4 3 2" xfId="15726"/>
    <cellStyle name="Percent 4 2 3 4 4" xfId="2439"/>
    <cellStyle name="Percent 4 2 3 4 4 2" xfId="18504"/>
    <cellStyle name="Percent 4 2 3 4 5" xfId="16168"/>
    <cellStyle name="Percent 4 2 3 4 6" xfId="20064"/>
    <cellStyle name="Percent 4 2 3 4 7" xfId="14212"/>
    <cellStyle name="Percent 4 2 3 5" xfId="1288"/>
    <cellStyle name="Percent 4 2 3 5 2" xfId="4563"/>
    <cellStyle name="Percent 4 2 3 5 2 2" xfId="15727"/>
    <cellStyle name="Percent 4 2 3 5 3" xfId="2716"/>
    <cellStyle name="Percent 4 2 3 5 3 2" xfId="16684"/>
    <cellStyle name="Percent 4 2 3 5 4" xfId="17480"/>
    <cellStyle name="Percent 4 2 3 5 5" xfId="19837"/>
    <cellStyle name="Percent 4 2 3 5 6" xfId="14465"/>
    <cellStyle name="Percent 4 2 3 6" xfId="4554"/>
    <cellStyle name="Percent 4 2 3 6 2" xfId="13856"/>
    <cellStyle name="Percent 4 2 3 7" xfId="2058"/>
    <cellStyle name="Percent 4 2 3 7 2" xfId="15521"/>
    <cellStyle name="Percent 4 2 3 8" xfId="17282"/>
    <cellStyle name="Percent 4 2 3 9" xfId="17086"/>
    <cellStyle name="Percent 4 2 4" xfId="804"/>
    <cellStyle name="Percent 4 2 4 2" xfId="1083"/>
    <cellStyle name="Percent 4 2 4 2 2" xfId="1742"/>
    <cellStyle name="Percent 4 2 4 2 2 2" xfId="4566"/>
    <cellStyle name="Percent 4 2 4 2 2 2 2" xfId="18955"/>
    <cellStyle name="Percent 4 2 4 2 2 3" xfId="3170"/>
    <cellStyle name="Percent 4 2 4 2 2 3 2" xfId="18505"/>
    <cellStyle name="Percent 4 2 4 2 2 4" xfId="15202"/>
    <cellStyle name="Percent 4 2 4 2 2 5" xfId="19417"/>
    <cellStyle name="Percent 4 2 4 2 2 6" xfId="14897"/>
    <cellStyle name="Percent 4 2 4 2 3" xfId="4565"/>
    <cellStyle name="Percent 4 2 4 2 3 2" xfId="18654"/>
    <cellStyle name="Percent 4 2 4 2 4" xfId="2514"/>
    <cellStyle name="Percent 4 2 4 2 4 2" xfId="16575"/>
    <cellStyle name="Percent 4 2 4 2 5" xfId="16540"/>
    <cellStyle name="Percent 4 2 4 2 6" xfId="19989"/>
    <cellStyle name="Percent 4 2 4 2 7" xfId="14266"/>
    <cellStyle name="Percent 4 2 4 3" xfId="1468"/>
    <cellStyle name="Percent 4 2 4 3 2" xfId="4567"/>
    <cellStyle name="Percent 4 2 4 3 2 2" xfId="18776"/>
    <cellStyle name="Percent 4 2 4 3 3" xfId="2896"/>
    <cellStyle name="Percent 4 2 4 3 3 2" xfId="17807"/>
    <cellStyle name="Percent 4 2 4 3 4" xfId="18015"/>
    <cellStyle name="Percent 4 2 4 3 5" xfId="19689"/>
    <cellStyle name="Percent 4 2 4 3 6" xfId="14634"/>
    <cellStyle name="Percent 4 2 4 4" xfId="4564"/>
    <cellStyle name="Percent 4 2 4 4 2" xfId="15728"/>
    <cellStyle name="Percent 4 2 4 5" xfId="2240"/>
    <cellStyle name="Percent 4 2 4 5 2" xfId="19159"/>
    <cellStyle name="Percent 4 2 4 6" xfId="18367"/>
    <cellStyle name="Percent 4 2 4 7" xfId="20263"/>
    <cellStyle name="Percent 4 2 4 8" xfId="14017"/>
    <cellStyle name="Percent 4 2 5" xfId="675"/>
    <cellStyle name="Percent 4 2 5 2" xfId="1342"/>
    <cellStyle name="Percent 4 2 5 2 2" xfId="4569"/>
    <cellStyle name="Percent 4 2 5 2 2 2" xfId="15729"/>
    <cellStyle name="Percent 4 2 5 2 3" xfId="2770"/>
    <cellStyle name="Percent 4 2 5 2 3 2" xfId="16722"/>
    <cellStyle name="Percent 4 2 5 2 4" xfId="17630"/>
    <cellStyle name="Percent 4 2 5 2 5" xfId="20730"/>
    <cellStyle name="Percent 4 2 5 2 6" xfId="14519"/>
    <cellStyle name="Percent 4 2 5 3" xfId="4568"/>
    <cellStyle name="Percent 4 2 5 3 2" xfId="18220"/>
    <cellStyle name="Percent 4 2 5 4" xfId="2114"/>
    <cellStyle name="Percent 4 2 5 4 2" xfId="18117"/>
    <cellStyle name="Percent 4 2 5 5" xfId="18733"/>
    <cellStyle name="Percent 4 2 5 6" xfId="20389"/>
    <cellStyle name="Percent 4 2 5 7" xfId="13912"/>
    <cellStyle name="Percent 4 2 6" xfId="957"/>
    <cellStyle name="Percent 4 2 6 2" xfId="1616"/>
    <cellStyle name="Percent 4 2 6 2 2" xfId="4571"/>
    <cellStyle name="Percent 4 2 6 2 2 2" xfId="19081"/>
    <cellStyle name="Percent 4 2 6 2 3" xfId="3044"/>
    <cellStyle name="Percent 4 2 6 2 3 2" xfId="17608"/>
    <cellStyle name="Percent 4 2 6 2 4" xfId="17970"/>
    <cellStyle name="Percent 4 2 6 2 5" xfId="19541"/>
    <cellStyle name="Percent 4 2 6 2 6" xfId="14782"/>
    <cellStyle name="Percent 4 2 6 3" xfId="4570"/>
    <cellStyle name="Percent 4 2 6 3 2" xfId="15730"/>
    <cellStyle name="Percent 4 2 6 4" xfId="2388"/>
    <cellStyle name="Percent 4 2 6 4 2" xfId="15767"/>
    <cellStyle name="Percent 4 2 6 5" xfId="18865"/>
    <cellStyle name="Percent 4 2 6 6" xfId="20115"/>
    <cellStyle name="Percent 4 2 6 7" xfId="14161"/>
    <cellStyle name="Percent 4 2 7" xfId="1237"/>
    <cellStyle name="Percent 4 2 7 2" xfId="4572"/>
    <cellStyle name="Percent 4 2 7 2 2" xfId="15731"/>
    <cellStyle name="Percent 4 2 7 3" xfId="2665"/>
    <cellStyle name="Percent 4 2 7 3 2" xfId="18125"/>
    <cellStyle name="Percent 4 2 7 4" xfId="17605"/>
    <cellStyle name="Percent 4 2 7 5" xfId="19888"/>
    <cellStyle name="Percent 4 2 7 6" xfId="14414"/>
    <cellStyle name="Percent 4 2 8" xfId="4553"/>
    <cellStyle name="Percent 4 2 8 2" xfId="13740"/>
    <cellStyle name="Percent 4 2 9" xfId="1991"/>
    <cellStyle name="Percent 4 2 9 2" xfId="19243"/>
    <cellStyle name="Percent 4 3" xfId="528"/>
    <cellStyle name="Percent 4 3 2" xfId="624"/>
    <cellStyle name="Percent 4 3 3" xfId="815"/>
    <cellStyle name="Percent 4 3 3 2" xfId="1093"/>
    <cellStyle name="Percent 4 3 3 2 2" xfId="1752"/>
    <cellStyle name="Percent 4 3 3 2 2 2" xfId="4575"/>
    <cellStyle name="Percent 4 3 3 2 2 2 2" xfId="18599"/>
    <cellStyle name="Percent 4 3 3 2 2 3" xfId="3180"/>
    <cellStyle name="Percent 4 3 3 2 2 3 2" xfId="15902"/>
    <cellStyle name="Percent 4 3 3 2 2 4" xfId="17145"/>
    <cellStyle name="Percent 4 3 3 2 2 5" xfId="19407"/>
    <cellStyle name="Percent 4 3 3 2 2 6" xfId="14907"/>
    <cellStyle name="Percent 4 3 3 2 3" xfId="4574"/>
    <cellStyle name="Percent 4 3 3 2 3 2" xfId="18904"/>
    <cellStyle name="Percent 4 3 3 2 4" xfId="2524"/>
    <cellStyle name="Percent 4 3 3 2 4 2" xfId="15931"/>
    <cellStyle name="Percent 4 3 3 2 5" xfId="16549"/>
    <cellStyle name="Percent 4 3 3 2 6" xfId="19979"/>
    <cellStyle name="Percent 4 3 3 2 7" xfId="14276"/>
    <cellStyle name="Percent 4 3 3 3" xfId="1478"/>
    <cellStyle name="Percent 4 3 3 3 2" xfId="4576"/>
    <cellStyle name="Percent 4 3 3 3 2 2" xfId="18678"/>
    <cellStyle name="Percent 4 3 3 3 3" xfId="2906"/>
    <cellStyle name="Percent 4 3 3 3 3 2" xfId="17641"/>
    <cellStyle name="Percent 4 3 3 3 4" xfId="18019"/>
    <cellStyle name="Percent 4 3 3 3 5" xfId="19679"/>
    <cellStyle name="Percent 4 3 3 3 6" xfId="14644"/>
    <cellStyle name="Percent 4 3 3 4" xfId="4573"/>
    <cellStyle name="Percent 4 3 3 4 2" xfId="15732"/>
    <cellStyle name="Percent 4 3 3 5" xfId="2250"/>
    <cellStyle name="Percent 4 3 3 5 2" xfId="18819"/>
    <cellStyle name="Percent 4 3 3 6" xfId="18833"/>
    <cellStyle name="Percent 4 3 3 7" xfId="20253"/>
    <cellStyle name="Percent 4 3 3 8" xfId="14027"/>
    <cellStyle name="Percent 4 4" xfId="571"/>
    <cellStyle name="Percent 4 4 10" xfId="20477"/>
    <cellStyle name="Percent 4 4 11" xfId="9282"/>
    <cellStyle name="Percent 4 4 2" xfId="841"/>
    <cellStyle name="Percent 4 4 2 2" xfId="1115"/>
    <cellStyle name="Percent 4 4 2 2 2" xfId="1774"/>
    <cellStyle name="Percent 4 4 2 2 2 2" xfId="4580"/>
    <cellStyle name="Percent 4 4 2 2 2 2 2" xfId="18630"/>
    <cellStyle name="Percent 4 4 2 2 2 3" xfId="3202"/>
    <cellStyle name="Percent 4 4 2 2 2 3 2" xfId="18252"/>
    <cellStyle name="Percent 4 4 2 2 2 4" xfId="17554"/>
    <cellStyle name="Percent 4 4 2 2 2 5" xfId="19385"/>
    <cellStyle name="Percent 4 4 2 2 2 6" xfId="14929"/>
    <cellStyle name="Percent 4 4 2 2 3" xfId="4579"/>
    <cellStyle name="Percent 4 4 2 2 3 2" xfId="18985"/>
    <cellStyle name="Percent 4 4 2 2 4" xfId="2546"/>
    <cellStyle name="Percent 4 4 2 2 4 2" xfId="16580"/>
    <cellStyle name="Percent 4 4 2 2 5" xfId="18606"/>
    <cellStyle name="Percent 4 4 2 2 6" xfId="19957"/>
    <cellStyle name="Percent 4 4 2 2 7" xfId="14296"/>
    <cellStyle name="Percent 4 4 2 3" xfId="1500"/>
    <cellStyle name="Percent 4 4 2 3 2" xfId="4581"/>
    <cellStyle name="Percent 4 4 2 3 2 2" xfId="18929"/>
    <cellStyle name="Percent 4 4 2 3 3" xfId="2928"/>
    <cellStyle name="Percent 4 4 2 3 3 2" xfId="16210"/>
    <cellStyle name="Percent 4 4 2 3 4" xfId="18031"/>
    <cellStyle name="Percent 4 4 2 3 5" xfId="19657"/>
    <cellStyle name="Percent 4 4 2 3 6" xfId="14666"/>
    <cellStyle name="Percent 4 4 2 4" xfId="4578"/>
    <cellStyle name="Percent 4 4 2 4 2" xfId="14046"/>
    <cellStyle name="Percent 4 4 2 5" xfId="2272"/>
    <cellStyle name="Percent 4 4 2 5 2" xfId="17125"/>
    <cellStyle name="Percent 4 4 2 6" xfId="16123"/>
    <cellStyle name="Percent 4 4 2 7" xfId="17034"/>
    <cellStyle name="Percent 4 4 2 8" xfId="20231"/>
    <cellStyle name="Percent 4 4 2 9" xfId="9283"/>
    <cellStyle name="Percent 4 4 3" xfId="697"/>
    <cellStyle name="Percent 4 4 3 2" xfId="1364"/>
    <cellStyle name="Percent 4 4 3 2 2" xfId="4583"/>
    <cellStyle name="Percent 4 4 3 2 2 2" xfId="15612"/>
    <cellStyle name="Percent 4 4 3 2 3" xfId="2792"/>
    <cellStyle name="Percent 4 4 3 2 3 2" xfId="18472"/>
    <cellStyle name="Percent 4 4 3 2 4" xfId="18975"/>
    <cellStyle name="Percent 4 4 3 2 5" xfId="19791"/>
    <cellStyle name="Percent 4 4 3 2 6" xfId="14541"/>
    <cellStyle name="Percent 4 4 3 3" xfId="4582"/>
    <cellStyle name="Percent 4 4 3 3 2" xfId="18750"/>
    <cellStyle name="Percent 4 4 3 4" xfId="2136"/>
    <cellStyle name="Percent 4 4 3 4 2" xfId="18118"/>
    <cellStyle name="Percent 4 4 3 5" xfId="18290"/>
    <cellStyle name="Percent 4 4 3 6" xfId="20367"/>
    <cellStyle name="Percent 4 4 3 7" xfId="13934"/>
    <cellStyle name="Percent 4 4 4" xfId="979"/>
    <cellStyle name="Percent 4 4 4 2" xfId="1638"/>
    <cellStyle name="Percent 4 4 4 2 2" xfId="4585"/>
    <cellStyle name="Percent 4 4 4 2 2 2" xfId="15139"/>
    <cellStyle name="Percent 4 4 4 2 3" xfId="3066"/>
    <cellStyle name="Percent 4 4 4 2 3 2" xfId="16286"/>
    <cellStyle name="Percent 4 4 4 2 4" xfId="17453"/>
    <cellStyle name="Percent 4 4 4 2 5" xfId="19519"/>
    <cellStyle name="Percent 4 4 4 2 6" xfId="14804"/>
    <cellStyle name="Percent 4 4 4 3" xfId="4584"/>
    <cellStyle name="Percent 4 4 4 3 2" xfId="15291"/>
    <cellStyle name="Percent 4 4 4 4" xfId="2410"/>
    <cellStyle name="Percent 4 4 4 4 2" xfId="18978"/>
    <cellStyle name="Percent 4 4 4 5" xfId="16513"/>
    <cellStyle name="Percent 4 4 4 6" xfId="20093"/>
    <cellStyle name="Percent 4 4 4 7" xfId="14183"/>
    <cellStyle name="Percent 4 4 5" xfId="1259"/>
    <cellStyle name="Percent 4 4 5 2" xfId="4586"/>
    <cellStyle name="Percent 4 4 5 2 2" xfId="15394"/>
    <cellStyle name="Percent 4 4 5 3" xfId="2687"/>
    <cellStyle name="Percent 4 4 5 3 2" xfId="16663"/>
    <cellStyle name="Percent 4 4 5 4" xfId="19245"/>
    <cellStyle name="Percent 4 4 5 5" xfId="19866"/>
    <cellStyle name="Percent 4 4 5 6" xfId="14436"/>
    <cellStyle name="Percent 4 4 6" xfId="4577"/>
    <cellStyle name="Percent 4 4 6 2" xfId="13828"/>
    <cellStyle name="Percent 4 4 7" xfId="2026"/>
    <cellStyle name="Percent 4 4 7 2" xfId="17197"/>
    <cellStyle name="Percent 4 4 8" xfId="17267"/>
    <cellStyle name="Percent 4 4 9" xfId="16356"/>
    <cellStyle name="Percent 4 5" xfId="763"/>
    <cellStyle name="Percent 4 5 2" xfId="1044"/>
    <cellStyle name="Percent 4 5 2 2" xfId="1703"/>
    <cellStyle name="Percent 4 5 2 2 2" xfId="4589"/>
    <cellStyle name="Percent 4 5 2 2 2 2" xfId="15193"/>
    <cellStyle name="Percent 4 5 2 2 3" xfId="3131"/>
    <cellStyle name="Percent 4 5 2 2 3 2" xfId="18943"/>
    <cellStyle name="Percent 4 5 2 2 4" xfId="18045"/>
    <cellStyle name="Percent 4 5 2 2 5" xfId="19456"/>
    <cellStyle name="Percent 4 5 2 2 6" xfId="14869"/>
    <cellStyle name="Percent 4 5 2 3" xfId="4588"/>
    <cellStyle name="Percent 4 5 2 3 2" xfId="15504"/>
    <cellStyle name="Percent 4 5 2 4" xfId="2475"/>
    <cellStyle name="Percent 4 5 2 4 2" xfId="18204"/>
    <cellStyle name="Percent 4 5 2 5" xfId="18326"/>
    <cellStyle name="Percent 4 5 2 6" xfId="20028"/>
    <cellStyle name="Percent 4 5 2 7" xfId="14243"/>
    <cellStyle name="Percent 4 5 3" xfId="1429"/>
    <cellStyle name="Percent 4 5 3 2" xfId="4590"/>
    <cellStyle name="Percent 4 5 3 2 2" xfId="15089"/>
    <cellStyle name="Percent 4 5 3 3" xfId="2857"/>
    <cellStyle name="Percent 4 5 3 3 2" xfId="16771"/>
    <cellStyle name="Percent 4 5 3 4" xfId="15084"/>
    <cellStyle name="Percent 4 5 3 5" xfId="19728"/>
    <cellStyle name="Percent 4 5 3 6" xfId="14606"/>
    <cellStyle name="Percent 4 5 4" xfId="4587"/>
    <cellStyle name="Percent 4 5 4 2" xfId="13993"/>
    <cellStyle name="Percent 4 5 5" xfId="2201"/>
    <cellStyle name="Percent 4 5 5 2" xfId="18752"/>
    <cellStyle name="Percent 4 5 6" xfId="17412"/>
    <cellStyle name="Percent 4 5 7" xfId="17035"/>
    <cellStyle name="Percent 4 5 8" xfId="20302"/>
    <cellStyle name="Percent 4 5 9" xfId="9284"/>
    <cellStyle name="Percent 4 6" xfId="646"/>
    <cellStyle name="Percent 4 6 2" xfId="1313"/>
    <cellStyle name="Percent 4 6 2 2" xfId="4592"/>
    <cellStyle name="Percent 4 6 2 2 2" xfId="15456"/>
    <cellStyle name="Percent 4 6 2 3" xfId="2741"/>
    <cellStyle name="Percent 4 6 2 3 2" xfId="15791"/>
    <cellStyle name="Percent 4 6 2 4" xfId="15151"/>
    <cellStyle name="Percent 4 6 2 5" xfId="19812"/>
    <cellStyle name="Percent 4 6 2 6" xfId="14490"/>
    <cellStyle name="Percent 4 6 3" xfId="4591"/>
    <cellStyle name="Percent 4 6 3 2" xfId="15346"/>
    <cellStyle name="Percent 4 6 4" xfId="2085"/>
    <cellStyle name="Percent 4 6 4 2" xfId="15467"/>
    <cellStyle name="Percent 4 6 5" xfId="17283"/>
    <cellStyle name="Percent 4 6 6" xfId="20418"/>
    <cellStyle name="Percent 4 6 7" xfId="13883"/>
    <cellStyle name="Percent 4 7" xfId="928"/>
    <cellStyle name="Percent 4 7 2" xfId="1587"/>
    <cellStyle name="Percent 4 7 2 2" xfId="4594"/>
    <cellStyle name="Percent 4 7 2 2 2" xfId="15116"/>
    <cellStyle name="Percent 4 7 2 3" xfId="3015"/>
    <cellStyle name="Percent 4 7 2 3 2" xfId="16080"/>
    <cellStyle name="Percent 4 7 2 4" xfId="15475"/>
    <cellStyle name="Percent 4 7 2 5" xfId="19570"/>
    <cellStyle name="Percent 4 7 2 6" xfId="14753"/>
    <cellStyle name="Percent 4 7 3" xfId="4593"/>
    <cellStyle name="Percent 4 7 3 2" xfId="15268"/>
    <cellStyle name="Percent 4 7 4" xfId="2359"/>
    <cellStyle name="Percent 4 7 4 2" xfId="18836"/>
    <cellStyle name="Percent 4 7 5" xfId="18676"/>
    <cellStyle name="Percent 4 7 6" xfId="20144"/>
    <cellStyle name="Percent 4 7 7" xfId="14132"/>
    <cellStyle name="Percent 4 8" xfId="1208"/>
    <cellStyle name="Percent 4 8 2" xfId="4595"/>
    <cellStyle name="Percent 4 8 2 2" xfId="15371"/>
    <cellStyle name="Percent 4 8 3" xfId="2636"/>
    <cellStyle name="Percent 4 8 3 2" xfId="16620"/>
    <cellStyle name="Percent 4 8 4" xfId="18068"/>
    <cellStyle name="Percent 4 8 5" xfId="19917"/>
    <cellStyle name="Percent 4 8 6" xfId="14385"/>
    <cellStyle name="Percent 4 9" xfId="4552"/>
    <cellStyle name="Percent 4 9 2" xfId="13704"/>
    <cellStyle name="Percent 40" xfId="13673"/>
    <cellStyle name="Percent 41" xfId="13712"/>
    <cellStyle name="Percent 42" xfId="13998"/>
    <cellStyle name="Percent 43" xfId="15020"/>
    <cellStyle name="Percent 44" xfId="15037"/>
    <cellStyle name="Percent 45" xfId="15041"/>
    <cellStyle name="Percent 46" xfId="19191"/>
    <cellStyle name="Percent 47" xfId="20787"/>
    <cellStyle name="Percent 48" xfId="20883"/>
    <cellStyle name="Percent 49" xfId="20868"/>
    <cellStyle name="Percent 5" xfId="233"/>
    <cellStyle name="Percent 5 2" xfId="234"/>
    <cellStyle name="Percent 5 2 2" xfId="9287"/>
    <cellStyle name="Percent 5 2 2 2" xfId="9288"/>
    <cellStyle name="Percent 5 2 3" xfId="9289"/>
    <cellStyle name="Percent 5 2 4" xfId="13706"/>
    <cellStyle name="Percent 5 2 5" xfId="17037"/>
    <cellStyle name="Percent 5 2 6" xfId="9286"/>
    <cellStyle name="Percent 5 3" xfId="530"/>
    <cellStyle name="Percent 5 3 2" xfId="625"/>
    <cellStyle name="Percent 5 4" xfId="538"/>
    <cellStyle name="Percent 5 4 2" xfId="9291"/>
    <cellStyle name="Percent 5 4 3" xfId="13799"/>
    <cellStyle name="Percent 5 4 4" xfId="17038"/>
    <cellStyle name="Percent 5 4 5" xfId="9290"/>
    <cellStyle name="Percent 5 5" xfId="9292"/>
    <cellStyle name="Percent 5 6" xfId="13705"/>
    <cellStyle name="Percent 5 7" xfId="17036"/>
    <cellStyle name="Percent 5 8" xfId="9285"/>
    <cellStyle name="Percent 50" xfId="4751"/>
    <cellStyle name="Percent 6" xfId="235"/>
    <cellStyle name="Percent 6 10" xfId="4596"/>
    <cellStyle name="Percent 6 10 2" xfId="13707"/>
    <cellStyle name="Percent 6 11" xfId="1936"/>
    <cellStyle name="Percent 6 11 2" xfId="19176"/>
    <cellStyle name="Percent 6 12" xfId="18925"/>
    <cellStyle name="Percent 6 13" xfId="17039"/>
    <cellStyle name="Percent 6 14" xfId="20567"/>
    <cellStyle name="Percent 6 15" xfId="9293"/>
    <cellStyle name="Percent 6 16" xfId="20932"/>
    <cellStyle name="Percent 6 17" xfId="20956"/>
    <cellStyle name="Percent 6 2" xfId="432"/>
    <cellStyle name="Percent 6 2 10" xfId="17040"/>
    <cellStyle name="Percent 6 2 11" xfId="20511"/>
    <cellStyle name="Percent 6 2 12" xfId="9294"/>
    <cellStyle name="Percent 6 2 2" xfId="604"/>
    <cellStyle name="Percent 6 2 2 10" xfId="20444"/>
    <cellStyle name="Percent 6 2 2 11" xfId="9295"/>
    <cellStyle name="Percent 6 2 2 2" xfId="871"/>
    <cellStyle name="Percent 6 2 2 2 2" xfId="1145"/>
    <cellStyle name="Percent 6 2 2 2 2 2" xfId="1804"/>
    <cellStyle name="Percent 6 2 2 2 2 2 2" xfId="4601"/>
    <cellStyle name="Percent 6 2 2 2 2 2 2 2" xfId="15426"/>
    <cellStyle name="Percent 6 2 2 2 2 2 3" xfId="3232"/>
    <cellStyle name="Percent 6 2 2 2 2 2 3 2" xfId="17492"/>
    <cellStyle name="Percent 6 2 2 2 2 2 4" xfId="17842"/>
    <cellStyle name="Percent 6 2 2 2 2 2 5" xfId="19355"/>
    <cellStyle name="Percent 6 2 2 2 2 2 6" xfId="14959"/>
    <cellStyle name="Percent 6 2 2 2 2 3" xfId="4600"/>
    <cellStyle name="Percent 6 2 2 2 2 3 2" xfId="15318"/>
    <cellStyle name="Percent 6 2 2 2 2 4" xfId="2576"/>
    <cellStyle name="Percent 6 2 2 2 2 4 2" xfId="16605"/>
    <cellStyle name="Percent 6 2 2 2 2 5" xfId="17268"/>
    <cellStyle name="Percent 6 2 2 2 2 6" xfId="20773"/>
    <cellStyle name="Percent 6 2 2 2 2 7" xfId="14325"/>
    <cellStyle name="Percent 6 2 2 2 3" xfId="1530"/>
    <cellStyle name="Percent 6 2 2 2 3 2" xfId="4602"/>
    <cellStyle name="Percent 6 2 2 2 3 2 2" xfId="15540"/>
    <cellStyle name="Percent 6 2 2 2 3 3" xfId="2958"/>
    <cellStyle name="Percent 6 2 2 2 3 3 2" xfId="15935"/>
    <cellStyle name="Percent 6 2 2 2 3 4" xfId="17108"/>
    <cellStyle name="Percent 6 2 2 2 3 5" xfId="19627"/>
    <cellStyle name="Percent 6 2 2 2 3 6" xfId="14696"/>
    <cellStyle name="Percent 6 2 2 2 4" xfId="4599"/>
    <cellStyle name="Percent 6 2 2 2 4 2" xfId="14075"/>
    <cellStyle name="Percent 6 2 2 2 5" xfId="2302"/>
    <cellStyle name="Percent 6 2 2 2 5 2" xfId="15825"/>
    <cellStyle name="Percent 6 2 2 2 6" xfId="18901"/>
    <cellStyle name="Percent 6 2 2 2 7" xfId="17041"/>
    <cellStyle name="Percent 6 2 2 2 8" xfId="20201"/>
    <cellStyle name="Percent 6 2 2 2 9" xfId="9296"/>
    <cellStyle name="Percent 6 2 2 3" xfId="727"/>
    <cellStyle name="Percent 6 2 2 3 2" xfId="1394"/>
    <cellStyle name="Percent 6 2 2 3 2 2" xfId="4604"/>
    <cellStyle name="Percent 6 2 2 3 2 2 2" xfId="15119"/>
    <cellStyle name="Percent 6 2 2 3 2 3" xfId="2822"/>
    <cellStyle name="Percent 6 2 2 3 2 3 2" xfId="18147"/>
    <cellStyle name="Percent 6 2 2 3 2 4" xfId="18067"/>
    <cellStyle name="Percent 6 2 2 3 2 5" xfId="19763"/>
    <cellStyle name="Percent 6 2 2 3 2 6" xfId="14571"/>
    <cellStyle name="Percent 6 2 2 3 3" xfId="4603"/>
    <cellStyle name="Percent 6 2 2 3 3 2" xfId="15271"/>
    <cellStyle name="Percent 6 2 2 3 4" xfId="2166"/>
    <cellStyle name="Percent 6 2 2 3 4 2" xfId="19108"/>
    <cellStyle name="Percent 6 2 2 3 5" xfId="16462"/>
    <cellStyle name="Percent 6 2 2 3 6" xfId="20337"/>
    <cellStyle name="Percent 6 2 2 3 7" xfId="13963"/>
    <cellStyle name="Percent 6 2 2 4" xfId="1009"/>
    <cellStyle name="Percent 6 2 2 4 2" xfId="1668"/>
    <cellStyle name="Percent 6 2 2 4 2 2" xfId="4606"/>
    <cellStyle name="Percent 6 2 2 4 2 2 2" xfId="15223"/>
    <cellStyle name="Percent 6 2 2 4 2 3" xfId="3096"/>
    <cellStyle name="Percent 6 2 2 4 2 3 2" xfId="16785"/>
    <cellStyle name="Percent 6 2 2 4 2 4" xfId="15275"/>
    <cellStyle name="Percent 6 2 2 4 2 5" xfId="19489"/>
    <cellStyle name="Percent 6 2 2 4 2 6" xfId="14834"/>
    <cellStyle name="Percent 6 2 2 4 3" xfId="4605"/>
    <cellStyle name="Percent 6 2 2 4 3 2" xfId="15374"/>
    <cellStyle name="Percent 6 2 2 4 4" xfId="2440"/>
    <cellStyle name="Percent 6 2 2 4 4 2" xfId="19052"/>
    <cellStyle name="Percent 6 2 2 4 5" xfId="16221"/>
    <cellStyle name="Percent 6 2 2 4 6" xfId="20063"/>
    <cellStyle name="Percent 6 2 2 4 7" xfId="14213"/>
    <cellStyle name="Percent 6 2 2 5" xfId="1289"/>
    <cellStyle name="Percent 6 2 2 5 2" xfId="4607"/>
    <cellStyle name="Percent 6 2 2 5 2 2" xfId="15484"/>
    <cellStyle name="Percent 6 2 2 5 3" xfId="2717"/>
    <cellStyle name="Percent 6 2 2 5 3 2" xfId="16685"/>
    <cellStyle name="Percent 6 2 2 5 4" xfId="15464"/>
    <cellStyle name="Percent 6 2 2 5 5" xfId="19836"/>
    <cellStyle name="Percent 6 2 2 5 6" xfId="14466"/>
    <cellStyle name="Percent 6 2 2 6" xfId="4598"/>
    <cellStyle name="Percent 6 2 2 6 2" xfId="13857"/>
    <cellStyle name="Percent 6 2 2 7" xfId="2059"/>
    <cellStyle name="Percent 6 2 2 7 2" xfId="15252"/>
    <cellStyle name="Percent 6 2 2 8" xfId="18951"/>
    <cellStyle name="Percent 6 2 2 9" xfId="17436"/>
    <cellStyle name="Percent 6 2 3" xfId="805"/>
    <cellStyle name="Percent 6 2 3 2" xfId="1084"/>
    <cellStyle name="Percent 6 2 3 2 2" xfId="1743"/>
    <cellStyle name="Percent 6 2 3 2 2 2" xfId="4610"/>
    <cellStyle name="Percent 6 2 3 2 2 2 2" xfId="15321"/>
    <cellStyle name="Percent 6 2 3 2 2 3" xfId="3171"/>
    <cellStyle name="Percent 6 2 3 2 2 3 2" xfId="18621"/>
    <cellStyle name="Percent 6 2 3 2 2 4" xfId="17140"/>
    <cellStyle name="Percent 6 2 3 2 2 5" xfId="19416"/>
    <cellStyle name="Percent 6 2 3 2 2 6" xfId="14898"/>
    <cellStyle name="Percent 6 2 3 2 3" xfId="4609"/>
    <cellStyle name="Percent 6 2 3 2 3 2" xfId="15066"/>
    <cellStyle name="Percent 6 2 3 2 4" xfId="2515"/>
    <cellStyle name="Percent 6 2 3 2 4 2" xfId="15633"/>
    <cellStyle name="Percent 6 2 3 2 5" xfId="16541"/>
    <cellStyle name="Percent 6 2 3 2 6" xfId="19988"/>
    <cellStyle name="Percent 6 2 3 2 7" xfId="14267"/>
    <cellStyle name="Percent 6 2 3 3" xfId="1469"/>
    <cellStyle name="Percent 6 2 3 3 2" xfId="4611"/>
    <cellStyle name="Percent 6 2 3 3 2 2" xfId="15429"/>
    <cellStyle name="Percent 6 2 3 3 3" xfId="2897"/>
    <cellStyle name="Percent 6 2 3 3 3 2" xfId="17458"/>
    <cellStyle name="Percent 6 2 3 3 4" xfId="17796"/>
    <cellStyle name="Percent 6 2 3 3 5" xfId="19688"/>
    <cellStyle name="Percent 6 2 3 3 6" xfId="14635"/>
    <cellStyle name="Percent 6 2 3 4" xfId="4608"/>
    <cellStyle name="Percent 6 2 3 4 2" xfId="14018"/>
    <cellStyle name="Percent 6 2 3 5" xfId="2241"/>
    <cellStyle name="Percent 6 2 3 5 2" xfId="18262"/>
    <cellStyle name="Percent 6 2 3 6" xfId="18576"/>
    <cellStyle name="Percent 6 2 3 7" xfId="17042"/>
    <cellStyle name="Percent 6 2 3 8" xfId="20262"/>
    <cellStyle name="Percent 6 2 3 9" xfId="9297"/>
    <cellStyle name="Percent 6 2 4" xfId="676"/>
    <cellStyle name="Percent 6 2 4 2" xfId="1343"/>
    <cellStyle name="Percent 6 2 4 2 2" xfId="4613"/>
    <cellStyle name="Percent 6 2 4 2 2 2" xfId="15096"/>
    <cellStyle name="Percent 6 2 4 2 3" xfId="2771"/>
    <cellStyle name="Percent 6 2 4 2 3 2" xfId="16723"/>
    <cellStyle name="Percent 6 2 4 2 4" xfId="17739"/>
    <cellStyle name="Percent 6 2 4 2 5" xfId="20678"/>
    <cellStyle name="Percent 6 2 4 2 6" xfId="14520"/>
    <cellStyle name="Percent 6 2 4 3" xfId="4612"/>
    <cellStyle name="Percent 6 2 4 3 2" xfId="15246"/>
    <cellStyle name="Percent 6 2 4 4" xfId="2115"/>
    <cellStyle name="Percent 6 2 4 4 2" xfId="17978"/>
    <cellStyle name="Percent 6 2 4 5" xfId="19047"/>
    <cellStyle name="Percent 6 2 4 6" xfId="20388"/>
    <cellStyle name="Percent 6 2 4 7" xfId="13913"/>
    <cellStyle name="Percent 6 2 5" xfId="958"/>
    <cellStyle name="Percent 6 2 5 2" xfId="1617"/>
    <cellStyle name="Percent 6 2 5 2 2" xfId="4615"/>
    <cellStyle name="Percent 6 2 5 2 2 2" xfId="15198"/>
    <cellStyle name="Percent 6 2 5 2 3" xfId="3045"/>
    <cellStyle name="Percent 6 2 5 2 3 2" xfId="17720"/>
    <cellStyle name="Percent 6 2 5 2 4" xfId="17552"/>
    <cellStyle name="Percent 6 2 5 2 5" xfId="19540"/>
    <cellStyle name="Percent 6 2 5 2 6" xfId="14783"/>
    <cellStyle name="Percent 6 2 5 3" xfId="4614"/>
    <cellStyle name="Percent 6 2 5 3 2" xfId="15350"/>
    <cellStyle name="Percent 6 2 5 4" xfId="2389"/>
    <cellStyle name="Percent 6 2 5 4 2" xfId="15848"/>
    <cellStyle name="Percent 6 2 5 5" xfId="18469"/>
    <cellStyle name="Percent 6 2 5 6" xfId="20114"/>
    <cellStyle name="Percent 6 2 5 7" xfId="14162"/>
    <cellStyle name="Percent 6 2 6" xfId="1238"/>
    <cellStyle name="Percent 6 2 6 2" xfId="4616"/>
    <cellStyle name="Percent 6 2 6 2 2" xfId="15461"/>
    <cellStyle name="Percent 6 2 6 3" xfId="2666"/>
    <cellStyle name="Percent 6 2 6 3 2" xfId="16644"/>
    <cellStyle name="Percent 6 2 6 4" xfId="18160"/>
    <cellStyle name="Percent 6 2 6 5" xfId="19887"/>
    <cellStyle name="Percent 6 2 6 6" xfId="14415"/>
    <cellStyle name="Percent 6 2 7" xfId="4597"/>
    <cellStyle name="Percent 6 2 7 2" xfId="13741"/>
    <cellStyle name="Percent 6 2 8" xfId="1992"/>
    <cellStyle name="Percent 6 2 8 2" xfId="17188"/>
    <cellStyle name="Percent 6 2 9" xfId="16423"/>
    <cellStyle name="Percent 6 3" xfId="531"/>
    <cellStyle name="Percent 6 3 2" xfId="626"/>
    <cellStyle name="Percent 6 3 3" xfId="785"/>
    <cellStyle name="Percent 6 3 3 2" xfId="1064"/>
    <cellStyle name="Percent 6 3 3 2 2" xfId="1723"/>
    <cellStyle name="Percent 6 3 3 2 2 2" xfId="4619"/>
    <cellStyle name="Percent 6 3 3 2 2 2 2" xfId="15299"/>
    <cellStyle name="Percent 6 3 3 2 2 3" xfId="3151"/>
    <cellStyle name="Percent 6 3 3 2 2 3 2" xfId="19227"/>
    <cellStyle name="Percent 6 3 3 2 2 4" xfId="17803"/>
    <cellStyle name="Percent 6 3 3 2 2 5" xfId="19436"/>
    <cellStyle name="Percent 6 3 3 2 2 6" xfId="14878"/>
    <cellStyle name="Percent 6 3 3 2 3" xfId="4618"/>
    <cellStyle name="Percent 6 3 3 2 3 2" xfId="19213"/>
    <cellStyle name="Percent 6 3 3 2 4" xfId="2495"/>
    <cellStyle name="Percent 6 3 3 2 4 2" xfId="15773"/>
    <cellStyle name="Percent 6 3 3 2 5" xfId="16530"/>
    <cellStyle name="Percent 6 3 3 2 6" xfId="20008"/>
    <cellStyle name="Percent 6 3 3 2 7" xfId="14250"/>
    <cellStyle name="Percent 6 3 3 3" xfId="1449"/>
    <cellStyle name="Percent 6 3 3 3 2" xfId="4620"/>
    <cellStyle name="Percent 6 3 3 3 2 2" xfId="15404"/>
    <cellStyle name="Percent 6 3 3 3 3" xfId="2877"/>
    <cellStyle name="Percent 6 3 3 3 3 2" xfId="16366"/>
    <cellStyle name="Percent 6 3 3 3 4" xfId="17781"/>
    <cellStyle name="Percent 6 3 3 3 5" xfId="19708"/>
    <cellStyle name="Percent 6 3 3 3 6" xfId="14615"/>
    <cellStyle name="Percent 6 3 3 4" xfId="4617"/>
    <cellStyle name="Percent 6 3 3 4 2" xfId="15148"/>
    <cellStyle name="Percent 6 3 3 5" xfId="2221"/>
    <cellStyle name="Percent 6 3 3 5 2" xfId="17373"/>
    <cellStyle name="Percent 6 3 3 6" xfId="17293"/>
    <cellStyle name="Percent 6 3 3 7" xfId="20282"/>
    <cellStyle name="Percent 6 3 3 8" xfId="14001"/>
    <cellStyle name="Percent 6 4" xfId="539"/>
    <cellStyle name="Percent 6 4 2" xfId="9299"/>
    <cellStyle name="Percent 6 4 3" xfId="13800"/>
    <cellStyle name="Percent 6 4 4" xfId="17043"/>
    <cellStyle name="Percent 6 4 5" xfId="9298"/>
    <cellStyle name="Percent 6 5" xfId="572"/>
    <cellStyle name="Percent 6 5 10" xfId="20476"/>
    <cellStyle name="Percent 6 5 11" xfId="9300"/>
    <cellStyle name="Percent 6 5 2" xfId="842"/>
    <cellStyle name="Percent 6 5 2 2" xfId="1116"/>
    <cellStyle name="Percent 6 5 2 2 2" xfId="1775"/>
    <cellStyle name="Percent 6 5 2 2 2 2" xfId="4624"/>
    <cellStyle name="Percent 6 5 2 2 2 2 2" xfId="15282"/>
    <cellStyle name="Percent 6 5 2 2 2 3" xfId="3203"/>
    <cellStyle name="Percent 6 5 2 2 2 3 2" xfId="15649"/>
    <cellStyle name="Percent 6 5 2 2 2 4" xfId="17893"/>
    <cellStyle name="Percent 6 5 2 2 2 5" xfId="19384"/>
    <cellStyle name="Percent 6 5 2 2 2 6" xfId="14930"/>
    <cellStyle name="Percent 6 5 2 2 3" xfId="4623"/>
    <cellStyle name="Percent 6 5 2 2 3 2" xfId="15578"/>
    <cellStyle name="Percent 6 5 2 2 4" xfId="2547"/>
    <cellStyle name="Percent 6 5 2 2 4 2" xfId="16274"/>
    <cellStyle name="Percent 6 5 2 2 5" xfId="16558"/>
    <cellStyle name="Percent 6 5 2 2 6" xfId="19956"/>
    <cellStyle name="Percent 6 5 2 2 7" xfId="14297"/>
    <cellStyle name="Percent 6 5 2 3" xfId="1501"/>
    <cellStyle name="Percent 6 5 2 3 2" xfId="4625"/>
    <cellStyle name="Percent 6 5 2 3 2 2" xfId="15130"/>
    <cellStyle name="Percent 6 5 2 3 3" xfId="2929"/>
    <cellStyle name="Percent 6 5 2 3 3 2" xfId="18547"/>
    <cellStyle name="Percent 6 5 2 3 4" xfId="17818"/>
    <cellStyle name="Percent 6 5 2 3 5" xfId="19656"/>
    <cellStyle name="Percent 6 5 2 3 6" xfId="14667"/>
    <cellStyle name="Percent 6 5 2 4" xfId="4622"/>
    <cellStyle name="Percent 6 5 2 4 2" xfId="15558"/>
    <cellStyle name="Percent 6 5 2 5" xfId="2273"/>
    <cellStyle name="Percent 6 5 2 5 2" xfId="16092"/>
    <cellStyle name="Percent 6 5 2 6" xfId="16157"/>
    <cellStyle name="Percent 6 5 2 7" xfId="20230"/>
    <cellStyle name="Percent 6 5 2 8" xfId="14047"/>
    <cellStyle name="Percent 6 5 3" xfId="698"/>
    <cellStyle name="Percent 6 5 3 2" xfId="1365"/>
    <cellStyle name="Percent 6 5 3 2 2" xfId="4627"/>
    <cellStyle name="Percent 6 5 3 2 2 2" xfId="15233"/>
    <cellStyle name="Percent 6 5 3 2 3" xfId="2793"/>
    <cellStyle name="Percent 6 5 3 2 3 2" xfId="16743"/>
    <cellStyle name="Percent 6 5 3 2 4" xfId="18625"/>
    <cellStyle name="Percent 6 5 3 2 5" xfId="19790"/>
    <cellStyle name="Percent 6 5 3 2 6" xfId="14542"/>
    <cellStyle name="Percent 6 5 3 3" xfId="4626"/>
    <cellStyle name="Percent 6 5 3 3 2" xfId="15385"/>
    <cellStyle name="Percent 6 5 3 4" xfId="2137"/>
    <cellStyle name="Percent 6 5 3 4 2" xfId="17979"/>
    <cellStyle name="Percent 6 5 3 5" xfId="17334"/>
    <cellStyle name="Percent 6 5 3 6" xfId="20366"/>
    <cellStyle name="Percent 6 5 3 7" xfId="13935"/>
    <cellStyle name="Percent 6 5 4" xfId="980"/>
    <cellStyle name="Percent 6 5 4 2" xfId="1639"/>
    <cellStyle name="Percent 6 5 4 2 2" xfId="4629"/>
    <cellStyle name="Percent 6 5 4 2 2 2" xfId="15182"/>
    <cellStyle name="Percent 6 5 4 2 3" xfId="3067"/>
    <cellStyle name="Percent 6 5 4 2 3 2" xfId="16783"/>
    <cellStyle name="Percent 6 5 4 2 4" xfId="17621"/>
    <cellStyle name="Percent 6 5 4 2 5" xfId="19518"/>
    <cellStyle name="Percent 6 5 4 2 6" xfId="14805"/>
    <cellStyle name="Percent 6 5 4 3" xfId="4628"/>
    <cellStyle name="Percent 6 5 4 3 2" xfId="15494"/>
    <cellStyle name="Percent 6 5 4 4" xfId="2411"/>
    <cellStyle name="Percent 6 5 4 4 2" xfId="15671"/>
    <cellStyle name="Percent 6 5 4 5" xfId="18322"/>
    <cellStyle name="Percent 6 5 4 6" xfId="20092"/>
    <cellStyle name="Percent 6 5 4 7" xfId="14184"/>
    <cellStyle name="Percent 6 5 5" xfId="1260"/>
    <cellStyle name="Percent 6 5 5 2" xfId="4630"/>
    <cellStyle name="Percent 6 5 5 2 2" xfId="15079"/>
    <cellStyle name="Percent 6 5 5 3" xfId="2688"/>
    <cellStyle name="Percent 6 5 5 3 2" xfId="16664"/>
    <cellStyle name="Percent 6 5 5 4" xfId="19249"/>
    <cellStyle name="Percent 6 5 5 5" xfId="19865"/>
    <cellStyle name="Percent 6 5 5 6" xfId="14437"/>
    <cellStyle name="Percent 6 5 6" xfId="4621"/>
    <cellStyle name="Percent 6 5 6 2" xfId="13829"/>
    <cellStyle name="Percent 6 5 7" xfId="2027"/>
    <cellStyle name="Percent 6 5 7 2" xfId="15216"/>
    <cellStyle name="Percent 6 5 8" xfId="17278"/>
    <cellStyle name="Percent 6 5 9" xfId="17044"/>
    <cellStyle name="Percent 6 6" xfId="764"/>
    <cellStyle name="Percent 6 6 2" xfId="1045"/>
    <cellStyle name="Percent 6 6 2 2" xfId="1704"/>
    <cellStyle name="Percent 6 6 2 2 2" xfId="4633"/>
    <cellStyle name="Percent 6 6 2 2 2 2" xfId="15257"/>
    <cellStyle name="Percent 6 6 2 2 3" xfId="3132"/>
    <cellStyle name="Percent 6 6 2 2 3 2" xfId="15829"/>
    <cellStyle name="Percent 6 6 2 2 4" xfId="17832"/>
    <cellStyle name="Percent 6 6 2 2 5" xfId="19455"/>
    <cellStyle name="Percent 6 6 2 2 6" xfId="14870"/>
    <cellStyle name="Percent 6 6 2 3" xfId="4632"/>
    <cellStyle name="Percent 6 6 2 3 2" xfId="15444"/>
    <cellStyle name="Percent 6 6 2 4" xfId="2476"/>
    <cellStyle name="Percent 6 6 2 4 2" xfId="18420"/>
    <cellStyle name="Percent 6 6 2 5" xfId="18327"/>
    <cellStyle name="Percent 6 6 2 6" xfId="20027"/>
    <cellStyle name="Percent 6 6 2 7" xfId="14244"/>
    <cellStyle name="Percent 6 6 3" xfId="1430"/>
    <cellStyle name="Percent 6 6 3 2" xfId="4634"/>
    <cellStyle name="Percent 6 6 3 2 2" xfId="15106"/>
    <cellStyle name="Percent 6 6 3 3" xfId="2858"/>
    <cellStyle name="Percent 6 6 3 3 2" xfId="16039"/>
    <cellStyle name="Percent 6 6 3 4" xfId="17390"/>
    <cellStyle name="Percent 6 6 3 5" xfId="19727"/>
    <cellStyle name="Percent 6 6 3 6" xfId="14607"/>
    <cellStyle name="Percent 6 6 4" xfId="4631"/>
    <cellStyle name="Percent 6 6 4 2" xfId="15334"/>
    <cellStyle name="Percent 6 6 5" xfId="2202"/>
    <cellStyle name="Percent 6 6 5 2" xfId="19064"/>
    <cellStyle name="Percent 6 6 6" xfId="17099"/>
    <cellStyle name="Percent 6 6 7" xfId="20301"/>
    <cellStyle name="Percent 6 6 8" xfId="13994"/>
    <cellStyle name="Percent 6 7" xfId="647"/>
    <cellStyle name="Percent 6 7 2" xfId="1314"/>
    <cellStyle name="Percent 6 7 2 2" xfId="4636"/>
    <cellStyle name="Percent 6 7 2 2 2" xfId="15208"/>
    <cellStyle name="Percent 6 7 2 3" xfId="2742"/>
    <cellStyle name="Percent 6 7 2 3 2" xfId="16702"/>
    <cellStyle name="Percent 6 7 2 4" xfId="19210"/>
    <cellStyle name="Percent 6 7 2 5" xfId="19811"/>
    <cellStyle name="Percent 6 7 2 6" xfId="14491"/>
    <cellStyle name="Percent 6 7 3" xfId="4635"/>
    <cellStyle name="Percent 6 7 3 2" xfId="15360"/>
    <cellStyle name="Percent 6 7 4" xfId="2086"/>
    <cellStyle name="Percent 6 7 4 2" xfId="15153"/>
    <cellStyle name="Percent 6 7 5" xfId="18812"/>
    <cellStyle name="Percent 6 7 6" xfId="20417"/>
    <cellStyle name="Percent 6 7 7" xfId="13884"/>
    <cellStyle name="Percent 6 8" xfId="929"/>
    <cellStyle name="Percent 6 8 2" xfId="1588"/>
    <cellStyle name="Percent 6 8 2 2" xfId="4638"/>
    <cellStyle name="Percent 6 8 2 2 2" xfId="15157"/>
    <cellStyle name="Percent 6 8 2 3" xfId="3016"/>
    <cellStyle name="Percent 6 8 2 3 2" xfId="16367"/>
    <cellStyle name="Percent 6 8 2 4" xfId="15419"/>
    <cellStyle name="Percent 6 8 2 5" xfId="19569"/>
    <cellStyle name="Percent 6 8 2 6" xfId="14754"/>
    <cellStyle name="Percent 6 8 3" xfId="4637"/>
    <cellStyle name="Percent 6 8 3 2" xfId="15470"/>
    <cellStyle name="Percent 6 8 4" xfId="2360"/>
    <cellStyle name="Percent 6 8 4 2" xfId="18549"/>
    <cellStyle name="Percent 6 8 5" xfId="18800"/>
    <cellStyle name="Percent 6 8 6" xfId="20143"/>
    <cellStyle name="Percent 6 8 7" xfId="14133"/>
    <cellStyle name="Percent 6 9" xfId="1209"/>
    <cellStyle name="Percent 6 9 2" xfId="4639"/>
    <cellStyle name="Percent 6 9 2 2" xfId="19204"/>
    <cellStyle name="Percent 6 9 3" xfId="2637"/>
    <cellStyle name="Percent 6 9 3 2" xfId="16621"/>
    <cellStyle name="Percent 6 9 4" xfId="17929"/>
    <cellStyle name="Percent 6 9 5" xfId="19916"/>
    <cellStyle name="Percent 6 9 6" xfId="14386"/>
    <cellStyle name="Percent 7" xfId="236"/>
    <cellStyle name="Percent 7 10" xfId="1937"/>
    <cellStyle name="Percent 7 10 2" xfId="17748"/>
    <cellStyle name="Percent 7 11" xfId="18745"/>
    <cellStyle name="Percent 7 12" xfId="17045"/>
    <cellStyle name="Percent 7 13" xfId="20566"/>
    <cellStyle name="Percent 7 14" xfId="9301"/>
    <cellStyle name="Percent 7 15" xfId="20937"/>
    <cellStyle name="Percent 7 16" xfId="20954"/>
    <cellStyle name="Percent 7 2" xfId="433"/>
    <cellStyle name="Percent 7 2 10" xfId="17046"/>
    <cellStyle name="Percent 7 2 11" xfId="20510"/>
    <cellStyle name="Percent 7 2 12" xfId="9302"/>
    <cellStyle name="Percent 7 2 2" xfId="605"/>
    <cellStyle name="Percent 7 2 2 10" xfId="20443"/>
    <cellStyle name="Percent 7 2 2 11" xfId="9303"/>
    <cellStyle name="Percent 7 2 2 2" xfId="872"/>
    <cellStyle name="Percent 7 2 2 2 2" xfId="1146"/>
    <cellStyle name="Percent 7 2 2 2 2 2" xfId="1805"/>
    <cellStyle name="Percent 7 2 2 2 2 2 2" xfId="4645"/>
    <cellStyle name="Percent 7 2 2 2 2 2 2 2" xfId="18525"/>
    <cellStyle name="Percent 7 2 2 2 2 2 3" xfId="3233"/>
    <cellStyle name="Percent 7 2 2 2 2 2 3 2" xfId="17589"/>
    <cellStyle name="Percent 7 2 2 2 2 2 4" xfId="17639"/>
    <cellStyle name="Percent 7 2 2 2 2 2 5" xfId="19354"/>
    <cellStyle name="Percent 7 2 2 2 2 2 6" xfId="14960"/>
    <cellStyle name="Percent 7 2 2 2 2 3" xfId="4644"/>
    <cellStyle name="Percent 7 2 2 2 2 3 2" xfId="18880"/>
    <cellStyle name="Percent 7 2 2 2 2 4" xfId="2577"/>
    <cellStyle name="Percent 7 2 2 2 2 4 2" xfId="16606"/>
    <cellStyle name="Percent 7 2 2 2 2 5" xfId="18521"/>
    <cellStyle name="Percent 7 2 2 2 2 6" xfId="20747"/>
    <cellStyle name="Percent 7 2 2 2 2 7" xfId="14326"/>
    <cellStyle name="Percent 7 2 2 2 3" xfId="1531"/>
    <cellStyle name="Percent 7 2 2 2 3 2" xfId="4646"/>
    <cellStyle name="Percent 7 2 2 2 3 2 2" xfId="16902"/>
    <cellStyle name="Percent 7 2 2 2 3 3" xfId="2959"/>
    <cellStyle name="Percent 7 2 2 2 3 3 2" xfId="18113"/>
    <cellStyle name="Percent 7 2 2 2 3 4" xfId="17389"/>
    <cellStyle name="Percent 7 2 2 2 3 5" xfId="19626"/>
    <cellStyle name="Percent 7 2 2 2 3 6" xfId="14697"/>
    <cellStyle name="Percent 7 2 2 2 4" xfId="4643"/>
    <cellStyle name="Percent 7 2 2 2 4 2" xfId="14076"/>
    <cellStyle name="Percent 7 2 2 2 5" xfId="2303"/>
    <cellStyle name="Percent 7 2 2 2 5 2" xfId="19154"/>
    <cellStyle name="Percent 7 2 2 2 6" xfId="18596"/>
    <cellStyle name="Percent 7 2 2 2 7" xfId="17048"/>
    <cellStyle name="Percent 7 2 2 2 8" xfId="20200"/>
    <cellStyle name="Percent 7 2 2 2 9" xfId="9304"/>
    <cellStyle name="Percent 7 2 2 3" xfId="728"/>
    <cellStyle name="Percent 7 2 2 3 2" xfId="1395"/>
    <cellStyle name="Percent 7 2 2 3 2 2" xfId="4648"/>
    <cellStyle name="Percent 7 2 2 3 2 2 2" xfId="18683"/>
    <cellStyle name="Percent 7 2 2 3 2 3" xfId="2823"/>
    <cellStyle name="Percent 7 2 2 3 2 3 2" xfId="17203"/>
    <cellStyle name="Percent 7 2 2 3 2 4" xfId="17928"/>
    <cellStyle name="Percent 7 2 2 3 2 5" xfId="19762"/>
    <cellStyle name="Percent 7 2 2 3 2 6" xfId="14572"/>
    <cellStyle name="Percent 7 2 2 3 3" xfId="4647"/>
    <cellStyle name="Percent 7 2 2 3 3 2" xfId="18610"/>
    <cellStyle name="Percent 7 2 2 3 4" xfId="2167"/>
    <cellStyle name="Percent 7 2 2 3 4 2" xfId="18988"/>
    <cellStyle name="Percent 7 2 2 3 5" xfId="18295"/>
    <cellStyle name="Percent 7 2 2 3 6" xfId="20336"/>
    <cellStyle name="Percent 7 2 2 3 7" xfId="13964"/>
    <cellStyle name="Percent 7 2 2 4" xfId="1010"/>
    <cellStyle name="Percent 7 2 2 4 2" xfId="1669"/>
    <cellStyle name="Percent 7 2 2 4 2 2" xfId="4650"/>
    <cellStyle name="Percent 7 2 2 4 2 2 2" xfId="19110"/>
    <cellStyle name="Percent 7 2 2 4 2 3" xfId="3097"/>
    <cellStyle name="Percent 7 2 2 4 2 3 2" xfId="16786"/>
    <cellStyle name="Percent 7 2 2 4 2 4" xfId="15123"/>
    <cellStyle name="Percent 7 2 2 4 2 5" xfId="19488"/>
    <cellStyle name="Percent 7 2 2 4 2 6" xfId="14835"/>
    <cellStyle name="Percent 7 2 2 4 3" xfId="4649"/>
    <cellStyle name="Percent 7 2 2 4 3 2" xfId="18806"/>
    <cellStyle name="Percent 7 2 2 4 4" xfId="2441"/>
    <cellStyle name="Percent 7 2 2 4 4 2" xfId="18387"/>
    <cellStyle name="Percent 7 2 2 4 5" xfId="16135"/>
    <cellStyle name="Percent 7 2 2 4 6" xfId="20062"/>
    <cellStyle name="Percent 7 2 2 4 7" xfId="14214"/>
    <cellStyle name="Percent 7 2 2 5" xfId="1290"/>
    <cellStyle name="Percent 7 2 2 5 2" xfId="4651"/>
    <cellStyle name="Percent 7 2 2 5 2 2" xfId="18990"/>
    <cellStyle name="Percent 7 2 2 5 3" xfId="2718"/>
    <cellStyle name="Percent 7 2 2 5 3 2" xfId="16060"/>
    <cellStyle name="Percent 7 2 2 5 4" xfId="17341"/>
    <cellStyle name="Percent 7 2 2 5 5" xfId="19835"/>
    <cellStyle name="Percent 7 2 2 5 6" xfId="14467"/>
    <cellStyle name="Percent 7 2 2 6" xfId="4642"/>
    <cellStyle name="Percent 7 2 2 6 2" xfId="13858"/>
    <cellStyle name="Percent 7 2 2 7" xfId="2060"/>
    <cellStyle name="Percent 7 2 2 7 2" xfId="17114"/>
    <cellStyle name="Percent 7 2 2 8" xfId="18772"/>
    <cellStyle name="Percent 7 2 2 9" xfId="17047"/>
    <cellStyle name="Percent 7 2 3" xfId="806"/>
    <cellStyle name="Percent 7 2 3 2" xfId="1085"/>
    <cellStyle name="Percent 7 2 3 2 2" xfId="1744"/>
    <cellStyle name="Percent 7 2 3 2 2 2" xfId="4654"/>
    <cellStyle name="Percent 7 2 3 2 2 2 2" xfId="18816"/>
    <cellStyle name="Percent 7 2 3 2 2 3" xfId="3172"/>
    <cellStyle name="Percent 7 2 3 2 2 3 2" xfId="15742"/>
    <cellStyle name="Percent 7 2 3 2 2 4" xfId="17141"/>
    <cellStyle name="Percent 7 2 3 2 2 5" xfId="19415"/>
    <cellStyle name="Percent 7 2 3 2 2 6" xfId="14899"/>
    <cellStyle name="Percent 7 2 3 2 3" xfId="4653"/>
    <cellStyle name="Percent 7 2 3 2 3 2" xfId="16903"/>
    <cellStyle name="Percent 7 2 3 2 4" xfId="2516"/>
    <cellStyle name="Percent 7 2 3 2 4 2" xfId="18807"/>
    <cellStyle name="Percent 7 2 3 2 5" xfId="16542"/>
    <cellStyle name="Percent 7 2 3 2 6" xfId="19987"/>
    <cellStyle name="Percent 7 2 3 2 7" xfId="14268"/>
    <cellStyle name="Percent 7 2 3 3" xfId="1470"/>
    <cellStyle name="Percent 7 2 3 3 2" xfId="4655"/>
    <cellStyle name="Percent 7 2 3 3 2 2" xfId="19123"/>
    <cellStyle name="Percent 7 2 3 3 3" xfId="2898"/>
    <cellStyle name="Percent 7 2 3 3 3 2" xfId="16774"/>
    <cellStyle name="Percent 7 2 3 3 4" xfId="17451"/>
    <cellStyle name="Percent 7 2 3 3 5" xfId="19687"/>
    <cellStyle name="Percent 7 2 3 3 6" xfId="14636"/>
    <cellStyle name="Percent 7 2 3 4" xfId="4652"/>
    <cellStyle name="Percent 7 2 3 4 2" xfId="14019"/>
    <cellStyle name="Percent 7 2 3 5" xfId="2242"/>
    <cellStyle name="Percent 7 2 3 5 2" xfId="15973"/>
    <cellStyle name="Percent 7 2 3 6" xfId="16217"/>
    <cellStyle name="Percent 7 2 3 7" xfId="17049"/>
    <cellStyle name="Percent 7 2 3 8" xfId="20261"/>
    <cellStyle name="Percent 7 2 3 9" xfId="9305"/>
    <cellStyle name="Percent 7 2 4" xfId="677"/>
    <cellStyle name="Percent 7 2 4 2" xfId="1344"/>
    <cellStyle name="Percent 7 2 4 2 2" xfId="4657"/>
    <cellStyle name="Percent 7 2 4 2 2 2" xfId="18693"/>
    <cellStyle name="Percent 7 2 4 2 3" xfId="2772"/>
    <cellStyle name="Percent 7 2 4 2 3 2" xfId="16724"/>
    <cellStyle name="Percent 7 2 4 2 4" xfId="18101"/>
    <cellStyle name="Percent 7 2 4 2 5" xfId="20755"/>
    <cellStyle name="Percent 7 2 4 2 6" xfId="14521"/>
    <cellStyle name="Percent 7 2 4 3" xfId="4656"/>
    <cellStyle name="Percent 7 2 4 3 2" xfId="19000"/>
    <cellStyle name="Percent 7 2 4 4" xfId="2116"/>
    <cellStyle name="Percent 7 2 4 4 2" xfId="17560"/>
    <cellStyle name="Percent 7 2 4 5" xfId="18863"/>
    <cellStyle name="Percent 7 2 4 6" xfId="20387"/>
    <cellStyle name="Percent 7 2 4 7" xfId="13914"/>
    <cellStyle name="Percent 7 2 5" xfId="959"/>
    <cellStyle name="Percent 7 2 5 2" xfId="1618"/>
    <cellStyle name="Percent 7 2 5 2 2" xfId="4659"/>
    <cellStyle name="Percent 7 2 5 2 2 2" xfId="18939"/>
    <cellStyle name="Percent 7 2 5 2 3" xfId="3046"/>
    <cellStyle name="Percent 7 2 5 2 3 2" xfId="18085"/>
    <cellStyle name="Percent 7 2 5 2 4" xfId="17891"/>
    <cellStyle name="Percent 7 2 5 2 5" xfId="19539"/>
    <cellStyle name="Percent 7 2 5 2 6" xfId="14784"/>
    <cellStyle name="Percent 7 2 5 3" xfId="4658"/>
    <cellStyle name="Percent 7 2 5 3 2" xfId="18639"/>
    <cellStyle name="Percent 7 2 5 4" xfId="2390"/>
    <cellStyle name="Percent 7 2 5 4 2" xfId="15915"/>
    <cellStyle name="Percent 7 2 5 5" xfId="16503"/>
    <cellStyle name="Percent 7 2 5 6" xfId="20113"/>
    <cellStyle name="Percent 7 2 5 7" xfId="14163"/>
    <cellStyle name="Percent 7 2 6" xfId="1239"/>
    <cellStyle name="Percent 7 2 6 2" xfId="4660"/>
    <cellStyle name="Percent 7 2 6 2 2" xfId="18759"/>
    <cellStyle name="Percent 7 2 6 3" xfId="2667"/>
    <cellStyle name="Percent 7 2 6 3 2" xfId="16645"/>
    <cellStyle name="Percent 7 2 6 4" xfId="18082"/>
    <cellStyle name="Percent 7 2 6 5" xfId="19886"/>
    <cellStyle name="Percent 7 2 6 6" xfId="14416"/>
    <cellStyle name="Percent 7 2 7" xfId="4641"/>
    <cellStyle name="Percent 7 2 7 2" xfId="13742"/>
    <cellStyle name="Percent 7 2 8" xfId="1993"/>
    <cellStyle name="Percent 7 2 8 2" xfId="17189"/>
    <cellStyle name="Percent 7 2 9" xfId="16424"/>
    <cellStyle name="Percent 7 3" xfId="532"/>
    <cellStyle name="Percent 7 3 10" xfId="17437"/>
    <cellStyle name="Percent 7 3 11" xfId="20489"/>
    <cellStyle name="Percent 7 3 12" xfId="9306"/>
    <cellStyle name="Percent 7 3 2" xfId="627"/>
    <cellStyle name="Percent 7 3 2 10" xfId="13869"/>
    <cellStyle name="Percent 7 3 2 2" xfId="882"/>
    <cellStyle name="Percent 7 3 2 2 2" xfId="1156"/>
    <cellStyle name="Percent 7 3 2 2 2 2" xfId="1815"/>
    <cellStyle name="Percent 7 3 2 2 2 2 2" xfId="4665"/>
    <cellStyle name="Percent 7 3 2 2 2 2 2 2" xfId="18791"/>
    <cellStyle name="Percent 7 3 2 2 2 2 3" xfId="3243"/>
    <cellStyle name="Percent 7 3 2 2 2 2 3 2" xfId="16799"/>
    <cellStyle name="Percent 7 3 2 2 2 2 4" xfId="17153"/>
    <cellStyle name="Percent 7 3 2 2 2 2 5" xfId="19344"/>
    <cellStyle name="Percent 7 3 2 2 2 2 6" xfId="14970"/>
    <cellStyle name="Percent 7 3 2 2 2 3" xfId="4664"/>
    <cellStyle name="Percent 7 3 2 2 2 3 2" xfId="16904"/>
    <cellStyle name="Percent 7 3 2 2 2 4" xfId="2587"/>
    <cellStyle name="Percent 7 3 2 2 2 4 2" xfId="16612"/>
    <cellStyle name="Percent 7 3 2 2 2 5" xfId="18825"/>
    <cellStyle name="Percent 7 3 2 2 2 6" xfId="20697"/>
    <cellStyle name="Percent 7 3 2 2 2 7" xfId="14336"/>
    <cellStyle name="Percent 7 3 2 2 3" xfId="1541"/>
    <cellStyle name="Percent 7 3 2 2 3 2" xfId="4666"/>
    <cellStyle name="Percent 7 3 2 2 3 2 2" xfId="19095"/>
    <cellStyle name="Percent 7 3 2 2 3 3" xfId="2969"/>
    <cellStyle name="Percent 7 3 2 2 3 3 2" xfId="18793"/>
    <cellStyle name="Percent 7 3 2 2 3 4" xfId="17816"/>
    <cellStyle name="Percent 7 3 2 2 3 5" xfId="19616"/>
    <cellStyle name="Percent 7 3 2 2 3 6" xfId="14707"/>
    <cellStyle name="Percent 7 3 2 2 4" xfId="4663"/>
    <cellStyle name="Percent 7 3 2 2 4 2" xfId="18582"/>
    <cellStyle name="Percent 7 3 2 2 5" xfId="2313"/>
    <cellStyle name="Percent 7 3 2 2 5 2" xfId="15836"/>
    <cellStyle name="Percent 7 3 2 2 6" xfId="18877"/>
    <cellStyle name="Percent 7 3 2 2 7" xfId="20190"/>
    <cellStyle name="Percent 7 3 2 2 8" xfId="14086"/>
    <cellStyle name="Percent 7 3 2 3" xfId="738"/>
    <cellStyle name="Percent 7 3 2 3 2" xfId="1405"/>
    <cellStyle name="Percent 7 3 2 3 2 2" xfId="4668"/>
    <cellStyle name="Percent 7 3 2 3 2 2 2" xfId="18668"/>
    <cellStyle name="Percent 7 3 2 3 2 3" xfId="2833"/>
    <cellStyle name="Percent 7 3 2 3 2 3 2" xfId="19177"/>
    <cellStyle name="Percent 7 3 2 3 2 4" xfId="17571"/>
    <cellStyle name="Percent 7 3 2 3 2 5" xfId="19752"/>
    <cellStyle name="Percent 7 3 2 3 2 6" xfId="14582"/>
    <cellStyle name="Percent 7 3 2 3 3" xfId="4667"/>
    <cellStyle name="Percent 7 3 2 3 3 2" xfId="18971"/>
    <cellStyle name="Percent 7 3 2 3 4" xfId="2177"/>
    <cellStyle name="Percent 7 3 2 3 4 2" xfId="15668"/>
    <cellStyle name="Percent 7 3 2 3 5" xfId="17291"/>
    <cellStyle name="Percent 7 3 2 3 6" xfId="20326"/>
    <cellStyle name="Percent 7 3 2 3 7" xfId="13974"/>
    <cellStyle name="Percent 7 3 2 4" xfId="1020"/>
    <cellStyle name="Percent 7 3 2 4 2" xfId="1679"/>
    <cellStyle name="Percent 7 3 2 4 2 2" xfId="4670"/>
    <cellStyle name="Percent 7 3 2 4 2 2 2" xfId="15117"/>
    <cellStyle name="Percent 7 3 2 4 2 3" xfId="3107"/>
    <cellStyle name="Percent 7 3 2 4 2 3 2" xfId="16299"/>
    <cellStyle name="Percent 7 3 2 4 2 4" xfId="17553"/>
    <cellStyle name="Percent 7 3 2 4 2 5" xfId="19478"/>
    <cellStyle name="Percent 7 3 2 4 2 6" xfId="14845"/>
    <cellStyle name="Percent 7 3 2 4 3" xfId="4669"/>
    <cellStyle name="Percent 7 3 2 4 3 2" xfId="15269"/>
    <cellStyle name="Percent 7 3 2 4 4" xfId="2451"/>
    <cellStyle name="Percent 7 3 2 4 4 2" xfId="15842"/>
    <cellStyle name="Percent 7 3 2 4 5" xfId="16172"/>
    <cellStyle name="Percent 7 3 2 4 6" xfId="20052"/>
    <cellStyle name="Percent 7 3 2 4 7" xfId="14224"/>
    <cellStyle name="Percent 7 3 2 5" xfId="1300"/>
    <cellStyle name="Percent 7 3 2 5 2" xfId="4671"/>
    <cellStyle name="Percent 7 3 2 5 2 2" xfId="15372"/>
    <cellStyle name="Percent 7 3 2 5 3" xfId="2728"/>
    <cellStyle name="Percent 7 3 2 5 3 2" xfId="16690"/>
    <cellStyle name="Percent 7 3 2 5 4" xfId="17675"/>
    <cellStyle name="Percent 7 3 2 5 5" xfId="19825"/>
    <cellStyle name="Percent 7 3 2 5 6" xfId="14477"/>
    <cellStyle name="Percent 7 3 2 6" xfId="4662"/>
    <cellStyle name="Percent 7 3 2 6 2" xfId="18890"/>
    <cellStyle name="Percent 7 3 2 7" xfId="2072"/>
    <cellStyle name="Percent 7 3 2 7 2" xfId="17200"/>
    <cellStyle name="Percent 7 3 2 8" xfId="18981"/>
    <cellStyle name="Percent 7 3 2 9" xfId="20431"/>
    <cellStyle name="Percent 7 3 3" xfId="827"/>
    <cellStyle name="Percent 7 3 3 2" xfId="1105"/>
    <cellStyle name="Percent 7 3 3 2 2" xfId="1764"/>
    <cellStyle name="Percent 7 3 3 2 2 2" xfId="4674"/>
    <cellStyle name="Percent 7 3 3 2 2 2 2" xfId="15166"/>
    <cellStyle name="Percent 7 3 3 2 2 3" xfId="3192"/>
    <cellStyle name="Percent 7 3 3 2 2 3 2" xfId="19071"/>
    <cellStyle name="Percent 7 3 3 2 2 4" xfId="15287"/>
    <cellStyle name="Percent 7 3 3 2 2 5" xfId="19395"/>
    <cellStyle name="Percent 7 3 3 2 2 6" xfId="14919"/>
    <cellStyle name="Percent 7 3 3 2 3" xfId="4673"/>
    <cellStyle name="Percent 7 3 3 2 3 2" xfId="15482"/>
    <cellStyle name="Percent 7 3 3 2 4" xfId="2536"/>
    <cellStyle name="Percent 7 3 3 2 4 2" xfId="19228"/>
    <cellStyle name="Percent 7 3 3 2 5" xfId="16557"/>
    <cellStyle name="Percent 7 3 3 2 6" xfId="19967"/>
    <cellStyle name="Percent 7 3 3 2 7" xfId="14286"/>
    <cellStyle name="Percent 7 3 3 3" xfId="1490"/>
    <cellStyle name="Percent 7 3 3 3 2" xfId="4675"/>
    <cellStyle name="Percent 7 3 3 3 2 2" xfId="15064"/>
    <cellStyle name="Percent 7 3 3 3 3" xfId="2918"/>
    <cellStyle name="Percent 7 3 3 3 3 2" xfId="17305"/>
    <cellStyle name="Percent 7 3 3 3 4" xfId="17081"/>
    <cellStyle name="Percent 7 3 3 3 5" xfId="19667"/>
    <cellStyle name="Percent 7 3 3 3 6" xfId="14656"/>
    <cellStyle name="Percent 7 3 3 4" xfId="4672"/>
    <cellStyle name="Percent 7 3 3 4 2" xfId="15221"/>
    <cellStyle name="Percent 7 3 3 5" xfId="2262"/>
    <cellStyle name="Percent 7 3 3 5 2" xfId="15920"/>
    <cellStyle name="Percent 7 3 3 6" xfId="16122"/>
    <cellStyle name="Percent 7 3 3 7" xfId="20241"/>
    <cellStyle name="Percent 7 3 3 8" xfId="14037"/>
    <cellStyle name="Percent 7 3 4" xfId="687"/>
    <cellStyle name="Percent 7 3 4 2" xfId="1354"/>
    <cellStyle name="Percent 7 3 4 2 2" xfId="4677"/>
    <cellStyle name="Percent 7 3 4 2 2 2" xfId="15427"/>
    <cellStyle name="Percent 7 3 4 2 3" xfId="2782"/>
    <cellStyle name="Percent 7 3 4 2 3 2" xfId="16734"/>
    <cellStyle name="Percent 7 3 4 2 4" xfId="18243"/>
    <cellStyle name="Percent 7 3 4 2 5" xfId="20726"/>
    <cellStyle name="Percent 7 3 4 2 6" xfId="14531"/>
    <cellStyle name="Percent 7 3 4 3" xfId="4676"/>
    <cellStyle name="Percent 7 3 4 3 2" xfId="15319"/>
    <cellStyle name="Percent 7 3 4 4" xfId="2126"/>
    <cellStyle name="Percent 7 3 4 4 2" xfId="17525"/>
    <cellStyle name="Percent 7 3 4 5" xfId="18285"/>
    <cellStyle name="Percent 7 3 4 6" xfId="20377"/>
    <cellStyle name="Percent 7 3 4 7" xfId="13924"/>
    <cellStyle name="Percent 7 3 5" xfId="969"/>
    <cellStyle name="Percent 7 3 5 2" xfId="1628"/>
    <cellStyle name="Percent 7 3 5 2 2" xfId="4679"/>
    <cellStyle name="Percent 7 3 5 2 2 2" xfId="15543"/>
    <cellStyle name="Percent 7 3 5 2 3" xfId="3056"/>
    <cellStyle name="Percent 7 3 5 2 3 2" xfId="16281"/>
    <cellStyle name="Percent 7 3 5 2 4" xfId="17649"/>
    <cellStyle name="Percent 7 3 5 2 5" xfId="19529"/>
    <cellStyle name="Percent 7 3 5 2 6" xfId="14794"/>
    <cellStyle name="Percent 7 3 5 3" xfId="4678"/>
    <cellStyle name="Percent 7 3 5 3 2" xfId="15541"/>
    <cellStyle name="Percent 7 3 5 4" xfId="2400"/>
    <cellStyle name="Percent 7 3 5 4 2" xfId="15809"/>
    <cellStyle name="Percent 7 3 5 5" xfId="16508"/>
    <cellStyle name="Percent 7 3 5 6" xfId="20103"/>
    <cellStyle name="Percent 7 3 5 7" xfId="14173"/>
    <cellStyle name="Percent 7 3 6" xfId="1249"/>
    <cellStyle name="Percent 7 3 6 2" xfId="4680"/>
    <cellStyle name="Percent 7 3 6 2 2" xfId="15170"/>
    <cellStyle name="Percent 7 3 6 3" xfId="2677"/>
    <cellStyle name="Percent 7 3 6 3 2" xfId="16654"/>
    <cellStyle name="Percent 7 3 6 4" xfId="17323"/>
    <cellStyle name="Percent 7 3 6 5" xfId="19876"/>
    <cellStyle name="Percent 7 3 6 6" xfId="14426"/>
    <cellStyle name="Percent 7 3 7" xfId="4661"/>
    <cellStyle name="Percent 7 3 7 2" xfId="13794"/>
    <cellStyle name="Percent 7 3 8" xfId="2014"/>
    <cellStyle name="Percent 7 3 8 2" xfId="15453"/>
    <cellStyle name="Percent 7 3 9" xfId="16432"/>
    <cellStyle name="Percent 7 4" xfId="573"/>
    <cellStyle name="Percent 7 4 10" xfId="20475"/>
    <cellStyle name="Percent 7 4 11" xfId="9307"/>
    <cellStyle name="Percent 7 4 2" xfId="843"/>
    <cellStyle name="Percent 7 4 2 2" xfId="1117"/>
    <cellStyle name="Percent 7 4 2 2 2" xfId="1776"/>
    <cellStyle name="Percent 7 4 2 2 2 2" xfId="4684"/>
    <cellStyle name="Percent 7 4 2 2 2 2 2" xfId="15515"/>
    <cellStyle name="Percent 7 4 2 2 2 3" xfId="3204"/>
    <cellStyle name="Percent 7 4 2 2 2 3 2" xfId="18624"/>
    <cellStyle name="Percent 7 4 2 2 2 4" xfId="17685"/>
    <cellStyle name="Percent 7 4 2 2 2 5" xfId="19383"/>
    <cellStyle name="Percent 7 4 2 2 2 6" xfId="14931"/>
    <cellStyle name="Percent 7 4 2 2 3" xfId="4683"/>
    <cellStyle name="Percent 7 4 2 2 3 2" xfId="15431"/>
    <cellStyle name="Percent 7 4 2 2 4" xfId="2548"/>
    <cellStyle name="Percent 7 4 2 2 4 2" xfId="16275"/>
    <cellStyle name="Percent 7 4 2 2 5" xfId="16559"/>
    <cellStyle name="Percent 7 4 2 2 6" xfId="19955"/>
    <cellStyle name="Percent 7 4 2 2 7" xfId="14298"/>
    <cellStyle name="Percent 7 4 2 3" xfId="1502"/>
    <cellStyle name="Percent 7 4 2 3 2" xfId="4685"/>
    <cellStyle name="Percent 7 4 2 3 2 2" xfId="15559"/>
    <cellStyle name="Percent 7 4 2 3 3" xfId="2930"/>
    <cellStyle name="Percent 7 4 2 3 3 2" xfId="19160"/>
    <cellStyle name="Percent 7 4 2 3 4" xfId="17595"/>
    <cellStyle name="Percent 7 4 2 3 5" xfId="19655"/>
    <cellStyle name="Percent 7 4 2 3 6" xfId="14668"/>
    <cellStyle name="Percent 7 4 2 4" xfId="4682"/>
    <cellStyle name="Percent 7 4 2 4 2" xfId="14048"/>
    <cellStyle name="Percent 7 4 2 5" xfId="2274"/>
    <cellStyle name="Percent 7 4 2 5 2" xfId="15126"/>
    <cellStyle name="Percent 7 4 2 6" xfId="18803"/>
    <cellStyle name="Percent 7 4 2 7" xfId="17051"/>
    <cellStyle name="Percent 7 4 2 8" xfId="20229"/>
    <cellStyle name="Percent 7 4 2 9" xfId="9308"/>
    <cellStyle name="Percent 7 4 3" xfId="699"/>
    <cellStyle name="Percent 7 4 3 2" xfId="1366"/>
    <cellStyle name="Percent 7 4 3 2 2" xfId="4687"/>
    <cellStyle name="Percent 7 4 3 2 2 2" xfId="15131"/>
    <cellStyle name="Percent 7 4 3 2 3" xfId="2794"/>
    <cellStyle name="Percent 7 4 3 2 3 2" xfId="16744"/>
    <cellStyle name="Percent 7 4 3 2 4" xfId="18497"/>
    <cellStyle name="Percent 7 4 3 2 5" xfId="19789"/>
    <cellStyle name="Percent 7 4 3 2 6" xfId="14543"/>
    <cellStyle name="Percent 7 4 3 3" xfId="4686"/>
    <cellStyle name="Percent 7 4 3 3 2" xfId="15283"/>
    <cellStyle name="Percent 7 4 3 4" xfId="2138"/>
    <cellStyle name="Percent 7 4 3 4 2" xfId="17561"/>
    <cellStyle name="Percent 7 4 3 5" xfId="17071"/>
    <cellStyle name="Percent 7 4 3 6" xfId="20365"/>
    <cellStyle name="Percent 7 4 3 7" xfId="13936"/>
    <cellStyle name="Percent 7 4 4" xfId="981"/>
    <cellStyle name="Percent 7 4 4 2" xfId="1640"/>
    <cellStyle name="Percent 7 4 4 2 2" xfId="4689"/>
    <cellStyle name="Percent 7 4 4 2 2 2" xfId="15234"/>
    <cellStyle name="Percent 7 4 4 2 3" xfId="3068"/>
    <cellStyle name="Percent 7 4 4 2 3 2" xfId="17710"/>
    <cellStyle name="Percent 7 4 4 2 4" xfId="17730"/>
    <cellStyle name="Percent 7 4 4 2 5" xfId="19517"/>
    <cellStyle name="Percent 7 4 4 2 6" xfId="14806"/>
    <cellStyle name="Percent 7 4 4 3" xfId="4688"/>
    <cellStyle name="Percent 7 4 4 3 2" xfId="15386"/>
    <cellStyle name="Percent 7 4 4 4" xfId="2412"/>
    <cellStyle name="Percent 7 4 4 4 2" xfId="16006"/>
    <cellStyle name="Percent 7 4 4 5" xfId="17231"/>
    <cellStyle name="Percent 7 4 4 6" xfId="20091"/>
    <cellStyle name="Percent 7 4 4 7" xfId="14185"/>
    <cellStyle name="Percent 7 4 5" xfId="1261"/>
    <cellStyle name="Percent 7 4 5 2" xfId="4690"/>
    <cellStyle name="Percent 7 4 5 2 2" xfId="15495"/>
    <cellStyle name="Percent 7 4 5 3" xfId="2689"/>
    <cellStyle name="Percent 7 4 5 3 2" xfId="16665"/>
    <cellStyle name="Percent 7 4 5 4" xfId="19251"/>
    <cellStyle name="Percent 7 4 5 5" xfId="19864"/>
    <cellStyle name="Percent 7 4 5 6" xfId="14438"/>
    <cellStyle name="Percent 7 4 6" xfId="4681"/>
    <cellStyle name="Percent 7 4 6 2" xfId="13830"/>
    <cellStyle name="Percent 7 4 7" xfId="2028"/>
    <cellStyle name="Percent 7 4 7 2" xfId="15477"/>
    <cellStyle name="Percent 7 4 8" xfId="17214"/>
    <cellStyle name="Percent 7 4 9" xfId="17050"/>
    <cellStyle name="Percent 7 5" xfId="765"/>
    <cellStyle name="Percent 7 5 2" xfId="1046"/>
    <cellStyle name="Percent 7 5 2 2" xfId="1705"/>
    <cellStyle name="Percent 7 5 2 2 2" xfId="4693"/>
    <cellStyle name="Percent 7 5 2 2 2 2" xfId="15335"/>
    <cellStyle name="Percent 7 5 2 2 3" xfId="3133"/>
    <cellStyle name="Percent 7 5 2 2 3 2" xfId="18848"/>
    <cellStyle name="Percent 7 5 2 2 4" xfId="17613"/>
    <cellStyle name="Percent 7 5 2 2 5" xfId="19454"/>
    <cellStyle name="Percent 7 5 2 2 6" xfId="14871"/>
    <cellStyle name="Percent 7 5 2 3" xfId="4692"/>
    <cellStyle name="Percent 7 5 2 3 2" xfId="15080"/>
    <cellStyle name="Percent 7 5 2 4" xfId="2477"/>
    <cellStyle name="Percent 7 5 2 4 2" xfId="16034"/>
    <cellStyle name="Percent 7 5 2 5" xfId="19187"/>
    <cellStyle name="Percent 7 5 2 6" xfId="20026"/>
    <cellStyle name="Percent 7 5 2 7" xfId="14245"/>
    <cellStyle name="Percent 7 5 3" xfId="1431"/>
    <cellStyle name="Percent 7 5 3 2" xfId="4694"/>
    <cellStyle name="Percent 7 5 3 2 2" xfId="15445"/>
    <cellStyle name="Percent 7 5 3 3" xfId="2859"/>
    <cellStyle name="Percent 7 5 3 3 2" xfId="17489"/>
    <cellStyle name="Percent 7 5 3 4" xfId="17467"/>
    <cellStyle name="Percent 7 5 3 5" xfId="19726"/>
    <cellStyle name="Percent 7 5 3 6" xfId="14608"/>
    <cellStyle name="Percent 7 5 4" xfId="4691"/>
    <cellStyle name="Percent 7 5 4 2" xfId="13995"/>
    <cellStyle name="Percent 7 5 5" xfId="2203"/>
    <cellStyle name="Percent 7 5 5 2" xfId="15196"/>
    <cellStyle name="Percent 7 5 6" xfId="17225"/>
    <cellStyle name="Percent 7 5 7" xfId="17052"/>
    <cellStyle name="Percent 7 5 8" xfId="20300"/>
    <cellStyle name="Percent 7 5 9" xfId="9309"/>
    <cellStyle name="Percent 7 6" xfId="648"/>
    <cellStyle name="Percent 7 6 2" xfId="1315"/>
    <cellStyle name="Percent 7 6 2 2" xfId="4696"/>
    <cellStyle name="Percent 7 6 2 2 2" xfId="15107"/>
    <cellStyle name="Percent 7 6 2 3" xfId="2743"/>
    <cellStyle name="Percent 7 6 2 3 2" xfId="16703"/>
    <cellStyle name="Percent 7 6 2 4" xfId="17137"/>
    <cellStyle name="Percent 7 6 2 5" xfId="19810"/>
    <cellStyle name="Percent 7 6 2 6" xfId="14492"/>
    <cellStyle name="Percent 7 6 3" xfId="4695"/>
    <cellStyle name="Percent 7 6 3 2" xfId="15258"/>
    <cellStyle name="Percent 7 6 4" xfId="2087"/>
    <cellStyle name="Percent 7 6 4 2" xfId="19208"/>
    <cellStyle name="Percent 7 6 5" xfId="19119"/>
    <cellStyle name="Percent 7 6 6" xfId="20416"/>
    <cellStyle name="Percent 7 6 7" xfId="13885"/>
    <cellStyle name="Percent 7 7" xfId="930"/>
    <cellStyle name="Percent 7 7 2" xfId="1589"/>
    <cellStyle name="Percent 7 7 2 2" xfId="4698"/>
    <cellStyle name="Percent 7 7 2 2 2" xfId="15209"/>
    <cellStyle name="Percent 7 7 2 3" xfId="3017"/>
    <cellStyle name="Percent 7 7 2 3 2" xfId="16102"/>
    <cellStyle name="Percent 7 7 2 4" xfId="15160"/>
    <cellStyle name="Percent 7 7 2 5" xfId="19568"/>
    <cellStyle name="Percent 7 7 2 6" xfId="14755"/>
    <cellStyle name="Percent 7 7 3" xfId="4697"/>
    <cellStyle name="Percent 7 7 3 2" xfId="15361"/>
    <cellStyle name="Percent 7 7 4" xfId="2361"/>
    <cellStyle name="Percent 7 7 4 2" xfId="18215"/>
    <cellStyle name="Percent 7 7 5" xfId="19104"/>
    <cellStyle name="Percent 7 7 6" xfId="20142"/>
    <cellStyle name="Percent 7 7 7" xfId="14134"/>
    <cellStyle name="Percent 7 8" xfId="1210"/>
    <cellStyle name="Percent 7 8 2" xfId="4699"/>
    <cellStyle name="Percent 7 8 2 2" xfId="15471"/>
    <cellStyle name="Percent 7 8 3" xfId="2638"/>
    <cellStyle name="Percent 7 8 3 2" xfId="16622"/>
    <cellStyle name="Percent 7 8 4" xfId="17513"/>
    <cellStyle name="Percent 7 8 5" xfId="19915"/>
    <cellStyle name="Percent 7 8 6" xfId="14387"/>
    <cellStyle name="Percent 7 9" xfId="4640"/>
    <cellStyle name="Percent 7 9 2" xfId="13708"/>
    <cellStyle name="Percent 8" xfId="237"/>
    <cellStyle name="Percent 8 2" xfId="9311"/>
    <cellStyle name="Percent 8 2 2" xfId="9312"/>
    <cellStyle name="Percent 8 2 2 2" xfId="9313"/>
    <cellStyle name="Percent 8 2 3" xfId="9314"/>
    <cellStyle name="Percent 8 3" xfId="9315"/>
    <cellStyle name="Percent 8 4" xfId="9316"/>
    <cellStyle name="Percent 8 4 2" xfId="9317"/>
    <cellStyle name="Percent 8 5" xfId="9318"/>
    <cellStyle name="Percent 8 6" xfId="13709"/>
    <cellStyle name="Percent 8 7" xfId="16269"/>
    <cellStyle name="Percent 8 8" xfId="9310"/>
    <cellStyle name="Percent 9" xfId="238"/>
    <cellStyle name="Percent 9 10" xfId="19058"/>
    <cellStyle name="Percent 9 11" xfId="19255"/>
    <cellStyle name="Percent 9 12" xfId="20565"/>
    <cellStyle name="Percent 9 13" xfId="9319"/>
    <cellStyle name="Percent 9 14" xfId="20936"/>
    <cellStyle name="Percent 9 15" xfId="20950"/>
    <cellStyle name="Percent 9 2" xfId="434"/>
    <cellStyle name="Percent 9 2 10" xfId="17053"/>
    <cellStyle name="Percent 9 2 11" xfId="20509"/>
    <cellStyle name="Percent 9 2 12" xfId="9320"/>
    <cellStyle name="Percent 9 2 2" xfId="606"/>
    <cellStyle name="Percent 9 2 2 10" xfId="20442"/>
    <cellStyle name="Percent 9 2 2 11" xfId="9321"/>
    <cellStyle name="Percent 9 2 2 2" xfId="873"/>
    <cellStyle name="Percent 9 2 2 2 2" xfId="1147"/>
    <cellStyle name="Percent 9 2 2 2 2 2" xfId="1806"/>
    <cellStyle name="Percent 9 2 2 2 2 2 2" xfId="4705"/>
    <cellStyle name="Percent 9 2 2 2 2 2 2 2" xfId="15579"/>
    <cellStyle name="Percent 9 2 2 2 2 2 3" xfId="3234"/>
    <cellStyle name="Percent 9 2 2 2 2 2 3 2" xfId="16311"/>
    <cellStyle name="Percent 9 2 2 2 2 2 4" xfId="17990"/>
    <cellStyle name="Percent 9 2 2 2 2 2 5" xfId="19353"/>
    <cellStyle name="Percent 9 2 2 2 2 2 6" xfId="14961"/>
    <cellStyle name="Percent 9 2 2 2 2 3" xfId="4704"/>
    <cellStyle name="Percent 9 2 2 2 2 3 2" xfId="15526"/>
    <cellStyle name="Percent 9 2 2 2 2 4" xfId="2578"/>
    <cellStyle name="Percent 9 2 2 2 2 4 2" xfId="16607"/>
    <cellStyle name="Percent 9 2 2 2 2 5" xfId="18561"/>
    <cellStyle name="Percent 9 2 2 2 2 6" xfId="20700"/>
    <cellStyle name="Percent 9 2 2 2 2 7" xfId="14327"/>
    <cellStyle name="Percent 9 2 2 2 3" xfId="1532"/>
    <cellStyle name="Percent 9 2 2 2 3 2" xfId="4706"/>
    <cellStyle name="Percent 9 2 2 2 3 2 2" xfId="15754"/>
    <cellStyle name="Percent 9 2 2 2 3 3" xfId="2960"/>
    <cellStyle name="Percent 9 2 2 2 3 3 2" xfId="17975"/>
    <cellStyle name="Percent 9 2 2 2 3 4" xfId="17466"/>
    <cellStyle name="Percent 9 2 2 2 3 5" xfId="19625"/>
    <cellStyle name="Percent 9 2 2 2 3 6" xfId="14698"/>
    <cellStyle name="Percent 9 2 2 2 4" xfId="4703"/>
    <cellStyle name="Percent 9 2 2 2 4 2" xfId="14077"/>
    <cellStyle name="Percent 9 2 2 2 5" xfId="2304"/>
    <cellStyle name="Percent 9 2 2 2 5 2" xfId="15075"/>
    <cellStyle name="Percent 9 2 2 2 6" xfId="18675"/>
    <cellStyle name="Percent 9 2 2 2 7" xfId="17055"/>
    <cellStyle name="Percent 9 2 2 2 8" xfId="20199"/>
    <cellStyle name="Percent 9 2 2 2 9" xfId="9322"/>
    <cellStyle name="Percent 9 2 2 3" xfId="729"/>
    <cellStyle name="Percent 9 2 2 3 2" xfId="1396"/>
    <cellStyle name="Percent 9 2 2 3 2 2" xfId="4708"/>
    <cellStyle name="Percent 9 2 2 3 2 2 2" xfId="15756"/>
    <cellStyle name="Percent 9 2 2 3 2 3" xfId="2824"/>
    <cellStyle name="Percent 9 2 2 3 2 3 2" xfId="17204"/>
    <cellStyle name="Percent 9 2 2 3 2 4" xfId="19057"/>
    <cellStyle name="Percent 9 2 2 3 2 5" xfId="19761"/>
    <cellStyle name="Percent 9 2 2 3 2 6" xfId="14573"/>
    <cellStyle name="Percent 9 2 2 3 3" xfId="4707"/>
    <cellStyle name="Percent 9 2 2 3 3 2" xfId="15755"/>
    <cellStyle name="Percent 9 2 2 3 4" xfId="2168"/>
    <cellStyle name="Percent 9 2 2 3 4 2" xfId="18633"/>
    <cellStyle name="Percent 9 2 2 3 5" xfId="18296"/>
    <cellStyle name="Percent 9 2 2 3 6" xfId="20335"/>
    <cellStyle name="Percent 9 2 2 3 7" xfId="13965"/>
    <cellStyle name="Percent 9 2 2 4" xfId="1011"/>
    <cellStyle name="Percent 9 2 2 4 2" xfId="1670"/>
    <cellStyle name="Percent 9 2 2 4 2 2" xfId="4710"/>
    <cellStyle name="Percent 9 2 2 4 2 2 2" xfId="18619"/>
    <cellStyle name="Percent 9 2 2 4 2 3" xfId="3098"/>
    <cellStyle name="Percent 9 2 2 4 2 3 2" xfId="16295"/>
    <cellStyle name="Percent 9 2 2 4 2 4" xfId="15378"/>
    <cellStyle name="Percent 9 2 2 4 2 5" xfId="19487"/>
    <cellStyle name="Percent 9 2 2 4 2 6" xfId="14836"/>
    <cellStyle name="Percent 9 2 2 4 3" xfId="4709"/>
    <cellStyle name="Percent 9 2 2 4 3 2" xfId="15757"/>
    <cellStyle name="Percent 9 2 2 4 4" xfId="2442"/>
    <cellStyle name="Percent 9 2 2 4 4 2" xfId="19073"/>
    <cellStyle name="Percent 9 2 2 4 5" xfId="16169"/>
    <cellStyle name="Percent 9 2 2 4 6" xfId="20061"/>
    <cellStyle name="Percent 9 2 2 4 7" xfId="14215"/>
    <cellStyle name="Percent 9 2 2 5" xfId="1291"/>
    <cellStyle name="Percent 9 2 2 5 2" xfId="4711"/>
    <cellStyle name="Percent 9 2 2 5 2 2" xfId="15758"/>
    <cellStyle name="Percent 9 2 2 5 3" xfId="2719"/>
    <cellStyle name="Percent 9 2 2 5 3 2" xfId="15572"/>
    <cellStyle name="Percent 9 2 2 5 4" xfId="15407"/>
    <cellStyle name="Percent 9 2 2 5 5" xfId="19834"/>
    <cellStyle name="Percent 9 2 2 5 6" xfId="14468"/>
    <cellStyle name="Percent 9 2 2 6" xfId="4702"/>
    <cellStyle name="Percent 9 2 2 6 2" xfId="13859"/>
    <cellStyle name="Percent 9 2 2 7" xfId="2061"/>
    <cellStyle name="Percent 9 2 2 7 2" xfId="17115"/>
    <cellStyle name="Percent 9 2 2 8" xfId="17331"/>
    <cellStyle name="Percent 9 2 2 9" xfId="17054"/>
    <cellStyle name="Percent 9 2 3" xfId="807"/>
    <cellStyle name="Percent 9 2 3 2" xfId="1086"/>
    <cellStyle name="Percent 9 2 3 2 2" xfId="1745"/>
    <cellStyle name="Percent 9 2 3 2 2 2" xfId="4714"/>
    <cellStyle name="Percent 9 2 3 2 2 2 2" xfId="15292"/>
    <cellStyle name="Percent 9 2 3 2 2 3" xfId="3173"/>
    <cellStyle name="Percent 9 2 3 2 2 3 2" xfId="15898"/>
    <cellStyle name="Percent 9 2 3 2 2 4" xfId="15465"/>
    <cellStyle name="Percent 9 2 3 2 2 5" xfId="19414"/>
    <cellStyle name="Percent 9 2 3 2 2 6" xfId="14900"/>
    <cellStyle name="Percent 9 2 3 2 3" xfId="4713"/>
    <cellStyle name="Percent 9 2 3 2 3 2" xfId="15613"/>
    <cellStyle name="Percent 9 2 3 2 4" xfId="2517"/>
    <cellStyle name="Percent 9 2 3 2 4 2" xfId="18197"/>
    <cellStyle name="Percent 9 2 3 2 5" xfId="18152"/>
    <cellStyle name="Percent 9 2 3 2 6" xfId="19986"/>
    <cellStyle name="Percent 9 2 3 2 7" xfId="14269"/>
    <cellStyle name="Percent 9 2 3 3" xfId="1471"/>
    <cellStyle name="Percent 9 2 3 3 2" xfId="4715"/>
    <cellStyle name="Percent 9 2 3 3 2 2" xfId="15140"/>
    <cellStyle name="Percent 9 2 3 3 3" xfId="2899"/>
    <cellStyle name="Percent 9 2 3 3 3 2" xfId="17709"/>
    <cellStyle name="Percent 9 2 3 3 4" xfId="17619"/>
    <cellStyle name="Percent 9 2 3 3 5" xfId="19686"/>
    <cellStyle name="Percent 9 2 3 3 6" xfId="14637"/>
    <cellStyle name="Percent 9 2 3 4" xfId="4712"/>
    <cellStyle name="Percent 9 2 3 4 2" xfId="14020"/>
    <cellStyle name="Percent 9 2 3 5" xfId="2243"/>
    <cellStyle name="Percent 9 2 3 5 2" xfId="18697"/>
    <cellStyle name="Percent 9 2 3 6" xfId="18395"/>
    <cellStyle name="Percent 9 2 3 7" xfId="17056"/>
    <cellStyle name="Percent 9 2 3 8" xfId="20260"/>
    <cellStyle name="Percent 9 2 3 9" xfId="9323"/>
    <cellStyle name="Percent 9 2 4" xfId="678"/>
    <cellStyle name="Percent 9 2 4 2" xfId="1345"/>
    <cellStyle name="Percent 9 2 4 2 2" xfId="4717"/>
    <cellStyle name="Percent 9 2 4 2 2 2" xfId="15243"/>
    <cellStyle name="Percent 9 2 4 2 3" xfId="2773"/>
    <cellStyle name="Percent 9 2 4 2 3 2" xfId="16725"/>
    <cellStyle name="Percent 9 2 4 2 4" xfId="17964"/>
    <cellStyle name="Percent 9 2 4 2 5" xfId="20729"/>
    <cellStyle name="Percent 9 2 4 2 6" xfId="14522"/>
    <cellStyle name="Percent 9 2 4 3" xfId="4716"/>
    <cellStyle name="Percent 9 2 4 3 2" xfId="15395"/>
    <cellStyle name="Percent 9 2 4 4" xfId="2117"/>
    <cellStyle name="Percent 9 2 4 4 2" xfId="17899"/>
    <cellStyle name="Percent 9 2 4 5" xfId="18467"/>
    <cellStyle name="Percent 9 2 4 6" xfId="20386"/>
    <cellStyle name="Percent 9 2 4 7" xfId="13915"/>
    <cellStyle name="Percent 9 2 5" xfId="960"/>
    <cellStyle name="Percent 9 2 5 2" xfId="1619"/>
    <cellStyle name="Percent 9 2 5 2 2" xfId="4719"/>
    <cellStyle name="Percent 9 2 5 2 2 2" xfId="15194"/>
    <cellStyle name="Percent 9 2 5 2 3" xfId="3047"/>
    <cellStyle name="Percent 9 2 5 2 3 2" xfId="17945"/>
    <cellStyle name="Percent 9 2 5 2 4" xfId="17683"/>
    <cellStyle name="Percent 9 2 5 2 5" xfId="19538"/>
    <cellStyle name="Percent 9 2 5 2 6" xfId="14785"/>
    <cellStyle name="Percent 9 2 5 3" xfId="4718"/>
    <cellStyle name="Percent 9 2 5 3 2" xfId="15505"/>
    <cellStyle name="Percent 9 2 5 4" xfId="2391"/>
    <cellStyle name="Percent 9 2 5 4 2" xfId="15410"/>
    <cellStyle name="Percent 9 2 5 5" xfId="16504"/>
    <cellStyle name="Percent 9 2 5 6" xfId="20112"/>
    <cellStyle name="Percent 9 2 5 7" xfId="14164"/>
    <cellStyle name="Percent 9 2 6" xfId="1240"/>
    <cellStyle name="Percent 9 2 6 2" xfId="4720"/>
    <cellStyle name="Percent 9 2 6 2 2" xfId="15090"/>
    <cellStyle name="Percent 9 2 6 3" xfId="2668"/>
    <cellStyle name="Percent 9 2 6 3 2" xfId="16646"/>
    <cellStyle name="Percent 9 2 6 4" xfId="17942"/>
    <cellStyle name="Percent 9 2 6 5" xfId="19885"/>
    <cellStyle name="Percent 9 2 6 6" xfId="14417"/>
    <cellStyle name="Percent 9 2 7" xfId="4701"/>
    <cellStyle name="Percent 9 2 7 2" xfId="13743"/>
    <cellStyle name="Percent 9 2 8" xfId="1994"/>
    <cellStyle name="Percent 9 2 8 2" xfId="19242"/>
    <cellStyle name="Percent 9 2 9" xfId="16425"/>
    <cellStyle name="Percent 9 3" xfId="574"/>
    <cellStyle name="Percent 9 3 10" xfId="20474"/>
    <cellStyle name="Percent 9 3 11" xfId="9324"/>
    <cellStyle name="Percent 9 3 2" xfId="844"/>
    <cellStyle name="Percent 9 3 2 2" xfId="1118"/>
    <cellStyle name="Percent 9 3 2 2 2" xfId="1777"/>
    <cellStyle name="Percent 9 3 2 2 2 2" xfId="4724"/>
    <cellStyle name="Percent 9 3 2 2 2 2 2" xfId="19051"/>
    <cellStyle name="Percent 9 3 2 2 2 3" xfId="3205"/>
    <cellStyle name="Percent 9 3 2 2 2 3 2" xfId="19226"/>
    <cellStyle name="Percent 9 3 2 2 2 4" xfId="18034"/>
    <cellStyle name="Percent 9 3 2 2 2 5" xfId="19382"/>
    <cellStyle name="Percent 9 3 2 2 2 6" xfId="14932"/>
    <cellStyle name="Percent 9 3 2 2 3" xfId="4723"/>
    <cellStyle name="Percent 9 3 2 2 3 2" xfId="18737"/>
    <cellStyle name="Percent 9 3 2 2 4" xfId="2549"/>
    <cellStyle name="Percent 9 3 2 2 4 2" xfId="16276"/>
    <cellStyle name="Percent 9 3 2 2 5" xfId="18336"/>
    <cellStyle name="Percent 9 3 2 2 6" xfId="19954"/>
    <cellStyle name="Percent 9 3 2 2 7" xfId="14299"/>
    <cellStyle name="Percent 9 3 2 3" xfId="1503"/>
    <cellStyle name="Percent 9 3 2 3 2" xfId="4725"/>
    <cellStyle name="Percent 9 3 2 3 2 2" xfId="18866"/>
    <cellStyle name="Percent 9 3 2 3 3" xfId="2931"/>
    <cellStyle name="Percent 9 3 2 3 3 2" xfId="15843"/>
    <cellStyle name="Percent 9 3 2 3 4" xfId="18245"/>
    <cellStyle name="Percent 9 3 2 3 5" xfId="19654"/>
    <cellStyle name="Percent 9 3 2 3 6" xfId="14669"/>
    <cellStyle name="Percent 9 3 2 4" xfId="4722"/>
    <cellStyle name="Percent 9 3 2 4 2" xfId="15457"/>
    <cellStyle name="Percent 9 3 2 5" xfId="2275"/>
    <cellStyle name="Percent 9 3 2 5 2" xfId="17429"/>
    <cellStyle name="Percent 9 3 2 6" xfId="16124"/>
    <cellStyle name="Percent 9 3 2 7" xfId="20228"/>
    <cellStyle name="Percent 9 3 2 8" xfId="14049"/>
    <cellStyle name="Percent 9 3 3" xfId="700"/>
    <cellStyle name="Percent 9 3 3 2" xfId="1367"/>
    <cellStyle name="Percent 9 3 3 2 2" xfId="4727"/>
    <cellStyle name="Percent 9 3 3 2 2 2" xfId="18463"/>
    <cellStyle name="Percent 9 3 3 2 3" xfId="2795"/>
    <cellStyle name="Percent 9 3 3 2 3 2" xfId="18523"/>
    <cellStyle name="Percent 9 3 3 2 4" xfId="17755"/>
    <cellStyle name="Percent 9 3 3 2 5" xfId="19788"/>
    <cellStyle name="Percent 9 3 3 2 6" xfId="14544"/>
    <cellStyle name="Percent 9 3 3 3" xfId="4726"/>
    <cellStyle name="Percent 9 3 3 3 2" xfId="18475"/>
    <cellStyle name="Percent 9 3 3 4" xfId="2139"/>
    <cellStyle name="Percent 9 3 3 4 2" xfId="17900"/>
    <cellStyle name="Percent 9 3 3 5" xfId="17072"/>
    <cellStyle name="Percent 9 3 3 6" xfId="20364"/>
    <cellStyle name="Percent 9 3 3 7" xfId="13937"/>
    <cellStyle name="Percent 9 3 4" xfId="982"/>
    <cellStyle name="Percent 9 3 4 2" xfId="1641"/>
    <cellStyle name="Percent 9 3 4 2 2" xfId="4729"/>
    <cellStyle name="Percent 9 3 4 2 2 2" xfId="18669"/>
    <cellStyle name="Percent 9 3 4 2 3" xfId="3069"/>
    <cellStyle name="Percent 9 3 4 2 3 2" xfId="16287"/>
    <cellStyle name="Percent 9 3 4 2 4" xfId="18092"/>
    <cellStyle name="Percent 9 3 4 2 5" xfId="19516"/>
    <cellStyle name="Percent 9 3 4 2 6" xfId="14807"/>
    <cellStyle name="Percent 9 3 4 3" xfId="4728"/>
    <cellStyle name="Percent 9 3 4 3 2" xfId="18478"/>
    <cellStyle name="Percent 9 3 4 4" xfId="2413"/>
    <cellStyle name="Percent 9 3 4 4 2" xfId="15672"/>
    <cellStyle name="Percent 9 3 4 5" xfId="15789"/>
    <cellStyle name="Percent 9 3 4 6" xfId="20090"/>
    <cellStyle name="Percent 9 3 4 7" xfId="14186"/>
    <cellStyle name="Percent 9 3 5" xfId="1262"/>
    <cellStyle name="Percent 9 3 5 2" xfId="4730"/>
    <cellStyle name="Percent 9 3 5 2 2" xfId="19184"/>
    <cellStyle name="Percent 9 3 5 3" xfId="2690"/>
    <cellStyle name="Percent 9 3 5 3 2" xfId="16666"/>
    <cellStyle name="Percent 9 3 5 4" xfId="19253"/>
    <cellStyle name="Percent 9 3 5 5" xfId="19863"/>
    <cellStyle name="Percent 9 3 5 6" xfId="14439"/>
    <cellStyle name="Percent 9 3 6" xfId="4721"/>
    <cellStyle name="Percent 9 3 6 2" xfId="13831"/>
    <cellStyle name="Percent 9 3 7" xfId="2029"/>
    <cellStyle name="Percent 9 3 7 2" xfId="17198"/>
    <cellStyle name="Percent 9 3 8" xfId="17215"/>
    <cellStyle name="Percent 9 3 9" xfId="17057"/>
    <cellStyle name="Percent 9 4" xfId="766"/>
    <cellStyle name="Percent 9 4 2" xfId="1047"/>
    <cellStyle name="Percent 9 4 2 2" xfId="1706"/>
    <cellStyle name="Percent 9 4 2 2 2" xfId="4733"/>
    <cellStyle name="Percent 9 4 2 2 2 2" xfId="19222"/>
    <cellStyle name="Percent 9 4 2 2 3" xfId="3134"/>
    <cellStyle name="Percent 9 4 2 2 3 2" xfId="15049"/>
    <cellStyle name="Percent 9 4 2 2 4" xfId="17725"/>
    <cellStyle name="Percent 9 4 2 2 5" xfId="19453"/>
    <cellStyle name="Percent 9 4 2 2 6" xfId="14872"/>
    <cellStyle name="Percent 9 4 2 3" xfId="4732"/>
    <cellStyle name="Percent 9 4 2 3 2" xfId="14246"/>
    <cellStyle name="Percent 9 4 2 4" xfId="2478"/>
    <cellStyle name="Percent 9 4 2 4 2" xfId="16569"/>
    <cellStyle name="Percent 9 4 2 5" xfId="16517"/>
    <cellStyle name="Percent 9 4 2 6" xfId="19272"/>
    <cellStyle name="Percent 9 4 2 7" xfId="20025"/>
    <cellStyle name="Percent 9 4 2 8" xfId="9326"/>
    <cellStyle name="Percent 9 4 3" xfId="1432"/>
    <cellStyle name="Percent 9 4 3 2" xfId="4734"/>
    <cellStyle name="Percent 9 4 3 2 2" xfId="19189"/>
    <cellStyle name="Percent 9 4 3 3" xfId="2860"/>
    <cellStyle name="Percent 9 4 3 3 2" xfId="16359"/>
    <cellStyle name="Percent 9 4 3 4" xfId="18583"/>
    <cellStyle name="Percent 9 4 3 5" xfId="19725"/>
    <cellStyle name="Percent 9 4 3 6" xfId="14609"/>
    <cellStyle name="Percent 9 4 4" xfId="4731"/>
    <cellStyle name="Percent 9 4 4 2" xfId="13996"/>
    <cellStyle name="Percent 9 4 5" xfId="2204"/>
    <cellStyle name="Percent 9 4 5 2" xfId="15094"/>
    <cellStyle name="Percent 9 4 6" xfId="17258"/>
    <cellStyle name="Percent 9 4 7" xfId="19271"/>
    <cellStyle name="Percent 9 4 8" xfId="20299"/>
    <cellStyle name="Percent 9 4 9" xfId="9325"/>
    <cellStyle name="Percent 9 5" xfId="649"/>
    <cellStyle name="Percent 9 5 2" xfId="1316"/>
    <cellStyle name="Percent 9 5 2 2" xfId="4736"/>
    <cellStyle name="Percent 9 5 2 2 2" xfId="19263"/>
    <cellStyle name="Percent 9 5 2 3" xfId="2744"/>
    <cellStyle name="Percent 9 5 2 3 2" xfId="16704"/>
    <cellStyle name="Percent 9 5 2 4" xfId="17138"/>
    <cellStyle name="Percent 9 5 2 5" xfId="19809"/>
    <cellStyle name="Percent 9 5 2 6" xfId="14493"/>
    <cellStyle name="Percent 9 5 3" xfId="4735"/>
    <cellStyle name="Percent 9 5 3 2" xfId="13886"/>
    <cellStyle name="Percent 9 5 4" xfId="2088"/>
    <cellStyle name="Percent 9 5 4 2" xfId="17427"/>
    <cellStyle name="Percent 9 5 5" xfId="17332"/>
    <cellStyle name="Percent 9 5 6" xfId="19273"/>
    <cellStyle name="Percent 9 5 7" xfId="20415"/>
    <cellStyle name="Percent 9 5 8" xfId="9327"/>
    <cellStyle name="Percent 9 6" xfId="931"/>
    <cellStyle name="Percent 9 6 2" xfId="1590"/>
    <cellStyle name="Percent 9 6 2 2" xfId="4738"/>
    <cellStyle name="Percent 9 6 2 2 2" xfId="16905"/>
    <cellStyle name="Percent 9 6 2 3" xfId="3018"/>
    <cellStyle name="Percent 9 6 2 3 2" xfId="16081"/>
    <cellStyle name="Percent 9 6 2 4" xfId="19201"/>
    <cellStyle name="Percent 9 6 2 5" xfId="19567"/>
    <cellStyle name="Percent 9 6 2 6" xfId="14756"/>
    <cellStyle name="Percent 9 6 3" xfId="4737"/>
    <cellStyle name="Percent 9 6 3 2" xfId="19221"/>
    <cellStyle name="Percent 9 6 4" xfId="2362"/>
    <cellStyle name="Percent 9 6 4 2" xfId="18185"/>
    <cellStyle name="Percent 9 6 5" xfId="18983"/>
    <cellStyle name="Percent 9 6 6" xfId="20141"/>
    <cellStyle name="Percent 9 6 7" xfId="14135"/>
    <cellStyle name="Percent 9 7" xfId="1211"/>
    <cellStyle name="Percent 9 7 2" xfId="4739"/>
    <cellStyle name="Percent 9 7 2 2" xfId="19128"/>
    <cellStyle name="Percent 9 7 3" xfId="2639"/>
    <cellStyle name="Percent 9 7 3 2" xfId="16623"/>
    <cellStyle name="Percent 9 7 4" xfId="17852"/>
    <cellStyle name="Percent 9 7 5" xfId="19914"/>
    <cellStyle name="Percent 9 7 6" xfId="14388"/>
    <cellStyle name="Percent 9 8" xfId="4700"/>
    <cellStyle name="Percent 9 8 2" xfId="13710"/>
    <cellStyle name="Percent 9 9" xfId="1938"/>
    <cellStyle name="Percent 9 9 2" xfId="18111"/>
    <cellStyle name="Percent Hard" xfId="9328"/>
    <cellStyle name="Percent Hard 2" xfId="9329"/>
    <cellStyle name="Percent Hard 3" xfId="9330"/>
    <cellStyle name="Percent Hard 3 2" xfId="9331"/>
    <cellStyle name="Percent Hard 4" xfId="9332"/>
    <cellStyle name="Percent*" xfId="9333"/>
    <cellStyle name="Percent* 2" xfId="9334"/>
    <cellStyle name="Percent* 3" xfId="9335"/>
    <cellStyle name="Percent* 3 2" xfId="9336"/>
    <cellStyle name="Percent* 4" xfId="9337"/>
    <cellStyle name="Percent1" xfId="9338"/>
    <cellStyle name="Percent1 2" xfId="9339"/>
    <cellStyle name="Percent1 2 2" xfId="9340"/>
    <cellStyle name="Percent1 2 2 2" xfId="9341"/>
    <cellStyle name="Percent1 2 2 3" xfId="9342"/>
    <cellStyle name="Percent1 2 2 3 2" xfId="9343"/>
    <cellStyle name="Percent1 2 2 4" xfId="9344"/>
    <cellStyle name="Percent1 2 3" xfId="9345"/>
    <cellStyle name="Percent1 2 4" xfId="9346"/>
    <cellStyle name="Percent1 2 4 2" xfId="9347"/>
    <cellStyle name="Percent1 2 5" xfId="9348"/>
    <cellStyle name="Percent1 2_6.1 Contingency Allocation" xfId="9349"/>
    <cellStyle name="Percent1 3" xfId="9350"/>
    <cellStyle name="Percent1 3 2" xfId="9351"/>
    <cellStyle name="Percent1 3 3" xfId="9352"/>
    <cellStyle name="Percent1 3 3 2" xfId="9353"/>
    <cellStyle name="Percent1 3 4" xfId="9354"/>
    <cellStyle name="Percent1 4" xfId="9355"/>
    <cellStyle name="Percent1 5" xfId="9356"/>
    <cellStyle name="Percent1 5 2" xfId="9357"/>
    <cellStyle name="Percent1 6" xfId="9358"/>
    <cellStyle name="Percent1_6.1 Contingency Allocation" xfId="9359"/>
    <cellStyle name="Percent2" xfId="9360"/>
    <cellStyle name="Percent2 2" xfId="9361"/>
    <cellStyle name="Percent2 3" xfId="9362"/>
    <cellStyle name="Percent2 3 2" xfId="9363"/>
    <cellStyle name="Percent2 4" xfId="9364"/>
    <cellStyle name="Percentage" xfId="9365"/>
    <cellStyle name="Percentage 2" xfId="9366"/>
    <cellStyle name="Percentage 3" xfId="9367"/>
    <cellStyle name="Percentage 3 2" xfId="9368"/>
    <cellStyle name="Percentage 4" xfId="9369"/>
    <cellStyle name="Percentdash" xfId="9370"/>
    <cellStyle name="Percentdash 2" xfId="9371"/>
    <cellStyle name="Percentdash 2 2" xfId="9372"/>
    <cellStyle name="Percentdash 2 2 2" xfId="9373"/>
    <cellStyle name="Percentdash 2 3" xfId="9374"/>
    <cellStyle name="Percentdash 3" xfId="9375"/>
    <cellStyle name="Percentdash 4" xfId="9376"/>
    <cellStyle name="Percentdash 4 2" xfId="9377"/>
    <cellStyle name="Percentdash 5" xfId="9378"/>
    <cellStyle name="PercentRed10" xfId="9379"/>
    <cellStyle name="PercentRed10 2" xfId="9380"/>
    <cellStyle name="PercentRed10 2 2" xfId="9381"/>
    <cellStyle name="PercentRed10 2 2 2" xfId="9382"/>
    <cellStyle name="PercentRed10 2 3" xfId="9383"/>
    <cellStyle name="PercentRed10 3" xfId="9384"/>
    <cellStyle name="PercentRed10 4" xfId="9385"/>
    <cellStyle name="PercentRed10 4 2" xfId="9386"/>
    <cellStyle name="PercentRed10 5" xfId="9387"/>
    <cellStyle name="Pershare" xfId="9388"/>
    <cellStyle name="Pershare 2" xfId="9389"/>
    <cellStyle name="Pershare 3" xfId="9390"/>
    <cellStyle name="Pershare 3 2" xfId="9391"/>
    <cellStyle name="Pershare 4" xfId="9392"/>
    <cellStyle name="Plan" xfId="9393"/>
    <cellStyle name="Plan 2" xfId="9394"/>
    <cellStyle name="Plan 3" xfId="9395"/>
    <cellStyle name="Plan 3 2" xfId="9396"/>
    <cellStyle name="Plan 4" xfId="9397"/>
    <cellStyle name="Post ration" xfId="9398"/>
    <cellStyle name="Post ration 2" xfId="9399"/>
    <cellStyle name="Post ration 2 2" xfId="9400"/>
    <cellStyle name="Post ration 2 2 2" xfId="9401"/>
    <cellStyle name="Post ration 2 3" xfId="9402"/>
    <cellStyle name="Post ration 3" xfId="9403"/>
    <cellStyle name="Post ration 4" xfId="9404"/>
    <cellStyle name="Post ration 4 2" xfId="9405"/>
    <cellStyle name="Post ration 5" xfId="9406"/>
    <cellStyle name="Pounds" xfId="9407"/>
    <cellStyle name="Pounds (0)" xfId="9408"/>
    <cellStyle name="Pounds (0) 2" xfId="9409"/>
    <cellStyle name="Pounds (0) 3" xfId="9410"/>
    <cellStyle name="Pounds (0) 3 2" xfId="9411"/>
    <cellStyle name="Pounds (0) 4" xfId="9412"/>
    <cellStyle name="Pounds 10" xfId="9413"/>
    <cellStyle name="Pounds 11" xfId="9414"/>
    <cellStyle name="Pounds 12" xfId="9415"/>
    <cellStyle name="Pounds 13" xfId="9416"/>
    <cellStyle name="Pounds 14" xfId="9417"/>
    <cellStyle name="Pounds 15" xfId="9418"/>
    <cellStyle name="Pounds 16" xfId="9419"/>
    <cellStyle name="Pounds 16 2" xfId="9420"/>
    <cellStyle name="Pounds 17" xfId="9421"/>
    <cellStyle name="Pounds 17 2" xfId="9422"/>
    <cellStyle name="Pounds 18" xfId="9423"/>
    <cellStyle name="Pounds 19" xfId="9424"/>
    <cellStyle name="Pounds 2" xfId="9425"/>
    <cellStyle name="Pounds 20" xfId="9426"/>
    <cellStyle name="Pounds 21" xfId="9427"/>
    <cellStyle name="Pounds 22" xfId="13288"/>
    <cellStyle name="Pounds 3" xfId="9428"/>
    <cellStyle name="Pounds 4" xfId="9429"/>
    <cellStyle name="Pounds 5" xfId="9430"/>
    <cellStyle name="Pounds 6" xfId="9431"/>
    <cellStyle name="Pounds 7" xfId="9432"/>
    <cellStyle name="Pounds 8" xfId="9433"/>
    <cellStyle name="Pounds 9" xfId="9434"/>
    <cellStyle name="pounds_million" xfId="9435"/>
    <cellStyle name="PrePop Currency (0)" xfId="9436"/>
    <cellStyle name="PrePop Currency (0) 2" xfId="9437"/>
    <cellStyle name="PrePop Currency (0) 3" xfId="9438"/>
    <cellStyle name="PrePop Currency (0) 3 2" xfId="9439"/>
    <cellStyle name="PrePop Currency (0) 4" xfId="9440"/>
    <cellStyle name="PrePop Currency (2)" xfId="9441"/>
    <cellStyle name="PrePop Currency (2) 2" xfId="9442"/>
    <cellStyle name="PrePop Currency (2) 2 2" xfId="9443"/>
    <cellStyle name="PrePop Currency (2) 2 2 2" xfId="9444"/>
    <cellStyle name="PrePop Currency (2) 2 2 2 2" xfId="9445"/>
    <cellStyle name="PrePop Currency (2) 2 2 2 2 2" xfId="9446"/>
    <cellStyle name="PrePop Currency (2) 2 2 2 3" xfId="9447"/>
    <cellStyle name="PrePop Currency (2) 2 2 3" xfId="9448"/>
    <cellStyle name="PrePop Currency (2) 2 2 4" xfId="9449"/>
    <cellStyle name="PrePop Currency (2) 2 2 4 2" xfId="9450"/>
    <cellStyle name="PrePop Currency (2) 2 2 5" xfId="9451"/>
    <cellStyle name="PrePop Currency (2) 2 3" xfId="9452"/>
    <cellStyle name="PrePop Currency (2) 2 3 2" xfId="9453"/>
    <cellStyle name="PrePop Currency (2) 2 3 2 2" xfId="9454"/>
    <cellStyle name="PrePop Currency (2) 2 3 3" xfId="9455"/>
    <cellStyle name="PrePop Currency (2) 2 4" xfId="9456"/>
    <cellStyle name="PrePop Currency (2) 2 5" xfId="9457"/>
    <cellStyle name="PrePop Currency (2) 2 5 2" xfId="9458"/>
    <cellStyle name="PrePop Currency (2) 2 6" xfId="9459"/>
    <cellStyle name="PrePop Currency (2) 2_6.1 Contingency Allocation" xfId="9460"/>
    <cellStyle name="PrePop Currency (2) 3" xfId="9461"/>
    <cellStyle name="PrePop Currency (2) 3 2" xfId="9462"/>
    <cellStyle name="PrePop Currency (2) 3 2 2" xfId="9463"/>
    <cellStyle name="PrePop Currency (2) 3 2 2 2" xfId="9464"/>
    <cellStyle name="PrePop Currency (2) 3 2 3" xfId="9465"/>
    <cellStyle name="PrePop Currency (2) 3 3" xfId="9466"/>
    <cellStyle name="PrePop Currency (2) 3 4" xfId="9467"/>
    <cellStyle name="PrePop Currency (2) 3 4 2" xfId="9468"/>
    <cellStyle name="PrePop Currency (2) 3 5" xfId="9469"/>
    <cellStyle name="PrePop Currency (2) 4" xfId="9470"/>
    <cellStyle name="PrePop Currency (2) 4 2" xfId="9471"/>
    <cellStyle name="PrePop Currency (2) 4 2 2" xfId="9472"/>
    <cellStyle name="PrePop Currency (2) 4 2 2 2" xfId="9473"/>
    <cellStyle name="PrePop Currency (2) 4 2 3" xfId="9474"/>
    <cellStyle name="PrePop Currency (2) 4 3" xfId="9475"/>
    <cellStyle name="PrePop Currency (2) 4 4" xfId="9476"/>
    <cellStyle name="PrePop Currency (2) 4 4 2" xfId="9477"/>
    <cellStyle name="PrePop Currency (2) 4 5" xfId="9478"/>
    <cellStyle name="PrePop Currency (2) 5" xfId="9479"/>
    <cellStyle name="PrePop Currency (2) 6" xfId="9480"/>
    <cellStyle name="PrePop Currency (2) 6 2" xfId="9481"/>
    <cellStyle name="PrePop Currency (2) 7" xfId="9482"/>
    <cellStyle name="PrePop Currency (2)_6.1 Contingency Allocation" xfId="9483"/>
    <cellStyle name="PrePop Units (0)" xfId="9484"/>
    <cellStyle name="PrePop Units (0) 2" xfId="9485"/>
    <cellStyle name="PrePop Units (0) 3" xfId="9486"/>
    <cellStyle name="PrePop Units (0) 3 2" xfId="9487"/>
    <cellStyle name="PrePop Units (0) 4" xfId="9488"/>
    <cellStyle name="PrePop Units (1)" xfId="9489"/>
    <cellStyle name="PrePop Units (1) 10" xfId="9490"/>
    <cellStyle name="PrePop Units (1) 10 2" xfId="9491"/>
    <cellStyle name="PrePop Units (1) 10 2 2" xfId="9492"/>
    <cellStyle name="PrePop Units (1) 10 2 2 2" xfId="9493"/>
    <cellStyle name="PrePop Units (1) 10 2 3" xfId="9494"/>
    <cellStyle name="PrePop Units (1) 10 3" xfId="9495"/>
    <cellStyle name="PrePop Units (1) 10 4" xfId="9496"/>
    <cellStyle name="PrePop Units (1) 10 4 2" xfId="9497"/>
    <cellStyle name="PrePop Units (1) 10 5" xfId="9498"/>
    <cellStyle name="PrePop Units (1) 11" xfId="9499"/>
    <cellStyle name="PrePop Units (1) 11 2" xfId="9500"/>
    <cellStyle name="PrePop Units (1) 11 2 2" xfId="9501"/>
    <cellStyle name="PrePop Units (1) 11 2 2 2" xfId="9502"/>
    <cellStyle name="PrePop Units (1) 11 2 3" xfId="9503"/>
    <cellStyle name="PrePop Units (1) 11 3" xfId="9504"/>
    <cellStyle name="PrePop Units (1) 11 4" xfId="9505"/>
    <cellStyle name="PrePop Units (1) 11 4 2" xfId="9506"/>
    <cellStyle name="PrePop Units (1) 11 5" xfId="9507"/>
    <cellStyle name="PrePop Units (1) 12" xfId="9508"/>
    <cellStyle name="PrePop Units (1) 13" xfId="9509"/>
    <cellStyle name="PrePop Units (1) 13 2" xfId="9510"/>
    <cellStyle name="PrePop Units (1) 14" xfId="9511"/>
    <cellStyle name="PrePop Units (1) 2" xfId="9512"/>
    <cellStyle name="PrePop Units (1) 2 2" xfId="9513"/>
    <cellStyle name="PrePop Units (1) 2 2 2" xfId="9514"/>
    <cellStyle name="PrePop Units (1) 2 2 2 2" xfId="9515"/>
    <cellStyle name="PrePop Units (1) 2 2 3" xfId="9516"/>
    <cellStyle name="PrePop Units (1) 2 3" xfId="9517"/>
    <cellStyle name="PrePop Units (1) 2 4" xfId="9518"/>
    <cellStyle name="PrePop Units (1) 2 4 2" xfId="9519"/>
    <cellStyle name="PrePop Units (1) 2 5" xfId="9520"/>
    <cellStyle name="PrePop Units (1) 3" xfId="9521"/>
    <cellStyle name="PrePop Units (1) 3 2" xfId="9522"/>
    <cellStyle name="PrePop Units (1) 3 2 2" xfId="9523"/>
    <cellStyle name="PrePop Units (1) 3 2 2 2" xfId="9524"/>
    <cellStyle name="PrePop Units (1) 3 2 2 2 2" xfId="9525"/>
    <cellStyle name="PrePop Units (1) 3 2 2 3" xfId="9526"/>
    <cellStyle name="PrePop Units (1) 3 2 3" xfId="9527"/>
    <cellStyle name="PrePop Units (1) 3 2 4" xfId="9528"/>
    <cellStyle name="PrePop Units (1) 3 2 4 2" xfId="9529"/>
    <cellStyle name="PrePop Units (1) 3 2 5" xfId="9530"/>
    <cellStyle name="PrePop Units (1) 3 3" xfId="9531"/>
    <cellStyle name="PrePop Units (1) 3 3 2" xfId="9532"/>
    <cellStyle name="PrePop Units (1) 3 3 2 2" xfId="9533"/>
    <cellStyle name="PrePop Units (1) 3 3 3" xfId="9534"/>
    <cellStyle name="PrePop Units (1) 3 4" xfId="9535"/>
    <cellStyle name="PrePop Units (1) 3 5" xfId="9536"/>
    <cellStyle name="PrePop Units (1) 3 5 2" xfId="9537"/>
    <cellStyle name="PrePop Units (1) 3 6" xfId="9538"/>
    <cellStyle name="PrePop Units (1) 3_6.1 Contingency Allocation" xfId="9539"/>
    <cellStyle name="PrePop Units (1) 4" xfId="9540"/>
    <cellStyle name="PrePop Units (1) 4 2" xfId="9541"/>
    <cellStyle name="PrePop Units (1) 4 2 2" xfId="9542"/>
    <cellStyle name="PrePop Units (1) 4 2 2 2" xfId="9543"/>
    <cellStyle name="PrePop Units (1) 4 2 3" xfId="9544"/>
    <cellStyle name="PrePop Units (1) 4 3" xfId="9545"/>
    <cellStyle name="PrePop Units (1) 4 4" xfId="9546"/>
    <cellStyle name="PrePop Units (1) 4 4 2" xfId="9547"/>
    <cellStyle name="PrePop Units (1) 4 5" xfId="9548"/>
    <cellStyle name="PrePop Units (1) 5" xfId="9549"/>
    <cellStyle name="PrePop Units (1) 5 2" xfId="9550"/>
    <cellStyle name="PrePop Units (1) 5 2 2" xfId="9551"/>
    <cellStyle name="PrePop Units (1) 5 2 2 2" xfId="9552"/>
    <cellStyle name="PrePop Units (1) 5 2 3" xfId="9553"/>
    <cellStyle name="PrePop Units (1) 5 3" xfId="9554"/>
    <cellStyle name="PrePop Units (1) 5 4" xfId="9555"/>
    <cellStyle name="PrePop Units (1) 5 4 2" xfId="9556"/>
    <cellStyle name="PrePop Units (1) 5 5" xfId="9557"/>
    <cellStyle name="PrePop Units (1) 6" xfId="9558"/>
    <cellStyle name="PrePop Units (1) 6 2" xfId="9559"/>
    <cellStyle name="PrePop Units (1) 6 2 2" xfId="9560"/>
    <cellStyle name="PrePop Units (1) 6 2 2 2" xfId="9561"/>
    <cellStyle name="PrePop Units (1) 6 2 3" xfId="9562"/>
    <cellStyle name="PrePop Units (1) 6 3" xfId="9563"/>
    <cellStyle name="PrePop Units (1) 6 4" xfId="9564"/>
    <cellStyle name="PrePop Units (1) 6 4 2" xfId="9565"/>
    <cellStyle name="PrePop Units (1) 6 5" xfId="9566"/>
    <cellStyle name="PrePop Units (1) 7" xfId="9567"/>
    <cellStyle name="PrePop Units (1) 7 2" xfId="9568"/>
    <cellStyle name="PrePop Units (1) 7 2 2" xfId="9569"/>
    <cellStyle name="PrePop Units (1) 7 2 2 2" xfId="9570"/>
    <cellStyle name="PrePop Units (1) 7 2 3" xfId="9571"/>
    <cellStyle name="PrePop Units (1) 7 3" xfId="9572"/>
    <cellStyle name="PrePop Units (1) 7 4" xfId="9573"/>
    <cellStyle name="PrePop Units (1) 7 4 2" xfId="9574"/>
    <cellStyle name="PrePop Units (1) 7 5" xfId="9575"/>
    <cellStyle name="PrePop Units (1) 8" xfId="9576"/>
    <cellStyle name="PrePop Units (1) 8 2" xfId="9577"/>
    <cellStyle name="PrePop Units (1) 8 2 2" xfId="9578"/>
    <cellStyle name="PrePop Units (1) 8 2 2 2" xfId="9579"/>
    <cellStyle name="PrePop Units (1) 8 2 3" xfId="9580"/>
    <cellStyle name="PrePop Units (1) 8 3" xfId="9581"/>
    <cellStyle name="PrePop Units (1) 8 4" xfId="9582"/>
    <cellStyle name="PrePop Units (1) 8 4 2" xfId="9583"/>
    <cellStyle name="PrePop Units (1) 8 5" xfId="9584"/>
    <cellStyle name="PrePop Units (1) 9" xfId="9585"/>
    <cellStyle name="PrePop Units (1) 9 2" xfId="9586"/>
    <cellStyle name="PrePop Units (1) 9 2 2" xfId="9587"/>
    <cellStyle name="PrePop Units (1) 9 2 2 2" xfId="9588"/>
    <cellStyle name="PrePop Units (1) 9 2 3" xfId="9589"/>
    <cellStyle name="PrePop Units (1) 9 3" xfId="9590"/>
    <cellStyle name="PrePop Units (1) 9 4" xfId="9591"/>
    <cellStyle name="PrePop Units (1) 9 4 2" xfId="9592"/>
    <cellStyle name="PrePop Units (1) 9 5" xfId="9593"/>
    <cellStyle name="PrePop Units (2)" xfId="9594"/>
    <cellStyle name="PrePop Units (2) 2" xfId="9595"/>
    <cellStyle name="PrePop Units (2) 2 2" xfId="9596"/>
    <cellStyle name="PrePop Units (2) 2 2 2" xfId="9597"/>
    <cellStyle name="PrePop Units (2) 2 2 2 2" xfId="9598"/>
    <cellStyle name="PrePop Units (2) 2 2 2 2 2" xfId="9599"/>
    <cellStyle name="PrePop Units (2) 2 2 2 3" xfId="9600"/>
    <cellStyle name="PrePop Units (2) 2 2 3" xfId="9601"/>
    <cellStyle name="PrePop Units (2) 2 2 4" xfId="9602"/>
    <cellStyle name="PrePop Units (2) 2 2 4 2" xfId="9603"/>
    <cellStyle name="PrePop Units (2) 2 2 5" xfId="9604"/>
    <cellStyle name="PrePop Units (2) 2 3" xfId="9605"/>
    <cellStyle name="PrePop Units (2) 2 3 2" xfId="9606"/>
    <cellStyle name="PrePop Units (2) 2 3 2 2" xfId="9607"/>
    <cellStyle name="PrePop Units (2) 2 3 3" xfId="9608"/>
    <cellStyle name="PrePop Units (2) 2 4" xfId="9609"/>
    <cellStyle name="PrePop Units (2) 2 5" xfId="9610"/>
    <cellStyle name="PrePop Units (2) 2 5 2" xfId="9611"/>
    <cellStyle name="PrePop Units (2) 2 6" xfId="9612"/>
    <cellStyle name="PrePop Units (2) 2_6.1 Contingency Allocation" xfId="9613"/>
    <cellStyle name="PrePop Units (2) 3" xfId="9614"/>
    <cellStyle name="PrePop Units (2) 3 2" xfId="9615"/>
    <cellStyle name="PrePop Units (2) 3 2 2" xfId="9616"/>
    <cellStyle name="PrePop Units (2) 3 2 2 2" xfId="9617"/>
    <cellStyle name="PrePop Units (2) 3 2 3" xfId="9618"/>
    <cellStyle name="PrePop Units (2) 3 3" xfId="9619"/>
    <cellStyle name="PrePop Units (2) 3 4" xfId="9620"/>
    <cellStyle name="PrePop Units (2) 3 4 2" xfId="9621"/>
    <cellStyle name="PrePop Units (2) 3 5" xfId="9622"/>
    <cellStyle name="PrePop Units (2) 4" xfId="9623"/>
    <cellStyle name="PrePop Units (2) 4 2" xfId="9624"/>
    <cellStyle name="PrePop Units (2) 4 2 2" xfId="9625"/>
    <cellStyle name="PrePop Units (2) 4 2 2 2" xfId="9626"/>
    <cellStyle name="PrePop Units (2) 4 2 3" xfId="9627"/>
    <cellStyle name="PrePop Units (2) 4 3" xfId="9628"/>
    <cellStyle name="PrePop Units (2) 4 4" xfId="9629"/>
    <cellStyle name="PrePop Units (2) 4 4 2" xfId="9630"/>
    <cellStyle name="PrePop Units (2) 4 5" xfId="9631"/>
    <cellStyle name="PrePop Units (2) 5" xfId="9632"/>
    <cellStyle name="PrePop Units (2) 6" xfId="9633"/>
    <cellStyle name="PrePop Units (2) 6 2" xfId="9634"/>
    <cellStyle name="PrePop Units (2) 7" xfId="9635"/>
    <cellStyle name="PrePop Units (2)_6.1 Contingency Allocation" xfId="9636"/>
    <cellStyle name="Previous" xfId="9637"/>
    <cellStyle name="Previous 2" xfId="9638"/>
    <cellStyle name="Previous 3" xfId="9639"/>
    <cellStyle name="Previous 3 2" xfId="9640"/>
    <cellStyle name="Previous 4" xfId="9641"/>
    <cellStyle name="Price" xfId="9642"/>
    <cellStyle name="Price 2" xfId="9643"/>
    <cellStyle name="Price 2 2" xfId="9644"/>
    <cellStyle name="Price 2 3" xfId="9645"/>
    <cellStyle name="Price 2 3 2" xfId="9646"/>
    <cellStyle name="Price 2 4" xfId="9647"/>
    <cellStyle name="Price 3" xfId="9648"/>
    <cellStyle name="Price 3 2" xfId="9649"/>
    <cellStyle name="Price 3 2 2" xfId="9650"/>
    <cellStyle name="Price 3 3" xfId="9651"/>
    <cellStyle name="Price 4" xfId="9652"/>
    <cellStyle name="Price 5" xfId="9653"/>
    <cellStyle name="Price 5 2" xfId="9654"/>
    <cellStyle name="Price 6" xfId="9655"/>
    <cellStyle name="Prime" xfId="9656"/>
    <cellStyle name="Prime 10" xfId="9657"/>
    <cellStyle name="Prime 10 2" xfId="9658"/>
    <cellStyle name="Prime 10 2 2" xfId="9659"/>
    <cellStyle name="Prime 10 2 2 2" xfId="9660"/>
    <cellStyle name="Prime 10 2 3" xfId="9661"/>
    <cellStyle name="Prime 10 3" xfId="9662"/>
    <cellStyle name="Prime 10 4" xfId="9663"/>
    <cellStyle name="Prime 10 4 2" xfId="9664"/>
    <cellStyle name="Prime 10 5" xfId="9665"/>
    <cellStyle name="Prime 11" xfId="9666"/>
    <cellStyle name="Prime 11 2" xfId="9667"/>
    <cellStyle name="Prime 11 2 2" xfId="9668"/>
    <cellStyle name="Prime 11 2 2 2" xfId="9669"/>
    <cellStyle name="Prime 11 2 3" xfId="9670"/>
    <cellStyle name="Prime 11 3" xfId="9671"/>
    <cellStyle name="Prime 11 4" xfId="9672"/>
    <cellStyle name="Prime 11 4 2" xfId="9673"/>
    <cellStyle name="Prime 11 5" xfId="9674"/>
    <cellStyle name="Prime 12" xfId="9675"/>
    <cellStyle name="Prime 13" xfId="9676"/>
    <cellStyle name="Prime 13 2" xfId="9677"/>
    <cellStyle name="Prime 14" xfId="9678"/>
    <cellStyle name="Prime 2" xfId="9679"/>
    <cellStyle name="Prime 2 2" xfId="9680"/>
    <cellStyle name="Prime 2 2 2" xfId="9681"/>
    <cellStyle name="Prime 2 2 2 2" xfId="9682"/>
    <cellStyle name="Prime 2 2 3" xfId="9683"/>
    <cellStyle name="Prime 2 3" xfId="9684"/>
    <cellStyle name="Prime 2 4" xfId="9685"/>
    <cellStyle name="Prime 2 4 2" xfId="9686"/>
    <cellStyle name="Prime 2 5" xfId="9687"/>
    <cellStyle name="Prime 3" xfId="9688"/>
    <cellStyle name="Prime 3 2" xfId="9689"/>
    <cellStyle name="Prime 3 2 2" xfId="9690"/>
    <cellStyle name="Prime 3 2 2 2" xfId="9691"/>
    <cellStyle name="Prime 3 2 2 2 2" xfId="9692"/>
    <cellStyle name="Prime 3 2 2 3" xfId="9693"/>
    <cellStyle name="Prime 3 2 3" xfId="9694"/>
    <cellStyle name="Prime 3 2 4" xfId="9695"/>
    <cellStyle name="Prime 3 2 4 2" xfId="9696"/>
    <cellStyle name="Prime 3 2 5" xfId="9697"/>
    <cellStyle name="Prime 3 3" xfId="9698"/>
    <cellStyle name="Prime 3 3 2" xfId="9699"/>
    <cellStyle name="Prime 3 3 2 2" xfId="9700"/>
    <cellStyle name="Prime 3 3 3" xfId="9701"/>
    <cellStyle name="Prime 3 4" xfId="9702"/>
    <cellStyle name="Prime 3 5" xfId="9703"/>
    <cellStyle name="Prime 3 5 2" xfId="9704"/>
    <cellStyle name="Prime 3 6" xfId="9705"/>
    <cellStyle name="Prime 3_6.1 Contingency Allocation" xfId="9706"/>
    <cellStyle name="Prime 4" xfId="9707"/>
    <cellStyle name="Prime 4 2" xfId="9708"/>
    <cellStyle name="Prime 4 2 2" xfId="9709"/>
    <cellStyle name="Prime 4 2 2 2" xfId="9710"/>
    <cellStyle name="Prime 4 2 3" xfId="9711"/>
    <cellStyle name="Prime 4 3" xfId="9712"/>
    <cellStyle name="Prime 4 4" xfId="9713"/>
    <cellStyle name="Prime 4 4 2" xfId="9714"/>
    <cellStyle name="Prime 4 5" xfId="9715"/>
    <cellStyle name="Prime 5" xfId="9716"/>
    <cellStyle name="Prime 5 2" xfId="9717"/>
    <cellStyle name="Prime 5 2 2" xfId="9718"/>
    <cellStyle name="Prime 5 2 2 2" xfId="9719"/>
    <cellStyle name="Prime 5 2 3" xfId="9720"/>
    <cellStyle name="Prime 5 3" xfId="9721"/>
    <cellStyle name="Prime 5 4" xfId="9722"/>
    <cellStyle name="Prime 5 4 2" xfId="9723"/>
    <cellStyle name="Prime 5 5" xfId="9724"/>
    <cellStyle name="Prime 6" xfId="9725"/>
    <cellStyle name="Prime 6 2" xfId="9726"/>
    <cellStyle name="Prime 6 2 2" xfId="9727"/>
    <cellStyle name="Prime 6 2 2 2" xfId="9728"/>
    <cellStyle name="Prime 6 2 3" xfId="9729"/>
    <cellStyle name="Prime 6 3" xfId="9730"/>
    <cellStyle name="Prime 6 4" xfId="9731"/>
    <cellStyle name="Prime 6 4 2" xfId="9732"/>
    <cellStyle name="Prime 6 5" xfId="9733"/>
    <cellStyle name="Prime 7" xfId="9734"/>
    <cellStyle name="Prime 7 2" xfId="9735"/>
    <cellStyle name="Prime 7 2 2" xfId="9736"/>
    <cellStyle name="Prime 7 2 2 2" xfId="9737"/>
    <cellStyle name="Prime 7 2 3" xfId="9738"/>
    <cellStyle name="Prime 7 3" xfId="9739"/>
    <cellStyle name="Prime 7 4" xfId="9740"/>
    <cellStyle name="Prime 7 4 2" xfId="9741"/>
    <cellStyle name="Prime 7 5" xfId="9742"/>
    <cellStyle name="Prime 8" xfId="9743"/>
    <cellStyle name="Prime 8 2" xfId="9744"/>
    <cellStyle name="Prime 8 2 2" xfId="9745"/>
    <cellStyle name="Prime 8 2 2 2" xfId="9746"/>
    <cellStyle name="Prime 8 2 3" xfId="9747"/>
    <cellStyle name="Prime 8 3" xfId="9748"/>
    <cellStyle name="Prime 8 4" xfId="9749"/>
    <cellStyle name="Prime 8 4 2" xfId="9750"/>
    <cellStyle name="Prime 8 5" xfId="9751"/>
    <cellStyle name="Prime 9" xfId="9752"/>
    <cellStyle name="Prime 9 2" xfId="9753"/>
    <cellStyle name="Prime 9 2 2" xfId="9754"/>
    <cellStyle name="Prime 9 2 2 2" xfId="9755"/>
    <cellStyle name="Prime 9 2 3" xfId="9756"/>
    <cellStyle name="Prime 9 3" xfId="9757"/>
    <cellStyle name="Prime 9 4" xfId="9758"/>
    <cellStyle name="Prime 9 4 2" xfId="9759"/>
    <cellStyle name="Prime 9 5" xfId="9760"/>
    <cellStyle name="Primedate" xfId="9761"/>
    <cellStyle name="Primedate 10" xfId="9762"/>
    <cellStyle name="Primedate 10 2" xfId="9763"/>
    <cellStyle name="Primedate 10 2 2" xfId="9764"/>
    <cellStyle name="Primedate 10 2 2 2" xfId="9765"/>
    <cellStyle name="Primedate 10 2 3" xfId="9766"/>
    <cellStyle name="Primedate 10 3" xfId="9767"/>
    <cellStyle name="Primedate 10 4" xfId="9768"/>
    <cellStyle name="Primedate 10 4 2" xfId="9769"/>
    <cellStyle name="Primedate 10 5" xfId="9770"/>
    <cellStyle name="Primedate 11" xfId="9771"/>
    <cellStyle name="Primedate 11 2" xfId="9772"/>
    <cellStyle name="Primedate 11 2 2" xfId="9773"/>
    <cellStyle name="Primedate 11 2 2 2" xfId="9774"/>
    <cellStyle name="Primedate 11 2 3" xfId="9775"/>
    <cellStyle name="Primedate 11 3" xfId="9776"/>
    <cellStyle name="Primedate 11 4" xfId="9777"/>
    <cellStyle name="Primedate 11 4 2" xfId="9778"/>
    <cellStyle name="Primedate 11 5" xfId="9779"/>
    <cellStyle name="Primedate 12" xfId="9780"/>
    <cellStyle name="Primedate 13" xfId="9781"/>
    <cellStyle name="Primedate 13 2" xfId="9782"/>
    <cellStyle name="Primedate 14" xfId="9783"/>
    <cellStyle name="Primedate 2" xfId="9784"/>
    <cellStyle name="Primedate 2 2" xfId="9785"/>
    <cellStyle name="Primedate 2 2 2" xfId="9786"/>
    <cellStyle name="Primedate 2 2 2 2" xfId="9787"/>
    <cellStyle name="Primedate 2 2 3" xfId="9788"/>
    <cellStyle name="Primedate 2 3" xfId="9789"/>
    <cellStyle name="Primedate 2 4" xfId="9790"/>
    <cellStyle name="Primedate 2 4 2" xfId="9791"/>
    <cellStyle name="Primedate 2 5" xfId="9792"/>
    <cellStyle name="Primedate 3" xfId="9793"/>
    <cellStyle name="Primedate 3 2" xfId="9794"/>
    <cellStyle name="Primedate 3 2 2" xfId="9795"/>
    <cellStyle name="Primedate 3 2 2 2" xfId="9796"/>
    <cellStyle name="Primedate 3 2 2 2 2" xfId="9797"/>
    <cellStyle name="Primedate 3 2 2 3" xfId="9798"/>
    <cellStyle name="Primedate 3 2 3" xfId="9799"/>
    <cellStyle name="Primedate 3 2 4" xfId="9800"/>
    <cellStyle name="Primedate 3 2 4 2" xfId="9801"/>
    <cellStyle name="Primedate 3 2 5" xfId="9802"/>
    <cellStyle name="Primedate 3 3" xfId="9803"/>
    <cellStyle name="Primedate 3 3 2" xfId="9804"/>
    <cellStyle name="Primedate 3 3 2 2" xfId="9805"/>
    <cellStyle name="Primedate 3 3 3" xfId="9806"/>
    <cellStyle name="Primedate 3 4" xfId="9807"/>
    <cellStyle name="Primedate 3 5" xfId="9808"/>
    <cellStyle name="Primedate 3 5 2" xfId="9809"/>
    <cellStyle name="Primedate 3 6" xfId="9810"/>
    <cellStyle name="Primedate 3_6.1 Contingency Allocation" xfId="9811"/>
    <cellStyle name="Primedate 4" xfId="9812"/>
    <cellStyle name="Primedate 4 2" xfId="9813"/>
    <cellStyle name="Primedate 4 2 2" xfId="9814"/>
    <cellStyle name="Primedate 4 2 2 2" xfId="9815"/>
    <cellStyle name="Primedate 4 2 3" xfId="9816"/>
    <cellStyle name="Primedate 4 3" xfId="9817"/>
    <cellStyle name="Primedate 4 4" xfId="9818"/>
    <cellStyle name="Primedate 4 4 2" xfId="9819"/>
    <cellStyle name="Primedate 4 5" xfId="9820"/>
    <cellStyle name="Primedate 5" xfId="9821"/>
    <cellStyle name="Primedate 5 2" xfId="9822"/>
    <cellStyle name="Primedate 5 2 2" xfId="9823"/>
    <cellStyle name="Primedate 5 2 2 2" xfId="9824"/>
    <cellStyle name="Primedate 5 2 3" xfId="9825"/>
    <cellStyle name="Primedate 5 3" xfId="9826"/>
    <cellStyle name="Primedate 5 4" xfId="9827"/>
    <cellStyle name="Primedate 5 4 2" xfId="9828"/>
    <cellStyle name="Primedate 5 5" xfId="9829"/>
    <cellStyle name="Primedate 6" xfId="9830"/>
    <cellStyle name="Primedate 6 2" xfId="9831"/>
    <cellStyle name="Primedate 6 2 2" xfId="9832"/>
    <cellStyle name="Primedate 6 2 2 2" xfId="9833"/>
    <cellStyle name="Primedate 6 2 3" xfId="9834"/>
    <cellStyle name="Primedate 6 3" xfId="9835"/>
    <cellStyle name="Primedate 6 4" xfId="9836"/>
    <cellStyle name="Primedate 6 4 2" xfId="9837"/>
    <cellStyle name="Primedate 6 5" xfId="9838"/>
    <cellStyle name="Primedate 7" xfId="9839"/>
    <cellStyle name="Primedate 7 2" xfId="9840"/>
    <cellStyle name="Primedate 7 2 2" xfId="9841"/>
    <cellStyle name="Primedate 7 2 2 2" xfId="9842"/>
    <cellStyle name="Primedate 7 2 3" xfId="9843"/>
    <cellStyle name="Primedate 7 3" xfId="9844"/>
    <cellStyle name="Primedate 7 4" xfId="9845"/>
    <cellStyle name="Primedate 7 4 2" xfId="9846"/>
    <cellStyle name="Primedate 7 5" xfId="9847"/>
    <cellStyle name="Primedate 8" xfId="9848"/>
    <cellStyle name="Primedate 8 2" xfId="9849"/>
    <cellStyle name="Primedate 8 2 2" xfId="9850"/>
    <cellStyle name="Primedate 8 2 2 2" xfId="9851"/>
    <cellStyle name="Primedate 8 2 3" xfId="9852"/>
    <cellStyle name="Primedate 8 3" xfId="9853"/>
    <cellStyle name="Primedate 8 4" xfId="9854"/>
    <cellStyle name="Primedate 8 4 2" xfId="9855"/>
    <cellStyle name="Primedate 8 5" xfId="9856"/>
    <cellStyle name="Primedate 9" xfId="9857"/>
    <cellStyle name="Primedate 9 2" xfId="9858"/>
    <cellStyle name="Primedate 9 2 2" xfId="9859"/>
    <cellStyle name="Primedate 9 2 2 2" xfId="9860"/>
    <cellStyle name="Primedate 9 2 3" xfId="9861"/>
    <cellStyle name="Primedate 9 3" xfId="9862"/>
    <cellStyle name="Primedate 9 4" xfId="9863"/>
    <cellStyle name="Primedate 9 4 2" xfId="9864"/>
    <cellStyle name="Primedate 9 5" xfId="9865"/>
    <cellStyle name="ProductClass" xfId="9866"/>
    <cellStyle name="ProductClass 10" xfId="9867"/>
    <cellStyle name="ProductClass 10 2" xfId="9868"/>
    <cellStyle name="ProductClass 10 2 2" xfId="9869"/>
    <cellStyle name="ProductClass 10 2 2 2" xfId="9870"/>
    <cellStyle name="ProductClass 10 2 3" xfId="9871"/>
    <cellStyle name="ProductClass 10 3" xfId="9872"/>
    <cellStyle name="ProductClass 10 4" xfId="9873"/>
    <cellStyle name="ProductClass 10 4 2" xfId="9874"/>
    <cellStyle name="ProductClass 11" xfId="9875"/>
    <cellStyle name="ProductClass 11 2" xfId="9876"/>
    <cellStyle name="ProductClass 11 2 2" xfId="9877"/>
    <cellStyle name="ProductClass 11 2 2 2" xfId="9878"/>
    <cellStyle name="ProductClass 11 2 3" xfId="9879"/>
    <cellStyle name="ProductClass 11 3" xfId="9880"/>
    <cellStyle name="ProductClass 11 4" xfId="9881"/>
    <cellStyle name="ProductClass 11 4 2" xfId="9882"/>
    <cellStyle name="ProductClass 12" xfId="9883"/>
    <cellStyle name="ProductClass 13" xfId="9884"/>
    <cellStyle name="ProductClass 13 2" xfId="9885"/>
    <cellStyle name="ProductClass 2" xfId="9886"/>
    <cellStyle name="ProductClass 2 2" xfId="9887"/>
    <cellStyle name="ProductClass 2 2 2" xfId="9888"/>
    <cellStyle name="ProductClass 2 2 2 2" xfId="9889"/>
    <cellStyle name="ProductClass 2 2 3" xfId="9890"/>
    <cellStyle name="ProductClass 2 3" xfId="9891"/>
    <cellStyle name="ProductClass 2 4" xfId="9892"/>
    <cellStyle name="ProductClass 2 4 2" xfId="9893"/>
    <cellStyle name="ProductClass 3" xfId="9894"/>
    <cellStyle name="ProductClass 3 2" xfId="9895"/>
    <cellStyle name="ProductClass 3 2 2" xfId="9896"/>
    <cellStyle name="ProductClass 3 2 2 2" xfId="9897"/>
    <cellStyle name="ProductClass 3 2 2 2 2" xfId="9898"/>
    <cellStyle name="ProductClass 3 2 2 3" xfId="9899"/>
    <cellStyle name="ProductClass 3 2 3" xfId="9900"/>
    <cellStyle name="ProductClass 3 2 4" xfId="9901"/>
    <cellStyle name="ProductClass 3 2 4 2" xfId="9902"/>
    <cellStyle name="ProductClass 3 3" xfId="9903"/>
    <cellStyle name="ProductClass 3 3 2" xfId="9904"/>
    <cellStyle name="ProductClass 3 3 2 2" xfId="9905"/>
    <cellStyle name="ProductClass 3 3 3" xfId="9906"/>
    <cellStyle name="ProductClass 3 4" xfId="9907"/>
    <cellStyle name="ProductClass 3 5" xfId="9908"/>
    <cellStyle name="ProductClass 3 5 2" xfId="9909"/>
    <cellStyle name="ProductClass 3_6.1 Contingency Allocation" xfId="9910"/>
    <cellStyle name="ProductClass 4" xfId="9911"/>
    <cellStyle name="ProductClass 4 2" xfId="9912"/>
    <cellStyle name="ProductClass 4 2 2" xfId="9913"/>
    <cellStyle name="ProductClass 4 2 2 2" xfId="9914"/>
    <cellStyle name="ProductClass 4 2 3" xfId="9915"/>
    <cellStyle name="ProductClass 4 3" xfId="9916"/>
    <cellStyle name="ProductClass 4 4" xfId="9917"/>
    <cellStyle name="ProductClass 4 4 2" xfId="9918"/>
    <cellStyle name="ProductClass 5" xfId="9919"/>
    <cellStyle name="ProductClass 5 2" xfId="9920"/>
    <cellStyle name="ProductClass 5 2 2" xfId="9921"/>
    <cellStyle name="ProductClass 5 2 2 2" xfId="9922"/>
    <cellStyle name="ProductClass 5 2 3" xfId="9923"/>
    <cellStyle name="ProductClass 5 3" xfId="9924"/>
    <cellStyle name="ProductClass 5 4" xfId="9925"/>
    <cellStyle name="ProductClass 5 4 2" xfId="9926"/>
    <cellStyle name="ProductClass 6" xfId="9927"/>
    <cellStyle name="ProductClass 6 2" xfId="9928"/>
    <cellStyle name="ProductClass 6 2 2" xfId="9929"/>
    <cellStyle name="ProductClass 6 2 2 2" xfId="9930"/>
    <cellStyle name="ProductClass 6 2 3" xfId="9931"/>
    <cellStyle name="ProductClass 6 3" xfId="9932"/>
    <cellStyle name="ProductClass 6 4" xfId="9933"/>
    <cellStyle name="ProductClass 6 4 2" xfId="9934"/>
    <cellStyle name="ProductClass 7" xfId="9935"/>
    <cellStyle name="ProductClass 7 2" xfId="9936"/>
    <cellStyle name="ProductClass 7 2 2" xfId="9937"/>
    <cellStyle name="ProductClass 7 2 2 2" xfId="9938"/>
    <cellStyle name="ProductClass 7 2 3" xfId="9939"/>
    <cellStyle name="ProductClass 7 3" xfId="9940"/>
    <cellStyle name="ProductClass 7 4" xfId="9941"/>
    <cellStyle name="ProductClass 7 4 2" xfId="9942"/>
    <cellStyle name="ProductClass 8" xfId="9943"/>
    <cellStyle name="ProductClass 8 2" xfId="9944"/>
    <cellStyle name="ProductClass 8 2 2" xfId="9945"/>
    <cellStyle name="ProductClass 8 2 2 2" xfId="9946"/>
    <cellStyle name="ProductClass 8 2 3" xfId="9947"/>
    <cellStyle name="ProductClass 8 3" xfId="9948"/>
    <cellStyle name="ProductClass 8 4" xfId="9949"/>
    <cellStyle name="ProductClass 8 4 2" xfId="9950"/>
    <cellStyle name="ProductClass 9" xfId="9951"/>
    <cellStyle name="ProductClass 9 2" xfId="9952"/>
    <cellStyle name="ProductClass 9 2 2" xfId="9953"/>
    <cellStyle name="ProductClass 9 2 2 2" xfId="9954"/>
    <cellStyle name="ProductClass 9 2 3" xfId="9955"/>
    <cellStyle name="ProductClass 9 3" xfId="9956"/>
    <cellStyle name="ProductClass 9 4" xfId="9957"/>
    <cellStyle name="ProductClass 9 4 2" xfId="9958"/>
    <cellStyle name="ProductType" xfId="9959"/>
    <cellStyle name="ProductType 2" xfId="9960"/>
    <cellStyle name="ProductType 2 2" xfId="9961"/>
    <cellStyle name="ProductType 2 2 2" xfId="9962"/>
    <cellStyle name="ProductType 2 2 3" xfId="9963"/>
    <cellStyle name="ProductType 2 2 3 2" xfId="9964"/>
    <cellStyle name="ProductType 2 2 4" xfId="9965"/>
    <cellStyle name="ProductType 2 3" xfId="9966"/>
    <cellStyle name="ProductType 2 4" xfId="9967"/>
    <cellStyle name="ProductType 2 4 2" xfId="9968"/>
    <cellStyle name="ProductType 2 5" xfId="9969"/>
    <cellStyle name="ProductType 2_6.1 Contingency Allocation" xfId="9970"/>
    <cellStyle name="ProductType 3" xfId="9971"/>
    <cellStyle name="ProductType 3 2" xfId="9972"/>
    <cellStyle name="ProductType 3 3" xfId="9973"/>
    <cellStyle name="ProductType 3 3 2" xfId="9974"/>
    <cellStyle name="ProductType 3 4" xfId="9975"/>
    <cellStyle name="ProductType 4" xfId="9976"/>
    <cellStyle name="ProductType 5" xfId="9977"/>
    <cellStyle name="ProductType 5 2" xfId="9978"/>
    <cellStyle name="ProductType 6" xfId="9979"/>
    <cellStyle name="ProductType_6.1 Contingency Allocation" xfId="9980"/>
    <cellStyle name="Project" xfId="13393"/>
    <cellStyle name="ProjectionInput" xfId="9981"/>
    <cellStyle name="ProjectionInput 2" xfId="9982"/>
    <cellStyle name="ProjectionInput 2 2" xfId="9983"/>
    <cellStyle name="ProjectionInput 2 3" xfId="9984"/>
    <cellStyle name="ProjectionInput 2 3 2" xfId="9985"/>
    <cellStyle name="ProjectionInput 2 4" xfId="9986"/>
    <cellStyle name="ProjectionInput 3" xfId="9987"/>
    <cellStyle name="ProjectionInput 4" xfId="9988"/>
    <cellStyle name="ProjectionInput 4 2" xfId="9989"/>
    <cellStyle name="ProjectionInput 5" xfId="9990"/>
    <cellStyle name="Prozent_E2" xfId="9991"/>
    <cellStyle name="PSChar" xfId="9992"/>
    <cellStyle name="PSChar 2" xfId="9993"/>
    <cellStyle name="PSChar 2 2" xfId="9994"/>
    <cellStyle name="PSChar 2 2 2" xfId="9995"/>
    <cellStyle name="PSChar 2 2 2 2" xfId="9996"/>
    <cellStyle name="PSChar 2 2 3" xfId="9997"/>
    <cellStyle name="PSChar 2 3" xfId="9998"/>
    <cellStyle name="PSChar 2 4" xfId="9999"/>
    <cellStyle name="PSChar 2 4 2" xfId="10000"/>
    <cellStyle name="PSChar 2 5" xfId="10001"/>
    <cellStyle name="PSChar 3" xfId="10002"/>
    <cellStyle name="PSChar 3 2" xfId="10003"/>
    <cellStyle name="PSChar 3 2 2" xfId="10004"/>
    <cellStyle name="PSChar 3 3" xfId="10005"/>
    <cellStyle name="PSChar 4" xfId="10006"/>
    <cellStyle name="PSChar 5" xfId="10007"/>
    <cellStyle name="PSChar 5 2" xfId="10008"/>
    <cellStyle name="PSChar 6" xfId="10009"/>
    <cellStyle name="PSDATE" xfId="10010"/>
    <cellStyle name="PSDATE 10" xfId="10011"/>
    <cellStyle name="PSDATE 11" xfId="10012"/>
    <cellStyle name="PSDATE 11 2" xfId="10013"/>
    <cellStyle name="PSDATE 12" xfId="10014"/>
    <cellStyle name="PSDate 2" xfId="10015"/>
    <cellStyle name="PSDate 2 2" xfId="10016"/>
    <cellStyle name="PSDate 2 2 2" xfId="10017"/>
    <cellStyle name="PSDate 2 2 2 2" xfId="10018"/>
    <cellStyle name="PSDate 2 2 2 2 2" xfId="10019"/>
    <cellStyle name="PSDate 2 2 2 3" xfId="10020"/>
    <cellStyle name="PSDate 2 2 3" xfId="10021"/>
    <cellStyle name="PSDate 2 2 4" xfId="10022"/>
    <cellStyle name="PSDate 2 2 4 2" xfId="10023"/>
    <cellStyle name="PSDate 2 2 5" xfId="10024"/>
    <cellStyle name="PSDate 2 3" xfId="10025"/>
    <cellStyle name="PSDate 2 3 2" xfId="10026"/>
    <cellStyle name="PSDate 2 3 2 2" xfId="10027"/>
    <cellStyle name="PSDate 2 3 3" xfId="10028"/>
    <cellStyle name="PSDate 2 4" xfId="10029"/>
    <cellStyle name="PSDate 2 5" xfId="10030"/>
    <cellStyle name="PSDate 2 5 2" xfId="10031"/>
    <cellStyle name="PSDate 2 6" xfId="10032"/>
    <cellStyle name="PSDATE 3" xfId="10033"/>
    <cellStyle name="PSDATE 3 2" xfId="10034"/>
    <cellStyle name="PSDATE 3 2 2" xfId="10035"/>
    <cellStyle name="PSDATE 3 3" xfId="10036"/>
    <cellStyle name="PSDATE 4" xfId="10037"/>
    <cellStyle name="PSDATE 5" xfId="10038"/>
    <cellStyle name="PSDATE 6" xfId="10039"/>
    <cellStyle name="PSDATE 7" xfId="10040"/>
    <cellStyle name="PSDATE 8" xfId="10041"/>
    <cellStyle name="PSDATE 9" xfId="10042"/>
    <cellStyle name="PSDec" xfId="10043"/>
    <cellStyle name="PSDec 2" xfId="10044"/>
    <cellStyle name="PSDec 2 2" xfId="10045"/>
    <cellStyle name="PSDec 2 2 2" xfId="10046"/>
    <cellStyle name="PSDec 2 2 2 2" xfId="10047"/>
    <cellStyle name="PSDec 2 2 2 2 2" xfId="10048"/>
    <cellStyle name="PSDec 2 2 2 3" xfId="10049"/>
    <cellStyle name="PSDec 2 2 3" xfId="10050"/>
    <cellStyle name="PSDec 2 2 4" xfId="10051"/>
    <cellStyle name="PSDec 2 2 4 2" xfId="10052"/>
    <cellStyle name="PSDec 2 2 5" xfId="10053"/>
    <cellStyle name="PSDec 2 3" xfId="10054"/>
    <cellStyle name="PSDec 2 3 2" xfId="10055"/>
    <cellStyle name="PSDec 2 3 2 2" xfId="10056"/>
    <cellStyle name="PSDec 2 3 3" xfId="10057"/>
    <cellStyle name="PSDec 2 4" xfId="10058"/>
    <cellStyle name="PSDec 2 5" xfId="10059"/>
    <cellStyle name="PSDec 2 5 2" xfId="10060"/>
    <cellStyle name="PSDec 2 6" xfId="10061"/>
    <cellStyle name="PSDec 3" xfId="10062"/>
    <cellStyle name="PSDec 3 2" xfId="10063"/>
    <cellStyle name="PSDec 3 2 2" xfId="10064"/>
    <cellStyle name="PSDec 3 2 2 2" xfId="10065"/>
    <cellStyle name="PSDec 3 2 3" xfId="10066"/>
    <cellStyle name="PSDec 3 3" xfId="10067"/>
    <cellStyle name="PSDec 3 4" xfId="10068"/>
    <cellStyle name="PSDec 3 4 2" xfId="10069"/>
    <cellStyle name="PSDec 3 5" xfId="10070"/>
    <cellStyle name="PSDec 4" xfId="10071"/>
    <cellStyle name="PSDec 4 2" xfId="10072"/>
    <cellStyle name="PSDec 4 2 2" xfId="10073"/>
    <cellStyle name="PSDec 4 2 2 2" xfId="10074"/>
    <cellStyle name="PSDec 4 2 3" xfId="10075"/>
    <cellStyle name="PSDec 4 3" xfId="10076"/>
    <cellStyle name="PSDec 4 4" xfId="10077"/>
    <cellStyle name="PSDec 4 4 2" xfId="10078"/>
    <cellStyle name="PSDec 4 5" xfId="10079"/>
    <cellStyle name="PSDec 5" xfId="10080"/>
    <cellStyle name="PSDec 6" xfId="10081"/>
    <cellStyle name="PSDec 6 2" xfId="10082"/>
    <cellStyle name="PSDec 7" xfId="10083"/>
    <cellStyle name="PSHeading" xfId="10084"/>
    <cellStyle name="PSHeading 2" xfId="10085"/>
    <cellStyle name="PSHeading 2 2" xfId="10086"/>
    <cellStyle name="PSHeading 2 3" xfId="10087"/>
    <cellStyle name="PSHeading 2 3 2" xfId="10088"/>
    <cellStyle name="PSHeading 2 4" xfId="10089"/>
    <cellStyle name="PSHeading 3" xfId="10090"/>
    <cellStyle name="PSHeading 3 2" xfId="10091"/>
    <cellStyle name="PSHeading 3 3" xfId="10092"/>
    <cellStyle name="PSHeading 3 3 2" xfId="10093"/>
    <cellStyle name="PSHeading 3 4" xfId="10094"/>
    <cellStyle name="PSHeading 4" xfId="10095"/>
    <cellStyle name="PSHeading 4 2" xfId="10096"/>
    <cellStyle name="PSHeading 4 3" xfId="10097"/>
    <cellStyle name="PSHeading 4 3 2" xfId="10098"/>
    <cellStyle name="PSHeading 4 4" xfId="10099"/>
    <cellStyle name="PSHeading 5" xfId="10100"/>
    <cellStyle name="PSHeading 5 2" xfId="10101"/>
    <cellStyle name="PSHeading 5 3" xfId="10102"/>
    <cellStyle name="PSHeading 5 3 2" xfId="10103"/>
    <cellStyle name="PSHeading 5 4" xfId="10104"/>
    <cellStyle name="PSHeading 6" xfId="10105"/>
    <cellStyle name="PSHeading 7" xfId="10106"/>
    <cellStyle name="PSHeading 7 2" xfId="10107"/>
    <cellStyle name="PSHeading 8" xfId="10108"/>
    <cellStyle name="PSHeading_6.1 Contingency Allocation" xfId="10109"/>
    <cellStyle name="PSInt" xfId="10110"/>
    <cellStyle name="PSInt 2" xfId="10111"/>
    <cellStyle name="PSInt 2 2" xfId="10112"/>
    <cellStyle name="PSInt 2 2 2" xfId="10113"/>
    <cellStyle name="PSInt 2 2 2 2" xfId="10114"/>
    <cellStyle name="PSInt 2 2 2 2 2" xfId="10115"/>
    <cellStyle name="PSInt 2 2 2 3" xfId="10116"/>
    <cellStyle name="PSInt 2 2 3" xfId="10117"/>
    <cellStyle name="PSInt 2 2 4" xfId="10118"/>
    <cellStyle name="PSInt 2 2 4 2" xfId="10119"/>
    <cellStyle name="PSInt 2 2 5" xfId="10120"/>
    <cellStyle name="PSInt 2 3" xfId="10121"/>
    <cellStyle name="PSInt 2 3 2" xfId="10122"/>
    <cellStyle name="PSInt 2 3 2 2" xfId="10123"/>
    <cellStyle name="PSInt 2 3 3" xfId="10124"/>
    <cellStyle name="PSInt 2 4" xfId="10125"/>
    <cellStyle name="PSInt 2 5" xfId="10126"/>
    <cellStyle name="PSInt 2 5 2" xfId="10127"/>
    <cellStyle name="PSInt 2 6" xfId="10128"/>
    <cellStyle name="PSInt 3" xfId="10129"/>
    <cellStyle name="PSInt 3 2" xfId="10130"/>
    <cellStyle name="PSInt 3 2 2" xfId="10131"/>
    <cellStyle name="PSInt 3 2 2 2" xfId="10132"/>
    <cellStyle name="PSInt 3 2 3" xfId="10133"/>
    <cellStyle name="PSInt 3 3" xfId="10134"/>
    <cellStyle name="PSInt 3 4" xfId="10135"/>
    <cellStyle name="PSInt 3 4 2" xfId="10136"/>
    <cellStyle name="PSInt 3 5" xfId="10137"/>
    <cellStyle name="PSInt 4" xfId="10138"/>
    <cellStyle name="PSInt 4 2" xfId="10139"/>
    <cellStyle name="PSInt 4 2 2" xfId="10140"/>
    <cellStyle name="PSInt 4 2 2 2" xfId="10141"/>
    <cellStyle name="PSInt 4 2 3" xfId="10142"/>
    <cellStyle name="PSInt 4 3" xfId="10143"/>
    <cellStyle name="PSInt 4 4" xfId="10144"/>
    <cellStyle name="PSInt 4 4 2" xfId="10145"/>
    <cellStyle name="PSInt 4 5" xfId="10146"/>
    <cellStyle name="PSInt 5" xfId="10147"/>
    <cellStyle name="PSInt 6" xfId="10148"/>
    <cellStyle name="PSInt 6 2" xfId="10149"/>
    <cellStyle name="PSInt 7" xfId="10150"/>
    <cellStyle name="PSSpacer" xfId="10151"/>
    <cellStyle name="PSSpacer 2" xfId="10152"/>
    <cellStyle name="PSSpacer 2 2" xfId="10153"/>
    <cellStyle name="PSSpacer 2 2 2" xfId="10154"/>
    <cellStyle name="PSSpacer 2 2 2 2" xfId="10155"/>
    <cellStyle name="PSSpacer 2 2 2 2 2" xfId="10156"/>
    <cellStyle name="PSSpacer 2 2 2 3" xfId="10157"/>
    <cellStyle name="PSSpacer 2 2 3" xfId="10158"/>
    <cellStyle name="PSSpacer 2 2 4" xfId="10159"/>
    <cellStyle name="PSSpacer 2 2 4 2" xfId="10160"/>
    <cellStyle name="PSSpacer 2 2 5" xfId="10161"/>
    <cellStyle name="PSSpacer 2 3" xfId="10162"/>
    <cellStyle name="PSSpacer 2 3 2" xfId="10163"/>
    <cellStyle name="PSSpacer 2 3 2 2" xfId="10164"/>
    <cellStyle name="PSSpacer 2 3 3" xfId="10165"/>
    <cellStyle name="PSSpacer 2 4" xfId="10166"/>
    <cellStyle name="PSSpacer 2 5" xfId="10167"/>
    <cellStyle name="PSSpacer 2 5 2" xfId="10168"/>
    <cellStyle name="PSSpacer 2 6" xfId="10169"/>
    <cellStyle name="PSSpacer 3" xfId="10170"/>
    <cellStyle name="PSSpacer 3 2" xfId="10171"/>
    <cellStyle name="PSSpacer 3 2 2" xfId="10172"/>
    <cellStyle name="PSSpacer 3 2 2 2" xfId="10173"/>
    <cellStyle name="PSSpacer 3 2 3" xfId="10174"/>
    <cellStyle name="PSSpacer 3 3" xfId="10175"/>
    <cellStyle name="PSSpacer 3 4" xfId="10176"/>
    <cellStyle name="PSSpacer 3 4 2" xfId="10177"/>
    <cellStyle name="PSSpacer 3 5" xfId="10178"/>
    <cellStyle name="PSSpacer 4" xfId="10179"/>
    <cellStyle name="PSSpacer 4 2" xfId="10180"/>
    <cellStyle name="PSSpacer 4 2 2" xfId="10181"/>
    <cellStyle name="PSSpacer 4 2 2 2" xfId="10182"/>
    <cellStyle name="PSSpacer 4 2 3" xfId="10183"/>
    <cellStyle name="PSSpacer 4 3" xfId="10184"/>
    <cellStyle name="PSSpacer 4 4" xfId="10185"/>
    <cellStyle name="PSSpacer 4 4 2" xfId="10186"/>
    <cellStyle name="PSSpacer 4 5" xfId="10187"/>
    <cellStyle name="PSSpacer 5" xfId="10188"/>
    <cellStyle name="PSSpacer 6" xfId="10189"/>
    <cellStyle name="PSSpacer 6 2" xfId="10190"/>
    <cellStyle name="PSSpacer 7" xfId="10191"/>
    <cellStyle name="Publication_style" xfId="239"/>
    <cellStyle name="Pullthrough" xfId="10192"/>
    <cellStyle name="Pullthrough 2" xfId="10193"/>
    <cellStyle name="Pullthrough 3" xfId="10194"/>
    <cellStyle name="Pullthrough 3 2" xfId="10195"/>
    <cellStyle name="Pullthrough 4" xfId="10196"/>
    <cellStyle name="Pure Download" xfId="13394"/>
    <cellStyle name="Purple" xfId="10197"/>
    <cellStyle name="Purple 2" xfId="10198"/>
    <cellStyle name="Purple 3" xfId="10199"/>
    <cellStyle name="Purple 3 2" xfId="10200"/>
    <cellStyle name="Purple 4" xfId="10201"/>
    <cellStyle name="r" xfId="10202"/>
    <cellStyle name="r 2" xfId="10203"/>
    <cellStyle name="r 3" xfId="10204"/>
    <cellStyle name="r 3 2" xfId="10205"/>
    <cellStyle name="r 4" xfId="10206"/>
    <cellStyle name="r_DCF_EBITDA" xfId="10207"/>
    <cellStyle name="r_DCF_EBITDA 2" xfId="10208"/>
    <cellStyle name="r_DCF_EBITDA 3" xfId="10209"/>
    <cellStyle name="r_DCF_EBITDA 3 2" xfId="10210"/>
    <cellStyle name="r_DCF_EBITDA 4" xfId="10211"/>
    <cellStyle name="r_DCF_EBITDA_Model v23_PDAv1" xfId="10212"/>
    <cellStyle name="r_DCF_EBITDA_Model v23_PDAv1 2" xfId="10213"/>
    <cellStyle name="r_DCF_EBITDA_Model v23_PDAv1 3" xfId="10214"/>
    <cellStyle name="r_DCF_EBITDA_Model v23_PDAv1 3 2" xfId="10215"/>
    <cellStyle name="r_DCF_EBITDA_Model v23_PDAv1 4" xfId="10216"/>
    <cellStyle name="r_DCF_EBITDA_Model v24" xfId="10217"/>
    <cellStyle name="r_DCF_EBITDA_Model v24 2" xfId="10218"/>
    <cellStyle name="r_DCF_EBITDA_Model v24 3" xfId="10219"/>
    <cellStyle name="r_DCF_EBITDA_Model v24 3 2" xfId="10220"/>
    <cellStyle name="r_DCF_EBITDA_Model v24 4" xfId="10221"/>
    <cellStyle name="r_DCF_EBITDA_Model v28" xfId="10222"/>
    <cellStyle name="r_DCF_EBITDA_Model v28 2" xfId="10223"/>
    <cellStyle name="r_DCF_EBITDA_Model v28 3" xfId="10224"/>
    <cellStyle name="r_DCF_EBITDA_Model v28 3 2" xfId="10225"/>
    <cellStyle name="r_DCF_EBITDA_Model v28 4" xfId="10226"/>
    <cellStyle name="r_DCF_PERPETUITY" xfId="10227"/>
    <cellStyle name="r_DCF_PERPETUITY 2" xfId="10228"/>
    <cellStyle name="r_DCF_PERPETUITY 3" xfId="10229"/>
    <cellStyle name="r_DCF_PERPETUITY 3 2" xfId="10230"/>
    <cellStyle name="r_DCF_PERPETUITY 4" xfId="10231"/>
    <cellStyle name="r_DCF_PERPETUITY_Model v23_PDAv1" xfId="10232"/>
    <cellStyle name="r_DCF_PERPETUITY_Model v23_PDAv1 2" xfId="10233"/>
    <cellStyle name="r_DCF_PERPETUITY_Model v23_PDAv1 3" xfId="10234"/>
    <cellStyle name="r_DCF_PERPETUITY_Model v23_PDAv1 3 2" xfId="10235"/>
    <cellStyle name="r_DCF_PERPETUITY_Model v23_PDAv1 4" xfId="10236"/>
    <cellStyle name="r_DCF_PERPETUITY_Model v24" xfId="10237"/>
    <cellStyle name="r_DCF_PERPETUITY_Model v24 2" xfId="10238"/>
    <cellStyle name="r_DCF_PERPETUITY_Model v24 3" xfId="10239"/>
    <cellStyle name="r_DCF_PERPETUITY_Model v24 3 2" xfId="10240"/>
    <cellStyle name="r_DCF_PERPETUITY_Model v24 4" xfId="10241"/>
    <cellStyle name="r_DCF_PERPETUITY_Model v28" xfId="10242"/>
    <cellStyle name="r_DCF_PERPETUITY_Model v28 2" xfId="10243"/>
    <cellStyle name="r_DCF_PERPETUITY_Model v28 3" xfId="10244"/>
    <cellStyle name="r_DCF_PERPETUITY_Model v28 3 2" xfId="10245"/>
    <cellStyle name="r_DCF_PERPETUITY_Model v28 4" xfId="10246"/>
    <cellStyle name="r_Division" xfId="10247"/>
    <cellStyle name="r_Division 2" xfId="10248"/>
    <cellStyle name="r_Division 3" xfId="10249"/>
    <cellStyle name="r_Division 3 2" xfId="10250"/>
    <cellStyle name="r_Division 4" xfId="10251"/>
    <cellStyle name="r_Division_EBIT" xfId="10252"/>
    <cellStyle name="r_Division_EBIT 2" xfId="10253"/>
    <cellStyle name="r_Division_EBIT 3" xfId="10254"/>
    <cellStyle name="r_Division_EBIT 3 2" xfId="10255"/>
    <cellStyle name="r_Division_EBIT 4" xfId="10256"/>
    <cellStyle name="r_Division_EBIT_Model v23_PDAv1" xfId="10257"/>
    <cellStyle name="r_Division_EBIT_Model v23_PDAv1 2" xfId="10258"/>
    <cellStyle name="r_Division_EBIT_Model v23_PDAv1 3" xfId="10259"/>
    <cellStyle name="r_Division_EBIT_Model v23_PDAv1 3 2" xfId="10260"/>
    <cellStyle name="r_Division_EBIT_Model v23_PDAv1 4" xfId="10261"/>
    <cellStyle name="r_Division_EBIT_Model v24" xfId="10262"/>
    <cellStyle name="r_Division_EBIT_Model v24 2" xfId="10263"/>
    <cellStyle name="r_Division_EBIT_Model v24 3" xfId="10264"/>
    <cellStyle name="r_Division_EBIT_Model v24 3 2" xfId="10265"/>
    <cellStyle name="r_Division_EBIT_Model v24 4" xfId="10266"/>
    <cellStyle name="r_Division_EBIT_Model v28" xfId="10267"/>
    <cellStyle name="r_Division_EBIT_Model v28 2" xfId="10268"/>
    <cellStyle name="r_Division_EBIT_Model v28 3" xfId="10269"/>
    <cellStyle name="r_Division_EBIT_Model v28 3 2" xfId="10270"/>
    <cellStyle name="r_Division_EBIT_Model v28 4" xfId="10271"/>
    <cellStyle name="r_Division_Model v23_PDAv1" xfId="10272"/>
    <cellStyle name="r_Division_Model v23_PDAv1 2" xfId="10273"/>
    <cellStyle name="r_Division_Model v23_PDAv1 3" xfId="10274"/>
    <cellStyle name="r_Division_Model v23_PDAv1 3 2" xfId="10275"/>
    <cellStyle name="r_Division_Model v23_PDAv1 4" xfId="10276"/>
    <cellStyle name="r_Division_Model v24" xfId="10277"/>
    <cellStyle name="r_Division_Model v24 2" xfId="10278"/>
    <cellStyle name="r_Division_Model v24 3" xfId="10279"/>
    <cellStyle name="r_Division_Model v24 3 2" xfId="10280"/>
    <cellStyle name="r_Division_Model v24 4" xfId="10281"/>
    <cellStyle name="r_Division_Model v28" xfId="10282"/>
    <cellStyle name="r_Division_Model v28 2" xfId="10283"/>
    <cellStyle name="r_Division_Model v28 3" xfId="10284"/>
    <cellStyle name="r_Division_Model v28 3 2" xfId="10285"/>
    <cellStyle name="r_Division_Model v28 4" xfId="10286"/>
    <cellStyle name="r_Division_Sales" xfId="10287"/>
    <cellStyle name="r_Division_Sales 2" xfId="10288"/>
    <cellStyle name="r_Division_Sales 3" xfId="10289"/>
    <cellStyle name="r_Division_Sales 3 2" xfId="10290"/>
    <cellStyle name="r_Division_Sales 4" xfId="10291"/>
    <cellStyle name="r_Division_Sales_Model v23_PDAv1" xfId="10292"/>
    <cellStyle name="r_Division_Sales_Model v23_PDAv1 2" xfId="10293"/>
    <cellStyle name="r_Division_Sales_Model v23_PDAv1 3" xfId="10294"/>
    <cellStyle name="r_Division_Sales_Model v23_PDAv1 3 2" xfId="10295"/>
    <cellStyle name="r_Division_Sales_Model v23_PDAv1 4" xfId="10296"/>
    <cellStyle name="r_Division_Sales_Model v24" xfId="10297"/>
    <cellStyle name="r_Division_Sales_Model v24 2" xfId="10298"/>
    <cellStyle name="r_Division_Sales_Model v24 3" xfId="10299"/>
    <cellStyle name="r_Division_Sales_Model v24 3 2" xfId="10300"/>
    <cellStyle name="r_Division_Sales_Model v24 4" xfId="10301"/>
    <cellStyle name="r_Division_Sales_Model v28" xfId="10302"/>
    <cellStyle name="r_Division_Sales_Model v28 2" xfId="10303"/>
    <cellStyle name="r_Division_Sales_Model v28 3" xfId="10304"/>
    <cellStyle name="r_Division_Sales_Model v28 3 2" xfId="10305"/>
    <cellStyle name="r_Division_Sales_Model v28 4" xfId="10306"/>
    <cellStyle name="r_Model v23_PDAv1" xfId="10307"/>
    <cellStyle name="r_Model v23_PDAv1 2" xfId="10308"/>
    <cellStyle name="r_Model v23_PDAv1 3" xfId="10309"/>
    <cellStyle name="r_Model v23_PDAv1 3 2" xfId="10310"/>
    <cellStyle name="r_Model v23_PDAv1 4" xfId="10311"/>
    <cellStyle name="r_Model v24" xfId="10312"/>
    <cellStyle name="r_Model v24 2" xfId="10313"/>
    <cellStyle name="r_Model v24 3" xfId="10314"/>
    <cellStyle name="r_Model v24 3 2" xfId="10315"/>
    <cellStyle name="r_Model v24 4" xfId="10316"/>
    <cellStyle name="r_Model v28" xfId="10317"/>
    <cellStyle name="r_Model v28 2" xfId="10318"/>
    <cellStyle name="r_Model v28 3" xfId="10319"/>
    <cellStyle name="r_Model v28 3 2" xfId="10320"/>
    <cellStyle name="r_Model v28 4" xfId="10321"/>
    <cellStyle name="r_PUBMKT" xfId="10322"/>
    <cellStyle name="r_PUBMKT 2" xfId="10323"/>
    <cellStyle name="r_PUBMKT 3" xfId="10324"/>
    <cellStyle name="r_PUBMKT 3 2" xfId="10325"/>
    <cellStyle name="r_PUBMKT 4" xfId="10326"/>
    <cellStyle name="r_PUBMKT_Model v23_PDAv1" xfId="10327"/>
    <cellStyle name="r_PUBMKT_Model v23_PDAv1 2" xfId="10328"/>
    <cellStyle name="r_PUBMKT_Model v23_PDAv1 3" xfId="10329"/>
    <cellStyle name="r_PUBMKT_Model v23_PDAv1 3 2" xfId="10330"/>
    <cellStyle name="r_PUBMKT_Model v23_PDAv1 4" xfId="10331"/>
    <cellStyle name="r_PUBMKT_Model v24" xfId="10332"/>
    <cellStyle name="r_PUBMKT_Model v24 2" xfId="10333"/>
    <cellStyle name="r_PUBMKT_Model v24 3" xfId="10334"/>
    <cellStyle name="r_PUBMKT_Model v24 3 2" xfId="10335"/>
    <cellStyle name="r_PUBMKT_Model v24 4" xfId="10336"/>
    <cellStyle name="r_PUBMKT_Model v28" xfId="10337"/>
    <cellStyle name="r_PUBMKT_Model v28 2" xfId="10338"/>
    <cellStyle name="r_PUBMKT_Model v28 3" xfId="10339"/>
    <cellStyle name="r_PUBMKT_Model v28 3 2" xfId="10340"/>
    <cellStyle name="r_PUBMKT_Model v28 4" xfId="10341"/>
    <cellStyle name="r_Synergy" xfId="10342"/>
    <cellStyle name="r_Synergy 2" xfId="10343"/>
    <cellStyle name="r_Synergy 3" xfId="10344"/>
    <cellStyle name="r_Synergy 3 2" xfId="10345"/>
    <cellStyle name="r_Synergy 4" xfId="10346"/>
    <cellStyle name="r_Synergy_DCF_EBITDA" xfId="10347"/>
    <cellStyle name="r_Synergy_DCF_EBITDA 2" xfId="10348"/>
    <cellStyle name="r_Synergy_DCF_EBITDA 3" xfId="10349"/>
    <cellStyle name="r_Synergy_DCF_EBITDA 3 2" xfId="10350"/>
    <cellStyle name="r_Synergy_DCF_EBITDA 4" xfId="10351"/>
    <cellStyle name="r_Synergy_DCF_EBITDA_Model v23_PDAv1" xfId="10352"/>
    <cellStyle name="r_Synergy_DCF_EBITDA_Model v23_PDAv1 2" xfId="10353"/>
    <cellStyle name="r_Synergy_DCF_EBITDA_Model v23_PDAv1 3" xfId="10354"/>
    <cellStyle name="r_Synergy_DCF_EBITDA_Model v23_PDAv1 3 2" xfId="10355"/>
    <cellStyle name="r_Synergy_DCF_EBITDA_Model v23_PDAv1 4" xfId="10356"/>
    <cellStyle name="r_Synergy_DCF_EBITDA_Model v24" xfId="10357"/>
    <cellStyle name="r_Synergy_DCF_EBITDA_Model v24 2" xfId="10358"/>
    <cellStyle name="r_Synergy_DCF_EBITDA_Model v24 3" xfId="10359"/>
    <cellStyle name="r_Synergy_DCF_EBITDA_Model v24 3 2" xfId="10360"/>
    <cellStyle name="r_Synergy_DCF_EBITDA_Model v24 4" xfId="10361"/>
    <cellStyle name="r_Synergy_DCF_EBITDA_Model v28" xfId="10362"/>
    <cellStyle name="r_Synergy_DCF_EBITDA_Model v28 2" xfId="10363"/>
    <cellStyle name="r_Synergy_DCF_EBITDA_Model v28 3" xfId="10364"/>
    <cellStyle name="r_Synergy_DCF_EBITDA_Model v28 3 2" xfId="10365"/>
    <cellStyle name="r_Synergy_DCF_EBITDA_Model v28 4" xfId="10366"/>
    <cellStyle name="r_Synergy_DCF_PERPETUITY" xfId="10367"/>
    <cellStyle name="r_Synergy_DCF_PERPETUITY 2" xfId="10368"/>
    <cellStyle name="r_Synergy_DCF_PERPETUITY 3" xfId="10369"/>
    <cellStyle name="r_Synergy_DCF_PERPETUITY 3 2" xfId="10370"/>
    <cellStyle name="r_Synergy_DCF_PERPETUITY 4" xfId="10371"/>
    <cellStyle name="r_Synergy_DCF_PERPETUITY_Model v23_PDAv1" xfId="10372"/>
    <cellStyle name="r_Synergy_DCF_PERPETUITY_Model v23_PDAv1 2" xfId="10373"/>
    <cellStyle name="r_Synergy_DCF_PERPETUITY_Model v23_PDAv1 3" xfId="10374"/>
    <cellStyle name="r_Synergy_DCF_PERPETUITY_Model v23_PDAv1 3 2" xfId="10375"/>
    <cellStyle name="r_Synergy_DCF_PERPETUITY_Model v23_PDAv1 4" xfId="10376"/>
    <cellStyle name="r_Synergy_DCF_PERPETUITY_Model v24" xfId="10377"/>
    <cellStyle name="r_Synergy_DCF_PERPETUITY_Model v24 2" xfId="10378"/>
    <cellStyle name="r_Synergy_DCF_PERPETUITY_Model v24 3" xfId="10379"/>
    <cellStyle name="r_Synergy_DCF_PERPETUITY_Model v24 3 2" xfId="10380"/>
    <cellStyle name="r_Synergy_DCF_PERPETUITY_Model v24 4" xfId="10381"/>
    <cellStyle name="r_Synergy_DCF_PERPETUITY_Model v28" xfId="10382"/>
    <cellStyle name="r_Synergy_DCF_PERPETUITY_Model v28 2" xfId="10383"/>
    <cellStyle name="r_Synergy_DCF_PERPETUITY_Model v28 3" xfId="10384"/>
    <cellStyle name="r_Synergy_DCF_PERPETUITY_Model v28 3 2" xfId="10385"/>
    <cellStyle name="r_Synergy_DCF_PERPETUITY_Model v28 4" xfId="10386"/>
    <cellStyle name="r_Synergy_Division_EBIT" xfId="10387"/>
    <cellStyle name="r_Synergy_Division_EBIT 2" xfId="10388"/>
    <cellStyle name="r_Synergy_Division_EBIT 3" xfId="10389"/>
    <cellStyle name="r_Synergy_Division_EBIT 3 2" xfId="10390"/>
    <cellStyle name="r_Synergy_Division_EBIT 4" xfId="10391"/>
    <cellStyle name="r_Synergy_Division_EBIT_Model v23_PDAv1" xfId="10392"/>
    <cellStyle name="r_Synergy_Division_EBIT_Model v23_PDAv1 2" xfId="10393"/>
    <cellStyle name="r_Synergy_Division_EBIT_Model v23_PDAv1 3" xfId="10394"/>
    <cellStyle name="r_Synergy_Division_EBIT_Model v23_PDAv1 3 2" xfId="10395"/>
    <cellStyle name="r_Synergy_Division_EBIT_Model v23_PDAv1 4" xfId="10396"/>
    <cellStyle name="r_Synergy_Division_EBIT_Model v24" xfId="10397"/>
    <cellStyle name="r_Synergy_Division_EBIT_Model v24 2" xfId="10398"/>
    <cellStyle name="r_Synergy_Division_EBIT_Model v24 3" xfId="10399"/>
    <cellStyle name="r_Synergy_Division_EBIT_Model v24 3 2" xfId="10400"/>
    <cellStyle name="r_Synergy_Division_EBIT_Model v24 4" xfId="10401"/>
    <cellStyle name="r_Synergy_Division_EBIT_Model v28" xfId="10402"/>
    <cellStyle name="r_Synergy_Division_EBIT_Model v28 2" xfId="10403"/>
    <cellStyle name="r_Synergy_Division_EBIT_Model v28 3" xfId="10404"/>
    <cellStyle name="r_Synergy_Division_EBIT_Model v28 3 2" xfId="10405"/>
    <cellStyle name="r_Synergy_Division_EBIT_Model v28 4" xfId="10406"/>
    <cellStyle name="r_Synergy_Division_Sales" xfId="10407"/>
    <cellStyle name="r_Synergy_Division_Sales 2" xfId="10408"/>
    <cellStyle name="r_Synergy_Division_Sales 3" xfId="10409"/>
    <cellStyle name="r_Synergy_Division_Sales 3 2" xfId="10410"/>
    <cellStyle name="r_Synergy_Division_Sales 4" xfId="10411"/>
    <cellStyle name="r_Synergy_Division_Sales_Model v23_PDAv1" xfId="10412"/>
    <cellStyle name="r_Synergy_Division_Sales_Model v23_PDAv1 2" xfId="10413"/>
    <cellStyle name="r_Synergy_Division_Sales_Model v23_PDAv1 3" xfId="10414"/>
    <cellStyle name="r_Synergy_Division_Sales_Model v23_PDAv1 3 2" xfId="10415"/>
    <cellStyle name="r_Synergy_Division_Sales_Model v23_PDAv1 4" xfId="10416"/>
    <cellStyle name="r_Synergy_Division_Sales_Model v24" xfId="10417"/>
    <cellStyle name="r_Synergy_Division_Sales_Model v24 2" xfId="10418"/>
    <cellStyle name="r_Synergy_Division_Sales_Model v24 3" xfId="10419"/>
    <cellStyle name="r_Synergy_Division_Sales_Model v24 3 2" xfId="10420"/>
    <cellStyle name="r_Synergy_Division_Sales_Model v24 4" xfId="10421"/>
    <cellStyle name="r_Synergy_Division_Sales_Model v28" xfId="10422"/>
    <cellStyle name="r_Synergy_Division_Sales_Model v28 2" xfId="10423"/>
    <cellStyle name="r_Synergy_Division_Sales_Model v28 3" xfId="10424"/>
    <cellStyle name="r_Synergy_Division_Sales_Model v28 3 2" xfId="10425"/>
    <cellStyle name="r_Synergy_Division_Sales_Model v28 4" xfId="10426"/>
    <cellStyle name="r_Synergy_Model v23_PDAv1" xfId="10427"/>
    <cellStyle name="r_Synergy_Model v23_PDAv1 2" xfId="10428"/>
    <cellStyle name="r_Synergy_Model v23_PDAv1 3" xfId="10429"/>
    <cellStyle name="r_Synergy_Model v23_PDAv1 3 2" xfId="10430"/>
    <cellStyle name="r_Synergy_Model v23_PDAv1 4" xfId="10431"/>
    <cellStyle name="r_Synergy_Model v24" xfId="10432"/>
    <cellStyle name="r_Synergy_Model v24 2" xfId="10433"/>
    <cellStyle name="r_Synergy_Model v24 3" xfId="10434"/>
    <cellStyle name="r_Synergy_Model v24 3 2" xfId="10435"/>
    <cellStyle name="r_Synergy_Model v24 4" xfId="10436"/>
    <cellStyle name="r_Synergy_Model v28" xfId="10437"/>
    <cellStyle name="r_Synergy_Model v28 2" xfId="10438"/>
    <cellStyle name="r_Synergy_Model v28 3" xfId="10439"/>
    <cellStyle name="r_Synergy_Model v28 3 2" xfId="10440"/>
    <cellStyle name="r_Synergy_Model v28 4" xfId="10441"/>
    <cellStyle name="r_Synergy_Tecnol_Matrix" xfId="10442"/>
    <cellStyle name="r_Synergy_Tecnol_Matrix 2" xfId="10443"/>
    <cellStyle name="r_Synergy_Tecnol_Matrix 3" xfId="10444"/>
    <cellStyle name="r_Synergy_Tecnol_Matrix 3 2" xfId="10445"/>
    <cellStyle name="r_Synergy_Tecnol_Matrix 4" xfId="10446"/>
    <cellStyle name="r_Synergy_Tecnol_Matrix_Model v23_PDAv1" xfId="10447"/>
    <cellStyle name="r_Synergy_Tecnol_Matrix_Model v23_PDAv1 2" xfId="10448"/>
    <cellStyle name="r_Synergy_Tecnol_Matrix_Model v23_PDAv1 3" xfId="10449"/>
    <cellStyle name="r_Synergy_Tecnol_Matrix_Model v23_PDAv1 3 2" xfId="10450"/>
    <cellStyle name="r_Synergy_Tecnol_Matrix_Model v23_PDAv1 4" xfId="10451"/>
    <cellStyle name="r_Synergy_Tecnol_Matrix_Model v24" xfId="10452"/>
    <cellStyle name="r_Synergy_Tecnol_Matrix_Model v24 2" xfId="10453"/>
    <cellStyle name="r_Synergy_Tecnol_Matrix_Model v24 3" xfId="10454"/>
    <cellStyle name="r_Synergy_Tecnol_Matrix_Model v24 3 2" xfId="10455"/>
    <cellStyle name="r_Synergy_Tecnol_Matrix_Model v24 4" xfId="10456"/>
    <cellStyle name="r_Synergy_Tecnol_Matrix_Model v28" xfId="10457"/>
    <cellStyle name="r_Synergy_Tecnol_Matrix_Model v28 2" xfId="10458"/>
    <cellStyle name="r_Synergy_Tecnol_Matrix_Model v28 3" xfId="10459"/>
    <cellStyle name="r_Synergy_Tecnol_Matrix_Model v28 3 2" xfId="10460"/>
    <cellStyle name="r_Synergy_Tecnol_Matrix_Model v28 4" xfId="10461"/>
    <cellStyle name="r_Tecnol_Matrix" xfId="10462"/>
    <cellStyle name="r_Tecnol_Matrix 2" xfId="10463"/>
    <cellStyle name="r_Tecnol_Matrix 3" xfId="10464"/>
    <cellStyle name="r_Tecnol_Matrix 3 2" xfId="10465"/>
    <cellStyle name="r_Tecnol_Matrix 4" xfId="10466"/>
    <cellStyle name="r_Tecnol_Matrix_Model v23_PDAv1" xfId="10467"/>
    <cellStyle name="r_Tecnol_Matrix_Model v23_PDAv1 2" xfId="10468"/>
    <cellStyle name="r_Tecnol_Matrix_Model v23_PDAv1 3" xfId="10469"/>
    <cellStyle name="r_Tecnol_Matrix_Model v23_PDAv1 3 2" xfId="10470"/>
    <cellStyle name="r_Tecnol_Matrix_Model v23_PDAv1 4" xfId="10471"/>
    <cellStyle name="r_Tecnol_Matrix_Model v24" xfId="10472"/>
    <cellStyle name="r_Tecnol_Matrix_Model v24 2" xfId="10473"/>
    <cellStyle name="r_Tecnol_Matrix_Model v24 3" xfId="10474"/>
    <cellStyle name="r_Tecnol_Matrix_Model v24 3 2" xfId="10475"/>
    <cellStyle name="r_Tecnol_Matrix_Model v24 4" xfId="10476"/>
    <cellStyle name="r_Tecnol_Matrix_Model v28" xfId="10477"/>
    <cellStyle name="r_Tecnol_Matrix_Model v28 2" xfId="10478"/>
    <cellStyle name="r_Tecnol_Matrix_Model v28 3" xfId="10479"/>
    <cellStyle name="r_Tecnol_Matrix_Model v28 3 2" xfId="10480"/>
    <cellStyle name="r_Tecnol_Matrix_Model v28 4" xfId="10481"/>
    <cellStyle name="Ratio" xfId="10482"/>
    <cellStyle name="Ratio 2" xfId="10483"/>
    <cellStyle name="Ratio 2 2" xfId="10484"/>
    <cellStyle name="Ratio 2 2 2" xfId="10485"/>
    <cellStyle name="Ratio 2 3" xfId="10486"/>
    <cellStyle name="Ratio 3" xfId="10487"/>
    <cellStyle name="Ratio 4" xfId="10488"/>
    <cellStyle name="Ratio 4 2" xfId="10489"/>
    <cellStyle name="Ratio 5" xfId="10490"/>
    <cellStyle name="Red" xfId="10491"/>
    <cellStyle name="Red 2" xfId="10492"/>
    <cellStyle name="Red 3" xfId="10493"/>
    <cellStyle name="Red 3 2" xfId="10494"/>
    <cellStyle name="Red 4" xfId="10495"/>
    <cellStyle name="Refdb standard" xfId="240"/>
    <cellStyle name="Refdb standard 2" xfId="241"/>
    <cellStyle name="Reference" xfId="10496"/>
    <cellStyle name="Reference 2" xfId="10497"/>
    <cellStyle name="Reference 3" xfId="10498"/>
    <cellStyle name="Reference 3 2" xfId="10499"/>
    <cellStyle name="Reference 4" xfId="10500"/>
    <cellStyle name="ResellerType" xfId="10501"/>
    <cellStyle name="ResellerType 2" xfId="10502"/>
    <cellStyle name="ResellerType 2 2" xfId="10503"/>
    <cellStyle name="ResellerType 2 2 2" xfId="10504"/>
    <cellStyle name="ResellerType 2 2 3" xfId="10505"/>
    <cellStyle name="ResellerType 2 2 3 2" xfId="10506"/>
    <cellStyle name="ResellerType 2 2 4" xfId="10507"/>
    <cellStyle name="ResellerType 2 3" xfId="10508"/>
    <cellStyle name="ResellerType 2 4" xfId="10509"/>
    <cellStyle name="ResellerType 2 4 2" xfId="10510"/>
    <cellStyle name="ResellerType 2 5" xfId="10511"/>
    <cellStyle name="ResellerType 2_6.1 Contingency Allocation" xfId="10512"/>
    <cellStyle name="ResellerType 3" xfId="10513"/>
    <cellStyle name="ResellerType 3 2" xfId="10514"/>
    <cellStyle name="ResellerType 3 3" xfId="10515"/>
    <cellStyle name="ResellerType 3 3 2" xfId="10516"/>
    <cellStyle name="ResellerType 3 4" xfId="10517"/>
    <cellStyle name="ResellerType 4" xfId="10518"/>
    <cellStyle name="ResellerType 5" xfId="10519"/>
    <cellStyle name="ResellerType 5 2" xfId="10520"/>
    <cellStyle name="ResellerType 6" xfId="10521"/>
    <cellStyle name="ResellerType_6.1 Contingency Allocation" xfId="10522"/>
    <cellStyle name="RISKbigPercent" xfId="13395"/>
    <cellStyle name="RISKbigPercent 2" xfId="13576"/>
    <cellStyle name="RISKbigPercent 3" xfId="13642"/>
    <cellStyle name="RISKblandrEdge" xfId="13396"/>
    <cellStyle name="RISKblandrEdge 2" xfId="13577"/>
    <cellStyle name="RISKblandrEdge 3" xfId="13643"/>
    <cellStyle name="RISKblCorner" xfId="13397"/>
    <cellStyle name="RISKblCorner 2" xfId="13578"/>
    <cellStyle name="RISKblCorner 3" xfId="13644"/>
    <cellStyle name="RISKbottomEdge" xfId="13398"/>
    <cellStyle name="RISKbottomEdge 2" xfId="13579"/>
    <cellStyle name="RISKbottomEdge 3" xfId="13645"/>
    <cellStyle name="RISKbrCorner" xfId="13399"/>
    <cellStyle name="RISKbrCorner 2" xfId="13580"/>
    <cellStyle name="RISKbrCorner 3" xfId="13646"/>
    <cellStyle name="RISKdarkBoxed" xfId="13400"/>
    <cellStyle name="RISKdarkBoxed 2" xfId="13581"/>
    <cellStyle name="RISKdarkBoxed 3" xfId="13647"/>
    <cellStyle name="RISKdarkShade" xfId="13401"/>
    <cellStyle name="RISKdarkShade 2" xfId="13582"/>
    <cellStyle name="RISKdarkShade 3" xfId="13648"/>
    <cellStyle name="RISKdbottomEdge" xfId="13402"/>
    <cellStyle name="RISKdbottomEdge 2" xfId="13583"/>
    <cellStyle name="RISKdbottomEdge 3" xfId="13649"/>
    <cellStyle name="RISKdrightEdge" xfId="13403"/>
    <cellStyle name="RISKdrightEdge 2" xfId="13584"/>
    <cellStyle name="RISKdrightEdge 3" xfId="13650"/>
    <cellStyle name="RISKdurationTime" xfId="13404"/>
    <cellStyle name="RISKdurationTime 2" xfId="13585"/>
    <cellStyle name="RISKdurationTime 3" xfId="13651"/>
    <cellStyle name="RiskHasNoActions" xfId="10523"/>
    <cellStyle name="RiskHasNoActions 10" xfId="10524"/>
    <cellStyle name="RiskHasNoActions 10 2" xfId="10525"/>
    <cellStyle name="RiskHasNoActions 10 2 2" xfId="10526"/>
    <cellStyle name="RiskHasNoActions 10 2 2 2" xfId="10527"/>
    <cellStyle name="RiskHasNoActions 10 2 3" xfId="10528"/>
    <cellStyle name="RiskHasNoActions 10 3" xfId="10529"/>
    <cellStyle name="RiskHasNoActions 10 4" xfId="10530"/>
    <cellStyle name="RiskHasNoActions 10 4 2" xfId="10531"/>
    <cellStyle name="RiskHasNoActions 10 5" xfId="10532"/>
    <cellStyle name="RiskHasNoActions 11" xfId="10533"/>
    <cellStyle name="RiskHasNoActions 11 2" xfId="10534"/>
    <cellStyle name="RiskHasNoActions 11 2 2" xfId="10535"/>
    <cellStyle name="RiskHasNoActions 11 2 2 2" xfId="10536"/>
    <cellStyle name="RiskHasNoActions 11 2 3" xfId="10537"/>
    <cellStyle name="RiskHasNoActions 11 3" xfId="10538"/>
    <cellStyle name="RiskHasNoActions 11 4" xfId="10539"/>
    <cellStyle name="RiskHasNoActions 11 4 2" xfId="10540"/>
    <cellStyle name="RiskHasNoActions 11 5" xfId="10541"/>
    <cellStyle name="RiskHasNoActions 12" xfId="10542"/>
    <cellStyle name="RiskHasNoActions 13" xfId="10543"/>
    <cellStyle name="RiskHasNoActions 13 2" xfId="10544"/>
    <cellStyle name="RiskHasNoActions 14" xfId="10545"/>
    <cellStyle name="RiskHasNoActions 2" xfId="10546"/>
    <cellStyle name="RiskHasNoActions 2 2" xfId="10547"/>
    <cellStyle name="RiskHasNoActions 2 2 2" xfId="10548"/>
    <cellStyle name="RiskHasNoActions 2 2 2 2" xfId="10549"/>
    <cellStyle name="RiskHasNoActions 2 2 2 2 2" xfId="10550"/>
    <cellStyle name="RiskHasNoActions 2 2 2 3" xfId="10551"/>
    <cellStyle name="RiskHasNoActions 2 2 3" xfId="10552"/>
    <cellStyle name="RiskHasNoActions 2 2 4" xfId="10553"/>
    <cellStyle name="RiskHasNoActions 2 2 4 2" xfId="10554"/>
    <cellStyle name="RiskHasNoActions 2 2 5" xfId="10555"/>
    <cellStyle name="RiskHasNoActions 2 3" xfId="10556"/>
    <cellStyle name="RiskHasNoActions 2 3 2" xfId="10557"/>
    <cellStyle name="RiskHasNoActions 2 3 2 2" xfId="10558"/>
    <cellStyle name="RiskHasNoActions 2 3 3" xfId="10559"/>
    <cellStyle name="RiskHasNoActions 2 4" xfId="10560"/>
    <cellStyle name="RiskHasNoActions 2 5" xfId="10561"/>
    <cellStyle name="RiskHasNoActions 2 5 2" xfId="10562"/>
    <cellStyle name="RiskHasNoActions 2 6" xfId="10563"/>
    <cellStyle name="RiskHasNoActions 3" xfId="10564"/>
    <cellStyle name="RiskHasNoActions 3 2" xfId="10565"/>
    <cellStyle name="RiskHasNoActions 3 2 2" xfId="10566"/>
    <cellStyle name="RiskHasNoActions 3 2 2 2" xfId="10567"/>
    <cellStyle name="RiskHasNoActions 3 2 2 2 2" xfId="10568"/>
    <cellStyle name="RiskHasNoActions 3 2 2 2 2 2" xfId="10569"/>
    <cellStyle name="RiskHasNoActions 3 2 2 2 3" xfId="10570"/>
    <cellStyle name="RiskHasNoActions 3 2 2 3" xfId="10571"/>
    <cellStyle name="RiskHasNoActions 3 2 2 4" xfId="10572"/>
    <cellStyle name="RiskHasNoActions 3 2 2 4 2" xfId="10573"/>
    <cellStyle name="RiskHasNoActions 3 2 2 5" xfId="10574"/>
    <cellStyle name="RiskHasNoActions 3 2 3" xfId="10575"/>
    <cellStyle name="RiskHasNoActions 3 2 3 2" xfId="10576"/>
    <cellStyle name="RiskHasNoActions 3 2 3 2 2" xfId="10577"/>
    <cellStyle name="RiskHasNoActions 3 2 3 3" xfId="10578"/>
    <cellStyle name="RiskHasNoActions 3 2 4" xfId="10579"/>
    <cellStyle name="RiskHasNoActions 3 2 5" xfId="10580"/>
    <cellStyle name="RiskHasNoActions 3 2 5 2" xfId="10581"/>
    <cellStyle name="RiskHasNoActions 3 2 6" xfId="10582"/>
    <cellStyle name="RiskHasNoActions 3 3" xfId="10583"/>
    <cellStyle name="RiskHasNoActions 3 3 2" xfId="10584"/>
    <cellStyle name="RiskHasNoActions 3 3 2 2" xfId="10585"/>
    <cellStyle name="RiskHasNoActions 3 3 2 2 2" xfId="10586"/>
    <cellStyle name="RiskHasNoActions 3 3 2 3" xfId="10587"/>
    <cellStyle name="RiskHasNoActions 3 3 3" xfId="10588"/>
    <cellStyle name="RiskHasNoActions 3 3 4" xfId="10589"/>
    <cellStyle name="RiskHasNoActions 3 3 4 2" xfId="10590"/>
    <cellStyle name="RiskHasNoActions 3 3 5" xfId="10591"/>
    <cellStyle name="RiskHasNoActions 3 4" xfId="10592"/>
    <cellStyle name="RiskHasNoActions 3 4 2" xfId="10593"/>
    <cellStyle name="RiskHasNoActions 3 4 2 2" xfId="10594"/>
    <cellStyle name="RiskHasNoActions 3 4 3" xfId="10595"/>
    <cellStyle name="RiskHasNoActions 3 5" xfId="10596"/>
    <cellStyle name="RiskHasNoActions 3 6" xfId="10597"/>
    <cellStyle name="RiskHasNoActions 3 6 2" xfId="10598"/>
    <cellStyle name="RiskHasNoActions 3 7" xfId="10599"/>
    <cellStyle name="RiskHasNoActions 3_6.1 Contingency Allocation" xfId="10600"/>
    <cellStyle name="RiskHasNoActions 4" xfId="10601"/>
    <cellStyle name="RiskHasNoActions 4 2" xfId="10602"/>
    <cellStyle name="RiskHasNoActions 4 2 2" xfId="10603"/>
    <cellStyle name="RiskHasNoActions 4 2 2 2" xfId="10604"/>
    <cellStyle name="RiskHasNoActions 4 2 3" xfId="10605"/>
    <cellStyle name="RiskHasNoActions 4 3" xfId="10606"/>
    <cellStyle name="RiskHasNoActions 4 4" xfId="10607"/>
    <cellStyle name="RiskHasNoActions 4 4 2" xfId="10608"/>
    <cellStyle name="RiskHasNoActions 4 5" xfId="10609"/>
    <cellStyle name="RiskHasNoActions 5" xfId="10610"/>
    <cellStyle name="RiskHasNoActions 5 2" xfId="10611"/>
    <cellStyle name="RiskHasNoActions 5 2 2" xfId="10612"/>
    <cellStyle name="RiskHasNoActions 5 2 2 2" xfId="10613"/>
    <cellStyle name="RiskHasNoActions 5 2 3" xfId="10614"/>
    <cellStyle name="RiskHasNoActions 5 3" xfId="10615"/>
    <cellStyle name="RiskHasNoActions 5 4" xfId="10616"/>
    <cellStyle name="RiskHasNoActions 5 4 2" xfId="10617"/>
    <cellStyle name="RiskHasNoActions 5 5" xfId="10618"/>
    <cellStyle name="RiskHasNoActions 6" xfId="10619"/>
    <cellStyle name="RiskHasNoActions 6 2" xfId="10620"/>
    <cellStyle name="RiskHasNoActions 6 2 2" xfId="10621"/>
    <cellStyle name="RiskHasNoActions 6 2 2 2" xfId="10622"/>
    <cellStyle name="RiskHasNoActions 6 2 3" xfId="10623"/>
    <cellStyle name="RiskHasNoActions 6 3" xfId="10624"/>
    <cellStyle name="RiskHasNoActions 6 4" xfId="10625"/>
    <cellStyle name="RiskHasNoActions 6 4 2" xfId="10626"/>
    <cellStyle name="RiskHasNoActions 6 5" xfId="10627"/>
    <cellStyle name="RiskHasNoActions 7" xfId="10628"/>
    <cellStyle name="RiskHasNoActions 7 2" xfId="10629"/>
    <cellStyle name="RiskHasNoActions 7 2 2" xfId="10630"/>
    <cellStyle name="RiskHasNoActions 7 2 2 2" xfId="10631"/>
    <cellStyle name="RiskHasNoActions 7 2 3" xfId="10632"/>
    <cellStyle name="RiskHasNoActions 7 3" xfId="10633"/>
    <cellStyle name="RiskHasNoActions 7 4" xfId="10634"/>
    <cellStyle name="RiskHasNoActions 7 4 2" xfId="10635"/>
    <cellStyle name="RiskHasNoActions 7 5" xfId="10636"/>
    <cellStyle name="RiskHasNoActions 8" xfId="10637"/>
    <cellStyle name="RiskHasNoActions 8 2" xfId="10638"/>
    <cellStyle name="RiskHasNoActions 8 2 2" xfId="10639"/>
    <cellStyle name="RiskHasNoActions 8 2 2 2" xfId="10640"/>
    <cellStyle name="RiskHasNoActions 8 2 3" xfId="10641"/>
    <cellStyle name="RiskHasNoActions 8 3" xfId="10642"/>
    <cellStyle name="RiskHasNoActions 8 4" xfId="10643"/>
    <cellStyle name="RiskHasNoActions 8 4 2" xfId="10644"/>
    <cellStyle name="RiskHasNoActions 8 5" xfId="10645"/>
    <cellStyle name="RiskHasNoActions 9" xfId="10646"/>
    <cellStyle name="RiskHasNoActions 9 2" xfId="10647"/>
    <cellStyle name="RiskHasNoActions 9 2 2" xfId="10648"/>
    <cellStyle name="RiskHasNoActions 9 2 2 2" xfId="10649"/>
    <cellStyle name="RiskHasNoActions 9 2 3" xfId="10650"/>
    <cellStyle name="RiskHasNoActions 9 3" xfId="10651"/>
    <cellStyle name="RiskHasNoActions 9 4" xfId="10652"/>
    <cellStyle name="RiskHasNoActions 9 4 2" xfId="10653"/>
    <cellStyle name="RiskHasNoActions 9 5" xfId="10654"/>
    <cellStyle name="RISKinNumber" xfId="13405"/>
    <cellStyle name="RISKlandrEdge" xfId="13406"/>
    <cellStyle name="RISKlandrEdge 2" xfId="13586"/>
    <cellStyle name="RISKlandrEdge 3" xfId="13652"/>
    <cellStyle name="RISKleftEdge" xfId="13407"/>
    <cellStyle name="RISKleftEdge 2" xfId="13587"/>
    <cellStyle name="RISKleftEdge 3" xfId="13653"/>
    <cellStyle name="RISKlightBoxed" xfId="13408"/>
    <cellStyle name="RISKlightBoxed 2" xfId="13588"/>
    <cellStyle name="RISKlightBoxed 3" xfId="13654"/>
    <cellStyle name="RISKltandbEdge" xfId="13409"/>
    <cellStyle name="RISKltandbEdge 2" xfId="13589"/>
    <cellStyle name="RISKltandbEdge 3" xfId="13655"/>
    <cellStyle name="RISKnormBoxed" xfId="13410"/>
    <cellStyle name="RISKnormBoxed 2" xfId="13590"/>
    <cellStyle name="RISKnormBoxed 3" xfId="13656"/>
    <cellStyle name="RISKnormCenter" xfId="13411"/>
    <cellStyle name="RISKnormCenter 2" xfId="13591"/>
    <cellStyle name="RISKnormCenter 3" xfId="13657"/>
    <cellStyle name="RISKnormHeading" xfId="13412"/>
    <cellStyle name="RISKnormItal" xfId="13413"/>
    <cellStyle name="RISKnormLabel" xfId="10655"/>
    <cellStyle name="RISKnormLabel 2" xfId="10656"/>
    <cellStyle name="RISKnormLabel 3" xfId="10657"/>
    <cellStyle name="RISKnormLabel 3 2" xfId="10658"/>
    <cellStyle name="RISKnormLabel 4" xfId="10659"/>
    <cellStyle name="RISKnormShade" xfId="13414"/>
    <cellStyle name="RISKnormShade 2" xfId="13592"/>
    <cellStyle name="RISKnormShade 3" xfId="13658"/>
    <cellStyle name="RISKnormTitle" xfId="13415"/>
    <cellStyle name="RISKoutNumber" xfId="13416"/>
    <cellStyle name="RISKrightEdge" xfId="13417"/>
    <cellStyle name="RISKrightEdge 2" xfId="13593"/>
    <cellStyle name="RISKrightEdge 3" xfId="13659"/>
    <cellStyle name="RISKrtandbEdge" xfId="13418"/>
    <cellStyle name="RISKrtandbEdge 2" xfId="13594"/>
    <cellStyle name="RISKrtandbEdge 3" xfId="13660"/>
    <cellStyle name="RISKssTime" xfId="13419"/>
    <cellStyle name="RISKssTime 2" xfId="13595"/>
    <cellStyle name="RISKssTime 3" xfId="13661"/>
    <cellStyle name="RISKtandbEdge" xfId="13420"/>
    <cellStyle name="RISKtandbEdge 2" xfId="13596"/>
    <cellStyle name="RISKtandbEdge 3" xfId="13662"/>
    <cellStyle name="RISKtlandrEdge" xfId="13421"/>
    <cellStyle name="RISKtlandrEdge 2" xfId="13597"/>
    <cellStyle name="RISKtlandrEdge 3" xfId="13663"/>
    <cellStyle name="RISKtlCorner" xfId="13422"/>
    <cellStyle name="RISKtlCorner 2" xfId="13598"/>
    <cellStyle name="RISKtlCorner 3" xfId="13664"/>
    <cellStyle name="RISKtopEdge" xfId="13423"/>
    <cellStyle name="RISKtopEdge 2" xfId="13599"/>
    <cellStyle name="RISKtopEdge 3" xfId="13665"/>
    <cellStyle name="RISKtrCorner" xfId="13424"/>
    <cellStyle name="RISKtrCorner 2" xfId="13600"/>
    <cellStyle name="RISKtrCorner 3" xfId="13666"/>
    <cellStyle name="Salomon Logo" xfId="10660"/>
    <cellStyle name="Salomon Logo 2" xfId="10661"/>
    <cellStyle name="Salomon Logo 3" xfId="10662"/>
    <cellStyle name="Salomon Logo 3 2" xfId="10663"/>
    <cellStyle name="Salomon Logo 4" xfId="10664"/>
    <cellStyle name="SAPBEXaggData" xfId="10665"/>
    <cellStyle name="SAPBEXaggData 10" xfId="10666"/>
    <cellStyle name="SAPBEXaggData 11" xfId="10667"/>
    <cellStyle name="SAPBEXaggData 11 2" xfId="10668"/>
    <cellStyle name="SAPBEXaggData 12" xfId="10669"/>
    <cellStyle name="SAPBEXaggData 2" xfId="10670"/>
    <cellStyle name="SAPBEXaggData 2 2" xfId="10671"/>
    <cellStyle name="SAPBEXaggData 2 2 2" xfId="10672"/>
    <cellStyle name="SAPBEXaggData 2 2 3" xfId="10673"/>
    <cellStyle name="SAPBEXaggData 2 2 3 2" xfId="10674"/>
    <cellStyle name="SAPBEXaggData 2 2 4" xfId="10675"/>
    <cellStyle name="SAPBEXaggData 2 3" xfId="10676"/>
    <cellStyle name="SAPBEXaggData 2 3 2" xfId="10677"/>
    <cellStyle name="SAPBEXaggData 2 3 3" xfId="10678"/>
    <cellStyle name="SAPBEXaggData 2 3 3 2" xfId="10679"/>
    <cellStyle name="SAPBEXaggData 2 3 4" xfId="10680"/>
    <cellStyle name="SAPBEXaggData 2 4" xfId="10681"/>
    <cellStyle name="SAPBEXaggData 2 5" xfId="10682"/>
    <cellStyle name="SAPBEXaggData 2 5 2" xfId="10683"/>
    <cellStyle name="SAPBEXaggData 2 6" xfId="10684"/>
    <cellStyle name="SAPBEXaggData 2_6.1 Contingency Allocation" xfId="10685"/>
    <cellStyle name="SAPBEXaggData 3" xfId="10686"/>
    <cellStyle name="SAPBEXaggData 3 2" xfId="10687"/>
    <cellStyle name="SAPBEXaggData 3 2 2" xfId="10688"/>
    <cellStyle name="SAPBEXaggData 3 2 3" xfId="10689"/>
    <cellStyle name="SAPBEXaggData 3 2 3 2" xfId="10690"/>
    <cellStyle name="SAPBEXaggData 3 2 4" xfId="10691"/>
    <cellStyle name="SAPBEXaggData 3 3" xfId="10692"/>
    <cellStyle name="SAPBEXaggData 3 4" xfId="10693"/>
    <cellStyle name="SAPBEXaggData 3 4 2" xfId="10694"/>
    <cellStyle name="SAPBEXaggData 3 5" xfId="10695"/>
    <cellStyle name="SAPBEXaggData 3_6.1 Contingency Allocation" xfId="10696"/>
    <cellStyle name="SAPBEXaggData 4" xfId="10697"/>
    <cellStyle name="SAPBEXaggData 4 2" xfId="10698"/>
    <cellStyle name="SAPBEXaggData 4 3" xfId="10699"/>
    <cellStyle name="SAPBEXaggData 4 3 2" xfId="10700"/>
    <cellStyle name="SAPBEXaggData 4 4" xfId="10701"/>
    <cellStyle name="SAPBEXaggData 5" xfId="10702"/>
    <cellStyle name="SAPBEXaggData 6" xfId="10703"/>
    <cellStyle name="SAPBEXaggData 7" xfId="10704"/>
    <cellStyle name="SAPBEXaggData 8" xfId="10705"/>
    <cellStyle name="SAPBEXaggData 9" xfId="10706"/>
    <cellStyle name="SAPBEXaggDataEmph" xfId="10707"/>
    <cellStyle name="SAPBEXaggDataEmph 2" xfId="10708"/>
    <cellStyle name="SAPBEXaggDataEmph 2 2" xfId="10709"/>
    <cellStyle name="SAPBEXaggDataEmph 2 3" xfId="10710"/>
    <cellStyle name="SAPBEXaggDataEmph 2 3 2" xfId="10711"/>
    <cellStyle name="SAPBEXaggDataEmph 2 4" xfId="10712"/>
    <cellStyle name="SAPBEXaggDataEmph 3" xfId="10713"/>
    <cellStyle name="SAPBEXaggDataEmph 4" xfId="10714"/>
    <cellStyle name="SAPBEXaggDataEmph 4 2" xfId="10715"/>
    <cellStyle name="SAPBEXaggDataEmph 5" xfId="10716"/>
    <cellStyle name="SAPBEXaggItem" xfId="10717"/>
    <cellStyle name="SAPBEXaggItem 10" xfId="10718"/>
    <cellStyle name="SAPBEXaggItem 10 2" xfId="10719"/>
    <cellStyle name="SAPBEXaggItem 10 3" xfId="10720"/>
    <cellStyle name="SAPBEXaggItem 10 3 2" xfId="10721"/>
    <cellStyle name="SAPBEXaggItem 10 4" xfId="10722"/>
    <cellStyle name="SAPBEXaggItem 11" xfId="10723"/>
    <cellStyle name="SAPBEXaggItem 12" xfId="10724"/>
    <cellStyle name="SAPBEXaggItem 12 2" xfId="10725"/>
    <cellStyle name="SAPBEXaggItem 13" xfId="10726"/>
    <cellStyle name="SAPBEXaggItem 2" xfId="10727"/>
    <cellStyle name="SAPBEXaggItem 2 2" xfId="10728"/>
    <cellStyle name="SAPBEXaggItem 2 2 2" xfId="10729"/>
    <cellStyle name="SAPBEXaggItem 2 2 3" xfId="10730"/>
    <cellStyle name="SAPBEXaggItem 2 2 3 2" xfId="10731"/>
    <cellStyle name="SAPBEXaggItem 2 2 4" xfId="10732"/>
    <cellStyle name="SAPBEXaggItem 2 3" xfId="10733"/>
    <cellStyle name="SAPBEXaggItem 2 3 2" xfId="10734"/>
    <cellStyle name="SAPBEXaggItem 2 3 3" xfId="10735"/>
    <cellStyle name="SAPBEXaggItem 2 3 3 2" xfId="10736"/>
    <cellStyle name="SAPBEXaggItem 2 3 4" xfId="10737"/>
    <cellStyle name="SAPBEXaggItem 2 4" xfId="10738"/>
    <cellStyle name="SAPBEXaggItem 2 5" xfId="10739"/>
    <cellStyle name="SAPBEXaggItem 2 5 2" xfId="10740"/>
    <cellStyle name="SAPBEXaggItem 2 6" xfId="10741"/>
    <cellStyle name="SAPBEXaggItem 2_6.1 Contingency Allocation" xfId="10742"/>
    <cellStyle name="SAPBEXaggItem 3" xfId="10743"/>
    <cellStyle name="SAPBEXaggItem 3 2" xfId="10744"/>
    <cellStyle name="SAPBEXaggItem 3 2 2" xfId="10745"/>
    <cellStyle name="SAPBEXaggItem 3 2 3" xfId="10746"/>
    <cellStyle name="SAPBEXaggItem 3 2 3 2" xfId="10747"/>
    <cellStyle name="SAPBEXaggItem 3 2 4" xfId="10748"/>
    <cellStyle name="SAPBEXaggItem 3 3" xfId="10749"/>
    <cellStyle name="SAPBEXaggItem 3 4" xfId="10750"/>
    <cellStyle name="SAPBEXaggItem 3 4 2" xfId="10751"/>
    <cellStyle name="SAPBEXaggItem 3 5" xfId="10752"/>
    <cellStyle name="SAPBEXaggItem 3_6.1 Contingency Allocation" xfId="10753"/>
    <cellStyle name="SAPBEXaggItem 4" xfId="10754"/>
    <cellStyle name="SAPBEXaggItem 4 2" xfId="10755"/>
    <cellStyle name="SAPBEXaggItem 4 3" xfId="10756"/>
    <cellStyle name="SAPBEXaggItem 4 3 2" xfId="10757"/>
    <cellStyle name="SAPBEXaggItem 4 4" xfId="10758"/>
    <cellStyle name="SAPBEXaggItem 5" xfId="10759"/>
    <cellStyle name="SAPBEXaggItem 5 2" xfId="10760"/>
    <cellStyle name="SAPBEXaggItem 5 3" xfId="10761"/>
    <cellStyle name="SAPBEXaggItem 5 3 2" xfId="10762"/>
    <cellStyle name="SAPBEXaggItem 5 4" xfId="10763"/>
    <cellStyle name="SAPBEXaggItem 6" xfId="10764"/>
    <cellStyle name="SAPBEXaggItem 6 2" xfId="10765"/>
    <cellStyle name="SAPBEXaggItem 6 3" xfId="10766"/>
    <cellStyle name="SAPBEXaggItem 6 3 2" xfId="10767"/>
    <cellStyle name="SAPBEXaggItem 6 4" xfId="10768"/>
    <cellStyle name="SAPBEXaggItem 7" xfId="10769"/>
    <cellStyle name="SAPBEXaggItem 7 2" xfId="10770"/>
    <cellStyle name="SAPBEXaggItem 7 3" xfId="10771"/>
    <cellStyle name="SAPBEXaggItem 7 3 2" xfId="10772"/>
    <cellStyle name="SAPBEXaggItem 7 4" xfId="10773"/>
    <cellStyle name="SAPBEXaggItem 8" xfId="10774"/>
    <cellStyle name="SAPBEXaggItem 8 2" xfId="10775"/>
    <cellStyle name="SAPBEXaggItem 8 3" xfId="10776"/>
    <cellStyle name="SAPBEXaggItem 8 3 2" xfId="10777"/>
    <cellStyle name="SAPBEXaggItem 8 4" xfId="10778"/>
    <cellStyle name="SAPBEXaggItem 9" xfId="10779"/>
    <cellStyle name="SAPBEXaggItem 9 2" xfId="10780"/>
    <cellStyle name="SAPBEXaggItem 9 3" xfId="10781"/>
    <cellStyle name="SAPBEXaggItem 9 3 2" xfId="10782"/>
    <cellStyle name="SAPBEXaggItem 9 4" xfId="10783"/>
    <cellStyle name="SAPBEXaggItem_P5 Direct Cost Report by Project" xfId="10784"/>
    <cellStyle name="SAPBEXaggItemX" xfId="10785"/>
    <cellStyle name="SAPBEXaggItemX 2" xfId="10786"/>
    <cellStyle name="SAPBEXaggItemX 2 2" xfId="10787"/>
    <cellStyle name="SAPBEXaggItemX 2 3" xfId="10788"/>
    <cellStyle name="SAPBEXaggItemX 2 3 2" xfId="10789"/>
    <cellStyle name="SAPBEXaggItemX 2 4" xfId="10790"/>
    <cellStyle name="SAPBEXaggItemX 3" xfId="10791"/>
    <cellStyle name="SAPBEXaggItemX 4" xfId="10792"/>
    <cellStyle name="SAPBEXaggItemX 4 2" xfId="10793"/>
    <cellStyle name="SAPBEXaggItemX 5" xfId="10794"/>
    <cellStyle name="SAPBEXchaText" xfId="10795"/>
    <cellStyle name="SAPBEXchaText 10" xfId="10796"/>
    <cellStyle name="SAPBEXchaText 11" xfId="10797"/>
    <cellStyle name="SAPBEXchaText 11 2" xfId="10798"/>
    <cellStyle name="SAPBEXchaText 12" xfId="10799"/>
    <cellStyle name="SAPBEXchaText 2" xfId="10800"/>
    <cellStyle name="SAPBEXchaText 2 2" xfId="10801"/>
    <cellStyle name="SAPBEXchaText 2 2 2" xfId="10802"/>
    <cellStyle name="SAPBEXchaText 2 2 3" xfId="10803"/>
    <cellStyle name="SAPBEXchaText 2 2 3 2" xfId="10804"/>
    <cellStyle name="SAPBEXchaText 2 2 4" xfId="10805"/>
    <cellStyle name="SAPBEXchaText 2 3" xfId="10806"/>
    <cellStyle name="SAPBEXchaText 2 3 2" xfId="10807"/>
    <cellStyle name="SAPBEXchaText 2 3 3" xfId="10808"/>
    <cellStyle name="SAPBEXchaText 2 3 3 2" xfId="10809"/>
    <cellStyle name="SAPBEXchaText 2 3 4" xfId="10810"/>
    <cellStyle name="SAPBEXchaText 2 4" xfId="10811"/>
    <cellStyle name="SAPBEXchaText 2 5" xfId="10812"/>
    <cellStyle name="SAPBEXchaText 2 5 2" xfId="10813"/>
    <cellStyle name="SAPBEXchaText 2 6" xfId="10814"/>
    <cellStyle name="SAPBEXchaText 2_6.1 Contingency Allocation" xfId="10815"/>
    <cellStyle name="SAPBEXchaText 3" xfId="10816"/>
    <cellStyle name="SAPBEXchaText 3 2" xfId="10817"/>
    <cellStyle name="SAPBEXchaText 3 3" xfId="10818"/>
    <cellStyle name="SAPBEXchaText 3 3 2" xfId="10819"/>
    <cellStyle name="SAPBEXchaText 3 4" xfId="10820"/>
    <cellStyle name="SAPBEXchaText 4" xfId="10821"/>
    <cellStyle name="SAPBEXchaText 4 2" xfId="10822"/>
    <cellStyle name="SAPBEXchaText 4 3" xfId="10823"/>
    <cellStyle name="SAPBEXchaText 4 3 2" xfId="10824"/>
    <cellStyle name="SAPBEXchaText 4 4" xfId="10825"/>
    <cellStyle name="SAPBEXchaText 5" xfId="10826"/>
    <cellStyle name="SAPBEXchaText 5 2" xfId="10827"/>
    <cellStyle name="SAPBEXchaText 5 3" xfId="10828"/>
    <cellStyle name="SAPBEXchaText 5 3 2" xfId="10829"/>
    <cellStyle name="SAPBEXchaText 5 4" xfId="10830"/>
    <cellStyle name="SAPBEXchaText 6" xfId="10831"/>
    <cellStyle name="SAPBEXchaText 7" xfId="10832"/>
    <cellStyle name="SAPBEXchaText 8" xfId="10833"/>
    <cellStyle name="SAPBEXchaText 9" xfId="10834"/>
    <cellStyle name="SAPBEXchaText_6.1 Contingency Allocation" xfId="10835"/>
    <cellStyle name="SAPBEXexcBad7" xfId="10836"/>
    <cellStyle name="SAPBEXexcBad7 10" xfId="10837"/>
    <cellStyle name="SAPBEXexcBad7 11" xfId="10838"/>
    <cellStyle name="SAPBEXexcBad7 11 2" xfId="10839"/>
    <cellStyle name="SAPBEXexcBad7 12" xfId="10840"/>
    <cellStyle name="SAPBEXexcBad7 2" xfId="10841"/>
    <cellStyle name="SAPBEXexcBad7 2 2" xfId="10842"/>
    <cellStyle name="SAPBEXexcBad7 2 2 2" xfId="10843"/>
    <cellStyle name="SAPBEXexcBad7 2 2 3" xfId="10844"/>
    <cellStyle name="SAPBEXexcBad7 2 2 3 2" xfId="10845"/>
    <cellStyle name="SAPBEXexcBad7 2 2 4" xfId="10846"/>
    <cellStyle name="SAPBEXexcBad7 2 3" xfId="10847"/>
    <cellStyle name="SAPBEXexcBad7 2 3 2" xfId="10848"/>
    <cellStyle name="SAPBEXexcBad7 2 3 3" xfId="10849"/>
    <cellStyle name="SAPBEXexcBad7 2 3 3 2" xfId="10850"/>
    <cellStyle name="SAPBEXexcBad7 2 3 4" xfId="10851"/>
    <cellStyle name="SAPBEXexcBad7 2 4" xfId="10852"/>
    <cellStyle name="SAPBEXexcBad7 2 5" xfId="10853"/>
    <cellStyle name="SAPBEXexcBad7 2 5 2" xfId="10854"/>
    <cellStyle name="SAPBEXexcBad7 2 6" xfId="10855"/>
    <cellStyle name="SAPBEXexcBad7 2_6.1 Contingency Allocation" xfId="10856"/>
    <cellStyle name="SAPBEXexcBad7 3" xfId="10857"/>
    <cellStyle name="SAPBEXexcBad7 3 2" xfId="10858"/>
    <cellStyle name="SAPBEXexcBad7 3 3" xfId="10859"/>
    <cellStyle name="SAPBEXexcBad7 3 3 2" xfId="10860"/>
    <cellStyle name="SAPBEXexcBad7 3 4" xfId="10861"/>
    <cellStyle name="SAPBEXexcBad7 4" xfId="10862"/>
    <cellStyle name="SAPBEXexcBad7 4 2" xfId="10863"/>
    <cellStyle name="SAPBEXexcBad7 4 3" xfId="10864"/>
    <cellStyle name="SAPBEXexcBad7 4 3 2" xfId="10865"/>
    <cellStyle name="SAPBEXexcBad7 4 4" xfId="10866"/>
    <cellStyle name="SAPBEXexcBad7 5" xfId="10867"/>
    <cellStyle name="SAPBEXexcBad7 5 2" xfId="10868"/>
    <cellStyle name="SAPBEXexcBad7 5 3" xfId="10869"/>
    <cellStyle name="SAPBEXexcBad7 5 3 2" xfId="10870"/>
    <cellStyle name="SAPBEXexcBad7 5 4" xfId="10871"/>
    <cellStyle name="SAPBEXexcBad7 6" xfId="10872"/>
    <cellStyle name="SAPBEXexcBad7 7" xfId="10873"/>
    <cellStyle name="SAPBEXexcBad7 8" xfId="10874"/>
    <cellStyle name="SAPBEXexcBad7 9" xfId="10875"/>
    <cellStyle name="SAPBEXexcBad7_6.1 Contingency Allocation" xfId="10876"/>
    <cellStyle name="SAPBEXexcBad8" xfId="10877"/>
    <cellStyle name="SAPBEXexcBad8 10" xfId="10878"/>
    <cellStyle name="SAPBEXexcBad8 11" xfId="10879"/>
    <cellStyle name="SAPBEXexcBad8 11 2" xfId="10880"/>
    <cellStyle name="SAPBEXexcBad8 12" xfId="10881"/>
    <cellStyle name="SAPBEXexcBad8 2" xfId="10882"/>
    <cellStyle name="SAPBEXexcBad8 2 2" xfId="10883"/>
    <cellStyle name="SAPBEXexcBad8 2 2 2" xfId="10884"/>
    <cellStyle name="SAPBEXexcBad8 2 2 3" xfId="10885"/>
    <cellStyle name="SAPBEXexcBad8 2 2 3 2" xfId="10886"/>
    <cellStyle name="SAPBEXexcBad8 2 2 4" xfId="10887"/>
    <cellStyle name="SAPBEXexcBad8 2 3" xfId="10888"/>
    <cellStyle name="SAPBEXexcBad8 2 4" xfId="10889"/>
    <cellStyle name="SAPBEXexcBad8 2 4 2" xfId="10890"/>
    <cellStyle name="SAPBEXexcBad8 2 5" xfId="10891"/>
    <cellStyle name="SAPBEXexcBad8 2_6.1 Contingency Allocation" xfId="10892"/>
    <cellStyle name="SAPBEXexcBad8 3" xfId="10893"/>
    <cellStyle name="SAPBEXexcBad8 3 2" xfId="10894"/>
    <cellStyle name="SAPBEXexcBad8 3 3" xfId="10895"/>
    <cellStyle name="SAPBEXexcBad8 3 3 2" xfId="10896"/>
    <cellStyle name="SAPBEXexcBad8 3 4" xfId="10897"/>
    <cellStyle name="SAPBEXexcBad8 4" xfId="10898"/>
    <cellStyle name="SAPBEXexcBad8 4 2" xfId="10899"/>
    <cellStyle name="SAPBEXexcBad8 4 3" xfId="10900"/>
    <cellStyle name="SAPBEXexcBad8 4 3 2" xfId="10901"/>
    <cellStyle name="SAPBEXexcBad8 4 4" xfId="10902"/>
    <cellStyle name="SAPBEXexcBad8 5" xfId="10903"/>
    <cellStyle name="SAPBEXexcBad8 6" xfId="10904"/>
    <cellStyle name="SAPBEXexcBad8 7" xfId="10905"/>
    <cellStyle name="SAPBEXexcBad8 8" xfId="10906"/>
    <cellStyle name="SAPBEXexcBad8 9" xfId="10907"/>
    <cellStyle name="SAPBEXexcBad8_6.1 Contingency Allocation" xfId="10908"/>
    <cellStyle name="SAPBEXexcBad9" xfId="10909"/>
    <cellStyle name="SAPBEXexcBad9 10" xfId="10910"/>
    <cellStyle name="SAPBEXexcBad9 11" xfId="10911"/>
    <cellStyle name="SAPBEXexcBad9 11 2" xfId="10912"/>
    <cellStyle name="SAPBEXexcBad9 12" xfId="10913"/>
    <cellStyle name="SAPBEXexcBad9 2" xfId="10914"/>
    <cellStyle name="SAPBEXexcBad9 2 2" xfId="10915"/>
    <cellStyle name="SAPBEXexcBad9 2 2 2" xfId="10916"/>
    <cellStyle name="SAPBEXexcBad9 2 2 3" xfId="10917"/>
    <cellStyle name="SAPBEXexcBad9 2 2 3 2" xfId="10918"/>
    <cellStyle name="SAPBEXexcBad9 2 2 4" xfId="10919"/>
    <cellStyle name="SAPBEXexcBad9 2 3" xfId="10920"/>
    <cellStyle name="SAPBEXexcBad9 2 4" xfId="10921"/>
    <cellStyle name="SAPBEXexcBad9 2 4 2" xfId="10922"/>
    <cellStyle name="SAPBEXexcBad9 2 5" xfId="10923"/>
    <cellStyle name="SAPBEXexcBad9 2_6.1 Contingency Allocation" xfId="10924"/>
    <cellStyle name="SAPBEXexcBad9 3" xfId="10925"/>
    <cellStyle name="SAPBEXexcBad9 3 2" xfId="10926"/>
    <cellStyle name="SAPBEXexcBad9 3 3" xfId="10927"/>
    <cellStyle name="SAPBEXexcBad9 3 3 2" xfId="10928"/>
    <cellStyle name="SAPBEXexcBad9 3 4" xfId="10929"/>
    <cellStyle name="SAPBEXexcBad9 4" xfId="10930"/>
    <cellStyle name="SAPBEXexcBad9 4 2" xfId="10931"/>
    <cellStyle name="SAPBEXexcBad9 4 3" xfId="10932"/>
    <cellStyle name="SAPBEXexcBad9 4 3 2" xfId="10933"/>
    <cellStyle name="SAPBEXexcBad9 4 4" xfId="10934"/>
    <cellStyle name="SAPBEXexcBad9 5" xfId="10935"/>
    <cellStyle name="SAPBEXexcBad9 6" xfId="10936"/>
    <cellStyle name="SAPBEXexcBad9 7" xfId="10937"/>
    <cellStyle name="SAPBEXexcBad9 8" xfId="10938"/>
    <cellStyle name="SAPBEXexcBad9 9" xfId="10939"/>
    <cellStyle name="SAPBEXexcBad9_6.1 Contingency Allocation" xfId="10940"/>
    <cellStyle name="SAPBEXexcCritical4" xfId="10941"/>
    <cellStyle name="SAPBEXexcCritical4 10" xfId="10942"/>
    <cellStyle name="SAPBEXexcCritical4 11" xfId="10943"/>
    <cellStyle name="SAPBEXexcCritical4 11 2" xfId="10944"/>
    <cellStyle name="SAPBEXexcCritical4 12" xfId="10945"/>
    <cellStyle name="SAPBEXexcCritical4 2" xfId="10946"/>
    <cellStyle name="SAPBEXexcCritical4 2 2" xfId="10947"/>
    <cellStyle name="SAPBEXexcCritical4 2 2 2" xfId="10948"/>
    <cellStyle name="SAPBEXexcCritical4 2 2 3" xfId="10949"/>
    <cellStyle name="SAPBEXexcCritical4 2 2 3 2" xfId="10950"/>
    <cellStyle name="SAPBEXexcCritical4 2 2 4" xfId="10951"/>
    <cellStyle name="SAPBEXexcCritical4 2 3" xfId="10952"/>
    <cellStyle name="SAPBEXexcCritical4 2 4" xfId="10953"/>
    <cellStyle name="SAPBEXexcCritical4 2 4 2" xfId="10954"/>
    <cellStyle name="SAPBEXexcCritical4 2 5" xfId="10955"/>
    <cellStyle name="SAPBEXexcCritical4 2_6.1 Contingency Allocation" xfId="10956"/>
    <cellStyle name="SAPBEXexcCritical4 3" xfId="10957"/>
    <cellStyle name="SAPBEXexcCritical4 3 2" xfId="10958"/>
    <cellStyle name="SAPBEXexcCritical4 3 3" xfId="10959"/>
    <cellStyle name="SAPBEXexcCritical4 3 3 2" xfId="10960"/>
    <cellStyle name="SAPBEXexcCritical4 3 4" xfId="10961"/>
    <cellStyle name="SAPBEXexcCritical4 4" xfId="10962"/>
    <cellStyle name="SAPBEXexcCritical4 4 2" xfId="10963"/>
    <cellStyle name="SAPBEXexcCritical4 4 3" xfId="10964"/>
    <cellStyle name="SAPBEXexcCritical4 4 3 2" xfId="10965"/>
    <cellStyle name="SAPBEXexcCritical4 4 4" xfId="10966"/>
    <cellStyle name="SAPBEXexcCritical4 5" xfId="10967"/>
    <cellStyle name="SAPBEXexcCritical4 6" xfId="10968"/>
    <cellStyle name="SAPBEXexcCritical4 7" xfId="10969"/>
    <cellStyle name="SAPBEXexcCritical4 8" xfId="10970"/>
    <cellStyle name="SAPBEXexcCritical4 9" xfId="10971"/>
    <cellStyle name="SAPBEXexcCritical4_6.1 Contingency Allocation" xfId="10972"/>
    <cellStyle name="SAPBEXexcCritical5" xfId="10973"/>
    <cellStyle name="SAPBEXexcCritical5 10" xfId="10974"/>
    <cellStyle name="SAPBEXexcCritical5 11" xfId="10975"/>
    <cellStyle name="SAPBEXexcCritical5 11 2" xfId="10976"/>
    <cellStyle name="SAPBEXexcCritical5 12" xfId="10977"/>
    <cellStyle name="SAPBEXexcCritical5 2" xfId="10978"/>
    <cellStyle name="SAPBEXexcCritical5 2 2" xfId="10979"/>
    <cellStyle name="SAPBEXexcCritical5 2 2 2" xfId="10980"/>
    <cellStyle name="SAPBEXexcCritical5 2 2 3" xfId="10981"/>
    <cellStyle name="SAPBEXexcCritical5 2 2 3 2" xfId="10982"/>
    <cellStyle name="SAPBEXexcCritical5 2 2 4" xfId="10983"/>
    <cellStyle name="SAPBEXexcCritical5 2 3" xfId="10984"/>
    <cellStyle name="SAPBEXexcCritical5 2 4" xfId="10985"/>
    <cellStyle name="SAPBEXexcCritical5 2 4 2" xfId="10986"/>
    <cellStyle name="SAPBEXexcCritical5 2 5" xfId="10987"/>
    <cellStyle name="SAPBEXexcCritical5 2_6.1 Contingency Allocation" xfId="10988"/>
    <cellStyle name="SAPBEXexcCritical5 3" xfId="10989"/>
    <cellStyle name="SAPBEXexcCritical5 3 2" xfId="10990"/>
    <cellStyle name="SAPBEXexcCritical5 3 3" xfId="10991"/>
    <cellStyle name="SAPBEXexcCritical5 3 3 2" xfId="10992"/>
    <cellStyle name="SAPBEXexcCritical5 3 4" xfId="10993"/>
    <cellStyle name="SAPBEXexcCritical5 4" xfId="10994"/>
    <cellStyle name="SAPBEXexcCritical5 4 2" xfId="10995"/>
    <cellStyle name="SAPBEXexcCritical5 4 3" xfId="10996"/>
    <cellStyle name="SAPBEXexcCritical5 4 3 2" xfId="10997"/>
    <cellStyle name="SAPBEXexcCritical5 4 4" xfId="10998"/>
    <cellStyle name="SAPBEXexcCritical5 5" xfId="10999"/>
    <cellStyle name="SAPBEXexcCritical5 6" xfId="11000"/>
    <cellStyle name="SAPBEXexcCritical5 7" xfId="11001"/>
    <cellStyle name="SAPBEXexcCritical5 8" xfId="11002"/>
    <cellStyle name="SAPBEXexcCritical5 9" xfId="11003"/>
    <cellStyle name="SAPBEXexcCritical5_6.1 Contingency Allocation" xfId="11004"/>
    <cellStyle name="SAPBEXexcCritical6" xfId="11005"/>
    <cellStyle name="SAPBEXexcCritical6 10" xfId="11006"/>
    <cellStyle name="SAPBEXexcCritical6 11" xfId="11007"/>
    <cellStyle name="SAPBEXexcCritical6 11 2" xfId="11008"/>
    <cellStyle name="SAPBEXexcCritical6 12" xfId="11009"/>
    <cellStyle name="SAPBEXexcCritical6 2" xfId="11010"/>
    <cellStyle name="SAPBEXexcCritical6 2 2" xfId="11011"/>
    <cellStyle name="SAPBEXexcCritical6 2 2 2" xfId="11012"/>
    <cellStyle name="SAPBEXexcCritical6 2 2 3" xfId="11013"/>
    <cellStyle name="SAPBEXexcCritical6 2 2 3 2" xfId="11014"/>
    <cellStyle name="SAPBEXexcCritical6 2 2 4" xfId="11015"/>
    <cellStyle name="SAPBEXexcCritical6 2 3" xfId="11016"/>
    <cellStyle name="SAPBEXexcCritical6 2 4" xfId="11017"/>
    <cellStyle name="SAPBEXexcCritical6 2 4 2" xfId="11018"/>
    <cellStyle name="SAPBEXexcCritical6 2 5" xfId="11019"/>
    <cellStyle name="SAPBEXexcCritical6 2_6.1 Contingency Allocation" xfId="11020"/>
    <cellStyle name="SAPBEXexcCritical6 3" xfId="11021"/>
    <cellStyle name="SAPBEXexcCritical6 3 2" xfId="11022"/>
    <cellStyle name="SAPBEXexcCritical6 3 3" xfId="11023"/>
    <cellStyle name="SAPBEXexcCritical6 3 3 2" xfId="11024"/>
    <cellStyle name="SAPBEXexcCritical6 3 4" xfId="11025"/>
    <cellStyle name="SAPBEXexcCritical6 4" xfId="11026"/>
    <cellStyle name="SAPBEXexcCritical6 4 2" xfId="11027"/>
    <cellStyle name="SAPBEXexcCritical6 4 3" xfId="11028"/>
    <cellStyle name="SAPBEXexcCritical6 4 3 2" xfId="11029"/>
    <cellStyle name="SAPBEXexcCritical6 4 4" xfId="11030"/>
    <cellStyle name="SAPBEXexcCritical6 5" xfId="11031"/>
    <cellStyle name="SAPBEXexcCritical6 6" xfId="11032"/>
    <cellStyle name="SAPBEXexcCritical6 7" xfId="11033"/>
    <cellStyle name="SAPBEXexcCritical6 8" xfId="11034"/>
    <cellStyle name="SAPBEXexcCritical6 9" xfId="11035"/>
    <cellStyle name="SAPBEXexcCritical6_6.1 Contingency Allocation" xfId="11036"/>
    <cellStyle name="SAPBEXexcGood1" xfId="11037"/>
    <cellStyle name="SAPBEXexcGood1 10" xfId="11038"/>
    <cellStyle name="SAPBEXexcGood1 11" xfId="11039"/>
    <cellStyle name="SAPBEXexcGood1 11 2" xfId="11040"/>
    <cellStyle name="SAPBEXexcGood1 12" xfId="11041"/>
    <cellStyle name="SAPBEXexcGood1 2" xfId="11042"/>
    <cellStyle name="SAPBEXexcGood1 2 2" xfId="11043"/>
    <cellStyle name="SAPBEXexcGood1 2 2 2" xfId="11044"/>
    <cellStyle name="SAPBEXexcGood1 2 2 3" xfId="11045"/>
    <cellStyle name="SAPBEXexcGood1 2 2 3 2" xfId="11046"/>
    <cellStyle name="SAPBEXexcGood1 2 2 4" xfId="11047"/>
    <cellStyle name="SAPBEXexcGood1 2 3" xfId="11048"/>
    <cellStyle name="SAPBEXexcGood1 2 4" xfId="11049"/>
    <cellStyle name="SAPBEXexcGood1 2 4 2" xfId="11050"/>
    <cellStyle name="SAPBEXexcGood1 2 5" xfId="11051"/>
    <cellStyle name="SAPBEXexcGood1 2_6.1 Contingency Allocation" xfId="11052"/>
    <cellStyle name="SAPBEXexcGood1 3" xfId="11053"/>
    <cellStyle name="SAPBEXexcGood1 3 2" xfId="11054"/>
    <cellStyle name="SAPBEXexcGood1 3 3" xfId="11055"/>
    <cellStyle name="SAPBEXexcGood1 3 3 2" xfId="11056"/>
    <cellStyle name="SAPBEXexcGood1 3 4" xfId="11057"/>
    <cellStyle name="SAPBEXexcGood1 4" xfId="11058"/>
    <cellStyle name="SAPBEXexcGood1 4 2" xfId="11059"/>
    <cellStyle name="SAPBEXexcGood1 4 3" xfId="11060"/>
    <cellStyle name="SAPBEXexcGood1 4 3 2" xfId="11061"/>
    <cellStyle name="SAPBEXexcGood1 4 4" xfId="11062"/>
    <cellStyle name="SAPBEXexcGood1 5" xfId="11063"/>
    <cellStyle name="SAPBEXexcGood1 6" xfId="11064"/>
    <cellStyle name="SAPBEXexcGood1 7" xfId="11065"/>
    <cellStyle name="SAPBEXexcGood1 8" xfId="11066"/>
    <cellStyle name="SAPBEXexcGood1 9" xfId="11067"/>
    <cellStyle name="SAPBEXexcGood1_6.1 Contingency Allocation" xfId="11068"/>
    <cellStyle name="SAPBEXexcGood2" xfId="11069"/>
    <cellStyle name="SAPBEXexcGood2 10" xfId="11070"/>
    <cellStyle name="SAPBEXexcGood2 11" xfId="11071"/>
    <cellStyle name="SAPBEXexcGood2 11 2" xfId="11072"/>
    <cellStyle name="SAPBEXexcGood2 12" xfId="11073"/>
    <cellStyle name="SAPBEXexcGood2 2" xfId="11074"/>
    <cellStyle name="SAPBEXexcGood2 2 2" xfId="11075"/>
    <cellStyle name="SAPBEXexcGood2 2 2 2" xfId="11076"/>
    <cellStyle name="SAPBEXexcGood2 2 2 3" xfId="11077"/>
    <cellStyle name="SAPBEXexcGood2 2 2 3 2" xfId="11078"/>
    <cellStyle name="SAPBEXexcGood2 2 2 4" xfId="11079"/>
    <cellStyle name="SAPBEXexcGood2 2 3" xfId="11080"/>
    <cellStyle name="SAPBEXexcGood2 2 4" xfId="11081"/>
    <cellStyle name="SAPBEXexcGood2 2 4 2" xfId="11082"/>
    <cellStyle name="SAPBEXexcGood2 2 5" xfId="11083"/>
    <cellStyle name="SAPBEXexcGood2 2_6.1 Contingency Allocation" xfId="11084"/>
    <cellStyle name="SAPBEXexcGood2 3" xfId="11085"/>
    <cellStyle name="SAPBEXexcGood2 3 2" xfId="11086"/>
    <cellStyle name="SAPBEXexcGood2 3 3" xfId="11087"/>
    <cellStyle name="SAPBEXexcGood2 3 3 2" xfId="11088"/>
    <cellStyle name="SAPBEXexcGood2 3 4" xfId="11089"/>
    <cellStyle name="SAPBEXexcGood2 4" xfId="11090"/>
    <cellStyle name="SAPBEXexcGood2 4 2" xfId="11091"/>
    <cellStyle name="SAPBEXexcGood2 4 3" xfId="11092"/>
    <cellStyle name="SAPBEXexcGood2 4 3 2" xfId="11093"/>
    <cellStyle name="SAPBEXexcGood2 4 4" xfId="11094"/>
    <cellStyle name="SAPBEXexcGood2 5" xfId="11095"/>
    <cellStyle name="SAPBEXexcGood2 6" xfId="11096"/>
    <cellStyle name="SAPBEXexcGood2 7" xfId="11097"/>
    <cellStyle name="SAPBEXexcGood2 8" xfId="11098"/>
    <cellStyle name="SAPBEXexcGood2 9" xfId="11099"/>
    <cellStyle name="SAPBEXexcGood2_6.1 Contingency Allocation" xfId="11100"/>
    <cellStyle name="SAPBEXexcGood3" xfId="11101"/>
    <cellStyle name="SAPBEXexcGood3 10" xfId="11102"/>
    <cellStyle name="SAPBEXexcGood3 11" xfId="11103"/>
    <cellStyle name="SAPBEXexcGood3 11 2" xfId="11104"/>
    <cellStyle name="SAPBEXexcGood3 12" xfId="11105"/>
    <cellStyle name="SAPBEXexcGood3 2" xfId="11106"/>
    <cellStyle name="SAPBEXexcGood3 2 2" xfId="11107"/>
    <cellStyle name="SAPBEXexcGood3 2 2 2" xfId="11108"/>
    <cellStyle name="SAPBEXexcGood3 2 2 3" xfId="11109"/>
    <cellStyle name="SAPBEXexcGood3 2 2 3 2" xfId="11110"/>
    <cellStyle name="SAPBEXexcGood3 2 2 4" xfId="11111"/>
    <cellStyle name="SAPBEXexcGood3 2 3" xfId="11112"/>
    <cellStyle name="SAPBEXexcGood3 2 4" xfId="11113"/>
    <cellStyle name="SAPBEXexcGood3 2 4 2" xfId="11114"/>
    <cellStyle name="SAPBEXexcGood3 2 5" xfId="11115"/>
    <cellStyle name="SAPBEXexcGood3 2_6.1 Contingency Allocation" xfId="11116"/>
    <cellStyle name="SAPBEXexcGood3 3" xfId="11117"/>
    <cellStyle name="SAPBEXexcGood3 3 2" xfId="11118"/>
    <cellStyle name="SAPBEXexcGood3 3 3" xfId="11119"/>
    <cellStyle name="SAPBEXexcGood3 3 3 2" xfId="11120"/>
    <cellStyle name="SAPBEXexcGood3 3 4" xfId="11121"/>
    <cellStyle name="SAPBEXexcGood3 4" xfId="11122"/>
    <cellStyle name="SAPBEXexcGood3 4 2" xfId="11123"/>
    <cellStyle name="SAPBEXexcGood3 4 3" xfId="11124"/>
    <cellStyle name="SAPBEXexcGood3 4 3 2" xfId="11125"/>
    <cellStyle name="SAPBEXexcGood3 4 4" xfId="11126"/>
    <cellStyle name="SAPBEXexcGood3 5" xfId="11127"/>
    <cellStyle name="SAPBEXexcGood3 6" xfId="11128"/>
    <cellStyle name="SAPBEXexcGood3 7" xfId="11129"/>
    <cellStyle name="SAPBEXexcGood3 8" xfId="11130"/>
    <cellStyle name="SAPBEXexcGood3 9" xfId="11131"/>
    <cellStyle name="SAPBEXexcGood3_6.1 Contingency Allocation" xfId="11132"/>
    <cellStyle name="SAPBEXfilterDrill" xfId="11133"/>
    <cellStyle name="SAPBEXfilterDrill 10" xfId="11134"/>
    <cellStyle name="SAPBEXfilterDrill 11" xfId="11135"/>
    <cellStyle name="SAPBEXfilterDrill 11 2" xfId="11136"/>
    <cellStyle name="SAPBEXfilterDrill 12" xfId="11137"/>
    <cellStyle name="SAPBEXfilterDrill 2" xfId="11138"/>
    <cellStyle name="SAPBEXfilterDrill 2 2" xfId="11139"/>
    <cellStyle name="SAPBEXfilterDrill 2 2 2" xfId="11140"/>
    <cellStyle name="SAPBEXfilterDrill 2 2 3" xfId="11141"/>
    <cellStyle name="SAPBEXfilterDrill 2 2 3 2" xfId="11142"/>
    <cellStyle name="SAPBEXfilterDrill 2 2 4" xfId="11143"/>
    <cellStyle name="SAPBEXfilterDrill 2 3" xfId="11144"/>
    <cellStyle name="SAPBEXfilterDrill 2 4" xfId="11145"/>
    <cellStyle name="SAPBEXfilterDrill 2 4 2" xfId="11146"/>
    <cellStyle name="SAPBEXfilterDrill 2 5" xfId="11147"/>
    <cellStyle name="SAPBEXfilterDrill 2_6.1 Contingency Allocation" xfId="11148"/>
    <cellStyle name="SAPBEXfilterDrill 3" xfId="11149"/>
    <cellStyle name="SAPBEXfilterDrill 3 2" xfId="11150"/>
    <cellStyle name="SAPBEXfilterDrill 3 3" xfId="11151"/>
    <cellStyle name="SAPBEXfilterDrill 3 3 2" xfId="11152"/>
    <cellStyle name="SAPBEXfilterDrill 3 4" xfId="11153"/>
    <cellStyle name="SAPBEXfilterDrill 4" xfId="11154"/>
    <cellStyle name="SAPBEXfilterDrill 4 2" xfId="11155"/>
    <cellStyle name="SAPBEXfilterDrill 4 3" xfId="11156"/>
    <cellStyle name="SAPBEXfilterDrill 4 3 2" xfId="11157"/>
    <cellStyle name="SAPBEXfilterDrill 4 4" xfId="11158"/>
    <cellStyle name="SAPBEXfilterDrill 5" xfId="11159"/>
    <cellStyle name="SAPBEXfilterDrill 6" xfId="11160"/>
    <cellStyle name="SAPBEXfilterDrill 7" xfId="11161"/>
    <cellStyle name="SAPBEXfilterDrill 8" xfId="11162"/>
    <cellStyle name="SAPBEXfilterDrill 9" xfId="11163"/>
    <cellStyle name="SAPBEXfilterDrill_6.1 Contingency Allocation" xfId="11164"/>
    <cellStyle name="SAPBEXfilterItem" xfId="11165"/>
    <cellStyle name="SAPBEXfilterItem 2" xfId="11166"/>
    <cellStyle name="SAPBEXfilterItem 2 2" xfId="11167"/>
    <cellStyle name="SAPBEXfilterItem 2 2 2" xfId="11168"/>
    <cellStyle name="SAPBEXfilterItem 2 2 2 2" xfId="11169"/>
    <cellStyle name="SAPBEXfilterItem 2 2 3" xfId="11170"/>
    <cellStyle name="SAPBEXfilterItem 2 3" xfId="11171"/>
    <cellStyle name="SAPBEXfilterItem 2 4" xfId="11172"/>
    <cellStyle name="SAPBEXfilterItem 2 4 2" xfId="11173"/>
    <cellStyle name="SAPBEXfilterItem 2 5" xfId="11174"/>
    <cellStyle name="SAPBEXfilterItem 3" xfId="11175"/>
    <cellStyle name="SAPBEXfilterItem 3 2" xfId="11176"/>
    <cellStyle name="SAPBEXfilterItem 3 3" xfId="11177"/>
    <cellStyle name="SAPBEXfilterItem 3 3 2" xfId="11178"/>
    <cellStyle name="SAPBEXfilterItem 3 4" xfId="11179"/>
    <cellStyle name="SAPBEXfilterItem 4" xfId="11180"/>
    <cellStyle name="SAPBEXfilterItem 4 2" xfId="11181"/>
    <cellStyle name="SAPBEXfilterItem 4 2 2" xfId="11182"/>
    <cellStyle name="SAPBEXfilterItem 4 2 2 2" xfId="11183"/>
    <cellStyle name="SAPBEXfilterItem 4 2 3" xfId="11184"/>
    <cellStyle name="SAPBEXfilterItem 4 3" xfId="11185"/>
    <cellStyle name="SAPBEXfilterItem 4 4" xfId="11186"/>
    <cellStyle name="SAPBEXfilterItem 4 4 2" xfId="11187"/>
    <cellStyle name="SAPBEXfilterItem 4 5" xfId="11188"/>
    <cellStyle name="SAPBEXfilterItem 5" xfId="11189"/>
    <cellStyle name="SAPBEXfilterItem 6" xfId="11190"/>
    <cellStyle name="SAPBEXfilterItem 6 2" xfId="11191"/>
    <cellStyle name="SAPBEXfilterItem 7" xfId="11192"/>
    <cellStyle name="SAPBEXfilterText" xfId="11193"/>
    <cellStyle name="SAPBEXfilterText 2" xfId="11194"/>
    <cellStyle name="SAPBEXfilterText 2 2" xfId="11195"/>
    <cellStyle name="SAPBEXfilterText 2 2 2" xfId="11196"/>
    <cellStyle name="SAPBEXfilterText 2 2 2 2" xfId="11197"/>
    <cellStyle name="SAPBEXfilterText 2 2 3" xfId="11198"/>
    <cellStyle name="SAPBEXfilterText 2 3" xfId="11199"/>
    <cellStyle name="SAPBEXfilterText 2 4" xfId="11200"/>
    <cellStyle name="SAPBEXfilterText 2 4 2" xfId="11201"/>
    <cellStyle name="SAPBEXfilterText 2 5" xfId="11202"/>
    <cellStyle name="SAPBEXfilterText 3" xfId="11203"/>
    <cellStyle name="SAPBEXfilterText 3 2" xfId="11204"/>
    <cellStyle name="SAPBEXfilterText 3 3" xfId="11205"/>
    <cellStyle name="SAPBEXfilterText 3 3 2" xfId="11206"/>
    <cellStyle name="SAPBEXfilterText 3 4" xfId="11207"/>
    <cellStyle name="SAPBEXfilterText 4" xfId="11208"/>
    <cellStyle name="SAPBEXfilterText 5" xfId="11209"/>
    <cellStyle name="SAPBEXfilterText 5 2" xfId="11210"/>
    <cellStyle name="SAPBEXfilterText 6" xfId="11211"/>
    <cellStyle name="SAPBEXformats" xfId="11212"/>
    <cellStyle name="SAPBEXformats 10" xfId="11213"/>
    <cellStyle name="SAPBEXformats 11" xfId="11214"/>
    <cellStyle name="SAPBEXformats 11 2" xfId="11215"/>
    <cellStyle name="SAPBEXformats 12" xfId="11216"/>
    <cellStyle name="SAPBEXformats 2" xfId="11217"/>
    <cellStyle name="SAPBEXformats 2 2" xfId="11218"/>
    <cellStyle name="SAPBEXformats 2 2 2" xfId="11219"/>
    <cellStyle name="SAPBEXformats 2 2 3" xfId="11220"/>
    <cellStyle name="SAPBEXformats 2 2 3 2" xfId="11221"/>
    <cellStyle name="SAPBEXformats 2 2 4" xfId="11222"/>
    <cellStyle name="SAPBEXformats 2 3" xfId="11223"/>
    <cellStyle name="SAPBEXformats 2 4" xfId="11224"/>
    <cellStyle name="SAPBEXformats 2 4 2" xfId="11225"/>
    <cellStyle name="SAPBEXformats 2 5" xfId="11226"/>
    <cellStyle name="SAPBEXformats 2_6.1 Contingency Allocation" xfId="11227"/>
    <cellStyle name="SAPBEXformats 3" xfId="11228"/>
    <cellStyle name="SAPBEXformats 3 2" xfId="11229"/>
    <cellStyle name="SAPBEXformats 3 3" xfId="11230"/>
    <cellStyle name="SAPBEXformats 3 3 2" xfId="11231"/>
    <cellStyle name="SAPBEXformats 3 4" xfId="11232"/>
    <cellStyle name="SAPBEXformats 4" xfId="11233"/>
    <cellStyle name="SAPBEXformats 4 2" xfId="11234"/>
    <cellStyle name="SAPBEXformats 4 3" xfId="11235"/>
    <cellStyle name="SAPBEXformats 4 3 2" xfId="11236"/>
    <cellStyle name="SAPBEXformats 4 4" xfId="11237"/>
    <cellStyle name="SAPBEXformats 5" xfId="11238"/>
    <cellStyle name="SAPBEXformats 5 2" xfId="11239"/>
    <cellStyle name="SAPBEXformats 5 3" xfId="11240"/>
    <cellStyle name="SAPBEXformats 5 3 2" xfId="11241"/>
    <cellStyle name="SAPBEXformats 5 4" xfId="11242"/>
    <cellStyle name="SAPBEXformats 6" xfId="11243"/>
    <cellStyle name="SAPBEXformats 7" xfId="11244"/>
    <cellStyle name="SAPBEXformats 8" xfId="11245"/>
    <cellStyle name="SAPBEXformats 9" xfId="11246"/>
    <cellStyle name="SAPBEXformats_6.1 Contingency Allocation" xfId="11247"/>
    <cellStyle name="SAPBEXheaderItem" xfId="11248"/>
    <cellStyle name="SAPBEXheaderItem 10" xfId="11249"/>
    <cellStyle name="SAPBEXheaderItem 11" xfId="11250"/>
    <cellStyle name="SAPBEXheaderItem 11 2" xfId="11251"/>
    <cellStyle name="SAPBEXheaderItem 12" xfId="11252"/>
    <cellStyle name="SAPBEXheaderItem 2" xfId="11253"/>
    <cellStyle name="SAPBEXheaderItem 2 2" xfId="11254"/>
    <cellStyle name="SAPBEXheaderItem 2 2 2" xfId="11255"/>
    <cellStyle name="SAPBEXheaderItem 2 2 3" xfId="11256"/>
    <cellStyle name="SAPBEXheaderItem 2 2 3 2" xfId="11257"/>
    <cellStyle name="SAPBEXheaderItem 2 2 4" xfId="11258"/>
    <cellStyle name="SAPBEXheaderItem 2 3" xfId="11259"/>
    <cellStyle name="SAPBEXheaderItem 2 4" xfId="11260"/>
    <cellStyle name="SAPBEXheaderItem 2 4 2" xfId="11261"/>
    <cellStyle name="SAPBEXheaderItem 2 5" xfId="11262"/>
    <cellStyle name="SAPBEXheaderItem 2_6.1 Contingency Allocation" xfId="11263"/>
    <cellStyle name="SAPBEXheaderItem 3" xfId="11264"/>
    <cellStyle name="SAPBEXheaderItem 3 2" xfId="11265"/>
    <cellStyle name="SAPBEXheaderItem 3 3" xfId="11266"/>
    <cellStyle name="SAPBEXheaderItem 3 3 2" xfId="11267"/>
    <cellStyle name="SAPBEXheaderItem 3 4" xfId="11268"/>
    <cellStyle name="SAPBEXheaderItem 4" xfId="11269"/>
    <cellStyle name="SAPBEXheaderItem 4 2" xfId="11270"/>
    <cellStyle name="SAPBEXheaderItem 4 3" xfId="11271"/>
    <cellStyle name="SAPBEXheaderItem 4 3 2" xfId="11272"/>
    <cellStyle name="SAPBEXheaderItem 4 4" xfId="11273"/>
    <cellStyle name="SAPBEXheaderItem 5" xfId="11274"/>
    <cellStyle name="SAPBEXheaderItem 5 2" xfId="11275"/>
    <cellStyle name="SAPBEXheaderItem 5 3" xfId="11276"/>
    <cellStyle name="SAPBEXheaderItem 5 3 2" xfId="11277"/>
    <cellStyle name="SAPBEXheaderItem 5 4" xfId="11278"/>
    <cellStyle name="SAPBEXheaderItem 6" xfId="11279"/>
    <cellStyle name="SAPBEXheaderItem 6 2" xfId="11280"/>
    <cellStyle name="SAPBEXheaderItem 6 3" xfId="11281"/>
    <cellStyle name="SAPBEXheaderItem 6 3 2" xfId="11282"/>
    <cellStyle name="SAPBEXheaderItem 6 4" xfId="11283"/>
    <cellStyle name="SAPBEXheaderItem 7" xfId="11284"/>
    <cellStyle name="SAPBEXheaderItem 7 2" xfId="11285"/>
    <cellStyle name="SAPBEXheaderItem 7 3" xfId="11286"/>
    <cellStyle name="SAPBEXheaderItem 7 3 2" xfId="11287"/>
    <cellStyle name="SAPBEXheaderItem 7 4" xfId="11288"/>
    <cellStyle name="SAPBEXheaderItem 8" xfId="11289"/>
    <cellStyle name="SAPBEXheaderItem 8 2" xfId="11290"/>
    <cellStyle name="SAPBEXheaderItem 8 2 2" xfId="11291"/>
    <cellStyle name="SAPBEXheaderItem 8 3" xfId="11292"/>
    <cellStyle name="SAPBEXheaderItem 9" xfId="11293"/>
    <cellStyle name="SAPBEXheaderItem_6.1 Contingency Allocation" xfId="11294"/>
    <cellStyle name="SAPBEXheaderText" xfId="11295"/>
    <cellStyle name="SAPBEXheaderText 10" xfId="11296"/>
    <cellStyle name="SAPBEXheaderText 11" xfId="11297"/>
    <cellStyle name="SAPBEXheaderText 11 2" xfId="11298"/>
    <cellStyle name="SAPBEXheaderText 12" xfId="11299"/>
    <cellStyle name="SAPBEXheaderText 2" xfId="11300"/>
    <cellStyle name="SAPBEXheaderText 2 2" xfId="11301"/>
    <cellStyle name="SAPBEXheaderText 2 2 2" xfId="11302"/>
    <cellStyle name="SAPBEXheaderText 2 2 3" xfId="11303"/>
    <cellStyle name="SAPBEXheaderText 2 2 3 2" xfId="11304"/>
    <cellStyle name="SAPBEXheaderText 2 2 4" xfId="11305"/>
    <cellStyle name="SAPBEXheaderText 2 3" xfId="11306"/>
    <cellStyle name="SAPBEXheaderText 2 4" xfId="11307"/>
    <cellStyle name="SAPBEXheaderText 2 4 2" xfId="11308"/>
    <cellStyle name="SAPBEXheaderText 2 5" xfId="11309"/>
    <cellStyle name="SAPBEXheaderText 2_6.1 Contingency Allocation" xfId="11310"/>
    <cellStyle name="SAPBEXheaderText 3" xfId="11311"/>
    <cellStyle name="SAPBEXheaderText 3 2" xfId="11312"/>
    <cellStyle name="SAPBEXheaderText 3 3" xfId="11313"/>
    <cellStyle name="SAPBEXheaderText 3 3 2" xfId="11314"/>
    <cellStyle name="SAPBEXheaderText 3 4" xfId="11315"/>
    <cellStyle name="SAPBEXheaderText 4" xfId="11316"/>
    <cellStyle name="SAPBEXheaderText 4 2" xfId="11317"/>
    <cellStyle name="SAPBEXheaderText 4 3" xfId="11318"/>
    <cellStyle name="SAPBEXheaderText 4 3 2" xfId="11319"/>
    <cellStyle name="SAPBEXheaderText 4 4" xfId="11320"/>
    <cellStyle name="SAPBEXheaderText 5" xfId="11321"/>
    <cellStyle name="SAPBEXheaderText 5 2" xfId="11322"/>
    <cellStyle name="SAPBEXheaderText 5 3" xfId="11323"/>
    <cellStyle name="SAPBEXheaderText 5 3 2" xfId="11324"/>
    <cellStyle name="SAPBEXheaderText 5 4" xfId="11325"/>
    <cellStyle name="SAPBEXheaderText 6" xfId="11326"/>
    <cellStyle name="SAPBEXheaderText 6 2" xfId="11327"/>
    <cellStyle name="SAPBEXheaderText 6 3" xfId="11328"/>
    <cellStyle name="SAPBEXheaderText 6 3 2" xfId="11329"/>
    <cellStyle name="SAPBEXheaderText 6 4" xfId="11330"/>
    <cellStyle name="SAPBEXheaderText 7" xfId="11331"/>
    <cellStyle name="SAPBEXheaderText 7 2" xfId="11332"/>
    <cellStyle name="SAPBEXheaderText 7 3" xfId="11333"/>
    <cellStyle name="SAPBEXheaderText 7 3 2" xfId="11334"/>
    <cellStyle name="SAPBEXheaderText 7 4" xfId="11335"/>
    <cellStyle name="SAPBEXheaderText 8" xfId="11336"/>
    <cellStyle name="SAPBEXheaderText 8 2" xfId="11337"/>
    <cellStyle name="SAPBEXheaderText 8 2 2" xfId="11338"/>
    <cellStyle name="SAPBEXheaderText 8 3" xfId="11339"/>
    <cellStyle name="SAPBEXheaderText 9" xfId="11340"/>
    <cellStyle name="SAPBEXheaderText_6.1 Contingency Allocation" xfId="11341"/>
    <cellStyle name="SAPBEXHLevel0" xfId="11342"/>
    <cellStyle name="SAPBEXHLevel0 10" xfId="11343"/>
    <cellStyle name="SAPBEXHLevel0 11" xfId="11344"/>
    <cellStyle name="SAPBEXHLevel0 11 2" xfId="11345"/>
    <cellStyle name="SAPBEXHLevel0 12" xfId="11346"/>
    <cellStyle name="SAPBEXHLevel0 2" xfId="11347"/>
    <cellStyle name="SAPBEXHLevel0 2 2" xfId="11348"/>
    <cellStyle name="SAPBEXHLevel0 2 2 2" xfId="11349"/>
    <cellStyle name="SAPBEXHLevel0 2 2 3" xfId="11350"/>
    <cellStyle name="SAPBEXHLevel0 2 2 3 2" xfId="11351"/>
    <cellStyle name="SAPBEXHLevel0 2 2 4" xfId="11352"/>
    <cellStyle name="SAPBEXHLevel0 2 3" xfId="11353"/>
    <cellStyle name="SAPBEXHLevel0 2 4" xfId="11354"/>
    <cellStyle name="SAPBEXHLevel0 2 4 2" xfId="11355"/>
    <cellStyle name="SAPBEXHLevel0 2 5" xfId="11356"/>
    <cellStyle name="SAPBEXHLevel0 2_6.1 Contingency Allocation" xfId="11357"/>
    <cellStyle name="SAPBEXHLevel0 3" xfId="11358"/>
    <cellStyle name="SAPBEXHLevel0 3 2" xfId="11359"/>
    <cellStyle name="SAPBEXHLevel0 3 3" xfId="11360"/>
    <cellStyle name="SAPBEXHLevel0 3 3 2" xfId="11361"/>
    <cellStyle name="SAPBEXHLevel0 3 4" xfId="11362"/>
    <cellStyle name="SAPBEXHLevel0 4" xfId="11363"/>
    <cellStyle name="SAPBEXHLevel0 4 2" xfId="11364"/>
    <cellStyle name="SAPBEXHLevel0 4 3" xfId="11365"/>
    <cellStyle name="SAPBEXHLevel0 4 3 2" xfId="11366"/>
    <cellStyle name="SAPBEXHLevel0 4 4" xfId="11367"/>
    <cellStyle name="SAPBEXHLevel0 5" xfId="11368"/>
    <cellStyle name="SAPBEXHLevel0 5 2" xfId="11369"/>
    <cellStyle name="SAPBEXHLevel0 5 2 2" xfId="11370"/>
    <cellStyle name="SAPBEXHLevel0 5 2 2 2" xfId="11371"/>
    <cellStyle name="SAPBEXHLevel0 5 2 3" xfId="11372"/>
    <cellStyle name="SAPBEXHLevel0 5 3" xfId="11373"/>
    <cellStyle name="SAPBEXHLevel0 5 4" xfId="11374"/>
    <cellStyle name="SAPBEXHLevel0 5 4 2" xfId="11375"/>
    <cellStyle name="SAPBEXHLevel0 5 5" xfId="11376"/>
    <cellStyle name="SAPBEXHLevel0 6" xfId="11377"/>
    <cellStyle name="SAPBEXHLevel0 6 2" xfId="11378"/>
    <cellStyle name="SAPBEXHLevel0 6 2 2" xfId="11379"/>
    <cellStyle name="SAPBEXHLevel0 6 2 2 2" xfId="11380"/>
    <cellStyle name="SAPBEXHLevel0 6 2 3" xfId="11381"/>
    <cellStyle name="SAPBEXHLevel0 6 3" xfId="11382"/>
    <cellStyle name="SAPBEXHLevel0 6 4" xfId="11383"/>
    <cellStyle name="SAPBEXHLevel0 6 4 2" xfId="11384"/>
    <cellStyle name="SAPBEXHLevel0 6 5" xfId="11385"/>
    <cellStyle name="SAPBEXHLevel0 7" xfId="11386"/>
    <cellStyle name="SAPBEXHLevel0 7 2" xfId="11387"/>
    <cellStyle name="SAPBEXHLevel0 7 2 2" xfId="11388"/>
    <cellStyle name="SAPBEXHLevel0 7 2 2 2" xfId="11389"/>
    <cellStyle name="SAPBEXHLevel0 7 2 3" xfId="11390"/>
    <cellStyle name="SAPBEXHLevel0 7 3" xfId="11391"/>
    <cellStyle name="SAPBEXHLevel0 7 4" xfId="11392"/>
    <cellStyle name="SAPBEXHLevel0 7 4 2" xfId="11393"/>
    <cellStyle name="SAPBEXHLevel0 7 5" xfId="11394"/>
    <cellStyle name="SAPBEXHLevel0 8" xfId="11395"/>
    <cellStyle name="SAPBEXHLevel0 9" xfId="11396"/>
    <cellStyle name="SAPBEXHLevel0_6.1 Contingency Allocation" xfId="11397"/>
    <cellStyle name="SAPBEXHLevel0X" xfId="11398"/>
    <cellStyle name="SAPBEXHLevel0X 10" xfId="11399"/>
    <cellStyle name="SAPBEXHLevel0X 11" xfId="11400"/>
    <cellStyle name="SAPBEXHLevel0X 11 2" xfId="11401"/>
    <cellStyle name="SAPBEXHLevel0X 12" xfId="11402"/>
    <cellStyle name="SAPBEXHLevel0X 2" xfId="11403"/>
    <cellStyle name="SAPBEXHLevel0X 2 2" xfId="11404"/>
    <cellStyle name="SAPBEXHLevel0X 2 2 2" xfId="11405"/>
    <cellStyle name="SAPBEXHLevel0X 2 2 3" xfId="11406"/>
    <cellStyle name="SAPBEXHLevel0X 2 2 3 2" xfId="11407"/>
    <cellStyle name="SAPBEXHLevel0X 2 2 4" xfId="11408"/>
    <cellStyle name="SAPBEXHLevel0X 2 3" xfId="11409"/>
    <cellStyle name="SAPBEXHLevel0X 2 4" xfId="11410"/>
    <cellStyle name="SAPBEXHLevel0X 2 4 2" xfId="11411"/>
    <cellStyle name="SAPBEXHLevel0X 2 5" xfId="11412"/>
    <cellStyle name="SAPBEXHLevel0X 2_6.1 Contingency Allocation" xfId="11413"/>
    <cellStyle name="SAPBEXHLevel0X 3" xfId="11414"/>
    <cellStyle name="SAPBEXHLevel0X 3 2" xfId="11415"/>
    <cellStyle name="SAPBEXHLevel0X 3 3" xfId="11416"/>
    <cellStyle name="SAPBEXHLevel0X 3 3 2" xfId="11417"/>
    <cellStyle name="SAPBEXHLevel0X 3 4" xfId="11418"/>
    <cellStyle name="SAPBEXHLevel0X 4" xfId="11419"/>
    <cellStyle name="SAPBEXHLevel0X 4 2" xfId="11420"/>
    <cellStyle name="SAPBEXHLevel0X 4 2 2" xfId="11421"/>
    <cellStyle name="SAPBEXHLevel0X 4 2 2 2" xfId="11422"/>
    <cellStyle name="SAPBEXHLevel0X 4 2 3" xfId="11423"/>
    <cellStyle name="SAPBEXHLevel0X 4 3" xfId="11424"/>
    <cellStyle name="SAPBEXHLevel0X 4 4" xfId="11425"/>
    <cellStyle name="SAPBEXHLevel0X 4 4 2" xfId="11426"/>
    <cellStyle name="SAPBEXHLevel0X 4 5" xfId="11427"/>
    <cellStyle name="SAPBEXHLevel0X 5" xfId="11428"/>
    <cellStyle name="SAPBEXHLevel0X 5 2" xfId="11429"/>
    <cellStyle name="SAPBEXHLevel0X 5 2 2" xfId="11430"/>
    <cellStyle name="SAPBEXHLevel0X 5 2 2 2" xfId="11431"/>
    <cellStyle name="SAPBEXHLevel0X 5 2 3" xfId="11432"/>
    <cellStyle name="SAPBEXHLevel0X 5 3" xfId="11433"/>
    <cellStyle name="SAPBEXHLevel0X 5 4" xfId="11434"/>
    <cellStyle name="SAPBEXHLevel0X 5 4 2" xfId="11435"/>
    <cellStyle name="SAPBEXHLevel0X 5 5" xfId="11436"/>
    <cellStyle name="SAPBEXHLevel0X 6" xfId="11437"/>
    <cellStyle name="SAPBEXHLevel0X 6 2" xfId="11438"/>
    <cellStyle name="SAPBEXHLevel0X 6 2 2" xfId="11439"/>
    <cellStyle name="SAPBEXHLevel0X 6 2 2 2" xfId="11440"/>
    <cellStyle name="SAPBEXHLevel0X 6 2 3" xfId="11441"/>
    <cellStyle name="SAPBEXHLevel0X 6 3" xfId="11442"/>
    <cellStyle name="SAPBEXHLevel0X 6 4" xfId="11443"/>
    <cellStyle name="SAPBEXHLevel0X 6 4 2" xfId="11444"/>
    <cellStyle name="SAPBEXHLevel0X 6 5" xfId="11445"/>
    <cellStyle name="SAPBEXHLevel0X 7" xfId="11446"/>
    <cellStyle name="SAPBEXHLevel0X 8" xfId="11447"/>
    <cellStyle name="SAPBEXHLevel0X 9" xfId="11448"/>
    <cellStyle name="SAPBEXHLevel0X_6.1 Contingency Allocation" xfId="11449"/>
    <cellStyle name="SAPBEXHLevel1" xfId="11450"/>
    <cellStyle name="SAPBEXHLevel1 10" xfId="11451"/>
    <cellStyle name="SAPBEXHLevel1 11" xfId="11452"/>
    <cellStyle name="SAPBEXHLevel1 11 2" xfId="11453"/>
    <cellStyle name="SAPBEXHLevel1 12" xfId="11454"/>
    <cellStyle name="SAPBEXHLevel1 2" xfId="11455"/>
    <cellStyle name="SAPBEXHLevel1 2 2" xfId="11456"/>
    <cellStyle name="SAPBEXHLevel1 2 2 2" xfId="11457"/>
    <cellStyle name="SAPBEXHLevel1 2 2 3" xfId="11458"/>
    <cellStyle name="SAPBEXHLevel1 2 2 3 2" xfId="11459"/>
    <cellStyle name="SAPBEXHLevel1 2 2 4" xfId="11460"/>
    <cellStyle name="SAPBEXHLevel1 2 3" xfId="11461"/>
    <cellStyle name="SAPBEXHLevel1 2 4" xfId="11462"/>
    <cellStyle name="SAPBEXHLevel1 2 4 2" xfId="11463"/>
    <cellStyle name="SAPBEXHLevel1 2 5" xfId="11464"/>
    <cellStyle name="SAPBEXHLevel1 2_6.1 Contingency Allocation" xfId="11465"/>
    <cellStyle name="SAPBEXHLevel1 3" xfId="11466"/>
    <cellStyle name="SAPBEXHLevel1 3 2" xfId="11467"/>
    <cellStyle name="SAPBEXHLevel1 3 3" xfId="11468"/>
    <cellStyle name="SAPBEXHLevel1 3 3 2" xfId="11469"/>
    <cellStyle name="SAPBEXHLevel1 3 4" xfId="11470"/>
    <cellStyle name="SAPBEXHLevel1 4" xfId="11471"/>
    <cellStyle name="SAPBEXHLevel1 4 2" xfId="11472"/>
    <cellStyle name="SAPBEXHLevel1 4 3" xfId="11473"/>
    <cellStyle name="SAPBEXHLevel1 4 3 2" xfId="11474"/>
    <cellStyle name="SAPBEXHLevel1 4 4" xfId="11475"/>
    <cellStyle name="SAPBEXHLevel1 5" xfId="11476"/>
    <cellStyle name="SAPBEXHLevel1 5 2" xfId="11477"/>
    <cellStyle name="SAPBEXHLevel1 5 2 2" xfId="11478"/>
    <cellStyle name="SAPBEXHLevel1 5 2 2 2" xfId="11479"/>
    <cellStyle name="SAPBEXHLevel1 5 2 3" xfId="11480"/>
    <cellStyle name="SAPBEXHLevel1 5 3" xfId="11481"/>
    <cellStyle name="SAPBEXHLevel1 5 4" xfId="11482"/>
    <cellStyle name="SAPBEXHLevel1 5 4 2" xfId="11483"/>
    <cellStyle name="SAPBEXHLevel1 5 5" xfId="11484"/>
    <cellStyle name="SAPBEXHLevel1 6" xfId="11485"/>
    <cellStyle name="SAPBEXHLevel1 6 2" xfId="11486"/>
    <cellStyle name="SAPBEXHLevel1 6 2 2" xfId="11487"/>
    <cellStyle name="SAPBEXHLevel1 6 2 2 2" xfId="11488"/>
    <cellStyle name="SAPBEXHLevel1 6 2 3" xfId="11489"/>
    <cellStyle name="SAPBEXHLevel1 6 3" xfId="11490"/>
    <cellStyle name="SAPBEXHLevel1 6 4" xfId="11491"/>
    <cellStyle name="SAPBEXHLevel1 6 4 2" xfId="11492"/>
    <cellStyle name="SAPBEXHLevel1 6 5" xfId="11493"/>
    <cellStyle name="SAPBEXHLevel1 7" xfId="11494"/>
    <cellStyle name="SAPBEXHLevel1 7 2" xfId="11495"/>
    <cellStyle name="SAPBEXHLevel1 7 2 2" xfId="11496"/>
    <cellStyle name="SAPBEXHLevel1 7 2 2 2" xfId="11497"/>
    <cellStyle name="SAPBEXHLevel1 7 2 3" xfId="11498"/>
    <cellStyle name="SAPBEXHLevel1 7 3" xfId="11499"/>
    <cellStyle name="SAPBEXHLevel1 7 4" xfId="11500"/>
    <cellStyle name="SAPBEXHLevel1 7 4 2" xfId="11501"/>
    <cellStyle name="SAPBEXHLevel1 7 5" xfId="11502"/>
    <cellStyle name="SAPBEXHLevel1 8" xfId="11503"/>
    <cellStyle name="SAPBEXHLevel1 9" xfId="11504"/>
    <cellStyle name="SAPBEXHLevel1_6.1 Contingency Allocation" xfId="11505"/>
    <cellStyle name="SAPBEXHLevel1X" xfId="11506"/>
    <cellStyle name="SAPBEXHLevel1X 10" xfId="11507"/>
    <cellStyle name="SAPBEXHLevel1X 11" xfId="11508"/>
    <cellStyle name="SAPBEXHLevel1X 11 2" xfId="11509"/>
    <cellStyle name="SAPBEXHLevel1X 12" xfId="11510"/>
    <cellStyle name="SAPBEXHLevel1X 2" xfId="11511"/>
    <cellStyle name="SAPBEXHLevel1X 2 2" xfId="11512"/>
    <cellStyle name="SAPBEXHLevel1X 2 2 2" xfId="11513"/>
    <cellStyle name="SAPBEXHLevel1X 2 2 3" xfId="11514"/>
    <cellStyle name="SAPBEXHLevel1X 2 2 3 2" xfId="11515"/>
    <cellStyle name="SAPBEXHLevel1X 2 2 4" xfId="11516"/>
    <cellStyle name="SAPBEXHLevel1X 2 3" xfId="11517"/>
    <cellStyle name="SAPBEXHLevel1X 2 4" xfId="11518"/>
    <cellStyle name="SAPBEXHLevel1X 2 4 2" xfId="11519"/>
    <cellStyle name="SAPBEXHLevel1X 2 5" xfId="11520"/>
    <cellStyle name="SAPBEXHLevel1X 2_6.1 Contingency Allocation" xfId="11521"/>
    <cellStyle name="SAPBEXHLevel1X 3" xfId="11522"/>
    <cellStyle name="SAPBEXHLevel1X 3 2" xfId="11523"/>
    <cellStyle name="SAPBEXHLevel1X 3 3" xfId="11524"/>
    <cellStyle name="SAPBEXHLevel1X 3 3 2" xfId="11525"/>
    <cellStyle name="SAPBEXHLevel1X 3 4" xfId="11526"/>
    <cellStyle name="SAPBEXHLevel1X 4" xfId="11527"/>
    <cellStyle name="SAPBEXHLevel1X 4 2" xfId="11528"/>
    <cellStyle name="SAPBEXHLevel1X 4 2 2" xfId="11529"/>
    <cellStyle name="SAPBEXHLevel1X 4 2 2 2" xfId="11530"/>
    <cellStyle name="SAPBEXHLevel1X 4 2 3" xfId="11531"/>
    <cellStyle name="SAPBEXHLevel1X 4 3" xfId="11532"/>
    <cellStyle name="SAPBEXHLevel1X 4 4" xfId="11533"/>
    <cellStyle name="SAPBEXHLevel1X 4 4 2" xfId="11534"/>
    <cellStyle name="SAPBEXHLevel1X 4 5" xfId="11535"/>
    <cellStyle name="SAPBEXHLevel1X 5" xfId="11536"/>
    <cellStyle name="SAPBEXHLevel1X 5 2" xfId="11537"/>
    <cellStyle name="SAPBEXHLevel1X 5 2 2" xfId="11538"/>
    <cellStyle name="SAPBEXHLevel1X 5 2 2 2" xfId="11539"/>
    <cellStyle name="SAPBEXHLevel1X 5 2 3" xfId="11540"/>
    <cellStyle name="SAPBEXHLevel1X 5 3" xfId="11541"/>
    <cellStyle name="SAPBEXHLevel1X 5 4" xfId="11542"/>
    <cellStyle name="SAPBEXHLevel1X 5 4 2" xfId="11543"/>
    <cellStyle name="SAPBEXHLevel1X 5 5" xfId="11544"/>
    <cellStyle name="SAPBEXHLevel1X 6" xfId="11545"/>
    <cellStyle name="SAPBEXHLevel1X 6 2" xfId="11546"/>
    <cellStyle name="SAPBEXHLevel1X 6 2 2" xfId="11547"/>
    <cellStyle name="SAPBEXHLevel1X 6 2 2 2" xfId="11548"/>
    <cellStyle name="SAPBEXHLevel1X 6 2 3" xfId="11549"/>
    <cellStyle name="SAPBEXHLevel1X 6 3" xfId="11550"/>
    <cellStyle name="SAPBEXHLevel1X 6 4" xfId="11551"/>
    <cellStyle name="SAPBEXHLevel1X 6 4 2" xfId="11552"/>
    <cellStyle name="SAPBEXHLevel1X 6 5" xfId="11553"/>
    <cellStyle name="SAPBEXHLevel1X 7" xfId="11554"/>
    <cellStyle name="SAPBEXHLevel1X 8" xfId="11555"/>
    <cellStyle name="SAPBEXHLevel1X 9" xfId="11556"/>
    <cellStyle name="SAPBEXHLevel1X_6.1 Contingency Allocation" xfId="11557"/>
    <cellStyle name="SAPBEXHLevel2" xfId="11558"/>
    <cellStyle name="SAPBEXHLevel2 10" xfId="11559"/>
    <cellStyle name="SAPBEXHLevel2 11" xfId="11560"/>
    <cellStyle name="SAPBEXHLevel2 11 2" xfId="11561"/>
    <cellStyle name="SAPBEXHLevel2 12" xfId="11562"/>
    <cellStyle name="SAPBEXHLevel2 2" xfId="11563"/>
    <cellStyle name="SAPBEXHLevel2 2 2" xfId="11564"/>
    <cellStyle name="SAPBEXHLevel2 2 2 2" xfId="11565"/>
    <cellStyle name="SAPBEXHLevel2 2 2 3" xfId="11566"/>
    <cellStyle name="SAPBEXHLevel2 2 2 3 2" xfId="11567"/>
    <cellStyle name="SAPBEXHLevel2 2 2 4" xfId="11568"/>
    <cellStyle name="SAPBEXHLevel2 2 3" xfId="11569"/>
    <cellStyle name="SAPBEXHLevel2 2 4" xfId="11570"/>
    <cellStyle name="SAPBEXHLevel2 2 4 2" xfId="11571"/>
    <cellStyle name="SAPBEXHLevel2 2 5" xfId="11572"/>
    <cellStyle name="SAPBEXHLevel2 2_6.1 Contingency Allocation" xfId="11573"/>
    <cellStyle name="SAPBEXHLevel2 3" xfId="11574"/>
    <cellStyle name="SAPBEXHLevel2 3 2" xfId="11575"/>
    <cellStyle name="SAPBEXHLevel2 3 3" xfId="11576"/>
    <cellStyle name="SAPBEXHLevel2 3 3 2" xfId="11577"/>
    <cellStyle name="SAPBEXHLevel2 3 4" xfId="11578"/>
    <cellStyle name="SAPBEXHLevel2 4" xfId="11579"/>
    <cellStyle name="SAPBEXHLevel2 4 2" xfId="11580"/>
    <cellStyle name="SAPBEXHLevel2 4 3" xfId="11581"/>
    <cellStyle name="SAPBEXHLevel2 4 3 2" xfId="11582"/>
    <cellStyle name="SAPBEXHLevel2 4 4" xfId="11583"/>
    <cellStyle name="SAPBEXHLevel2 5" xfId="11584"/>
    <cellStyle name="SAPBEXHLevel2 5 2" xfId="11585"/>
    <cellStyle name="SAPBEXHLevel2 5 2 2" xfId="11586"/>
    <cellStyle name="SAPBEXHLevel2 5 2 2 2" xfId="11587"/>
    <cellStyle name="SAPBEXHLevel2 5 2 3" xfId="11588"/>
    <cellStyle name="SAPBEXHLevel2 5 3" xfId="11589"/>
    <cellStyle name="SAPBEXHLevel2 5 4" xfId="11590"/>
    <cellStyle name="SAPBEXHLevel2 5 4 2" xfId="11591"/>
    <cellStyle name="SAPBEXHLevel2 5 5" xfId="11592"/>
    <cellStyle name="SAPBEXHLevel2 6" xfId="11593"/>
    <cellStyle name="SAPBEXHLevel2 6 2" xfId="11594"/>
    <cellStyle name="SAPBEXHLevel2 6 2 2" xfId="11595"/>
    <cellStyle name="SAPBEXHLevel2 6 2 2 2" xfId="11596"/>
    <cellStyle name="SAPBEXHLevel2 6 2 3" xfId="11597"/>
    <cellStyle name="SAPBEXHLevel2 6 3" xfId="11598"/>
    <cellStyle name="SAPBEXHLevel2 6 4" xfId="11599"/>
    <cellStyle name="SAPBEXHLevel2 6 4 2" xfId="11600"/>
    <cellStyle name="SAPBEXHLevel2 6 5" xfId="11601"/>
    <cellStyle name="SAPBEXHLevel2 7" xfId="11602"/>
    <cellStyle name="SAPBEXHLevel2 7 2" xfId="11603"/>
    <cellStyle name="SAPBEXHLevel2 7 2 2" xfId="11604"/>
    <cellStyle name="SAPBEXHLevel2 7 2 2 2" xfId="11605"/>
    <cellStyle name="SAPBEXHLevel2 7 2 3" xfId="11606"/>
    <cellStyle name="SAPBEXHLevel2 7 3" xfId="11607"/>
    <cellStyle name="SAPBEXHLevel2 7 4" xfId="11608"/>
    <cellStyle name="SAPBEXHLevel2 7 4 2" xfId="11609"/>
    <cellStyle name="SAPBEXHLevel2 7 5" xfId="11610"/>
    <cellStyle name="SAPBEXHLevel2 8" xfId="11611"/>
    <cellStyle name="SAPBEXHLevel2 9" xfId="11612"/>
    <cellStyle name="SAPBEXHLevel2_6.1 Contingency Allocation" xfId="11613"/>
    <cellStyle name="SAPBEXHLevel2X" xfId="11614"/>
    <cellStyle name="SAPBEXHLevel2X 10" xfId="11615"/>
    <cellStyle name="SAPBEXHLevel2X 11" xfId="11616"/>
    <cellStyle name="SAPBEXHLevel2X 11 2" xfId="11617"/>
    <cellStyle name="SAPBEXHLevel2X 12" xfId="11618"/>
    <cellStyle name="SAPBEXHLevel2X 2" xfId="11619"/>
    <cellStyle name="SAPBEXHLevel2X 2 2" xfId="11620"/>
    <cellStyle name="SAPBEXHLevel2X 2 2 2" xfId="11621"/>
    <cellStyle name="SAPBEXHLevel2X 2 2 3" xfId="11622"/>
    <cellStyle name="SAPBEXHLevel2X 2 2 3 2" xfId="11623"/>
    <cellStyle name="SAPBEXHLevel2X 2 2 4" xfId="11624"/>
    <cellStyle name="SAPBEXHLevel2X 2 3" xfId="11625"/>
    <cellStyle name="SAPBEXHLevel2X 2 4" xfId="11626"/>
    <cellStyle name="SAPBEXHLevel2X 2 4 2" xfId="11627"/>
    <cellStyle name="SAPBEXHLevel2X 2 5" xfId="11628"/>
    <cellStyle name="SAPBEXHLevel2X 2_6.1 Contingency Allocation" xfId="11629"/>
    <cellStyle name="SAPBEXHLevel2X 3" xfId="11630"/>
    <cellStyle name="SAPBEXHLevel2X 3 2" xfId="11631"/>
    <cellStyle name="SAPBEXHLevel2X 3 3" xfId="11632"/>
    <cellStyle name="SAPBEXHLevel2X 3 3 2" xfId="11633"/>
    <cellStyle name="SAPBEXHLevel2X 3 4" xfId="11634"/>
    <cellStyle name="SAPBEXHLevel2X 4" xfId="11635"/>
    <cellStyle name="SAPBEXHLevel2X 4 2" xfId="11636"/>
    <cellStyle name="SAPBEXHLevel2X 4 2 2" xfId="11637"/>
    <cellStyle name="SAPBEXHLevel2X 4 2 2 2" xfId="11638"/>
    <cellStyle name="SAPBEXHLevel2X 4 2 3" xfId="11639"/>
    <cellStyle name="SAPBEXHLevel2X 4 3" xfId="11640"/>
    <cellStyle name="SAPBEXHLevel2X 4 4" xfId="11641"/>
    <cellStyle name="SAPBEXHLevel2X 4 4 2" xfId="11642"/>
    <cellStyle name="SAPBEXHLevel2X 4 5" xfId="11643"/>
    <cellStyle name="SAPBEXHLevel2X 5" xfId="11644"/>
    <cellStyle name="SAPBEXHLevel2X 5 2" xfId="11645"/>
    <cellStyle name="SAPBEXHLevel2X 5 2 2" xfId="11646"/>
    <cellStyle name="SAPBEXHLevel2X 5 2 2 2" xfId="11647"/>
    <cellStyle name="SAPBEXHLevel2X 5 2 3" xfId="11648"/>
    <cellStyle name="SAPBEXHLevel2X 5 3" xfId="11649"/>
    <cellStyle name="SAPBEXHLevel2X 5 4" xfId="11650"/>
    <cellStyle name="SAPBEXHLevel2X 5 4 2" xfId="11651"/>
    <cellStyle name="SAPBEXHLevel2X 5 5" xfId="11652"/>
    <cellStyle name="SAPBEXHLevel2X 6" xfId="11653"/>
    <cellStyle name="SAPBEXHLevel2X 6 2" xfId="11654"/>
    <cellStyle name="SAPBEXHLevel2X 6 2 2" xfId="11655"/>
    <cellStyle name="SAPBEXHLevel2X 6 2 2 2" xfId="11656"/>
    <cellStyle name="SAPBEXHLevel2X 6 2 3" xfId="11657"/>
    <cellStyle name="SAPBEXHLevel2X 6 3" xfId="11658"/>
    <cellStyle name="SAPBEXHLevel2X 6 4" xfId="11659"/>
    <cellStyle name="SAPBEXHLevel2X 6 4 2" xfId="11660"/>
    <cellStyle name="SAPBEXHLevel2X 6 5" xfId="11661"/>
    <cellStyle name="SAPBEXHLevel2X 7" xfId="11662"/>
    <cellStyle name="SAPBEXHLevel2X 8" xfId="11663"/>
    <cellStyle name="SAPBEXHLevel2X 9" xfId="11664"/>
    <cellStyle name="SAPBEXHLevel2X_6.1 Contingency Allocation" xfId="11665"/>
    <cellStyle name="SAPBEXHLevel3" xfId="11666"/>
    <cellStyle name="SAPBEXHLevel3 10" xfId="11667"/>
    <cellStyle name="SAPBEXHLevel3 11" xfId="11668"/>
    <cellStyle name="SAPBEXHLevel3 11 2" xfId="11669"/>
    <cellStyle name="SAPBEXHLevel3 12" xfId="11670"/>
    <cellStyle name="SAPBEXHLevel3 2" xfId="11671"/>
    <cellStyle name="SAPBEXHLevel3 2 2" xfId="11672"/>
    <cellStyle name="SAPBEXHLevel3 2 2 2" xfId="11673"/>
    <cellStyle name="SAPBEXHLevel3 2 2 3" xfId="11674"/>
    <cellStyle name="SAPBEXHLevel3 2 2 3 2" xfId="11675"/>
    <cellStyle name="SAPBEXHLevel3 2 2 4" xfId="11676"/>
    <cellStyle name="SAPBEXHLevel3 2 3" xfId="11677"/>
    <cellStyle name="SAPBEXHLevel3 2 4" xfId="11678"/>
    <cellStyle name="SAPBEXHLevel3 2 4 2" xfId="11679"/>
    <cellStyle name="SAPBEXHLevel3 2 5" xfId="11680"/>
    <cellStyle name="SAPBEXHLevel3 2_6.1 Contingency Allocation" xfId="11681"/>
    <cellStyle name="SAPBEXHLevel3 3" xfId="11682"/>
    <cellStyle name="SAPBEXHLevel3 3 2" xfId="11683"/>
    <cellStyle name="SAPBEXHLevel3 3 3" xfId="11684"/>
    <cellStyle name="SAPBEXHLevel3 3 3 2" xfId="11685"/>
    <cellStyle name="SAPBEXHLevel3 3 4" xfId="11686"/>
    <cellStyle name="SAPBEXHLevel3 4" xfId="11687"/>
    <cellStyle name="SAPBEXHLevel3 4 2" xfId="11688"/>
    <cellStyle name="SAPBEXHLevel3 4 3" xfId="11689"/>
    <cellStyle name="SAPBEXHLevel3 4 3 2" xfId="11690"/>
    <cellStyle name="SAPBEXHLevel3 4 4" xfId="11691"/>
    <cellStyle name="SAPBEXHLevel3 5" xfId="11692"/>
    <cellStyle name="SAPBEXHLevel3 5 2" xfId="11693"/>
    <cellStyle name="SAPBEXHLevel3 5 2 2" xfId="11694"/>
    <cellStyle name="SAPBEXHLevel3 5 2 2 2" xfId="11695"/>
    <cellStyle name="SAPBEXHLevel3 5 2 3" xfId="11696"/>
    <cellStyle name="SAPBEXHLevel3 5 3" xfId="11697"/>
    <cellStyle name="SAPBEXHLevel3 5 4" xfId="11698"/>
    <cellStyle name="SAPBEXHLevel3 5 4 2" xfId="11699"/>
    <cellStyle name="SAPBEXHLevel3 5 5" xfId="11700"/>
    <cellStyle name="SAPBEXHLevel3 6" xfId="11701"/>
    <cellStyle name="SAPBEXHLevel3 6 2" xfId="11702"/>
    <cellStyle name="SAPBEXHLevel3 6 2 2" xfId="11703"/>
    <cellStyle name="SAPBEXHLevel3 6 2 2 2" xfId="11704"/>
    <cellStyle name="SAPBEXHLevel3 6 2 3" xfId="11705"/>
    <cellStyle name="SAPBEXHLevel3 6 3" xfId="11706"/>
    <cellStyle name="SAPBEXHLevel3 6 4" xfId="11707"/>
    <cellStyle name="SAPBEXHLevel3 6 4 2" xfId="11708"/>
    <cellStyle name="SAPBEXHLevel3 6 5" xfId="11709"/>
    <cellStyle name="SAPBEXHLevel3 7" xfId="11710"/>
    <cellStyle name="SAPBEXHLevel3 7 2" xfId="11711"/>
    <cellStyle name="SAPBEXHLevel3 7 2 2" xfId="11712"/>
    <cellStyle name="SAPBEXHLevel3 7 2 2 2" xfId="11713"/>
    <cellStyle name="SAPBEXHLevel3 7 2 3" xfId="11714"/>
    <cellStyle name="SAPBEXHLevel3 7 3" xfId="11715"/>
    <cellStyle name="SAPBEXHLevel3 7 4" xfId="11716"/>
    <cellStyle name="SAPBEXHLevel3 7 4 2" xfId="11717"/>
    <cellStyle name="SAPBEXHLevel3 7 5" xfId="11718"/>
    <cellStyle name="SAPBEXHLevel3 8" xfId="11719"/>
    <cellStyle name="SAPBEXHLevel3 9" xfId="11720"/>
    <cellStyle name="SAPBEXHLevel3_6.1 Contingency Allocation" xfId="11721"/>
    <cellStyle name="SAPBEXHLevel3X" xfId="11722"/>
    <cellStyle name="SAPBEXHLevel3X 10" xfId="11723"/>
    <cellStyle name="SAPBEXHLevel3X 11" xfId="11724"/>
    <cellStyle name="SAPBEXHLevel3X 11 2" xfId="11725"/>
    <cellStyle name="SAPBEXHLevel3X 12" xfId="11726"/>
    <cellStyle name="SAPBEXHLevel3X 2" xfId="11727"/>
    <cellStyle name="SAPBEXHLevel3X 2 2" xfId="11728"/>
    <cellStyle name="SAPBEXHLevel3X 2 2 2" xfId="11729"/>
    <cellStyle name="SAPBEXHLevel3X 2 2 3" xfId="11730"/>
    <cellStyle name="SAPBEXHLevel3X 2 2 3 2" xfId="11731"/>
    <cellStyle name="SAPBEXHLevel3X 2 2 4" xfId="11732"/>
    <cellStyle name="SAPBEXHLevel3X 2 3" xfId="11733"/>
    <cellStyle name="SAPBEXHLevel3X 2 4" xfId="11734"/>
    <cellStyle name="SAPBEXHLevel3X 2 4 2" xfId="11735"/>
    <cellStyle name="SAPBEXHLevel3X 2 5" xfId="11736"/>
    <cellStyle name="SAPBEXHLevel3X 2_6.1 Contingency Allocation" xfId="11737"/>
    <cellStyle name="SAPBEXHLevel3X 3" xfId="11738"/>
    <cellStyle name="SAPBEXHLevel3X 3 2" xfId="11739"/>
    <cellStyle name="SAPBEXHLevel3X 3 3" xfId="11740"/>
    <cellStyle name="SAPBEXHLevel3X 3 3 2" xfId="11741"/>
    <cellStyle name="SAPBEXHLevel3X 3 4" xfId="11742"/>
    <cellStyle name="SAPBEXHLevel3X 4" xfId="11743"/>
    <cellStyle name="SAPBEXHLevel3X 4 2" xfId="11744"/>
    <cellStyle name="SAPBEXHLevel3X 4 2 2" xfId="11745"/>
    <cellStyle name="SAPBEXHLevel3X 4 2 2 2" xfId="11746"/>
    <cellStyle name="SAPBEXHLevel3X 4 2 3" xfId="11747"/>
    <cellStyle name="SAPBEXHLevel3X 4 3" xfId="11748"/>
    <cellStyle name="SAPBEXHLevel3X 4 4" xfId="11749"/>
    <cellStyle name="SAPBEXHLevel3X 4 4 2" xfId="11750"/>
    <cellStyle name="SAPBEXHLevel3X 4 5" xfId="11751"/>
    <cellStyle name="SAPBEXHLevel3X 5" xfId="11752"/>
    <cellStyle name="SAPBEXHLevel3X 5 2" xfId="11753"/>
    <cellStyle name="SAPBEXHLevel3X 5 2 2" xfId="11754"/>
    <cellStyle name="SAPBEXHLevel3X 5 2 2 2" xfId="11755"/>
    <cellStyle name="SAPBEXHLevel3X 5 2 3" xfId="11756"/>
    <cellStyle name="SAPBEXHLevel3X 5 3" xfId="11757"/>
    <cellStyle name="SAPBEXHLevel3X 5 4" xfId="11758"/>
    <cellStyle name="SAPBEXHLevel3X 5 4 2" xfId="11759"/>
    <cellStyle name="SAPBEXHLevel3X 5 5" xfId="11760"/>
    <cellStyle name="SAPBEXHLevel3X 6" xfId="11761"/>
    <cellStyle name="SAPBEXHLevel3X 6 2" xfId="11762"/>
    <cellStyle name="SAPBEXHLevel3X 6 2 2" xfId="11763"/>
    <cellStyle name="SAPBEXHLevel3X 6 2 2 2" xfId="11764"/>
    <cellStyle name="SAPBEXHLevel3X 6 2 3" xfId="11765"/>
    <cellStyle name="SAPBEXHLevel3X 6 3" xfId="11766"/>
    <cellStyle name="SAPBEXHLevel3X 6 4" xfId="11767"/>
    <cellStyle name="SAPBEXHLevel3X 6 4 2" xfId="11768"/>
    <cellStyle name="SAPBEXHLevel3X 6 5" xfId="11769"/>
    <cellStyle name="SAPBEXHLevel3X 7" xfId="11770"/>
    <cellStyle name="SAPBEXHLevel3X 8" xfId="11771"/>
    <cellStyle name="SAPBEXHLevel3X 9" xfId="11772"/>
    <cellStyle name="SAPBEXHLevel3X_6.1 Contingency Allocation" xfId="11773"/>
    <cellStyle name="SAPBEXinputData" xfId="11774"/>
    <cellStyle name="SAPBEXinputData 2" xfId="11775"/>
    <cellStyle name="SAPBEXinputData 2 2" xfId="11776"/>
    <cellStyle name="SAPBEXinputData 2 2 2" xfId="11777"/>
    <cellStyle name="SAPBEXinputData 2 2 3" xfId="11778"/>
    <cellStyle name="SAPBEXinputData 2 2 3 2" xfId="11779"/>
    <cellStyle name="SAPBEXinputData 2 2 4" xfId="11780"/>
    <cellStyle name="SAPBEXinputData 2 3" xfId="11781"/>
    <cellStyle name="SAPBEXinputData 2 4" xfId="11782"/>
    <cellStyle name="SAPBEXinputData 2 4 2" xfId="11783"/>
    <cellStyle name="SAPBEXinputData 2 5" xfId="11784"/>
    <cellStyle name="SAPBEXinputData 2_6.1 Contingency Allocation" xfId="11785"/>
    <cellStyle name="SAPBEXinputData 3" xfId="11786"/>
    <cellStyle name="SAPBEXinputData 3 2" xfId="11787"/>
    <cellStyle name="SAPBEXinputData 3 2 2" xfId="11788"/>
    <cellStyle name="SAPBEXinputData 3 2 2 2" xfId="11789"/>
    <cellStyle name="SAPBEXinputData 3 2 2 2 2" xfId="11790"/>
    <cellStyle name="SAPBEXinputData 3 2 2 3" xfId="11791"/>
    <cellStyle name="SAPBEXinputData 3 2 3" xfId="11792"/>
    <cellStyle name="SAPBEXinputData 3 2 4" xfId="11793"/>
    <cellStyle name="SAPBEXinputData 3 2 4 2" xfId="11794"/>
    <cellStyle name="SAPBEXinputData 3 2 5" xfId="11795"/>
    <cellStyle name="SAPBEXinputData 3 3" xfId="11796"/>
    <cellStyle name="SAPBEXinputData 3 3 2" xfId="11797"/>
    <cellStyle name="SAPBEXinputData 3 3 2 2" xfId="11798"/>
    <cellStyle name="SAPBEXinputData 3 3 3" xfId="11799"/>
    <cellStyle name="SAPBEXinputData 3 4" xfId="11800"/>
    <cellStyle name="SAPBEXinputData 3 5" xfId="11801"/>
    <cellStyle name="SAPBEXinputData 3 5 2" xfId="11802"/>
    <cellStyle name="SAPBEXinputData 3 6" xfId="11803"/>
    <cellStyle name="SAPBEXinputData 4" xfId="11804"/>
    <cellStyle name="SAPBEXinputData 4 2" xfId="11805"/>
    <cellStyle name="SAPBEXinputData 4 3" xfId="11806"/>
    <cellStyle name="SAPBEXinputData 4 3 2" xfId="11807"/>
    <cellStyle name="SAPBEXinputData 4 4" xfId="11808"/>
    <cellStyle name="SAPBEXinputData 5" xfId="11809"/>
    <cellStyle name="SAPBEXinputData 5 2" xfId="11810"/>
    <cellStyle name="SAPBEXinputData 5 3" xfId="11811"/>
    <cellStyle name="SAPBEXinputData 5 3 2" xfId="11812"/>
    <cellStyle name="SAPBEXinputData 5 4" xfId="11813"/>
    <cellStyle name="SAPBEXinputData 6" xfId="11814"/>
    <cellStyle name="SAPBEXinputData 7" xfId="11815"/>
    <cellStyle name="SAPBEXinputData 7 2" xfId="11816"/>
    <cellStyle name="SAPBEXinputData 8" xfId="11817"/>
    <cellStyle name="SAPBEXinputData_6.1 Contingency Allocation" xfId="11818"/>
    <cellStyle name="SAPBEXItemHeader" xfId="11819"/>
    <cellStyle name="SAPBEXItemHeader 2" xfId="11820"/>
    <cellStyle name="SAPBEXItemHeader 2 2" xfId="11821"/>
    <cellStyle name="SAPBEXItemHeader 2 3" xfId="11822"/>
    <cellStyle name="SAPBEXItemHeader 2 3 2" xfId="11823"/>
    <cellStyle name="SAPBEXItemHeader 2 4" xfId="11824"/>
    <cellStyle name="SAPBEXItemHeader 3" xfId="11825"/>
    <cellStyle name="SAPBEXItemHeader 4" xfId="11826"/>
    <cellStyle name="SAPBEXItemHeader 4 2" xfId="11827"/>
    <cellStyle name="SAPBEXItemHeader 5" xfId="11828"/>
    <cellStyle name="SAPBEXresData" xfId="11829"/>
    <cellStyle name="SAPBEXresData 2" xfId="11830"/>
    <cellStyle name="SAPBEXresData 2 2" xfId="11831"/>
    <cellStyle name="SAPBEXresData 2 3" xfId="11832"/>
    <cellStyle name="SAPBEXresData 2 3 2" xfId="11833"/>
    <cellStyle name="SAPBEXresData 2 4" xfId="11834"/>
    <cellStyle name="SAPBEXresData 3" xfId="11835"/>
    <cellStyle name="SAPBEXresData 4" xfId="11836"/>
    <cellStyle name="SAPBEXresData 4 2" xfId="11837"/>
    <cellStyle name="SAPBEXresData 5" xfId="11838"/>
    <cellStyle name="SAPBEXresDataEmph" xfId="11839"/>
    <cellStyle name="SAPBEXresDataEmph 2" xfId="11840"/>
    <cellStyle name="SAPBEXresDataEmph 2 2" xfId="11841"/>
    <cellStyle name="SAPBEXresDataEmph 2 3" xfId="11842"/>
    <cellStyle name="SAPBEXresDataEmph 2 3 2" xfId="11843"/>
    <cellStyle name="SAPBEXresDataEmph 2 4" xfId="11844"/>
    <cellStyle name="SAPBEXresDataEmph 3" xfId="11845"/>
    <cellStyle name="SAPBEXresDataEmph 3 2" xfId="11846"/>
    <cellStyle name="SAPBEXresDataEmph 3 3" xfId="11847"/>
    <cellStyle name="SAPBEXresDataEmph 3 3 2" xfId="11848"/>
    <cellStyle name="SAPBEXresDataEmph 3 4" xfId="11849"/>
    <cellStyle name="SAPBEXresDataEmph 4" xfId="11850"/>
    <cellStyle name="SAPBEXresDataEmph 5" xfId="11851"/>
    <cellStyle name="SAPBEXresDataEmph 5 2" xfId="11852"/>
    <cellStyle name="SAPBEXresDataEmph 6" xfId="11853"/>
    <cellStyle name="SAPBEXresItem" xfId="11854"/>
    <cellStyle name="SAPBEXresItem 2" xfId="11855"/>
    <cellStyle name="SAPBEXresItem 2 2" xfId="11856"/>
    <cellStyle name="SAPBEXresItem 2 3" xfId="11857"/>
    <cellStyle name="SAPBEXresItem 2 3 2" xfId="11858"/>
    <cellStyle name="SAPBEXresItem 2 4" xfId="11859"/>
    <cellStyle name="SAPBEXresItem 3" xfId="11860"/>
    <cellStyle name="SAPBEXresItem 4" xfId="11861"/>
    <cellStyle name="SAPBEXresItem 4 2" xfId="11862"/>
    <cellStyle name="SAPBEXresItem 5" xfId="11863"/>
    <cellStyle name="SAPBEXresItemX" xfId="11864"/>
    <cellStyle name="SAPBEXresItemX 2" xfId="11865"/>
    <cellStyle name="SAPBEXresItemX 2 2" xfId="11866"/>
    <cellStyle name="SAPBEXresItemX 2 3" xfId="11867"/>
    <cellStyle name="SAPBEXresItemX 2 3 2" xfId="11868"/>
    <cellStyle name="SAPBEXresItemX 2 4" xfId="11869"/>
    <cellStyle name="SAPBEXresItemX 3" xfId="11870"/>
    <cellStyle name="SAPBEXresItemX 4" xfId="11871"/>
    <cellStyle name="SAPBEXresItemX 4 2" xfId="11872"/>
    <cellStyle name="SAPBEXresItemX 5" xfId="11873"/>
    <cellStyle name="SAPBEXstdData" xfId="11874"/>
    <cellStyle name="SAPBEXstdData 10" xfId="11875"/>
    <cellStyle name="SAPBEXstdData 11" xfId="11876"/>
    <cellStyle name="SAPBEXstdData 11 2" xfId="11877"/>
    <cellStyle name="SAPBEXstdData 12" xfId="11878"/>
    <cellStyle name="SAPBEXstdData 2" xfId="11879"/>
    <cellStyle name="SAPBEXstdData 2 2" xfId="11880"/>
    <cellStyle name="SAPBEXstdData 2 2 2" xfId="11881"/>
    <cellStyle name="SAPBEXstdData 2 2 3" xfId="11882"/>
    <cellStyle name="SAPBEXstdData 2 2 3 2" xfId="11883"/>
    <cellStyle name="SAPBEXstdData 2 2 4" xfId="11884"/>
    <cellStyle name="SAPBEXstdData 2 3" xfId="11885"/>
    <cellStyle name="SAPBEXstdData 2 3 2" xfId="11886"/>
    <cellStyle name="SAPBEXstdData 2 3 3" xfId="11887"/>
    <cellStyle name="SAPBEXstdData 2 3 3 2" xfId="11888"/>
    <cellStyle name="SAPBEXstdData 2 3 4" xfId="11889"/>
    <cellStyle name="SAPBEXstdData 2 4" xfId="11890"/>
    <cellStyle name="SAPBEXstdData 2 5" xfId="11891"/>
    <cellStyle name="SAPBEXstdData 2 5 2" xfId="11892"/>
    <cellStyle name="SAPBEXstdData 2 6" xfId="11893"/>
    <cellStyle name="SAPBEXstdData 2_6.1 Contingency Allocation" xfId="11894"/>
    <cellStyle name="SAPBEXstdData 3" xfId="11895"/>
    <cellStyle name="SAPBEXstdData 3 2" xfId="11896"/>
    <cellStyle name="SAPBEXstdData 3 2 2" xfId="11897"/>
    <cellStyle name="SAPBEXstdData 3 2 3" xfId="11898"/>
    <cellStyle name="SAPBEXstdData 3 2 3 2" xfId="11899"/>
    <cellStyle name="SAPBEXstdData 3 2 4" xfId="11900"/>
    <cellStyle name="SAPBEXstdData 3 3" xfId="11901"/>
    <cellStyle name="SAPBEXstdData 3 4" xfId="11902"/>
    <cellStyle name="SAPBEXstdData 3 4 2" xfId="11903"/>
    <cellStyle name="SAPBEXstdData 3 5" xfId="11904"/>
    <cellStyle name="SAPBEXstdData 3_6.1 Contingency Allocation" xfId="11905"/>
    <cellStyle name="SAPBEXstdData 4" xfId="11906"/>
    <cellStyle name="SAPBEXstdData 4 2" xfId="11907"/>
    <cellStyle name="SAPBEXstdData 4 3" xfId="11908"/>
    <cellStyle name="SAPBEXstdData 4 3 2" xfId="11909"/>
    <cellStyle name="SAPBEXstdData 4 4" xfId="11910"/>
    <cellStyle name="SAPBEXstdData 5" xfId="11911"/>
    <cellStyle name="SAPBEXstdData 6" xfId="11912"/>
    <cellStyle name="SAPBEXstdData 7" xfId="11913"/>
    <cellStyle name="SAPBEXstdData 7 2" xfId="11914"/>
    <cellStyle name="SAPBEXstdData 7 3" xfId="11915"/>
    <cellStyle name="SAPBEXstdData 7 3 2" xfId="11916"/>
    <cellStyle name="SAPBEXstdData 7 4" xfId="11917"/>
    <cellStyle name="SAPBEXstdData 8" xfId="11918"/>
    <cellStyle name="SAPBEXstdData 9" xfId="11919"/>
    <cellStyle name="SAPBEXstdDataEmph" xfId="11920"/>
    <cellStyle name="SAPBEXstdDataEmph 2" xfId="11921"/>
    <cellStyle name="SAPBEXstdDataEmph 2 2" xfId="11922"/>
    <cellStyle name="SAPBEXstdDataEmph 2 3" xfId="11923"/>
    <cellStyle name="SAPBEXstdDataEmph 2 3 2" xfId="11924"/>
    <cellStyle name="SAPBEXstdDataEmph 2 4" xfId="11925"/>
    <cellStyle name="SAPBEXstdDataEmph 3" xfId="11926"/>
    <cellStyle name="SAPBEXstdDataEmph 4" xfId="11927"/>
    <cellStyle name="SAPBEXstdDataEmph 4 2" xfId="11928"/>
    <cellStyle name="SAPBEXstdDataEmph 5" xfId="11929"/>
    <cellStyle name="SAPBEXstdItem" xfId="11930"/>
    <cellStyle name="SAPBEXstdItem 10" xfId="11931"/>
    <cellStyle name="SAPBEXstdItem 11" xfId="11932"/>
    <cellStyle name="SAPBEXstdItem 11 2" xfId="11933"/>
    <cellStyle name="SAPBEXstdItem 12" xfId="11934"/>
    <cellStyle name="SAPBEXstdItem 2" xfId="11935"/>
    <cellStyle name="SAPBEXstdItem 2 2" xfId="11936"/>
    <cellStyle name="SAPBEXstdItem 2 2 2" xfId="11937"/>
    <cellStyle name="SAPBEXstdItem 2 2 3" xfId="11938"/>
    <cellStyle name="SAPBEXstdItem 2 2 3 2" xfId="11939"/>
    <cellStyle name="SAPBEXstdItem 2 2 4" xfId="11940"/>
    <cellStyle name="SAPBEXstdItem 2 3" xfId="11941"/>
    <cellStyle name="SAPBEXstdItem 2 3 2" xfId="11942"/>
    <cellStyle name="SAPBEXstdItem 2 3 3" xfId="11943"/>
    <cellStyle name="SAPBEXstdItem 2 3 3 2" xfId="11944"/>
    <cellStyle name="SAPBEXstdItem 2 3 4" xfId="11945"/>
    <cellStyle name="SAPBEXstdItem 2 4" xfId="11946"/>
    <cellStyle name="SAPBEXstdItem 2 5" xfId="11947"/>
    <cellStyle name="SAPBEXstdItem 2 5 2" xfId="11948"/>
    <cellStyle name="SAPBEXstdItem 2 6" xfId="11949"/>
    <cellStyle name="SAPBEXstdItem 2_6.1 Contingency Allocation" xfId="11950"/>
    <cellStyle name="SAPBEXstdItem 3" xfId="11951"/>
    <cellStyle name="SAPBEXstdItem 3 2" xfId="11952"/>
    <cellStyle name="SAPBEXstdItem 3 2 2" xfId="11953"/>
    <cellStyle name="SAPBEXstdItem 3 2 3" xfId="11954"/>
    <cellStyle name="SAPBEXstdItem 3 2 3 2" xfId="11955"/>
    <cellStyle name="SAPBEXstdItem 3 2 4" xfId="11956"/>
    <cellStyle name="SAPBEXstdItem 3 3" xfId="11957"/>
    <cellStyle name="SAPBEXstdItem 3 4" xfId="11958"/>
    <cellStyle name="SAPBEXstdItem 3 4 2" xfId="11959"/>
    <cellStyle name="SAPBEXstdItem 3 5" xfId="11960"/>
    <cellStyle name="SAPBEXstdItem 3_6.1 Contingency Allocation" xfId="11961"/>
    <cellStyle name="SAPBEXstdItem 4" xfId="11962"/>
    <cellStyle name="SAPBEXstdItem 4 2" xfId="11963"/>
    <cellStyle name="SAPBEXstdItem 4 3" xfId="11964"/>
    <cellStyle name="SAPBEXstdItem 4 3 2" xfId="11965"/>
    <cellStyle name="SAPBEXstdItem 4 4" xfId="11966"/>
    <cellStyle name="SAPBEXstdItem 5" xfId="11967"/>
    <cellStyle name="SAPBEXstdItem 6" xfId="11968"/>
    <cellStyle name="SAPBEXstdItem 7" xfId="11969"/>
    <cellStyle name="SAPBEXstdItem 8" xfId="11970"/>
    <cellStyle name="SAPBEXstdItem 9" xfId="11971"/>
    <cellStyle name="SAPBEXstdItemX" xfId="11972"/>
    <cellStyle name="SAPBEXstdItemX 2" xfId="11973"/>
    <cellStyle name="SAPBEXstdItemX 2 2" xfId="11974"/>
    <cellStyle name="SAPBEXstdItemX 2 3" xfId="11975"/>
    <cellStyle name="SAPBEXstdItemX 2 3 2" xfId="11976"/>
    <cellStyle name="SAPBEXstdItemX 2 4" xfId="11977"/>
    <cellStyle name="SAPBEXstdItemX 3" xfId="11978"/>
    <cellStyle name="SAPBEXstdItemX 4" xfId="11979"/>
    <cellStyle name="SAPBEXstdItemX 4 2" xfId="11980"/>
    <cellStyle name="SAPBEXstdItemX 5" xfId="11981"/>
    <cellStyle name="SAPBEXtitle" xfId="11982"/>
    <cellStyle name="SAPBEXtitle 2" xfId="11983"/>
    <cellStyle name="SAPBEXtitle 2 2" xfId="11984"/>
    <cellStyle name="SAPBEXtitle 2 3" xfId="11985"/>
    <cellStyle name="SAPBEXtitle 2 3 2" xfId="11986"/>
    <cellStyle name="SAPBEXtitle 2 4" xfId="11987"/>
    <cellStyle name="SAPBEXtitle 3" xfId="11988"/>
    <cellStyle name="SAPBEXtitle 3 2" xfId="11989"/>
    <cellStyle name="SAPBEXtitle 3 2 2" xfId="11990"/>
    <cellStyle name="SAPBEXtitle 3 2 2 2" xfId="11991"/>
    <cellStyle name="SAPBEXtitle 3 2 3" xfId="11992"/>
    <cellStyle name="SAPBEXtitle 3 3" xfId="11993"/>
    <cellStyle name="SAPBEXtitle 3 4" xfId="11994"/>
    <cellStyle name="SAPBEXtitle 3 4 2" xfId="11995"/>
    <cellStyle name="SAPBEXtitle 3 5" xfId="11996"/>
    <cellStyle name="SAPBEXtitle 4" xfId="11997"/>
    <cellStyle name="SAPBEXtitle 5" xfId="11998"/>
    <cellStyle name="SAPBEXtitle 5 2" xfId="11999"/>
    <cellStyle name="SAPBEXtitle 6" xfId="12000"/>
    <cellStyle name="SAPBEXunassignedItem" xfId="12001"/>
    <cellStyle name="SAPBEXunassignedItem 2" xfId="12002"/>
    <cellStyle name="SAPBEXunassignedItem 2 2" xfId="12003"/>
    <cellStyle name="SAPBEXunassignedItem 2 2 2" xfId="12004"/>
    <cellStyle name="SAPBEXunassignedItem 2 2 2 2" xfId="12005"/>
    <cellStyle name="SAPBEXunassignedItem 2 2 2 3" xfId="12006"/>
    <cellStyle name="SAPBEXunassignedItem 2 2 2 3 2" xfId="12007"/>
    <cellStyle name="SAPBEXunassignedItem 2 2 2 4" xfId="12008"/>
    <cellStyle name="SAPBEXunassignedItem 2 2 3" xfId="12009"/>
    <cellStyle name="SAPBEXunassignedItem 2 2 4" xfId="12010"/>
    <cellStyle name="SAPBEXunassignedItem 2 2 4 2" xfId="12011"/>
    <cellStyle name="SAPBEXunassignedItem 2 2 5" xfId="12012"/>
    <cellStyle name="SAPBEXunassignedItem 2 3" xfId="12013"/>
    <cellStyle name="SAPBEXunassignedItem 2 3 2" xfId="12014"/>
    <cellStyle name="SAPBEXunassignedItem 2 3 3" xfId="12015"/>
    <cellStyle name="SAPBEXunassignedItem 2 3 3 2" xfId="12016"/>
    <cellStyle name="SAPBEXunassignedItem 2 3 4" xfId="12017"/>
    <cellStyle name="SAPBEXunassignedItem 2 4" xfId="12018"/>
    <cellStyle name="SAPBEXunassignedItem 2 5" xfId="12019"/>
    <cellStyle name="SAPBEXunassignedItem 2 5 2" xfId="12020"/>
    <cellStyle name="SAPBEXunassignedItem 2 6" xfId="12021"/>
    <cellStyle name="SAPBEXunassignedItem 2_6.1 Contingency Allocation" xfId="12022"/>
    <cellStyle name="SAPBEXunassignedItem 3" xfId="12023"/>
    <cellStyle name="SAPBEXunassignedItem 3 2" xfId="12024"/>
    <cellStyle name="SAPBEXunassignedItem 3 2 2" xfId="12025"/>
    <cellStyle name="SAPBEXunassignedItem 3 2 3" xfId="12026"/>
    <cellStyle name="SAPBEXunassignedItem 3 2 3 2" xfId="12027"/>
    <cellStyle name="SAPBEXunassignedItem 3 2 4" xfId="12028"/>
    <cellStyle name="SAPBEXunassignedItem 3 3" xfId="12029"/>
    <cellStyle name="SAPBEXunassignedItem 3 4" xfId="12030"/>
    <cellStyle name="SAPBEXunassignedItem 3 4 2" xfId="12031"/>
    <cellStyle name="SAPBEXunassignedItem 3 5" xfId="12032"/>
    <cellStyle name="SAPBEXunassignedItem 4" xfId="12033"/>
    <cellStyle name="SAPBEXunassignedItem 4 2" xfId="12034"/>
    <cellStyle name="SAPBEXunassignedItem 4 3" xfId="12035"/>
    <cellStyle name="SAPBEXunassignedItem 4 3 2" xfId="12036"/>
    <cellStyle name="SAPBEXunassignedItem 4 4" xfId="12037"/>
    <cellStyle name="SAPBEXunassignedItem 5" xfId="12038"/>
    <cellStyle name="SAPBEXunassignedItem 6" xfId="12039"/>
    <cellStyle name="SAPBEXunassignedItem 6 2" xfId="12040"/>
    <cellStyle name="SAPBEXunassignedItem 7" xfId="12041"/>
    <cellStyle name="SAPBEXunassignedItem_6.1 Contingency Allocation" xfId="12042"/>
    <cellStyle name="SAPBEXundefined" xfId="12043"/>
    <cellStyle name="SAPBEXundefined 2" xfId="12044"/>
    <cellStyle name="SAPBEXundefined 2 2" xfId="12045"/>
    <cellStyle name="SAPBEXundefined 2 3" xfId="12046"/>
    <cellStyle name="SAPBEXundefined 2 3 2" xfId="12047"/>
    <cellStyle name="SAPBEXundefined 2 4" xfId="12048"/>
    <cellStyle name="SAPBEXundefined 3" xfId="12049"/>
    <cellStyle name="SAPBEXundefined 4" xfId="12050"/>
    <cellStyle name="SAPBEXundefined 4 2" xfId="12051"/>
    <cellStyle name="SAPBEXundefined 5" xfId="12052"/>
    <cellStyle name="secondary" xfId="12053"/>
    <cellStyle name="secondary 2" xfId="12054"/>
    <cellStyle name="secondary 2 2" xfId="12055"/>
    <cellStyle name="secondary 2 2 2" xfId="12056"/>
    <cellStyle name="secondary 2 2 2 2" xfId="12057"/>
    <cellStyle name="secondary 2 2 3" xfId="12058"/>
    <cellStyle name="secondary 2 3" xfId="12059"/>
    <cellStyle name="secondary 2 4" xfId="12060"/>
    <cellStyle name="secondary 2 4 2" xfId="12061"/>
    <cellStyle name="secondary 2 5" xfId="12062"/>
    <cellStyle name="secondary 3" xfId="12063"/>
    <cellStyle name="secondary 3 2" xfId="12064"/>
    <cellStyle name="secondary 3 2 2" xfId="12065"/>
    <cellStyle name="secondary 3 3" xfId="12066"/>
    <cellStyle name="secondary 4" xfId="12067"/>
    <cellStyle name="secondary 5" xfId="12068"/>
    <cellStyle name="secondary 5 2" xfId="12069"/>
    <cellStyle name="secondary 6" xfId="12070"/>
    <cellStyle name="SectionHeading" xfId="12071"/>
    <cellStyle name="SectionHeading 2" xfId="12072"/>
    <cellStyle name="SectionHeading 3" xfId="12073"/>
    <cellStyle name="SectionHeading 3 2" xfId="12074"/>
    <cellStyle name="SectionHeading 4" xfId="12075"/>
    <cellStyle name="Sector relative" xfId="12076"/>
    <cellStyle name="Sector relative 2" xfId="12077"/>
    <cellStyle name="Sector relative 2 2" xfId="12078"/>
    <cellStyle name="Sector relative 2 3" xfId="12079"/>
    <cellStyle name="Sector relative 2 3 2" xfId="12080"/>
    <cellStyle name="Sector relative 2 4" xfId="12081"/>
    <cellStyle name="Sector relative 3" xfId="12082"/>
    <cellStyle name="Sector relative 4" xfId="12083"/>
    <cellStyle name="Sector relative 4 2" xfId="12084"/>
    <cellStyle name="Sector relative 5" xfId="12085"/>
    <cellStyle name="Shade" xfId="242"/>
    <cellStyle name="Shade 10" xfId="20564"/>
    <cellStyle name="Shade 11" xfId="12086"/>
    <cellStyle name="Shade 2" xfId="243"/>
    <cellStyle name="Shade 2 2" xfId="299"/>
    <cellStyle name="Shade 2 2 2" xfId="577"/>
    <cellStyle name="Shade 2 2 2 2" xfId="1859"/>
    <cellStyle name="Shade 2 2 2 2 2" xfId="1860"/>
    <cellStyle name="Shade 2 2 2 2 2 2" xfId="3288"/>
    <cellStyle name="Shade 2 2 2 2 2 3" xfId="15379"/>
    <cellStyle name="Shade 2 2 2 2 2 4" xfId="19299"/>
    <cellStyle name="Shade 2 2 2 2 3" xfId="3287"/>
    <cellStyle name="Shade 2 2 2 2 4" xfId="15124"/>
    <cellStyle name="Shade 2 2 2 2 5" xfId="19300"/>
    <cellStyle name="Shade 2 2 2 3" xfId="1861"/>
    <cellStyle name="Shade 2 2 2 3 2" xfId="3289"/>
    <cellStyle name="Shade 2 2 2 3 3" xfId="15227"/>
    <cellStyle name="Shade 2 2 2 3 4" xfId="19298"/>
    <cellStyle name="Shade 2 2 2 4" xfId="2032"/>
    <cellStyle name="Shade 2 2 2 5" xfId="16436"/>
    <cellStyle name="Shade 2 2 2 6" xfId="20471"/>
    <cellStyle name="Shade 2 2 3" xfId="1862"/>
    <cellStyle name="Shade 2 2 3 2" xfId="3290"/>
    <cellStyle name="Shade 2 2 3 3" xfId="17175"/>
    <cellStyle name="Shade 2 2 3 4" xfId="19297"/>
    <cellStyle name="Shade 2 3" xfId="1863"/>
    <cellStyle name="Shade 2 3 2" xfId="1864"/>
    <cellStyle name="Shade 2 3 2 2" xfId="3292"/>
    <cellStyle name="Shade 2 3 2 3" xfId="15488"/>
    <cellStyle name="Shade 2 3 2 4" xfId="19295"/>
    <cellStyle name="Shade 2 3 3" xfId="3291"/>
    <cellStyle name="Shade 2 3 4" xfId="17176"/>
    <cellStyle name="Shade 2 3 5" xfId="19296"/>
    <cellStyle name="Shade 2 4" xfId="1865"/>
    <cellStyle name="Shade 2 4 2" xfId="3293"/>
    <cellStyle name="Shade 2 4 3" xfId="17177"/>
    <cellStyle name="Shade 2 4 4" xfId="19294"/>
    <cellStyle name="Shade 2 5" xfId="1940"/>
    <cellStyle name="Shade 2 6" xfId="18577"/>
    <cellStyle name="Shade 2 7" xfId="20619"/>
    <cellStyle name="Shade 2 8" xfId="20563"/>
    <cellStyle name="Shade 2 9" xfId="12087"/>
    <cellStyle name="Shade 3" xfId="244"/>
    <cellStyle name="Shade 3 2" xfId="300"/>
    <cellStyle name="Shade 3 2 2" xfId="578"/>
    <cellStyle name="Shade 3 2 2 2" xfId="1866"/>
    <cellStyle name="Shade 3 2 2 2 2" xfId="1867"/>
    <cellStyle name="Shade 3 2 2 2 2 2" xfId="3295"/>
    <cellStyle name="Shade 3 2 2 2 2 3" xfId="15438"/>
    <cellStyle name="Shade 3 2 2 2 2 4" xfId="19292"/>
    <cellStyle name="Shade 3 2 2 2 3" xfId="3294"/>
    <cellStyle name="Shade 3 2 2 2 4" xfId="17178"/>
    <cellStyle name="Shade 3 2 2 2 5" xfId="19293"/>
    <cellStyle name="Shade 3 2 2 3" xfId="1868"/>
    <cellStyle name="Shade 3 2 2 3 2" xfId="3296"/>
    <cellStyle name="Shade 3 2 2 3 3" xfId="15177"/>
    <cellStyle name="Shade 3 2 2 3 4" xfId="19291"/>
    <cellStyle name="Shade 3 2 2 4" xfId="2033"/>
    <cellStyle name="Shade 3 2 2 5" xfId="18275"/>
    <cellStyle name="Shade 3 2 2 6" xfId="20470"/>
    <cellStyle name="Shade 3 2 3" xfId="1869"/>
    <cellStyle name="Shade 3 2 3 2" xfId="3297"/>
    <cellStyle name="Shade 3 2 3 3" xfId="17179"/>
    <cellStyle name="Shade 3 2 3 4" xfId="19290"/>
    <cellStyle name="Shade 3 2 4" xfId="13723"/>
    <cellStyle name="Shade 3 2 5" xfId="20621"/>
    <cellStyle name="Shade 3 2 6" xfId="12089"/>
    <cellStyle name="Shade 3 3" xfId="1870"/>
    <cellStyle name="Shade 3 3 2" xfId="1871"/>
    <cellStyle name="Shade 3 3 2 2" xfId="3299"/>
    <cellStyle name="Shade 3 3 2 3" xfId="15073"/>
    <cellStyle name="Shade 3 3 2 4" xfId="19288"/>
    <cellStyle name="Shade 3 3 3" xfId="3298"/>
    <cellStyle name="Shade 3 3 4" xfId="17180"/>
    <cellStyle name="Shade 3 3 5" xfId="19289"/>
    <cellStyle name="Shade 3 4" xfId="1872"/>
    <cellStyle name="Shade 3 4 2" xfId="3300"/>
    <cellStyle name="Shade 3 4 3" xfId="17181"/>
    <cellStyle name="Shade 3 4 4" xfId="19287"/>
    <cellStyle name="Shade 3 5" xfId="1941"/>
    <cellStyle name="Shade 3 6" xfId="18688"/>
    <cellStyle name="Shade 3 7" xfId="20620"/>
    <cellStyle name="Shade 3 8" xfId="20562"/>
    <cellStyle name="Shade 3 9" xfId="12088"/>
    <cellStyle name="Shade 4" xfId="298"/>
    <cellStyle name="Shade 4 2" xfId="576"/>
    <cellStyle name="Shade 4 2 2" xfId="1873"/>
    <cellStyle name="Shade 4 2 2 2" xfId="1874"/>
    <cellStyle name="Shade 4 2 2 2 2" xfId="3302"/>
    <cellStyle name="Shade 4 2 2 2 3" xfId="15328"/>
    <cellStyle name="Shade 4 2 2 2 4" xfId="19285"/>
    <cellStyle name="Shade 4 2 2 3" xfId="3301"/>
    <cellStyle name="Shade 4 2 2 4" xfId="17182"/>
    <cellStyle name="Shade 4 2 2 5" xfId="19286"/>
    <cellStyle name="Shade 4 2 3" xfId="1875"/>
    <cellStyle name="Shade 4 2 3 2" xfId="3303"/>
    <cellStyle name="Shade 4 2 3 3" xfId="18631"/>
    <cellStyle name="Shade 4 2 3 4" xfId="19284"/>
    <cellStyle name="Shade 4 2 4" xfId="2031"/>
    <cellStyle name="Shade 4 2 5" xfId="16435"/>
    <cellStyle name="Shade 4 2 6" xfId="20472"/>
    <cellStyle name="Shade 4 3" xfId="1876"/>
    <cellStyle name="Shade 4 3 2" xfId="3304"/>
    <cellStyle name="Shade 4 3 3" xfId="15520"/>
    <cellStyle name="Shade 4 3 4" xfId="19283"/>
    <cellStyle name="Shade 4 4" xfId="13722"/>
    <cellStyle name="Shade 4 5" xfId="20622"/>
    <cellStyle name="Shade 4 6" xfId="12090"/>
    <cellStyle name="Shade 5" xfId="1877"/>
    <cellStyle name="Shade 5 2" xfId="1878"/>
    <cellStyle name="Shade 5 2 2" xfId="3306"/>
    <cellStyle name="Shade 5 2 3" xfId="15101"/>
    <cellStyle name="Shade 5 2 4" xfId="19281"/>
    <cellStyle name="Shade 5 3" xfId="3305"/>
    <cellStyle name="Shade 5 4" xfId="15251"/>
    <cellStyle name="Shade 5 5" xfId="19282"/>
    <cellStyle name="Shade 6" xfId="1879"/>
    <cellStyle name="Shade 6 2" xfId="3307"/>
    <cellStyle name="Shade 6 3" xfId="15355"/>
    <cellStyle name="Shade 6 4" xfId="19280"/>
    <cellStyle name="Shade 7" xfId="1939"/>
    <cellStyle name="Shade 8" xfId="18875"/>
    <cellStyle name="Shade 9" xfId="20618"/>
    <cellStyle name="Shaded" xfId="12091"/>
    <cellStyle name="Shaded 2" xfId="12092"/>
    <cellStyle name="Shaded 3" xfId="12093"/>
    <cellStyle name="Shaded 3 2" xfId="12094"/>
    <cellStyle name="Shaded 4" xfId="12095"/>
    <cellStyle name="Shading" xfId="12096"/>
    <cellStyle name="Shading 2" xfId="12097"/>
    <cellStyle name="Shading 3" xfId="12098"/>
    <cellStyle name="Shading 3 2" xfId="12099"/>
    <cellStyle name="Shading 4" xfId="12100"/>
    <cellStyle name="Share" xfId="12101"/>
    <cellStyle name="Share 2" xfId="12102"/>
    <cellStyle name="Share 2 2" xfId="12103"/>
    <cellStyle name="Share 2 2 2" xfId="20896"/>
    <cellStyle name="Share 2 2 3" xfId="20916"/>
    <cellStyle name="Share 2 3" xfId="12104"/>
    <cellStyle name="Share 2 3 2" xfId="12105"/>
    <cellStyle name="Share 2 4" xfId="12106"/>
    <cellStyle name="Share 3" xfId="12107"/>
    <cellStyle name="Share 3 2" xfId="20889"/>
    <cellStyle name="Share 3 3" xfId="20909"/>
    <cellStyle name="Share 4" xfId="12108"/>
    <cellStyle name="Share 4 2" xfId="12109"/>
    <cellStyle name="Share 5" xfId="12110"/>
    <cellStyle name="Sheet Name" xfId="12111"/>
    <cellStyle name="Sheet Name 2" xfId="12112"/>
    <cellStyle name="Sheet Name 3" xfId="12113"/>
    <cellStyle name="Sheet Name 3 2" xfId="12114"/>
    <cellStyle name="Sheet Name 4" xfId="12115"/>
    <cellStyle name="Sheet Title" xfId="12116"/>
    <cellStyle name="Sheet Title 2" xfId="12117"/>
    <cellStyle name="Sheet Title 3" xfId="12118"/>
    <cellStyle name="Sheet Title 3 2" xfId="12119"/>
    <cellStyle name="Sheet Title 4" xfId="12120"/>
    <cellStyle name="Single Accounting" xfId="12121"/>
    <cellStyle name="Single Accounting 2" xfId="12122"/>
    <cellStyle name="Single Accounting 3" xfId="12123"/>
    <cellStyle name="Single Accounting 3 2" xfId="12124"/>
    <cellStyle name="Single Accounting 4" xfId="12125"/>
    <cellStyle name="SMALL HEADINGS" xfId="12126"/>
    <cellStyle name="SMALL HEADINGS 2" xfId="12127"/>
    <cellStyle name="SMALL HEADINGS 3" xfId="12128"/>
    <cellStyle name="SMALL HEADINGS 3 2" xfId="12129"/>
    <cellStyle name="SMALL HEADINGS 4" xfId="12130"/>
    <cellStyle name="Small Page Heading" xfId="12131"/>
    <cellStyle name="Small Page Heading 2" xfId="12132"/>
    <cellStyle name="Small Page Heading 3" xfId="12133"/>
    <cellStyle name="Small Page Heading 3 2" xfId="12134"/>
    <cellStyle name="Small Page Heading 4" xfId="12135"/>
    <cellStyle name="Source" xfId="245"/>
    <cellStyle name="Source 2" xfId="12137"/>
    <cellStyle name="Source 3" xfId="12138"/>
    <cellStyle name="Source 3 2" xfId="12139"/>
    <cellStyle name="Source 4" xfId="12140"/>
    <cellStyle name="Source 5" xfId="13711"/>
    <cellStyle name="Source 6" xfId="20623"/>
    <cellStyle name="Source 7" xfId="12136"/>
    <cellStyle name="Source Hed" xfId="246"/>
    <cellStyle name="Source Text" xfId="247"/>
    <cellStyle name="Standard_BLUE" xfId="12141"/>
    <cellStyle name="StandardTxt" xfId="12142"/>
    <cellStyle name="StandardTxt 2" xfId="12143"/>
    <cellStyle name="StandardTxt 3" xfId="12144"/>
    <cellStyle name="StandardTxt 3 2" xfId="12145"/>
    <cellStyle name="StandardTxt 4" xfId="12146"/>
    <cellStyle name="Std_%1" xfId="12147"/>
    <cellStyle name="Style 1" xfId="12148"/>
    <cellStyle name="Style 1 2" xfId="12149"/>
    <cellStyle name="Style 1 2 2" xfId="12150"/>
    <cellStyle name="Style 1 2 2 2" xfId="12151"/>
    <cellStyle name="Style 1 2 2 2 2" xfId="12152"/>
    <cellStyle name="Style 1 2 2 3" xfId="12153"/>
    <cellStyle name="Style 1 2 3" xfId="12154"/>
    <cellStyle name="Style 1 2 4" xfId="12155"/>
    <cellStyle name="Style 1 2 4 2" xfId="12156"/>
    <cellStyle name="Style 1 2 5" xfId="12157"/>
    <cellStyle name="Style 1 3" xfId="12158"/>
    <cellStyle name="Style 1 3 2" xfId="12159"/>
    <cellStyle name="Style 1 3 3" xfId="12160"/>
    <cellStyle name="Style 1 3 3 2" xfId="12161"/>
    <cellStyle name="Style 1 3 4" xfId="12162"/>
    <cellStyle name="Style 1 4" xfId="12163"/>
    <cellStyle name="Style 1 4 2" xfId="12164"/>
    <cellStyle name="Style 1 4 2 2" xfId="12165"/>
    <cellStyle name="Style 1 4 3" xfId="12166"/>
    <cellStyle name="Style 1 5" xfId="12167"/>
    <cellStyle name="Style 1 6" xfId="12168"/>
    <cellStyle name="Style 1 6 2" xfId="12169"/>
    <cellStyle name="Style 1 7" xfId="12170"/>
    <cellStyle name="Style 1 8" xfId="13425"/>
    <cellStyle name="Style 101" xfId="12171"/>
    <cellStyle name="Style 101 2" xfId="12172"/>
    <cellStyle name="Style 101 2 2" xfId="12173"/>
    <cellStyle name="Style 101 2 2 2" xfId="12174"/>
    <cellStyle name="Style 101 2 2 3" xfId="12175"/>
    <cellStyle name="Style 101 2 2 3 2" xfId="12176"/>
    <cellStyle name="Style 101 2 2 4" xfId="12177"/>
    <cellStyle name="Style 101 2 3" xfId="12178"/>
    <cellStyle name="Style 101 2 4" xfId="12179"/>
    <cellStyle name="Style 101 2 4 2" xfId="12180"/>
    <cellStyle name="Style 101 2 5" xfId="12181"/>
    <cellStyle name="Style 101 2_6.1 Contingency Allocation" xfId="12182"/>
    <cellStyle name="Style 101 3" xfId="12183"/>
    <cellStyle name="Style 101 3 2" xfId="12184"/>
    <cellStyle name="Style 101 3 3" xfId="12185"/>
    <cellStyle name="Style 101 3 3 2" xfId="12186"/>
    <cellStyle name="Style 101 3 4" xfId="12187"/>
    <cellStyle name="Style 101 4" xfId="12188"/>
    <cellStyle name="Style 101 4 2" xfId="12189"/>
    <cellStyle name="Style 101 4 3" xfId="12190"/>
    <cellStyle name="Style 101 4 3 2" xfId="12191"/>
    <cellStyle name="Style 101 4 4" xfId="12192"/>
    <cellStyle name="Style 101 5" xfId="12193"/>
    <cellStyle name="Style 101 6" xfId="12194"/>
    <cellStyle name="Style 101 6 2" xfId="12195"/>
    <cellStyle name="Style 101 7" xfId="12196"/>
    <cellStyle name="Style 101_6.1 Contingency Allocation" xfId="12197"/>
    <cellStyle name="Style 117" xfId="12198"/>
    <cellStyle name="Style 117 2" xfId="12199"/>
    <cellStyle name="Style 117 2 2" xfId="12200"/>
    <cellStyle name="Style 117 2 2 2" xfId="12201"/>
    <cellStyle name="Style 117 2 2 3" xfId="12202"/>
    <cellStyle name="Style 117 2 2 3 2" xfId="12203"/>
    <cellStyle name="Style 117 2 2 4" xfId="12204"/>
    <cellStyle name="Style 117 2 3" xfId="12205"/>
    <cellStyle name="Style 117 2 4" xfId="12206"/>
    <cellStyle name="Style 117 2 4 2" xfId="12207"/>
    <cellStyle name="Style 117 2 5" xfId="12208"/>
    <cellStyle name="Style 117 2_6.1 Contingency Allocation" xfId="12209"/>
    <cellStyle name="Style 117 3" xfId="12210"/>
    <cellStyle name="Style 117 3 2" xfId="12211"/>
    <cellStyle name="Style 117 3 3" xfId="12212"/>
    <cellStyle name="Style 117 3 3 2" xfId="12213"/>
    <cellStyle name="Style 117 3 4" xfId="12214"/>
    <cellStyle name="Style 117 4" xfId="12215"/>
    <cellStyle name="Style 117 4 2" xfId="12216"/>
    <cellStyle name="Style 117 4 3" xfId="12217"/>
    <cellStyle name="Style 117 4 3 2" xfId="12218"/>
    <cellStyle name="Style 117 4 4" xfId="12219"/>
    <cellStyle name="Style 117 5" xfId="12220"/>
    <cellStyle name="Style 117 6" xfId="12221"/>
    <cellStyle name="Style 117 6 2" xfId="12222"/>
    <cellStyle name="Style 117 7" xfId="12223"/>
    <cellStyle name="Style 117_6.1 Contingency Allocation" xfId="12224"/>
    <cellStyle name="Style 2" xfId="12225"/>
    <cellStyle name="Style 2 2" xfId="12226"/>
    <cellStyle name="Style 2 2 2" xfId="12227"/>
    <cellStyle name="Style 2 2 2 2" xfId="12228"/>
    <cellStyle name="Style 2 2 3" xfId="12229"/>
    <cellStyle name="Style 2 3" xfId="12230"/>
    <cellStyle name="Style 2 4" xfId="12231"/>
    <cellStyle name="Style 2 4 2" xfId="12232"/>
    <cellStyle name="Style 2 5" xfId="12233"/>
    <cellStyle name="Style 21" xfId="248"/>
    <cellStyle name="Style 21 2" xfId="249"/>
    <cellStyle name="Style 22" xfId="250"/>
    <cellStyle name="Style 22 2" xfId="251"/>
    <cellStyle name="Style 22 3" xfId="13426"/>
    <cellStyle name="Style 23" xfId="252"/>
    <cellStyle name="Style 23 2" xfId="253"/>
    <cellStyle name="Style 23 3" xfId="13427"/>
    <cellStyle name="Style 24" xfId="254"/>
    <cellStyle name="Style 24 2" xfId="255"/>
    <cellStyle name="Style 26" xfId="13428"/>
    <cellStyle name="Style 27" xfId="13429"/>
    <cellStyle name="Style 28" xfId="13430"/>
    <cellStyle name="Style 29" xfId="256"/>
    <cellStyle name="Style 29 2" xfId="257"/>
    <cellStyle name="Style 3" xfId="12234"/>
    <cellStyle name="Style 3 2" xfId="12235"/>
    <cellStyle name="Style 3 2 2" xfId="12236"/>
    <cellStyle name="Style 3 2 2 2" xfId="12237"/>
    <cellStyle name="Style 3 2 3" xfId="12238"/>
    <cellStyle name="Style 3 3" xfId="12239"/>
    <cellStyle name="Style 3 4" xfId="12240"/>
    <cellStyle name="Style 3 4 2" xfId="12241"/>
    <cellStyle name="Style 3 5" xfId="12242"/>
    <cellStyle name="Style 30" xfId="258"/>
    <cellStyle name="Style 30 2" xfId="259"/>
    <cellStyle name="Style 31" xfId="260"/>
    <cellStyle name="Style 31 2" xfId="261"/>
    <cellStyle name="Style 32" xfId="262"/>
    <cellStyle name="Style 32 2" xfId="263"/>
    <cellStyle name="Style 4" xfId="12243"/>
    <cellStyle name="Style 4 2" xfId="12244"/>
    <cellStyle name="Style 4 2 2" xfId="12245"/>
    <cellStyle name="Style 4 2 2 2" xfId="12246"/>
    <cellStyle name="Style 4 2 3" xfId="12247"/>
    <cellStyle name="Style 4 3" xfId="12248"/>
    <cellStyle name="Style 4 4" xfId="12249"/>
    <cellStyle name="Style 4 4 2" xfId="12250"/>
    <cellStyle name="Style 4 5" xfId="12251"/>
    <cellStyle name="Style 5" xfId="12252"/>
    <cellStyle name="Style 5 2" xfId="12253"/>
    <cellStyle name="Style 5 2 2" xfId="12254"/>
    <cellStyle name="Style 5 2 2 2" xfId="12255"/>
    <cellStyle name="Style 5 2 3" xfId="12256"/>
    <cellStyle name="Style 5 3" xfId="12257"/>
    <cellStyle name="Style 5 4" xfId="12258"/>
    <cellStyle name="Style 5 4 2" xfId="12259"/>
    <cellStyle name="Style 5 5" xfId="12260"/>
    <cellStyle name="Style 6" xfId="12261"/>
    <cellStyle name="Style 6 2" xfId="12262"/>
    <cellStyle name="Style 6 2 2" xfId="12263"/>
    <cellStyle name="Style 6 2 2 2" xfId="12264"/>
    <cellStyle name="Style 6 2 3" xfId="12265"/>
    <cellStyle name="Style 6 3" xfId="12266"/>
    <cellStyle name="Style 6 4" xfId="12267"/>
    <cellStyle name="Style 6 4 2" xfId="12268"/>
    <cellStyle name="Style 6 5" xfId="12269"/>
    <cellStyle name="Style 7" xfId="12270"/>
    <cellStyle name="Style 7 2" xfId="12271"/>
    <cellStyle name="Style 7 2 2" xfId="12272"/>
    <cellStyle name="Style 7 2 2 2" xfId="12273"/>
    <cellStyle name="Style 7 2 3" xfId="12274"/>
    <cellStyle name="Style 7 3" xfId="12275"/>
    <cellStyle name="Style 7 4" xfId="12276"/>
    <cellStyle name="Style 7 4 2" xfId="12277"/>
    <cellStyle name="Style 7 5" xfId="12278"/>
    <cellStyle name="Style 8" xfId="12279"/>
    <cellStyle name="Style 8 2" xfId="12280"/>
    <cellStyle name="Style 8 2 2" xfId="12281"/>
    <cellStyle name="Style 8 2 2 2" xfId="12282"/>
    <cellStyle name="Style 8 2 3" xfId="12283"/>
    <cellStyle name="Style 8 3" xfId="12284"/>
    <cellStyle name="Style 8 4" xfId="12285"/>
    <cellStyle name="Style 8 4 2" xfId="12286"/>
    <cellStyle name="Style 8 5" xfId="12287"/>
    <cellStyle name="style1" xfId="12288"/>
    <cellStyle name="style1 2" xfId="12289"/>
    <cellStyle name="style1 2 2" xfId="12290"/>
    <cellStyle name="style1 2 2 2" xfId="12291"/>
    <cellStyle name="style1 2 3" xfId="12292"/>
    <cellStyle name="style1 3" xfId="12293"/>
    <cellStyle name="style1 4" xfId="12294"/>
    <cellStyle name="style1 4 2" xfId="12295"/>
    <cellStyle name="style1 5" xfId="12296"/>
    <cellStyle name="style1 6" xfId="13431"/>
    <cellStyle name="style2" xfId="13432"/>
    <cellStyle name="style3" xfId="13433"/>
    <cellStyle name="SUB HEADING" xfId="12297"/>
    <cellStyle name="SUB HEADING 2" xfId="12298"/>
    <cellStyle name="SUB HEADING 3" xfId="12299"/>
    <cellStyle name="SUB HEADING 3 2" xfId="12300"/>
    <cellStyle name="SUB HEADING 4" xfId="12301"/>
    <cellStyle name="subhead" xfId="12302"/>
    <cellStyle name="subhead 2" xfId="12303"/>
    <cellStyle name="subhead 3" xfId="12304"/>
    <cellStyle name="subhead 3 2" xfId="12305"/>
    <cellStyle name="subhead 4" xfId="12306"/>
    <cellStyle name="SubHeading1" xfId="12307"/>
    <cellStyle name="SubHeading1 2" xfId="12308"/>
    <cellStyle name="SubHeading1 3" xfId="12309"/>
    <cellStyle name="SubHeading1 3 2" xfId="12310"/>
    <cellStyle name="SubHeading1 4" xfId="12311"/>
    <cellStyle name="SubTitle 2" xfId="12312"/>
    <cellStyle name="SubTitle 2 2" xfId="12313"/>
    <cellStyle name="SubTitle 2 3" xfId="12314"/>
    <cellStyle name="SubTitle 2 3 2" xfId="12315"/>
    <cellStyle name="SubTitle 2 4" xfId="12316"/>
    <cellStyle name="Switch" xfId="12317"/>
    <cellStyle name="Switch 2" xfId="12318"/>
    <cellStyle name="Switch 3" xfId="12319"/>
    <cellStyle name="Switch 3 2" xfId="12320"/>
    <cellStyle name="Switch 4" xfId="12321"/>
    <cellStyle name="Table Col Head" xfId="12322"/>
    <cellStyle name="Table Col Head 2" xfId="12323"/>
    <cellStyle name="Table Col Head 3" xfId="12324"/>
    <cellStyle name="Table Col Head 3 2" xfId="12325"/>
    <cellStyle name="Table Col Head 4" xfId="12326"/>
    <cellStyle name="Table Head" xfId="12327"/>
    <cellStyle name="Table Head 2" xfId="12328"/>
    <cellStyle name="Table Head 2 2" xfId="12329"/>
    <cellStyle name="Table Head 2 3" xfId="12330"/>
    <cellStyle name="Table Head 2 3 2" xfId="12331"/>
    <cellStyle name="Table Head 2 4" xfId="12332"/>
    <cellStyle name="Table Head 3" xfId="12333"/>
    <cellStyle name="Table Head 3 2" xfId="12334"/>
    <cellStyle name="Table Head 3 3" xfId="12335"/>
    <cellStyle name="Table Head 3 3 2" xfId="12336"/>
    <cellStyle name="Table Head 3 4" xfId="12337"/>
    <cellStyle name="Table Head 4" xfId="12338"/>
    <cellStyle name="Table Head 5" xfId="12339"/>
    <cellStyle name="Table Head 5 2" xfId="12340"/>
    <cellStyle name="Table Head 6" xfId="12341"/>
    <cellStyle name="Table Head Aligned" xfId="12342"/>
    <cellStyle name="Table Head Aligned 2" xfId="12343"/>
    <cellStyle name="Table Head Aligned 2 2" xfId="12344"/>
    <cellStyle name="Table Head Aligned 2 2 2" xfId="20888"/>
    <cellStyle name="Table Head Aligned 2 2 3" xfId="20908"/>
    <cellStyle name="Table Head Aligned 2 3" xfId="12345"/>
    <cellStyle name="Table Head Aligned 2 3 2" xfId="12346"/>
    <cellStyle name="Table Head Aligned 2 4" xfId="12347"/>
    <cellStyle name="Table Head Aligned 3" xfId="12348"/>
    <cellStyle name="Table Head Aligned 3 2" xfId="20902"/>
    <cellStyle name="Table Head Aligned 3 3" xfId="20922"/>
    <cellStyle name="Table Head Aligned 4" xfId="12349"/>
    <cellStyle name="Table Head Aligned 4 2" xfId="12350"/>
    <cellStyle name="Table Head Aligned 5" xfId="12351"/>
    <cellStyle name="Table Head Blue" xfId="12352"/>
    <cellStyle name="Table Head Blue 2" xfId="12353"/>
    <cellStyle name="Table Head Blue 3" xfId="12354"/>
    <cellStyle name="Table Head Blue 3 2" xfId="12355"/>
    <cellStyle name="Table Head Blue 4" xfId="12356"/>
    <cellStyle name="Table Head Green" xfId="12357"/>
    <cellStyle name="Table Head Green 2" xfId="12358"/>
    <cellStyle name="Table Head Green 2 2" xfId="12359"/>
    <cellStyle name="Table Head Green 2 2 2" xfId="20903"/>
    <cellStyle name="Table Head Green 2 2 3" xfId="20923"/>
    <cellStyle name="Table Head Green 2 3" xfId="12360"/>
    <cellStyle name="Table Head Green 2 3 2" xfId="12361"/>
    <cellStyle name="Table Head Green 2 4" xfId="12362"/>
    <cellStyle name="Table Head Green 3" xfId="12363"/>
    <cellStyle name="Table Head Green 3 2" xfId="20895"/>
    <cellStyle name="Table Head Green 3 3" xfId="20915"/>
    <cellStyle name="Table Head Green 4" xfId="12364"/>
    <cellStyle name="Table Head Green 4 2" xfId="12365"/>
    <cellStyle name="Table Head Green 5" xfId="12366"/>
    <cellStyle name="Table Head_A1.  Major AFC var by contract" xfId="12367"/>
    <cellStyle name="Table Heading" xfId="12368"/>
    <cellStyle name="Table Heading 2" xfId="12369"/>
    <cellStyle name="Table Heading 3" xfId="12370"/>
    <cellStyle name="Table Heading 3 2" xfId="12371"/>
    <cellStyle name="Table Heading 4" xfId="12372"/>
    <cellStyle name="Table Source" xfId="12373"/>
    <cellStyle name="Table Source 2" xfId="12374"/>
    <cellStyle name="Table Source 3" xfId="12375"/>
    <cellStyle name="Table Source 3 2" xfId="12376"/>
    <cellStyle name="Table Source 4" xfId="12377"/>
    <cellStyle name="Table Sub Head" xfId="12378"/>
    <cellStyle name="Table Sub Head 2" xfId="12379"/>
    <cellStyle name="Table Sub Head 3" xfId="12380"/>
    <cellStyle name="Table Sub Head 3 2" xfId="12381"/>
    <cellStyle name="Table Sub Head 4" xfId="12382"/>
    <cellStyle name="Table Sub Heading" xfId="12383"/>
    <cellStyle name="Table Sub Heading 2" xfId="12384"/>
    <cellStyle name="Table Sub Heading 3" xfId="12385"/>
    <cellStyle name="Table Sub Heading 3 2" xfId="12386"/>
    <cellStyle name="Table Sub Heading 4" xfId="12387"/>
    <cellStyle name="Table Text" xfId="12388"/>
    <cellStyle name="Table Text 2" xfId="12389"/>
    <cellStyle name="Table Text 3" xfId="12390"/>
    <cellStyle name="Table Text 3 2" xfId="12391"/>
    <cellStyle name="Table Text 4" xfId="12392"/>
    <cellStyle name="Table Title" xfId="12393"/>
    <cellStyle name="Table Title 2" xfId="12394"/>
    <cellStyle name="Table Title 3" xfId="12395"/>
    <cellStyle name="Table Title 3 2" xfId="12396"/>
    <cellStyle name="Table Title 4" xfId="12397"/>
    <cellStyle name="Table Units" xfId="12398"/>
    <cellStyle name="Table Units 2" xfId="12399"/>
    <cellStyle name="Table Units 2 2" xfId="12400"/>
    <cellStyle name="Table Units 2 3" xfId="12401"/>
    <cellStyle name="Table Units 2 3 2" xfId="12402"/>
    <cellStyle name="Table Units 2 4" xfId="12403"/>
    <cellStyle name="Table Units 3" xfId="12404"/>
    <cellStyle name="Table Units 4" xfId="12405"/>
    <cellStyle name="Table Units 4 2" xfId="12406"/>
    <cellStyle name="Table Units 5" xfId="12407"/>
    <cellStyle name="Table_Header" xfId="12408"/>
    <cellStyle name="TableColumnHeader" xfId="9"/>
    <cellStyle name="TableCrossHeader" xfId="10"/>
    <cellStyle name="TableRowHeader" xfId="11"/>
    <cellStyle name="TableUoM" xfId="12"/>
    <cellStyle name="TableValue" xfId="13"/>
    <cellStyle name="test a style" xfId="12409"/>
    <cellStyle name="test a style 2" xfId="12410"/>
    <cellStyle name="test a style 2 2" xfId="12411"/>
    <cellStyle name="test a style 2 2 2" xfId="20899"/>
    <cellStyle name="test a style 2 2 3" xfId="20919"/>
    <cellStyle name="test a style 2 3" xfId="12412"/>
    <cellStyle name="test a style 2 3 2" xfId="12413"/>
    <cellStyle name="test a style 2 4" xfId="12414"/>
    <cellStyle name="test a style 3" xfId="12415"/>
    <cellStyle name="test a style 3 2" xfId="20900"/>
    <cellStyle name="test a style 3 3" xfId="20920"/>
    <cellStyle name="test a style 4" xfId="12416"/>
    <cellStyle name="test a style 4 2" xfId="12417"/>
    <cellStyle name="test a style 5" xfId="12418"/>
    <cellStyle name="Text" xfId="12419"/>
    <cellStyle name="Text 1" xfId="12420"/>
    <cellStyle name="Text 1 2" xfId="12421"/>
    <cellStyle name="Text 1 3" xfId="12422"/>
    <cellStyle name="Text 1 3 2" xfId="12423"/>
    <cellStyle name="Text 1 4" xfId="12424"/>
    <cellStyle name="Text 2" xfId="12425"/>
    <cellStyle name="Text 2 2" xfId="12426"/>
    <cellStyle name="Text 2 3" xfId="12427"/>
    <cellStyle name="Text 2 3 2" xfId="12428"/>
    <cellStyle name="Text 2 4" xfId="12429"/>
    <cellStyle name="Text 3" xfId="12430"/>
    <cellStyle name="Text 3 2" xfId="12431"/>
    <cellStyle name="Text 3 3" xfId="12432"/>
    <cellStyle name="Text 3 3 2" xfId="12433"/>
    <cellStyle name="Text 3 4" xfId="12434"/>
    <cellStyle name="Text 4" xfId="12435"/>
    <cellStyle name="Text 4 2" xfId="12436"/>
    <cellStyle name="Text 4 3" xfId="12437"/>
    <cellStyle name="Text 4 3 2" xfId="12438"/>
    <cellStyle name="Text 4 4" xfId="12439"/>
    <cellStyle name="Text 5" xfId="12440"/>
    <cellStyle name="Text 5 2" xfId="12441"/>
    <cellStyle name="Text 5 3" xfId="12442"/>
    <cellStyle name="Text 5 3 2" xfId="12443"/>
    <cellStyle name="Text 5 4" xfId="12444"/>
    <cellStyle name="Text 6" xfId="12445"/>
    <cellStyle name="Text 7" xfId="12446"/>
    <cellStyle name="Text 7 2" xfId="12447"/>
    <cellStyle name="Text 8" xfId="12448"/>
    <cellStyle name="Text Head" xfId="12449"/>
    <cellStyle name="Text Head 1" xfId="12450"/>
    <cellStyle name="Text Head 1 2" xfId="12451"/>
    <cellStyle name="Text Head 1 3" xfId="12452"/>
    <cellStyle name="Text Head 1 3 2" xfId="12453"/>
    <cellStyle name="Text Head 1 4" xfId="12454"/>
    <cellStyle name="Text Head 2" xfId="12455"/>
    <cellStyle name="Text Head 2 2" xfId="12456"/>
    <cellStyle name="Text Head 2 3" xfId="12457"/>
    <cellStyle name="Text Head 2 3 2" xfId="12458"/>
    <cellStyle name="Text Head 2 4" xfId="12459"/>
    <cellStyle name="Text Head 3" xfId="12460"/>
    <cellStyle name="Text Head 4" xfId="12461"/>
    <cellStyle name="Text Head 4 2" xfId="12462"/>
    <cellStyle name="Text Head 5" xfId="12463"/>
    <cellStyle name="Text Indent 1" xfId="12464"/>
    <cellStyle name="Text Indent 1 2" xfId="12465"/>
    <cellStyle name="Text Indent 1 3" xfId="12466"/>
    <cellStyle name="Text Indent 1 3 2" xfId="12467"/>
    <cellStyle name="Text Indent 1 4" xfId="12468"/>
    <cellStyle name="Text Indent 2" xfId="12469"/>
    <cellStyle name="Text Indent 2 2" xfId="12470"/>
    <cellStyle name="Text Indent 2 3" xfId="12471"/>
    <cellStyle name="Text Indent 2 3 2" xfId="12472"/>
    <cellStyle name="Text Indent 2 4" xfId="12473"/>
    <cellStyle name="Text Indent A" xfId="12474"/>
    <cellStyle name="Text Indent A 2" xfId="12475"/>
    <cellStyle name="Text Indent A 2 2" xfId="12476"/>
    <cellStyle name="Text Indent A 2 3" xfId="12477"/>
    <cellStyle name="Text Indent A 2 3 2" xfId="12478"/>
    <cellStyle name="Text Indent A 2 4" xfId="12479"/>
    <cellStyle name="Text Indent A 3" xfId="12480"/>
    <cellStyle name="Text Indent A 4" xfId="12481"/>
    <cellStyle name="Text Indent A 4 2" xfId="12482"/>
    <cellStyle name="Text Indent A 5" xfId="12483"/>
    <cellStyle name="Text Indent B" xfId="12484"/>
    <cellStyle name="Text Indent B 2" xfId="12485"/>
    <cellStyle name="Text Indent B 2 2" xfId="12486"/>
    <cellStyle name="Text Indent B 2 2 2" xfId="12487"/>
    <cellStyle name="Text Indent B 2 2 2 2" xfId="12488"/>
    <cellStyle name="Text Indent B 2 2 2 2 2" xfId="12489"/>
    <cellStyle name="Text Indent B 2 2 2 3" xfId="12490"/>
    <cellStyle name="Text Indent B 2 2 3" xfId="12491"/>
    <cellStyle name="Text Indent B 2 2 4" xfId="12492"/>
    <cellStyle name="Text Indent B 2 2 4 2" xfId="12493"/>
    <cellStyle name="Text Indent B 2 2 5" xfId="12494"/>
    <cellStyle name="Text Indent B 2 3" xfId="12495"/>
    <cellStyle name="Text Indent B 2 3 2" xfId="12496"/>
    <cellStyle name="Text Indent B 2 3 2 2" xfId="12497"/>
    <cellStyle name="Text Indent B 2 3 3" xfId="12498"/>
    <cellStyle name="Text Indent B 2 4" xfId="12499"/>
    <cellStyle name="Text Indent B 2 5" xfId="12500"/>
    <cellStyle name="Text Indent B 2 5 2" xfId="12501"/>
    <cellStyle name="Text Indent B 2 6" xfId="12502"/>
    <cellStyle name="Text Indent B 2_6.1 Contingency Allocation" xfId="12503"/>
    <cellStyle name="Text Indent B 3" xfId="12504"/>
    <cellStyle name="Text Indent B 3 2" xfId="12505"/>
    <cellStyle name="Text Indent B 3 2 2" xfId="12506"/>
    <cellStyle name="Text Indent B 3 2 2 2" xfId="12507"/>
    <cellStyle name="Text Indent B 3 2 3" xfId="12508"/>
    <cellStyle name="Text Indent B 3 3" xfId="12509"/>
    <cellStyle name="Text Indent B 3 4" xfId="12510"/>
    <cellStyle name="Text Indent B 3 4 2" xfId="12511"/>
    <cellStyle name="Text Indent B 3 5" xfId="12512"/>
    <cellStyle name="Text Indent B 4" xfId="12513"/>
    <cellStyle name="Text Indent B 4 2" xfId="12514"/>
    <cellStyle name="Text Indent B 4 2 2" xfId="12515"/>
    <cellStyle name="Text Indent B 4 2 2 2" xfId="12516"/>
    <cellStyle name="Text Indent B 4 2 3" xfId="12517"/>
    <cellStyle name="Text Indent B 4 3" xfId="12518"/>
    <cellStyle name="Text Indent B 4 4" xfId="12519"/>
    <cellStyle name="Text Indent B 4 4 2" xfId="12520"/>
    <cellStyle name="Text Indent B 4 5" xfId="12521"/>
    <cellStyle name="Text Indent B 5" xfId="12522"/>
    <cellStyle name="Text Indent B 6" xfId="12523"/>
    <cellStyle name="Text Indent B 6 2" xfId="12524"/>
    <cellStyle name="Text Indent B 7" xfId="12525"/>
    <cellStyle name="Text Indent B_6.1 Contingency Allocation" xfId="12526"/>
    <cellStyle name="Text Indent C" xfId="12527"/>
    <cellStyle name="Text Indent C 2" xfId="12528"/>
    <cellStyle name="Text Indent C 2 2" xfId="12529"/>
    <cellStyle name="Text Indent C 2 2 2" xfId="12530"/>
    <cellStyle name="Text Indent C 2 2 2 2" xfId="12531"/>
    <cellStyle name="Text Indent C 2 2 2 2 2" xfId="12532"/>
    <cellStyle name="Text Indent C 2 2 2 3" xfId="12533"/>
    <cellStyle name="Text Indent C 2 2 3" xfId="12534"/>
    <cellStyle name="Text Indent C 2 2 4" xfId="12535"/>
    <cellStyle name="Text Indent C 2 2 4 2" xfId="12536"/>
    <cellStyle name="Text Indent C 2 2 5" xfId="12537"/>
    <cellStyle name="Text Indent C 2 3" xfId="12538"/>
    <cellStyle name="Text Indent C 2 3 2" xfId="12539"/>
    <cellStyle name="Text Indent C 2 3 2 2" xfId="12540"/>
    <cellStyle name="Text Indent C 2 3 3" xfId="12541"/>
    <cellStyle name="Text Indent C 2 4" xfId="12542"/>
    <cellStyle name="Text Indent C 2 5" xfId="12543"/>
    <cellStyle name="Text Indent C 2 5 2" xfId="12544"/>
    <cellStyle name="Text Indent C 2 6" xfId="12545"/>
    <cellStyle name="Text Indent C 2_6.1 Contingency Allocation" xfId="12546"/>
    <cellStyle name="Text Indent C 3" xfId="12547"/>
    <cellStyle name="Text Indent C 3 2" xfId="12548"/>
    <cellStyle name="Text Indent C 3 2 2" xfId="12549"/>
    <cellStyle name="Text Indent C 3 2 2 2" xfId="12550"/>
    <cellStyle name="Text Indent C 3 2 3" xfId="12551"/>
    <cellStyle name="Text Indent C 3 3" xfId="12552"/>
    <cellStyle name="Text Indent C 3 4" xfId="12553"/>
    <cellStyle name="Text Indent C 3 4 2" xfId="12554"/>
    <cellStyle name="Text Indent C 3 5" xfId="12555"/>
    <cellStyle name="Text Indent C 4" xfId="12556"/>
    <cellStyle name="Text Indent C 4 2" xfId="12557"/>
    <cellStyle name="Text Indent C 4 2 2" xfId="12558"/>
    <cellStyle name="Text Indent C 4 2 2 2" xfId="12559"/>
    <cellStyle name="Text Indent C 4 2 3" xfId="12560"/>
    <cellStyle name="Text Indent C 4 3" xfId="12561"/>
    <cellStyle name="Text Indent C 4 4" xfId="12562"/>
    <cellStyle name="Text Indent C 4 4 2" xfId="12563"/>
    <cellStyle name="Text Indent C 4 5" xfId="12564"/>
    <cellStyle name="Text Indent C 5" xfId="12565"/>
    <cellStyle name="Text Indent C 6" xfId="12566"/>
    <cellStyle name="Text Indent C 6 2" xfId="12567"/>
    <cellStyle name="Text Indent C 7" xfId="12568"/>
    <cellStyle name="Text Indent C_6.1 Contingency Allocation" xfId="12569"/>
    <cellStyle name="Text_20100226wm Baseline Budget v01i 20100226jd-frozen WM" xfId="12570"/>
    <cellStyle name="Thous" xfId="12571"/>
    <cellStyle name="Thous 2" xfId="12572"/>
    <cellStyle name="Thous 2 2" xfId="12573"/>
    <cellStyle name="Thous 2 2 2" xfId="12574"/>
    <cellStyle name="Thous 2 3" xfId="12575"/>
    <cellStyle name="Thous 3" xfId="12576"/>
    <cellStyle name="Thous 4" xfId="12577"/>
    <cellStyle name="Thous 4 2" xfId="12578"/>
    <cellStyle name="Thous 5" xfId="12579"/>
    <cellStyle name="TIME Detail" xfId="12580"/>
    <cellStyle name="TIME Detail 2" xfId="12581"/>
    <cellStyle name="TIME Detail 3" xfId="12582"/>
    <cellStyle name="TIME Detail 3 2" xfId="12583"/>
    <cellStyle name="TIME Detail 4" xfId="12584"/>
    <cellStyle name="TIME Period Start" xfId="12585"/>
    <cellStyle name="TIME Period Start 2" xfId="12586"/>
    <cellStyle name="TIME Period Start 3" xfId="12587"/>
    <cellStyle name="TIME Period Start 3 2" xfId="12588"/>
    <cellStyle name="TIME Period Start 4" xfId="12589"/>
    <cellStyle name="Times 10" xfId="12590"/>
    <cellStyle name="Times 10 2" xfId="12591"/>
    <cellStyle name="Times 10 3" xfId="12592"/>
    <cellStyle name="Times 10 3 2" xfId="12593"/>
    <cellStyle name="Times 10 4" xfId="12594"/>
    <cellStyle name="Times 12" xfId="12595"/>
    <cellStyle name="Times 12 2" xfId="12596"/>
    <cellStyle name="Times 12 3" xfId="12597"/>
    <cellStyle name="Times 12 3 2" xfId="12598"/>
    <cellStyle name="Times 12 4" xfId="12599"/>
    <cellStyle name="Title" xfId="303" builtinId="15" customBuiltin="1"/>
    <cellStyle name="Title - PROJECT" xfId="12600"/>
    <cellStyle name="Title - PROJECT 2" xfId="12601"/>
    <cellStyle name="Title - PROJECT 2 2" xfId="12602"/>
    <cellStyle name="Title - PROJECT 2 2 2" xfId="12603"/>
    <cellStyle name="Title - PROJECT 2 3" xfId="12604"/>
    <cellStyle name="Title - PROJECT 3" xfId="12605"/>
    <cellStyle name="Title - PROJECT 4" xfId="12606"/>
    <cellStyle name="Title - PROJECT 4 2" xfId="12607"/>
    <cellStyle name="Title - PROJECT 5" xfId="12608"/>
    <cellStyle name="Title - Underline" xfId="12609"/>
    <cellStyle name="Title - Underline 2" xfId="12610"/>
    <cellStyle name="Title - Underline 2 2" xfId="12611"/>
    <cellStyle name="Title - Underline 2 2 2" xfId="12612"/>
    <cellStyle name="Title - Underline 2 3" xfId="12613"/>
    <cellStyle name="Title - Underline 3" xfId="12614"/>
    <cellStyle name="Title - Underline 4" xfId="12615"/>
    <cellStyle name="Title - Underline 4 2" xfId="12616"/>
    <cellStyle name="Title - Underline 5" xfId="12617"/>
    <cellStyle name="Title 10" xfId="12618"/>
    <cellStyle name="Title 11" xfId="12619"/>
    <cellStyle name="Title 12" xfId="12620"/>
    <cellStyle name="Title 13" xfId="12621"/>
    <cellStyle name="Title 14" xfId="12622"/>
    <cellStyle name="Title 15" xfId="12623"/>
    <cellStyle name="Title 16" xfId="12624"/>
    <cellStyle name="Title 17" xfId="12625"/>
    <cellStyle name="Title 18" xfId="12626"/>
    <cellStyle name="Title 19" xfId="12627"/>
    <cellStyle name="Title 2" xfId="264"/>
    <cellStyle name="Title 2 2" xfId="12629"/>
    <cellStyle name="Title 2 2 2" xfId="12630"/>
    <cellStyle name="Title 2 2 2 2" xfId="12631"/>
    <cellStyle name="Title 2 2 3" xfId="12632"/>
    <cellStyle name="Title 2 3" xfId="12633"/>
    <cellStyle name="Title 2 4" xfId="12634"/>
    <cellStyle name="Title 2 4 2" xfId="12635"/>
    <cellStyle name="Title 2 5" xfId="12636"/>
    <cellStyle name="Title 2 6" xfId="13713"/>
    <cellStyle name="Title 2 7" xfId="20624"/>
    <cellStyle name="Title 2 8" xfId="12628"/>
    <cellStyle name="Title 2_Data" xfId="12637"/>
    <cellStyle name="Title 20" xfId="12638"/>
    <cellStyle name="Title 21" xfId="12639"/>
    <cellStyle name="Title 22" xfId="12640"/>
    <cellStyle name="Title 23" xfId="12641"/>
    <cellStyle name="Title 24" xfId="12642"/>
    <cellStyle name="Title 24 2" xfId="12643"/>
    <cellStyle name="Title 25" xfId="12644"/>
    <cellStyle name="Title 25 2" xfId="12645"/>
    <cellStyle name="Title 26" xfId="12646"/>
    <cellStyle name="Title 27" xfId="12647"/>
    <cellStyle name="Title 28" xfId="12648"/>
    <cellStyle name="Title 29" xfId="12649"/>
    <cellStyle name="Title 3" xfId="12650"/>
    <cellStyle name="Title 3 2" xfId="12651"/>
    <cellStyle name="Title 3 3" xfId="12652"/>
    <cellStyle name="Title 3 3 2" xfId="12653"/>
    <cellStyle name="Title 3 4" xfId="12654"/>
    <cellStyle name="Title 30" xfId="12655"/>
    <cellStyle name="Title 31" xfId="12656"/>
    <cellStyle name="Title 32" xfId="12657"/>
    <cellStyle name="Title 33" xfId="12658"/>
    <cellStyle name="Title 34" xfId="12659"/>
    <cellStyle name="Title 35" xfId="12660"/>
    <cellStyle name="Title 36" xfId="12661"/>
    <cellStyle name="Title 37" xfId="12662"/>
    <cellStyle name="Title 38" xfId="12663"/>
    <cellStyle name="Title 39" xfId="12664"/>
    <cellStyle name="Title 4" xfId="12665"/>
    <cellStyle name="Title 4 2" xfId="12666"/>
    <cellStyle name="Title 4 3" xfId="12667"/>
    <cellStyle name="Title 4 3 2" xfId="12668"/>
    <cellStyle name="Title 4 4" xfId="12669"/>
    <cellStyle name="Title 40" xfId="13434"/>
    <cellStyle name="Title 41" xfId="13465"/>
    <cellStyle name="Title 42" xfId="13527"/>
    <cellStyle name="Title 43" xfId="13529"/>
    <cellStyle name="Title 44" xfId="13547"/>
    <cellStyle name="Title 45" xfId="13601"/>
    <cellStyle name="Title 46" xfId="13612"/>
    <cellStyle name="Title 47" xfId="13667"/>
    <cellStyle name="Title 5" xfId="12670"/>
    <cellStyle name="Title 5 2" xfId="12671"/>
    <cellStyle name="Title 5 3" xfId="12672"/>
    <cellStyle name="Title 5 3 2" xfId="12673"/>
    <cellStyle name="Title 5 4" xfId="12674"/>
    <cellStyle name="Title 6" xfId="12675"/>
    <cellStyle name="Title 6 2" xfId="12676"/>
    <cellStyle name="Title 6 3" xfId="12677"/>
    <cellStyle name="Title 6 3 2" xfId="12678"/>
    <cellStyle name="Title 6 4" xfId="12679"/>
    <cellStyle name="Title 7" xfId="12680"/>
    <cellStyle name="Title 7 2" xfId="12681"/>
    <cellStyle name="Title 7 3" xfId="12682"/>
    <cellStyle name="Title 7 3 2" xfId="12683"/>
    <cellStyle name="Title 7 4" xfId="12684"/>
    <cellStyle name="Title 8" xfId="12685"/>
    <cellStyle name="Title 8 2" xfId="12686"/>
    <cellStyle name="Title 8 3" xfId="12687"/>
    <cellStyle name="Title 8 3 2" xfId="12688"/>
    <cellStyle name="Title 8 4" xfId="12689"/>
    <cellStyle name="Title 9" xfId="12690"/>
    <cellStyle name="Title 9 2" xfId="12691"/>
    <cellStyle name="Title 9 3" xfId="12692"/>
    <cellStyle name="Title 9 3 2" xfId="12693"/>
    <cellStyle name="Title 9 4" xfId="12694"/>
    <cellStyle name="Title-1" xfId="265"/>
    <cellStyle name="Title-2" xfId="266"/>
    <cellStyle name="TitleBars" xfId="12695"/>
    <cellStyle name="TitleBars 2" xfId="12696"/>
    <cellStyle name="TitleBars 3" xfId="12697"/>
    <cellStyle name="TitleBars 3 2" xfId="12698"/>
    <cellStyle name="TitleBars 4" xfId="12699"/>
    <cellStyle name="Titles - Col. Headings" xfId="12700"/>
    <cellStyle name="Titles - Col. Headings 2" xfId="12701"/>
    <cellStyle name="Titles - Col. Headings 2 2" xfId="12702"/>
    <cellStyle name="Titles - Col. Headings 2 2 2" xfId="12703"/>
    <cellStyle name="Titles - Col. Headings 2 3" xfId="12704"/>
    <cellStyle name="Titles - Col. Headings 3" xfId="12705"/>
    <cellStyle name="Titles - Col. Headings 4" xfId="12706"/>
    <cellStyle name="Titles - Col. Headings 4 2" xfId="12707"/>
    <cellStyle name="Titles - Col. Headings 5" xfId="12708"/>
    <cellStyle name="Titles - Other" xfId="12709"/>
    <cellStyle name="Titles - Other 2" xfId="12710"/>
    <cellStyle name="Titles - Other 3" xfId="12711"/>
    <cellStyle name="Titles - Other 3 2" xfId="12712"/>
    <cellStyle name="Titles - Other 4" xfId="12713"/>
    <cellStyle name="Titre ligne" xfId="267"/>
    <cellStyle name="TOC 1" xfId="12714"/>
    <cellStyle name="TOC 1 2" xfId="12715"/>
    <cellStyle name="TOC 1 3" xfId="12716"/>
    <cellStyle name="TOC 1 3 2" xfId="12717"/>
    <cellStyle name="TOC 1 4" xfId="12718"/>
    <cellStyle name="TOC 2" xfId="12719"/>
    <cellStyle name="TOC 2 2" xfId="12720"/>
    <cellStyle name="TOC 2 3" xfId="12721"/>
    <cellStyle name="TOC 2 3 2" xfId="12722"/>
    <cellStyle name="TOC 2 4" xfId="12723"/>
    <cellStyle name="Topline" xfId="12724"/>
    <cellStyle name="Topline 2" xfId="12725"/>
    <cellStyle name="Topline 2 2" xfId="12726"/>
    <cellStyle name="Topline 2 2 2" xfId="12727"/>
    <cellStyle name="Topline 2 3" xfId="12728"/>
    <cellStyle name="Topline 3" xfId="12729"/>
    <cellStyle name="Topline 4" xfId="12730"/>
    <cellStyle name="Topline 4 2" xfId="12731"/>
    <cellStyle name="Topline 5" xfId="12732"/>
    <cellStyle name="Total" xfId="318" builtinId="25" customBuiltin="1"/>
    <cellStyle name="Total 1" xfId="12733"/>
    <cellStyle name="Total 1 2" xfId="12734"/>
    <cellStyle name="Total 1 3" xfId="12735"/>
    <cellStyle name="Total 1 3 2" xfId="12736"/>
    <cellStyle name="Total 1 4" xfId="12737"/>
    <cellStyle name="Total 10" xfId="12738"/>
    <cellStyle name="Total 10 2" xfId="12739"/>
    <cellStyle name="Total 10 3" xfId="12740"/>
    <cellStyle name="Total 10 3 2" xfId="12741"/>
    <cellStyle name="Total 10 4" xfId="12742"/>
    <cellStyle name="Total 11" xfId="12743"/>
    <cellStyle name="Total 12" xfId="12744"/>
    <cellStyle name="Total 12 2" xfId="12745"/>
    <cellStyle name="Total 13" xfId="12746"/>
    <cellStyle name="Total 14" xfId="12747"/>
    <cellStyle name="Total 15" xfId="12748"/>
    <cellStyle name="Total 16" xfId="13435"/>
    <cellStyle name="Total 2" xfId="268"/>
    <cellStyle name="Total 2 10" xfId="12749"/>
    <cellStyle name="Total 2 2" xfId="269"/>
    <cellStyle name="Total 2 2 2" xfId="302"/>
    <cellStyle name="Total 2 2 2 2" xfId="4742"/>
    <cellStyle name="Total 2 2 2 2 2" xfId="16906"/>
    <cellStyle name="Total 2 2 2 3" xfId="1962"/>
    <cellStyle name="Total 2 2 2 4" xfId="18649"/>
    <cellStyle name="Total 2 2 2 5" xfId="20541"/>
    <cellStyle name="Total 2 2 3" xfId="4741"/>
    <cellStyle name="Total 2 2 3 2" xfId="13715"/>
    <cellStyle name="Total 2 2 4" xfId="1943"/>
    <cellStyle name="Total 2 2 5" xfId="19116"/>
    <cellStyle name="Total 2 2 6" xfId="20626"/>
    <cellStyle name="Total 2 2 7" xfId="20560"/>
    <cellStyle name="Total 2 2 8" xfId="12750"/>
    <cellStyle name="Total 2 3" xfId="301"/>
    <cellStyle name="Total 2 3 2" xfId="4743"/>
    <cellStyle name="Total 2 3 2 2" xfId="20628"/>
    <cellStyle name="Total 2 3 2 3" xfId="20861"/>
    <cellStyle name="Total 2 3 2 4" xfId="20847"/>
    <cellStyle name="Total 2 3 2 5" xfId="12752"/>
    <cellStyle name="Total 2 3 3" xfId="1961"/>
    <cellStyle name="Total 2 3 4" xfId="19012"/>
    <cellStyle name="Total 2 3 5" xfId="20627"/>
    <cellStyle name="Total 2 3 6" xfId="20542"/>
    <cellStyle name="Total 2 3 7" xfId="12751"/>
    <cellStyle name="Total 2 4" xfId="533"/>
    <cellStyle name="Total 2 4 2" xfId="4744"/>
    <cellStyle name="Total 2 4 2 2" xfId="13795"/>
    <cellStyle name="Total 2 4 3" xfId="2015"/>
    <cellStyle name="Total 2 4 4" xfId="16433"/>
    <cellStyle name="Total 2 4 5" xfId="20629"/>
    <cellStyle name="Total 2 4 6" xfId="20488"/>
    <cellStyle name="Total 2 4 7" xfId="12753"/>
    <cellStyle name="Total 2 5" xfId="4740"/>
    <cellStyle name="Total 2 5 2" xfId="13714"/>
    <cellStyle name="Total 2 6" xfId="1942"/>
    <cellStyle name="Total 2 7" xfId="18810"/>
    <cellStyle name="Total 2 8" xfId="20625"/>
    <cellStyle name="Total 2 9" xfId="20561"/>
    <cellStyle name="Total 2_Data" xfId="12754"/>
    <cellStyle name="Total 3" xfId="534"/>
    <cellStyle name="Total 3 10" xfId="15023"/>
    <cellStyle name="Total 3 11" xfId="20630"/>
    <cellStyle name="Total 3 12" xfId="20487"/>
    <cellStyle name="Total 3 13" xfId="12755"/>
    <cellStyle name="Total 3 2" xfId="4745"/>
    <cellStyle name="Total 3 2 10" xfId="12756"/>
    <cellStyle name="Total 3 2 2" xfId="12757"/>
    <cellStyle name="Total 3 2 2 2" xfId="12758"/>
    <cellStyle name="Total 3 2 2 2 2" xfId="12759"/>
    <cellStyle name="Total 3 2 2 2 2 2" xfId="12760"/>
    <cellStyle name="Total 3 2 2 2 3" xfId="12761"/>
    <cellStyle name="Total 3 2 2 3" xfId="12762"/>
    <cellStyle name="Total 3 2 2 4" xfId="12763"/>
    <cellStyle name="Total 3 2 2 4 2" xfId="12764"/>
    <cellStyle name="Total 3 2 2 5" xfId="12765"/>
    <cellStyle name="Total 3 2 3" xfId="12766"/>
    <cellStyle name="Total 3 2 3 2" xfId="12767"/>
    <cellStyle name="Total 3 2 3 2 2" xfId="12768"/>
    <cellStyle name="Total 3 2 3 3" xfId="12769"/>
    <cellStyle name="Total 3 2 4" xfId="12770"/>
    <cellStyle name="Total 3 2 5" xfId="12771"/>
    <cellStyle name="Total 3 2 5 2" xfId="12772"/>
    <cellStyle name="Total 3 2 6" xfId="12773"/>
    <cellStyle name="Total 3 2 7" xfId="20631"/>
    <cellStyle name="Total 3 2 8" xfId="20862"/>
    <cellStyle name="Total 3 2 9" xfId="20795"/>
    <cellStyle name="Total 3 2_6.1 Contingency Allocation" xfId="12774"/>
    <cellStyle name="Total 3 3" xfId="2016"/>
    <cellStyle name="Total 3 3 2" xfId="12776"/>
    <cellStyle name="Total 3 3 2 2" xfId="12777"/>
    <cellStyle name="Total 3 3 2 2 2" xfId="12778"/>
    <cellStyle name="Total 3 3 2 3" xfId="12779"/>
    <cellStyle name="Total 3 3 3" xfId="12780"/>
    <cellStyle name="Total 3 3 4" xfId="12781"/>
    <cellStyle name="Total 3 3 4 2" xfId="12782"/>
    <cellStyle name="Total 3 3 5" xfId="12783"/>
    <cellStyle name="Total 3 3 6" xfId="20632"/>
    <cellStyle name="Total 3 3 7" xfId="20815"/>
    <cellStyle name="Total 3 3 8" xfId="20794"/>
    <cellStyle name="Total 3 3 9" xfId="12775"/>
    <cellStyle name="Total 3 4" xfId="12784"/>
    <cellStyle name="Total 3 4 2" xfId="12785"/>
    <cellStyle name="Total 3 4 2 2" xfId="12786"/>
    <cellStyle name="Total 3 4 3" xfId="12787"/>
    <cellStyle name="Total 3 4 4" xfId="20633"/>
    <cellStyle name="Total 3 4 5" xfId="20801"/>
    <cellStyle name="Total 3 4 6" xfId="20880"/>
    <cellStyle name="Total 3 5" xfId="12788"/>
    <cellStyle name="Total 3 6" xfId="12789"/>
    <cellStyle name="Total 3 6 2" xfId="12790"/>
    <cellStyle name="Total 3 7" xfId="12791"/>
    <cellStyle name="Total 3 8" xfId="13796"/>
    <cellStyle name="Total 3 9" xfId="15018"/>
    <cellStyle name="Total 3_6.1 Contingency Allocation" xfId="12792"/>
    <cellStyle name="Total 4" xfId="4746"/>
    <cellStyle name="Total 4 10" xfId="20807"/>
    <cellStyle name="Total 4 11" xfId="12793"/>
    <cellStyle name="Total 4 2" xfId="12794"/>
    <cellStyle name="Total 4 2 2" xfId="12795"/>
    <cellStyle name="Total 4 2 2 2" xfId="12796"/>
    <cellStyle name="Total 4 2 2 2 2" xfId="12797"/>
    <cellStyle name="Total 4 2 2 2 2 2" xfId="12798"/>
    <cellStyle name="Total 4 2 2 2 3" xfId="12799"/>
    <cellStyle name="Total 4 2 2 3" xfId="12800"/>
    <cellStyle name="Total 4 2 2 4" xfId="12801"/>
    <cellStyle name="Total 4 2 2 4 2" xfId="12802"/>
    <cellStyle name="Total 4 2 2 5" xfId="12803"/>
    <cellStyle name="Total 4 2 3" xfId="12804"/>
    <cellStyle name="Total 4 2 3 2" xfId="12805"/>
    <cellStyle name="Total 4 2 3 2 2" xfId="12806"/>
    <cellStyle name="Total 4 2 3 3" xfId="12807"/>
    <cellStyle name="Total 4 2 4" xfId="12808"/>
    <cellStyle name="Total 4 2 5" xfId="12809"/>
    <cellStyle name="Total 4 2 5 2" xfId="12810"/>
    <cellStyle name="Total 4 2 6" xfId="12811"/>
    <cellStyle name="Total 4 2_6.1 Contingency Allocation" xfId="12812"/>
    <cellStyle name="Total 4 3" xfId="12813"/>
    <cellStyle name="Total 4 3 2" xfId="12814"/>
    <cellStyle name="Total 4 3 2 2" xfId="12815"/>
    <cellStyle name="Total 4 3 2 2 2" xfId="12816"/>
    <cellStyle name="Total 4 3 2 3" xfId="12817"/>
    <cellStyle name="Total 4 3 3" xfId="12818"/>
    <cellStyle name="Total 4 3 4" xfId="12819"/>
    <cellStyle name="Total 4 3 4 2" xfId="12820"/>
    <cellStyle name="Total 4 3 5" xfId="12821"/>
    <cellStyle name="Total 4 4" xfId="12822"/>
    <cellStyle name="Total 4 4 2" xfId="12823"/>
    <cellStyle name="Total 4 4 2 2" xfId="12824"/>
    <cellStyle name="Total 4 4 3" xfId="12825"/>
    <cellStyle name="Total 4 5" xfId="12826"/>
    <cellStyle name="Total 4 6" xfId="12827"/>
    <cellStyle name="Total 4 6 2" xfId="12828"/>
    <cellStyle name="Total 4 7" xfId="12829"/>
    <cellStyle name="Total 4 8" xfId="20634"/>
    <cellStyle name="Total 4 9" xfId="20863"/>
    <cellStyle name="Total 4_6.1 Contingency Allocation" xfId="12830"/>
    <cellStyle name="Total 5" xfId="12831"/>
    <cellStyle name="Total 5 2" xfId="12832"/>
    <cellStyle name="Total 5 3" xfId="12833"/>
    <cellStyle name="Total 5 3 2" xfId="12834"/>
    <cellStyle name="Total 5 4" xfId="12835"/>
    <cellStyle name="Total 6" xfId="12836"/>
    <cellStyle name="Total 6 2" xfId="12837"/>
    <cellStyle name="Total 6 3" xfId="12838"/>
    <cellStyle name="Total 6 3 2" xfId="12839"/>
    <cellStyle name="Total 6 4" xfId="12840"/>
    <cellStyle name="Total 7" xfId="12841"/>
    <cellStyle name="Total 7 2" xfId="12842"/>
    <cellStyle name="Total 7 3" xfId="12843"/>
    <cellStyle name="Total 7 3 2" xfId="12844"/>
    <cellStyle name="Total 7 4" xfId="12845"/>
    <cellStyle name="Total 8" xfId="12846"/>
    <cellStyle name="Total 8 2" xfId="12847"/>
    <cellStyle name="Total 8 3" xfId="12848"/>
    <cellStyle name="Total 8 3 2" xfId="12849"/>
    <cellStyle name="Total 8 4" xfId="12850"/>
    <cellStyle name="Total 9" xfId="12851"/>
    <cellStyle name="Total 9 2" xfId="12852"/>
    <cellStyle name="Total 9 3" xfId="12853"/>
    <cellStyle name="Total 9 3 2" xfId="12854"/>
    <cellStyle name="Total 9 4" xfId="12855"/>
    <cellStyle name="Total intermediaire" xfId="270"/>
    <cellStyle name="Total Value" xfId="13436"/>
    <cellStyle name="TotalCurrency" xfId="12856"/>
    <cellStyle name="TotalCurrency 2" xfId="12857"/>
    <cellStyle name="TotalCurrency 2 2" xfId="12858"/>
    <cellStyle name="TotalCurrency 2 2 2" xfId="12859"/>
    <cellStyle name="TotalCurrency 2 2 3" xfId="12860"/>
    <cellStyle name="TotalCurrency 2 2 3 2" xfId="12861"/>
    <cellStyle name="TotalCurrency 2 2 4" xfId="12862"/>
    <cellStyle name="TotalCurrency 2 3" xfId="12863"/>
    <cellStyle name="TotalCurrency 2 4" xfId="12864"/>
    <cellStyle name="TotalCurrency 2 4 2" xfId="12865"/>
    <cellStyle name="TotalCurrency 2 5" xfId="12866"/>
    <cellStyle name="TotalCurrency 2_6.1 Contingency Allocation" xfId="12867"/>
    <cellStyle name="TotalCurrency 3" xfId="12868"/>
    <cellStyle name="TotalCurrency 3 2" xfId="12869"/>
    <cellStyle name="TotalCurrency 3 3" xfId="12870"/>
    <cellStyle name="TotalCurrency 3 3 2" xfId="12871"/>
    <cellStyle name="TotalCurrency 3 4" xfId="12872"/>
    <cellStyle name="TotalCurrency 4" xfId="12873"/>
    <cellStyle name="TotalCurrency 5" xfId="12874"/>
    <cellStyle name="TotalCurrency 5 2" xfId="12875"/>
    <cellStyle name="TotalCurrency 6" xfId="12876"/>
    <cellStyle name="TotalCurrency_6.1 Contingency Allocation" xfId="12877"/>
    <cellStyle name="Totals" xfId="12878"/>
    <cellStyle name="Totals 2" xfId="12879"/>
    <cellStyle name="Totals 2 2" xfId="12880"/>
    <cellStyle name="Totals 2 3" xfId="12881"/>
    <cellStyle name="Totals 2 3 2" xfId="12882"/>
    <cellStyle name="Totals 2 4" xfId="12883"/>
    <cellStyle name="Totals 3" xfId="12884"/>
    <cellStyle name="Totals 3 2" xfId="12885"/>
    <cellStyle name="Totals 3 3" xfId="12886"/>
    <cellStyle name="Totals 3 3 2" xfId="12887"/>
    <cellStyle name="Totals 3 4" xfId="12888"/>
    <cellStyle name="Totals 4" xfId="12889"/>
    <cellStyle name="Totals 5" xfId="12890"/>
    <cellStyle name="Totals 5 2" xfId="12891"/>
    <cellStyle name="Totals 6" xfId="12892"/>
    <cellStyle name="Totals_6.1 Contingency Allocation" xfId="12893"/>
    <cellStyle name="Totalsdash" xfId="12894"/>
    <cellStyle name="Totalsdash 2" xfId="12895"/>
    <cellStyle name="Totalsdash 2 2" xfId="12896"/>
    <cellStyle name="Totalsdash 2 2 2" xfId="12897"/>
    <cellStyle name="Totalsdash 2 3" xfId="12898"/>
    <cellStyle name="Totalsdash 3" xfId="12899"/>
    <cellStyle name="Totalsdash 4" xfId="12900"/>
    <cellStyle name="Totalsdash 4 2" xfId="12901"/>
    <cellStyle name="Totalsdash 5" xfId="12902"/>
    <cellStyle name="TS_Hdg1" xfId="12903"/>
    <cellStyle name="Tusenskille [0]_rob4-mon.xls Diagram 1" xfId="271"/>
    <cellStyle name="Tusenskille_rob4-mon.xls Diagram 1" xfId="272"/>
    <cellStyle name="Tusental (0)_pldt" xfId="12904"/>
    <cellStyle name="Tusental_pldt" xfId="12905"/>
    <cellStyle name="u" xfId="12906"/>
    <cellStyle name="u 2" xfId="12907"/>
    <cellStyle name="u 2 2" xfId="12908"/>
    <cellStyle name="u 2 2 2" xfId="20901"/>
    <cellStyle name="u 2 2 3" xfId="20921"/>
    <cellStyle name="u 2 3" xfId="12909"/>
    <cellStyle name="u 2 3 2" xfId="12910"/>
    <cellStyle name="u 2 4" xfId="12911"/>
    <cellStyle name="u 3" xfId="12912"/>
    <cellStyle name="u 3 2" xfId="20904"/>
    <cellStyle name="u 3 3" xfId="20924"/>
    <cellStyle name="u 4" xfId="12913"/>
    <cellStyle name="u 4 2" xfId="12914"/>
    <cellStyle name="u 5" xfId="12915"/>
    <cellStyle name="u_ICB Capex Maker v09 20100127jd-frozen" xfId="12916"/>
    <cellStyle name="u_ICB Capex Maker v09 20100127jd-frozen 2" xfId="12917"/>
    <cellStyle name="u_ICB Capex Maker v09 20100127jd-frozen 2 2" xfId="12918"/>
    <cellStyle name="u_ICB Capex Maker v09 20100127jd-frozen 2 2 2" xfId="20898"/>
    <cellStyle name="u_ICB Capex Maker v09 20100127jd-frozen 2 2 3" xfId="20918"/>
    <cellStyle name="u_ICB Capex Maker v09 20100127jd-frozen 2 3" xfId="12919"/>
    <cellStyle name="u_ICB Capex Maker v09 20100127jd-frozen 2 3 2" xfId="12920"/>
    <cellStyle name="u_ICB Capex Maker v09 20100127jd-frozen 2 4" xfId="12921"/>
    <cellStyle name="u_ICB Capex Maker v09 20100127jd-frozen 3" xfId="12922"/>
    <cellStyle name="u_ICB Capex Maker v09 20100127jd-frozen 3 2" xfId="20887"/>
    <cellStyle name="u_ICB Capex Maker v09 20100127jd-frozen 3 3" xfId="20907"/>
    <cellStyle name="u_ICB Capex Maker v09 20100127jd-frozen 4" xfId="12923"/>
    <cellStyle name="u_ICB Capex Maker v09 20100127jd-frozen 4 2" xfId="12924"/>
    <cellStyle name="u_ICB Capex Maker v09 20100127jd-frozen 5" xfId="12925"/>
    <cellStyle name="ubordinated Debt" xfId="12926"/>
    <cellStyle name="ubordinated Debt 2" xfId="12927"/>
    <cellStyle name="ubordinated Debt 3" xfId="12928"/>
    <cellStyle name="ubordinated Debt 3 2" xfId="12929"/>
    <cellStyle name="ubordinated Debt 4" xfId="12930"/>
    <cellStyle name="Ugly" xfId="12931"/>
    <cellStyle name="Ugly 2" xfId="12932"/>
    <cellStyle name="Ugly 2 2" xfId="12933"/>
    <cellStyle name="Ugly 2 3" xfId="12934"/>
    <cellStyle name="Ugly 2 3 2" xfId="12935"/>
    <cellStyle name="Ugly 2 4" xfId="12936"/>
    <cellStyle name="Ugly 3" xfId="12937"/>
    <cellStyle name="Ugly 4" xfId="12938"/>
    <cellStyle name="Ugly 4 2" xfId="12939"/>
    <cellStyle name="Ugly 5" xfId="12940"/>
    <cellStyle name="Underline_Single" xfId="12941"/>
    <cellStyle name="unique" xfId="12942"/>
    <cellStyle name="unique 2" xfId="12943"/>
    <cellStyle name="unique 2 2" xfId="12944"/>
    <cellStyle name="unique 2 2 2" xfId="12945"/>
    <cellStyle name="unique 2 2 2 2" xfId="12946"/>
    <cellStyle name="unique 2 2 3" xfId="12947"/>
    <cellStyle name="unique 2 3" xfId="12948"/>
    <cellStyle name="unique 2 4" xfId="12949"/>
    <cellStyle name="unique 2 4 2" xfId="12950"/>
    <cellStyle name="unique 2 5" xfId="12951"/>
    <cellStyle name="unique 3" xfId="12952"/>
    <cellStyle name="unique 3 2" xfId="12953"/>
    <cellStyle name="unique 3 2 2" xfId="12954"/>
    <cellStyle name="unique 3 3" xfId="12955"/>
    <cellStyle name="unique 4" xfId="12956"/>
    <cellStyle name="unique 5" xfId="12957"/>
    <cellStyle name="unique 5 2" xfId="12958"/>
    <cellStyle name="unique 6" xfId="12959"/>
    <cellStyle name="Unit" xfId="12960"/>
    <cellStyle name="Unit 2" xfId="12961"/>
    <cellStyle name="Unit 2 2" xfId="12962"/>
    <cellStyle name="Unit 2 3" xfId="12963"/>
    <cellStyle name="Unit 2 3 2" xfId="12964"/>
    <cellStyle name="Unit 2 4" xfId="12965"/>
    <cellStyle name="Unit 3" xfId="12966"/>
    <cellStyle name="Unit 3 2" xfId="12967"/>
    <cellStyle name="Unit 3 3" xfId="12968"/>
    <cellStyle name="Unit 3 3 2" xfId="12969"/>
    <cellStyle name="Unit 3 4" xfId="12970"/>
    <cellStyle name="Unit 4" xfId="12971"/>
    <cellStyle name="Unit 5" xfId="12972"/>
    <cellStyle name="Unit 5 2" xfId="12973"/>
    <cellStyle name="Unit 6" xfId="12974"/>
    <cellStyle name="Unit_6.1 Contingency Allocation" xfId="12975"/>
    <cellStyle name="UNITS" xfId="12976"/>
    <cellStyle name="UNITS 2" xfId="12977"/>
    <cellStyle name="UNITS 3" xfId="12978"/>
    <cellStyle name="UNITS 3 2" xfId="12979"/>
    <cellStyle name="UNITS 4" xfId="12980"/>
    <cellStyle name="Unprot" xfId="12981"/>
    <cellStyle name="Unprot 2" xfId="12982"/>
    <cellStyle name="Unprot 2 2" xfId="12983"/>
    <cellStyle name="Unprot 2 2 2" xfId="12984"/>
    <cellStyle name="Unprot 2 2 3" xfId="12985"/>
    <cellStyle name="Unprot 2 2 3 2" xfId="12986"/>
    <cellStyle name="Unprot 2 2 4" xfId="12987"/>
    <cellStyle name="Unprot 2 3" xfId="12988"/>
    <cellStyle name="Unprot 2 4" xfId="12989"/>
    <cellStyle name="Unprot 2 4 2" xfId="12990"/>
    <cellStyle name="Unprot 2 5" xfId="12991"/>
    <cellStyle name="Unprot 2_6.1 Contingency Allocation" xfId="12992"/>
    <cellStyle name="Unprot 3" xfId="12993"/>
    <cellStyle name="Unprot 3 2" xfId="12994"/>
    <cellStyle name="Unprot 3 3" xfId="12995"/>
    <cellStyle name="Unprot 3 3 2" xfId="12996"/>
    <cellStyle name="Unprot 3 4" xfId="12997"/>
    <cellStyle name="Unprot 4" xfId="12998"/>
    <cellStyle name="Unprot 5" xfId="12999"/>
    <cellStyle name="Unprot 5 2" xfId="13000"/>
    <cellStyle name="Unprot 6" xfId="13001"/>
    <cellStyle name="Unprot$" xfId="13002"/>
    <cellStyle name="Unprot$ 2" xfId="13003"/>
    <cellStyle name="Unprot$ 2 2" xfId="13004"/>
    <cellStyle name="Unprot$ 2 2 2" xfId="13005"/>
    <cellStyle name="Unprot$ 2 2 3" xfId="13006"/>
    <cellStyle name="Unprot$ 2 2 3 2" xfId="13007"/>
    <cellStyle name="Unprot$ 2 2 4" xfId="13008"/>
    <cellStyle name="Unprot$ 2 3" xfId="13009"/>
    <cellStyle name="Unprot$ 2 4" xfId="13010"/>
    <cellStyle name="Unprot$ 2 4 2" xfId="13011"/>
    <cellStyle name="Unprot$ 2 5" xfId="13012"/>
    <cellStyle name="Unprot$ 2_6.1 Contingency Allocation" xfId="13013"/>
    <cellStyle name="Unprot$ 3" xfId="13014"/>
    <cellStyle name="Unprot$ 3 2" xfId="13015"/>
    <cellStyle name="Unprot$ 3 3" xfId="13016"/>
    <cellStyle name="Unprot$ 3 3 2" xfId="13017"/>
    <cellStyle name="Unprot$ 3 4" xfId="13018"/>
    <cellStyle name="Unprot$ 4" xfId="13019"/>
    <cellStyle name="Unprot$ 5" xfId="13020"/>
    <cellStyle name="Unprot$ 5 2" xfId="13021"/>
    <cellStyle name="Unprot$ 6" xfId="13022"/>
    <cellStyle name="Unprot$_6.1 Contingency Allocation" xfId="13023"/>
    <cellStyle name="Unprot_6.1 Contingency Allocation" xfId="13024"/>
    <cellStyle name="Unprotect" xfId="13025"/>
    <cellStyle name="Unprotect 2" xfId="13026"/>
    <cellStyle name="Unprotect 3" xfId="13027"/>
    <cellStyle name="Unprotect 3 2" xfId="13028"/>
    <cellStyle name="Unprotect 4" xfId="13029"/>
    <cellStyle name="UNSHADED" xfId="13030"/>
    <cellStyle name="UNSHADED 2" xfId="13031"/>
    <cellStyle name="UNSHADED 3" xfId="13032"/>
    <cellStyle name="UNSHADED 3 2" xfId="13033"/>
    <cellStyle name="UNSHADED 4" xfId="13034"/>
    <cellStyle name="Update" xfId="13035"/>
    <cellStyle name="Update 2" xfId="13036"/>
    <cellStyle name="Update 3" xfId="13037"/>
    <cellStyle name="Update 3 2" xfId="13038"/>
    <cellStyle name="Update 4" xfId="13039"/>
    <cellStyle name="Upload Only" xfId="13040"/>
    <cellStyle name="Upload Only 2" xfId="13041"/>
    <cellStyle name="Upload Only 3" xfId="13042"/>
    <cellStyle name="Upload Only 3 2" xfId="13043"/>
    <cellStyle name="Upload Only 4" xfId="13044"/>
    <cellStyle name="Usual" xfId="13045"/>
    <cellStyle name="Usual 2" xfId="13046"/>
    <cellStyle name="Usual 2 2" xfId="13047"/>
    <cellStyle name="Usual 2 2 2" xfId="13048"/>
    <cellStyle name="Usual 2 2 2 2" xfId="13049"/>
    <cellStyle name="Usual 2 2 3" xfId="13050"/>
    <cellStyle name="Usual 2 3" xfId="13051"/>
    <cellStyle name="Usual 2 4" xfId="13052"/>
    <cellStyle name="Usual 2 4 2" xfId="13053"/>
    <cellStyle name="Usual 2 5" xfId="13054"/>
    <cellStyle name="Usual 3" xfId="13055"/>
    <cellStyle name="Usual 3 2" xfId="13056"/>
    <cellStyle name="Usual 3 2 2" xfId="13057"/>
    <cellStyle name="Usual 3 3" xfId="13058"/>
    <cellStyle name="Usual 4" xfId="13059"/>
    <cellStyle name="Usual 5" xfId="13060"/>
    <cellStyle name="Usual 5 2" xfId="13061"/>
    <cellStyle name="Usual 6" xfId="13062"/>
    <cellStyle name="Validation" xfId="13063"/>
    <cellStyle name="Validation 2" xfId="13064"/>
    <cellStyle name="Validation 2 2" xfId="13065"/>
    <cellStyle name="Validation 2 2 2" xfId="13066"/>
    <cellStyle name="Validation 2 2 2 2" xfId="13067"/>
    <cellStyle name="Validation 2 2 3" xfId="13068"/>
    <cellStyle name="Validation 2 3" xfId="13069"/>
    <cellStyle name="Validation 2 4" xfId="13070"/>
    <cellStyle name="Validation 2 4 2" xfId="13071"/>
    <cellStyle name="Validation 2 5" xfId="13072"/>
    <cellStyle name="Validation 3" xfId="13073"/>
    <cellStyle name="Validation 3 2" xfId="13074"/>
    <cellStyle name="Validation 3 2 2" xfId="13075"/>
    <cellStyle name="Validation 3 3" xfId="13076"/>
    <cellStyle name="Validation 4" xfId="13077"/>
    <cellStyle name="Validation 5" xfId="13078"/>
    <cellStyle name="Validation 5 2" xfId="13079"/>
    <cellStyle name="Validation 6" xfId="13080"/>
    <cellStyle name="Valuta (0)_pldt" xfId="13081"/>
    <cellStyle name="Valuta [0]_rob4-mon.xls Diagram 1" xfId="273"/>
    <cellStyle name="Valuta_pldt" xfId="13082"/>
    <cellStyle name="Währung [0]_BLUE" xfId="13083"/>
    <cellStyle name="Währung_BLUE" xfId="13084"/>
    <cellStyle name="Warning" xfId="13085"/>
    <cellStyle name="Warning 2" xfId="13086"/>
    <cellStyle name="Warning 3" xfId="13087"/>
    <cellStyle name="Warning 3 2" xfId="13088"/>
    <cellStyle name="Warning 4" xfId="13089"/>
    <cellStyle name="Warning Text" xfId="316" builtinId="11" customBuiltin="1"/>
    <cellStyle name="Warning Text 10" xfId="13466"/>
    <cellStyle name="Warning Text 2" xfId="274"/>
    <cellStyle name="Warning Text 2 2" xfId="535"/>
    <cellStyle name="Warning Text 2 2 2" xfId="13797"/>
    <cellStyle name="Warning Text 2 2 3" xfId="20636"/>
    <cellStyle name="Warning Text 2 2 4" xfId="13091"/>
    <cellStyle name="Warning Text 2 3" xfId="13092"/>
    <cellStyle name="Warning Text 2 3 2" xfId="13093"/>
    <cellStyle name="Warning Text 2 4" xfId="13094"/>
    <cellStyle name="Warning Text 2 5" xfId="13716"/>
    <cellStyle name="Warning Text 2 6" xfId="20635"/>
    <cellStyle name="Warning Text 2 7" xfId="13090"/>
    <cellStyle name="Warning Text 2_Data" xfId="13095"/>
    <cellStyle name="Warning Text 3" xfId="536"/>
    <cellStyle name="Warning Text 3 2" xfId="13097"/>
    <cellStyle name="Warning Text 3 3" xfId="13098"/>
    <cellStyle name="Warning Text 3 3 2" xfId="13099"/>
    <cellStyle name="Warning Text 3 4" xfId="13100"/>
    <cellStyle name="Warning Text 3 5" xfId="13798"/>
    <cellStyle name="Warning Text 3 6" xfId="20637"/>
    <cellStyle name="Warning Text 3 7" xfId="13096"/>
    <cellStyle name="Warning Text 4" xfId="4747"/>
    <cellStyle name="Warning Text 4 2" xfId="20638"/>
    <cellStyle name="Warning Text 4 3" xfId="20864"/>
    <cellStyle name="Warning Text 4 4" xfId="20818"/>
    <cellStyle name="Warning Text 4 5" xfId="13101"/>
    <cellStyle name="Warning Text 5" xfId="13102"/>
    <cellStyle name="Warning Text 5 2" xfId="13103"/>
    <cellStyle name="Warning Text 6" xfId="13104"/>
    <cellStyle name="Warning Text 7" xfId="13105"/>
    <cellStyle name="Warning Text 8" xfId="13106"/>
    <cellStyle name="Warning Text 9" xfId="13437"/>
    <cellStyle name="Work Package Header" xfId="13438"/>
    <cellStyle name="Work Package Total" xfId="13439"/>
    <cellStyle name="Work Package Total Decimals" xfId="13440"/>
    <cellStyle name="Year" xfId="275"/>
    <cellStyle name="Year 10" xfId="19193"/>
    <cellStyle name="year 11" xfId="20639"/>
    <cellStyle name="year 12" xfId="13107"/>
    <cellStyle name="year 2" xfId="13108"/>
    <cellStyle name="year 2 2" xfId="13109"/>
    <cellStyle name="year 2 2 2" xfId="20886"/>
    <cellStyle name="year 2 2 3" xfId="20906"/>
    <cellStyle name="year 2 3" xfId="13110"/>
    <cellStyle name="year 2 3 2" xfId="13111"/>
    <cellStyle name="year 2 4" xfId="13112"/>
    <cellStyle name="year 3" xfId="13113"/>
    <cellStyle name="year 3 2" xfId="20885"/>
    <cellStyle name="year 3 3" xfId="20905"/>
    <cellStyle name="year 4" xfId="13114"/>
    <cellStyle name="year 4 2" xfId="13115"/>
    <cellStyle name="year 5" xfId="13116"/>
    <cellStyle name="Year 6" xfId="13717"/>
    <cellStyle name="Year 7" xfId="13674"/>
    <cellStyle name="Year 8" xfId="15024"/>
    <cellStyle name="Year 9" xfId="15025"/>
    <cellStyle name="YearInput" xfId="13117"/>
    <cellStyle name="YearInput 2" xfId="13118"/>
    <cellStyle name="YearInput 3" xfId="13119"/>
    <cellStyle name="YearInput 3 2" xfId="13120"/>
    <cellStyle name="YearInput 4" xfId="13121"/>
    <cellStyle name="YearInputBk" xfId="13122"/>
    <cellStyle name="YearInputBk 2" xfId="13123"/>
    <cellStyle name="YearInputBk 2 2" xfId="13124"/>
    <cellStyle name="YearInputBk 2 3" xfId="13125"/>
    <cellStyle name="YearInputBk 2 3 2" xfId="13126"/>
    <cellStyle name="YearInputBk 2 4" xfId="13127"/>
    <cellStyle name="YearInputBk 3" xfId="13128"/>
    <cellStyle name="YearInputBk 4" xfId="13129"/>
    <cellStyle name="YearInputBk 4 2" xfId="13130"/>
    <cellStyle name="YearInputBk 5" xfId="13131"/>
    <cellStyle name="YearInputBu" xfId="13132"/>
    <cellStyle name="YearInputBu 2" xfId="13133"/>
    <cellStyle name="YearInputBu 2 2" xfId="13134"/>
    <cellStyle name="YearInputBu 2 3" xfId="13135"/>
    <cellStyle name="YearInputBu 2 3 2" xfId="13136"/>
    <cellStyle name="YearInputBu 2 4" xfId="13137"/>
    <cellStyle name="YearInputBu 3" xfId="13138"/>
    <cellStyle name="YearInputBu 4" xfId="13139"/>
    <cellStyle name="YearInputBu 4 2" xfId="13140"/>
    <cellStyle name="YearInputBu 5" xfId="13141"/>
    <cellStyle name="Yen" xfId="13142"/>
    <cellStyle name="Yen 2" xfId="13143"/>
    <cellStyle name="Yen 3" xfId="13144"/>
    <cellStyle name="Yen 3 2" xfId="13145"/>
    <cellStyle name="Yen 4" xfId="13146"/>
    <cellStyle name="YesNo" xfId="13147"/>
    <cellStyle name="YesNo 2" xfId="13148"/>
    <cellStyle name="YesNo 2 2" xfId="13149"/>
    <cellStyle name="YesNo 2 2 2" xfId="13150"/>
    <cellStyle name="YesNo 2 3" xfId="13151"/>
    <cellStyle name="YesNo 3" xfId="13152"/>
    <cellStyle name="YesNo 4" xfId="13153"/>
    <cellStyle name="YesNo 4 2" xfId="13154"/>
    <cellStyle name="YesNo 5" xfId="13155"/>
    <cellStyle name="Обычный_2++_CRFReport-template" xfId="276"/>
    <cellStyle name="標準_financial bid evaluation" xfId="13156"/>
  </cellStyles>
  <dxfs count="10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numFmt numFmtId="2" formatCode="0.00"/>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F0"/>
        </patternFill>
      </fill>
    </dxf>
    <dxf>
      <font>
        <color rgb="FFFF0000"/>
      </font>
    </dxf>
    <dxf>
      <fill>
        <patternFill>
          <bgColor rgb="FF00B050"/>
        </patternFill>
      </fill>
    </dxf>
    <dxf>
      <fill>
        <patternFill>
          <bgColor rgb="FFFF0000"/>
        </patternFill>
      </fill>
    </dxf>
    <dxf>
      <fill>
        <patternFill>
          <bgColor theme="1"/>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1"/>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tableStyleElement type="headerRow" dxfId="99"/>
      <tableStyleElement type="totalRow" dxfId="98"/>
      <tableStyleElement type="firstRowStripe" dxfId="97"/>
      <tableStyleElement type="firstColumnStripe" dxfId="96"/>
      <tableStyleElement type="firstSubtotalColumn" dxfId="95"/>
      <tableStyleElement type="firstSubtotalRow" dxfId="94"/>
      <tableStyleElement type="secondSubtotalRow" dxfId="93"/>
      <tableStyleElement type="firstRowSubheading" dxfId="92"/>
      <tableStyleElement type="secondRowSubheading" dxfId="91"/>
      <tableStyleElement type="pageFieldLabels" dxfId="90"/>
      <tableStyleElement type="pageFieldValues" dxfId="8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4059866079396E-2"/>
          <c:y val="4.2114814706404172E-2"/>
          <c:w val="0.86927071064276562"/>
          <c:h val="0.69804408461481549"/>
        </c:manualLayout>
      </c:layout>
      <c:barChart>
        <c:barDir val="col"/>
        <c:grouping val="clustered"/>
        <c:varyColors val="0"/>
        <c:ser>
          <c:idx val="0"/>
          <c:order val="0"/>
          <c:tx>
            <c:strRef>
              <c:f>'Actual-CO2 Calculations'!$N$3</c:f>
              <c:strCache>
                <c:ptCount val="1"/>
                <c:pt idx="0">
                  <c:v>Earned Saving</c:v>
                </c:pt>
              </c:strCache>
            </c:strRef>
          </c:tx>
          <c:spPr>
            <a:solidFill>
              <a:srgbClr val="0070C0"/>
            </a:solidFill>
            <a:ln>
              <a:solidFill>
                <a:sysClr val="windowText" lastClr="000000"/>
              </a:solidFill>
            </a:ln>
          </c:spPr>
          <c:invertIfNegative val="0"/>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[0]!Earned_Saving</c:f>
              <c:numCache>
                <c:formatCode>_-* #,##0_-;\-* #,##0_-;_-* "-"??_-;_-@_-</c:formatCode>
                <c:ptCount val="26"/>
                <c:pt idx="0">
                  <c:v>6142.3031653768103</c:v>
                </c:pt>
                <c:pt idx="1">
                  <c:v>6646.3461889168102</c:v>
                </c:pt>
                <c:pt idx="2">
                  <c:v>6846.6725304787979</c:v>
                </c:pt>
                <c:pt idx="3">
                  <c:v>6628.6549387387968</c:v>
                </c:pt>
                <c:pt idx="4">
                  <c:v>7396.0269512887971</c:v>
                </c:pt>
                <c:pt idx="5">
                  <c:v>7676.133511078031</c:v>
                </c:pt>
                <c:pt idx="6">
                  <c:v>12310.921015588028</c:v>
                </c:pt>
                <c:pt idx="7">
                  <c:v>20074.896442098019</c:v>
                </c:pt>
                <c:pt idx="8">
                  <c:v>19775.870723801097</c:v>
                </c:pt>
                <c:pt idx="9">
                  <c:v>19831.739650031101</c:v>
                </c:pt>
                <c:pt idx="10">
                  <c:v>19266.038321111104</c:v>
                </c:pt>
                <c:pt idx="11">
                  <c:v>19754.378569091103</c:v>
                </c:pt>
                <c:pt idx="12">
                  <c:v>19728.51592033109</c:v>
                </c:pt>
                <c:pt idx="13">
                  <c:v>21763.444640051093</c:v>
                </c:pt>
                <c:pt idx="14">
                  <c:v>21739.510346681098</c:v>
                </c:pt>
                <c:pt idx="15">
                  <c:v>21389.545537130296</c:v>
                </c:pt>
                <c:pt idx="16">
                  <c:v>15385.456909838744</c:v>
                </c:pt>
                <c:pt idx="17">
                  <c:v>15385.456909838744</c:v>
                </c:pt>
                <c:pt idx="18">
                  <c:v>15385.456909838744</c:v>
                </c:pt>
                <c:pt idx="19">
                  <c:v>15385.456909838744</c:v>
                </c:pt>
                <c:pt idx="20">
                  <c:v>15173.307981938735</c:v>
                </c:pt>
                <c:pt idx="21">
                  <c:v>15173.307981938735</c:v>
                </c:pt>
                <c:pt idx="22">
                  <c:v>15173.307981938735</c:v>
                </c:pt>
                <c:pt idx="23">
                  <c:v>14961.159054038741</c:v>
                </c:pt>
                <c:pt idx="24">
                  <c:v>14961.159054038741</c:v>
                </c:pt>
                <c:pt idx="25">
                  <c:v>14961.159054038741</c:v>
                </c:pt>
              </c:numCache>
            </c:numRef>
          </c:val>
        </c:ser>
        <c:dLbls>
          <c:showLegendKey val="0"/>
          <c:showVal val="0"/>
          <c:showCatName val="0"/>
          <c:showSerName val="0"/>
          <c:showPercent val="0"/>
          <c:showBubbleSize val="0"/>
        </c:dLbls>
        <c:gapWidth val="150"/>
        <c:axId val="118015872"/>
        <c:axId val="126308352"/>
      </c:barChart>
      <c:lineChart>
        <c:grouping val="standard"/>
        <c:varyColors val="0"/>
        <c:ser>
          <c:idx val="4"/>
          <c:order val="1"/>
          <c:tx>
            <c:strRef>
              <c:f>'Actual-CO2 Calculations'!$J$4</c:f>
              <c:strCache>
                <c:ptCount val="1"/>
                <c:pt idx="0">
                  <c:v>Cumulative CO2e (kg) - with savings</c:v>
                </c:pt>
              </c:strCache>
            </c:strRef>
          </c:tx>
          <c:spPr>
            <a:ln>
              <a:solidFill>
                <a:srgbClr val="00B050"/>
              </a:solidFill>
            </a:ln>
          </c:spPr>
          <c:marker>
            <c:symbol val="none"/>
          </c:marker>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[0]!Cum_With_Saving</c:f>
              <c:numCache>
                <c:formatCode>_-* #,##0_-;\-* #,##0_-;_-* "-"??_-;_-@_-</c:formatCode>
                <c:ptCount val="26"/>
                <c:pt idx="0">
                  <c:v>12466.325360000001</c:v>
                </c:pt>
                <c:pt idx="1">
                  <c:v>40741.774680000002</c:v>
                </c:pt>
                <c:pt idx="2">
                  <c:v>74821.232459999999</c:v>
                </c:pt>
                <c:pt idx="3">
                  <c:v>100458.41292</c:v>
                </c:pt>
                <c:pt idx="4">
                  <c:v>144288.55668000001</c:v>
                </c:pt>
                <c:pt idx="5">
                  <c:v>169522.3328</c:v>
                </c:pt>
                <c:pt idx="6">
                  <c:v>283702.79573999997</c:v>
                </c:pt>
                <c:pt idx="7">
                  <c:v>357378.94501999998</c:v>
                </c:pt>
                <c:pt idx="8">
                  <c:v>434345.42874</c:v>
                </c:pt>
                <c:pt idx="9">
                  <c:v>508297.01319999999</c:v>
                </c:pt>
                <c:pt idx="10">
                  <c:v>583615.98485999997</c:v>
                </c:pt>
                <c:pt idx="11">
                  <c:v>654703.55359999998</c:v>
                </c:pt>
                <c:pt idx="12">
                  <c:v>719357.20146000001</c:v>
                </c:pt>
                <c:pt idx="13">
                  <c:v>787949.99387999997</c:v>
                </c:pt>
                <c:pt idx="14">
                  <c:v>857609.57743999991</c:v>
                </c:pt>
                <c:pt idx="15">
                  <c:v>928991.89597089984</c:v>
                </c:pt>
                <c:pt idx="16">
                  <c:v>1000333.0788708999</c:v>
                </c:pt>
                <c:pt idx="17">
                  <c:v>1071674.2617708999</c:v>
                </c:pt>
                <c:pt idx="18">
                  <c:v>1143015.4446708998</c:v>
                </c:pt>
                <c:pt idx="19">
                  <c:v>1214356.6275708997</c:v>
                </c:pt>
                <c:pt idx="20">
                  <c:v>1282189.5142708996</c:v>
                </c:pt>
                <c:pt idx="21">
                  <c:v>1344854.6009708997</c:v>
                </c:pt>
                <c:pt idx="22">
                  <c:v>1407519.6876708998</c:v>
                </c:pt>
                <c:pt idx="23">
                  <c:v>1461508.6781708999</c:v>
                </c:pt>
                <c:pt idx="24">
                  <c:v>1515497.6686708999</c:v>
                </c:pt>
                <c:pt idx="25">
                  <c:v>1564318.8591709</c:v>
                </c:pt>
              </c:numCache>
            </c:numRef>
          </c:val>
          <c:smooth val="0"/>
        </c:ser>
        <c:ser>
          <c:idx val="5"/>
          <c:order val="2"/>
          <c:tx>
            <c:strRef>
              <c:f>'Actual-CO2 Calculations'!$K$4</c:f>
              <c:strCache>
                <c:ptCount val="1"/>
                <c:pt idx="0">
                  <c:v>Cumulative CO2e (kg) - without savings</c:v>
                </c:pt>
              </c:strCache>
            </c:strRef>
          </c:tx>
          <c:spPr>
            <a:ln>
              <a:solidFill>
                <a:srgbClr val="C00000"/>
              </a:solidFill>
            </a:ln>
          </c:spPr>
          <c:marker>
            <c:symbol val="none"/>
          </c:marker>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[0]!Cum_Without_Saving</c:f>
              <c:numCache>
                <c:formatCode>_-* #,##0_-;\-* #,##0_-;_-* "-"??_-;_-@_-</c:formatCode>
                <c:ptCount val="26"/>
                <c:pt idx="0">
                  <c:v>18608.628525376811</c:v>
                </c:pt>
                <c:pt idx="1">
                  <c:v>53530.424034293625</c:v>
                </c:pt>
                <c:pt idx="2">
                  <c:v>94456.554344772419</c:v>
                </c:pt>
                <c:pt idx="3">
                  <c:v>126722.38974351122</c:v>
                </c:pt>
                <c:pt idx="4">
                  <c:v>177948.56045480003</c:v>
                </c:pt>
                <c:pt idx="5">
                  <c:v>210858.47008587804</c:v>
                </c:pt>
                <c:pt idx="6">
                  <c:v>337349.85404146602</c:v>
                </c:pt>
                <c:pt idx="7">
                  <c:v>431100.89976356406</c:v>
                </c:pt>
                <c:pt idx="8">
                  <c:v>527843.2542073651</c:v>
                </c:pt>
                <c:pt idx="9">
                  <c:v>621626.57831739623</c:v>
                </c:pt>
                <c:pt idx="10">
                  <c:v>716211.58829850727</c:v>
                </c:pt>
                <c:pt idx="11">
                  <c:v>807053.53560759837</c:v>
                </c:pt>
                <c:pt idx="12">
                  <c:v>891435.6993879294</c:v>
                </c:pt>
                <c:pt idx="13">
                  <c:v>981791.93644798046</c:v>
                </c:pt>
                <c:pt idx="14">
                  <c:v>1073191.0303546616</c:v>
                </c:pt>
                <c:pt idx="15">
                  <c:v>1165962.894422692</c:v>
                </c:pt>
                <c:pt idx="16">
                  <c:v>1252689.5342325307</c:v>
                </c:pt>
                <c:pt idx="17">
                  <c:v>1339416.1740423695</c:v>
                </c:pt>
                <c:pt idx="18">
                  <c:v>1426142.8138522082</c:v>
                </c:pt>
                <c:pt idx="19">
                  <c:v>1512869.4536620469</c:v>
                </c:pt>
                <c:pt idx="20">
                  <c:v>1595875.6483439857</c:v>
                </c:pt>
                <c:pt idx="21">
                  <c:v>1673714.0430259244</c:v>
                </c:pt>
                <c:pt idx="22">
                  <c:v>1751552.437707863</c:v>
                </c:pt>
                <c:pt idx="23">
                  <c:v>1820502.5872619017</c:v>
                </c:pt>
                <c:pt idx="24">
                  <c:v>1889452.7368159404</c:v>
                </c:pt>
                <c:pt idx="25">
                  <c:v>1953235.0863699792</c:v>
                </c:pt>
              </c:numCache>
            </c:numRef>
          </c:val>
          <c:smooth val="0"/>
        </c:ser>
        <c:dLbls>
          <c:showLegendKey val="0"/>
          <c:showVal val="0"/>
          <c:showCatName val="0"/>
          <c:showSerName val="0"/>
          <c:showPercent val="0"/>
          <c:showBubbleSize val="0"/>
        </c:dLbls>
        <c:marker val="1"/>
        <c:smooth val="0"/>
        <c:axId val="126812160"/>
        <c:axId val="126310272"/>
      </c:lineChart>
      <c:catAx>
        <c:axId val="118015872"/>
        <c:scaling>
          <c:orientation val="minMax"/>
        </c:scaling>
        <c:delete val="0"/>
        <c:axPos val="b"/>
        <c:title>
          <c:tx>
            <c:rich>
              <a:bodyPr/>
              <a:lstStyle/>
              <a:p>
                <a:pPr>
                  <a:defRPr/>
                </a:pPr>
                <a:r>
                  <a:rPr lang="en-US"/>
                  <a:t>Period</a:t>
                </a:r>
              </a:p>
            </c:rich>
          </c:tx>
          <c:layout/>
          <c:overlay val="0"/>
        </c:title>
        <c:majorTickMark val="out"/>
        <c:minorTickMark val="none"/>
        <c:tickLblPos val="nextTo"/>
        <c:txPr>
          <a:bodyPr rot="-2700000"/>
          <a:lstStyle/>
          <a:p>
            <a:pPr>
              <a:defRPr sz="800"/>
            </a:pPr>
            <a:endParaRPr lang="en-US"/>
          </a:p>
        </c:txPr>
        <c:crossAx val="126308352"/>
        <c:crosses val="autoZero"/>
        <c:auto val="1"/>
        <c:lblAlgn val="ctr"/>
        <c:lblOffset val="100"/>
        <c:noMultiLvlLbl val="0"/>
      </c:catAx>
      <c:valAx>
        <c:axId val="126308352"/>
        <c:scaling>
          <c:orientation val="minMax"/>
          <c:max val="35000"/>
        </c:scaling>
        <c:delete val="0"/>
        <c:axPos val="l"/>
        <c:majorGridlines/>
        <c:title>
          <c:tx>
            <c:rich>
              <a:bodyPr rot="-5400000" vert="horz"/>
              <a:lstStyle/>
              <a:p>
                <a:pPr>
                  <a:defRPr/>
                </a:pPr>
                <a:r>
                  <a:rPr lang="en-US"/>
                  <a:t>Savings per period (kg CO2e)</a:t>
                </a:r>
              </a:p>
            </c:rich>
          </c:tx>
          <c:layout/>
          <c:overlay val="0"/>
        </c:title>
        <c:numFmt formatCode="#,##0" sourceLinked="0"/>
        <c:majorTickMark val="out"/>
        <c:minorTickMark val="none"/>
        <c:tickLblPos val="nextTo"/>
        <c:crossAx val="118015872"/>
        <c:crosses val="autoZero"/>
        <c:crossBetween val="between"/>
      </c:valAx>
      <c:valAx>
        <c:axId val="126310272"/>
        <c:scaling>
          <c:orientation val="minMax"/>
        </c:scaling>
        <c:delete val="0"/>
        <c:axPos val="r"/>
        <c:title>
          <c:tx>
            <c:rich>
              <a:bodyPr rot="-5400000" vert="horz"/>
              <a:lstStyle/>
              <a:p>
                <a:pPr>
                  <a:defRPr/>
                </a:pPr>
                <a:r>
                  <a:rPr lang="en-US"/>
                  <a:t>Cumulative CO2e</a:t>
                </a:r>
              </a:p>
            </c:rich>
          </c:tx>
          <c:layout/>
          <c:overlay val="0"/>
        </c:title>
        <c:numFmt formatCode="#,##0" sourceLinked="0"/>
        <c:majorTickMark val="out"/>
        <c:minorTickMark val="none"/>
        <c:tickLblPos val="nextTo"/>
        <c:crossAx val="126812160"/>
        <c:crosses val="max"/>
        <c:crossBetween val="between"/>
      </c:valAx>
      <c:catAx>
        <c:axId val="126812160"/>
        <c:scaling>
          <c:orientation val="minMax"/>
        </c:scaling>
        <c:delete val="1"/>
        <c:axPos val="b"/>
        <c:majorTickMark val="out"/>
        <c:minorTickMark val="none"/>
        <c:tickLblPos val="none"/>
        <c:crossAx val="126310272"/>
        <c:crosses val="autoZero"/>
        <c:auto val="1"/>
        <c:lblAlgn val="ctr"/>
        <c:lblOffset val="100"/>
        <c:noMultiLvlLbl val="0"/>
      </c:catAx>
      <c:spPr>
        <a:solidFill>
          <a:schemeClr val="bg1">
            <a:lumMod val="95000"/>
          </a:schemeClr>
        </a:solidFill>
        <a:ln>
          <a:solidFill>
            <a:sysClr val="windowText" lastClr="000000"/>
          </a:solidFill>
        </a:ln>
      </c:spPr>
    </c:plotArea>
    <c:legend>
      <c:legendPos val="b"/>
      <c:layout/>
      <c:overlay val="0"/>
    </c:legend>
    <c:plotVisOnly val="1"/>
    <c:dispBlanksAs val="gap"/>
    <c:showDLblsOverMax val="0"/>
  </c:chart>
  <c:spPr>
    <a:ln>
      <a:solidFill>
        <a:sysClr val="windowText" lastClr="000000"/>
      </a:solid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Carbon Footprint to date (kg CO</a:t>
            </a:r>
            <a:r>
              <a:rPr lang="en-US" baseline="-25000"/>
              <a:t>2</a:t>
            </a:r>
            <a:r>
              <a:rPr lang="en-US"/>
              <a:t>)</a:t>
            </a:r>
          </a:p>
        </c:rich>
      </c:tx>
      <c:layout/>
      <c:overlay val="0"/>
    </c:title>
    <c:autoTitleDeleted val="0"/>
    <c:plotArea>
      <c:layout/>
      <c:pieChart>
        <c:varyColors val="1"/>
        <c:ser>
          <c:idx val="0"/>
          <c:order val="0"/>
          <c:tx>
            <c:strRef>
              <c:f>Report!$I$40</c:f>
              <c:strCache>
                <c:ptCount val="1"/>
                <c:pt idx="0">
                  <c:v>Total Carbon Footprint to date (kg CO2)</c:v>
                </c:pt>
              </c:strCache>
            </c:strRef>
          </c:tx>
          <c:cat>
            <c:strRef>
              <c:f>Report!$C$41:$C$43</c:f>
              <c:strCache>
                <c:ptCount val="3"/>
                <c:pt idx="0">
                  <c:v>Scope 1 (fuel)</c:v>
                </c:pt>
                <c:pt idx="1">
                  <c:v>Scope 2 (electricity)</c:v>
                </c:pt>
                <c:pt idx="2">
                  <c:v>Scope 3 (embodied + indirect transport)</c:v>
                </c:pt>
              </c:strCache>
            </c:strRef>
          </c:cat>
          <c:val>
            <c:numRef>
              <c:f>Report!$I$41:$I$43</c:f>
              <c:numCache>
                <c:formatCode>General</c:formatCode>
                <c:ptCount val="3"/>
                <c:pt idx="0">
                  <c:v>912693.26560000004</c:v>
                </c:pt>
                <c:pt idx="1">
                  <c:v>87639.813270899991</c:v>
                </c:pt>
                <c:pt idx="2">
                  <c:v>14071134.050000001</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4059866079396E-2"/>
          <c:y val="4.2114814706404172E-2"/>
          <c:w val="0.86927071064276562"/>
          <c:h val="0.69804408461481549"/>
        </c:manualLayout>
      </c:layout>
      <c:barChart>
        <c:barDir val="col"/>
        <c:grouping val="clustered"/>
        <c:varyColors val="0"/>
        <c:ser>
          <c:idx val="0"/>
          <c:order val="0"/>
          <c:tx>
            <c:strRef>
              <c:f>'Actual-CO2 Calculations'!$N$3</c:f>
              <c:strCache>
                <c:ptCount val="1"/>
                <c:pt idx="0">
                  <c:v>Earned Saving</c:v>
                </c:pt>
              </c:strCache>
            </c:strRef>
          </c:tx>
          <c:spPr>
            <a:solidFill>
              <a:srgbClr val="0070C0"/>
            </a:solidFill>
            <a:ln>
              <a:solidFill>
                <a:sysClr val="windowText" lastClr="000000"/>
              </a:solidFill>
            </a:ln>
          </c:spPr>
          <c:invertIfNegative val="0"/>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[0]!Earned_Saving</c:f>
              <c:numCache>
                <c:formatCode>_-* #,##0_-;\-* #,##0_-;_-* "-"??_-;_-@_-</c:formatCode>
                <c:ptCount val="26"/>
                <c:pt idx="0">
                  <c:v>6142.3031653768103</c:v>
                </c:pt>
                <c:pt idx="1">
                  <c:v>6646.3461889168102</c:v>
                </c:pt>
                <c:pt idx="2">
                  <c:v>6846.6725304787979</c:v>
                </c:pt>
                <c:pt idx="3">
                  <c:v>6628.6549387387968</c:v>
                </c:pt>
                <c:pt idx="4">
                  <c:v>7396.0269512887971</c:v>
                </c:pt>
                <c:pt idx="5">
                  <c:v>7676.133511078031</c:v>
                </c:pt>
                <c:pt idx="6">
                  <c:v>12310.921015588028</c:v>
                </c:pt>
                <c:pt idx="7">
                  <c:v>20074.896442098019</c:v>
                </c:pt>
                <c:pt idx="8">
                  <c:v>19775.870723801097</c:v>
                </c:pt>
                <c:pt idx="9">
                  <c:v>19831.739650031101</c:v>
                </c:pt>
                <c:pt idx="10">
                  <c:v>19266.038321111104</c:v>
                </c:pt>
                <c:pt idx="11">
                  <c:v>19754.378569091103</c:v>
                </c:pt>
                <c:pt idx="12">
                  <c:v>19728.51592033109</c:v>
                </c:pt>
                <c:pt idx="13">
                  <c:v>21763.444640051093</c:v>
                </c:pt>
                <c:pt idx="14">
                  <c:v>21739.510346681098</c:v>
                </c:pt>
                <c:pt idx="15">
                  <c:v>21389.545537130296</c:v>
                </c:pt>
                <c:pt idx="16">
                  <c:v>15385.456909838744</c:v>
                </c:pt>
                <c:pt idx="17">
                  <c:v>15385.456909838744</c:v>
                </c:pt>
                <c:pt idx="18">
                  <c:v>15385.456909838744</c:v>
                </c:pt>
                <c:pt idx="19">
                  <c:v>15385.456909838744</c:v>
                </c:pt>
                <c:pt idx="20">
                  <c:v>15173.307981938735</c:v>
                </c:pt>
                <c:pt idx="21">
                  <c:v>15173.307981938735</c:v>
                </c:pt>
                <c:pt idx="22">
                  <c:v>15173.307981938735</c:v>
                </c:pt>
                <c:pt idx="23">
                  <c:v>14961.159054038741</c:v>
                </c:pt>
                <c:pt idx="24">
                  <c:v>14961.159054038741</c:v>
                </c:pt>
                <c:pt idx="25">
                  <c:v>14961.159054038741</c:v>
                </c:pt>
              </c:numCache>
            </c:numRef>
          </c:val>
        </c:ser>
        <c:dLbls>
          <c:showLegendKey val="0"/>
          <c:showVal val="0"/>
          <c:showCatName val="0"/>
          <c:showSerName val="0"/>
          <c:showPercent val="0"/>
          <c:showBubbleSize val="0"/>
        </c:dLbls>
        <c:gapWidth val="150"/>
        <c:axId val="126086528"/>
        <c:axId val="126088704"/>
      </c:barChart>
      <c:lineChart>
        <c:grouping val="standard"/>
        <c:varyColors val="0"/>
        <c:ser>
          <c:idx val="4"/>
          <c:order val="1"/>
          <c:tx>
            <c:strRef>
              <c:f>'Actual-CO2 Calculations'!$J$4</c:f>
              <c:strCache>
                <c:ptCount val="1"/>
                <c:pt idx="0">
                  <c:v>Cumulative CO2e (kg) - with savings</c:v>
                </c:pt>
              </c:strCache>
            </c:strRef>
          </c:tx>
          <c:spPr>
            <a:ln>
              <a:solidFill>
                <a:srgbClr val="00B050"/>
              </a:solidFill>
            </a:ln>
          </c:spPr>
          <c:marker>
            <c:symbol val="none"/>
          </c:marker>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[0]!Cum_With_Saving</c:f>
              <c:numCache>
                <c:formatCode>_-* #,##0_-;\-* #,##0_-;_-* "-"??_-;_-@_-</c:formatCode>
                <c:ptCount val="26"/>
                <c:pt idx="0">
                  <c:v>12466.325360000001</c:v>
                </c:pt>
                <c:pt idx="1">
                  <c:v>40741.774680000002</c:v>
                </c:pt>
                <c:pt idx="2">
                  <c:v>74821.232459999999</c:v>
                </c:pt>
                <c:pt idx="3">
                  <c:v>100458.41292</c:v>
                </c:pt>
                <c:pt idx="4">
                  <c:v>144288.55668000001</c:v>
                </c:pt>
                <c:pt idx="5">
                  <c:v>169522.3328</c:v>
                </c:pt>
                <c:pt idx="6">
                  <c:v>283702.79573999997</c:v>
                </c:pt>
                <c:pt idx="7">
                  <c:v>357378.94501999998</c:v>
                </c:pt>
                <c:pt idx="8">
                  <c:v>434345.42874</c:v>
                </c:pt>
                <c:pt idx="9">
                  <c:v>508297.01319999999</c:v>
                </c:pt>
                <c:pt idx="10">
                  <c:v>583615.98485999997</c:v>
                </c:pt>
                <c:pt idx="11">
                  <c:v>654703.55359999998</c:v>
                </c:pt>
                <c:pt idx="12">
                  <c:v>719357.20146000001</c:v>
                </c:pt>
                <c:pt idx="13">
                  <c:v>787949.99387999997</c:v>
                </c:pt>
                <c:pt idx="14">
                  <c:v>857609.57743999991</c:v>
                </c:pt>
                <c:pt idx="15">
                  <c:v>928991.89597089984</c:v>
                </c:pt>
                <c:pt idx="16">
                  <c:v>1000333.0788708999</c:v>
                </c:pt>
                <c:pt idx="17">
                  <c:v>1071674.2617708999</c:v>
                </c:pt>
                <c:pt idx="18">
                  <c:v>1143015.4446708998</c:v>
                </c:pt>
                <c:pt idx="19">
                  <c:v>1214356.6275708997</c:v>
                </c:pt>
                <c:pt idx="20">
                  <c:v>1282189.5142708996</c:v>
                </c:pt>
                <c:pt idx="21">
                  <c:v>1344854.6009708997</c:v>
                </c:pt>
                <c:pt idx="22">
                  <c:v>1407519.6876708998</c:v>
                </c:pt>
                <c:pt idx="23">
                  <c:v>1461508.6781708999</c:v>
                </c:pt>
                <c:pt idx="24">
                  <c:v>1515497.6686708999</c:v>
                </c:pt>
                <c:pt idx="25">
                  <c:v>1564318.8591709</c:v>
                </c:pt>
              </c:numCache>
            </c:numRef>
          </c:val>
          <c:smooth val="0"/>
        </c:ser>
        <c:ser>
          <c:idx val="5"/>
          <c:order val="2"/>
          <c:tx>
            <c:strRef>
              <c:f>'Actual-CO2 Calculations'!$K$4</c:f>
              <c:strCache>
                <c:ptCount val="1"/>
                <c:pt idx="0">
                  <c:v>Cumulative CO2e (kg) - without savings</c:v>
                </c:pt>
              </c:strCache>
            </c:strRef>
          </c:tx>
          <c:spPr>
            <a:ln>
              <a:solidFill>
                <a:srgbClr val="C00000"/>
              </a:solidFill>
            </a:ln>
          </c:spPr>
          <c:marker>
            <c:symbol val="none"/>
          </c:marker>
          <c:cat>
            <c:strRef>
              <c:f>Report!Periods</c:f>
              <c:strCache>
                <c:ptCount val="26"/>
                <c:pt idx="0">
                  <c:v>2014/15-P01</c:v>
                </c:pt>
                <c:pt idx="1">
                  <c:v>2014/15-P02</c:v>
                </c:pt>
                <c:pt idx="2">
                  <c:v>2014/15-P03</c:v>
                </c:pt>
                <c:pt idx="3">
                  <c:v>2014/15-P04</c:v>
                </c:pt>
                <c:pt idx="4">
                  <c:v>2014/15-P05</c:v>
                </c:pt>
                <c:pt idx="5">
                  <c:v>2014/15-P06</c:v>
                </c:pt>
                <c:pt idx="6">
                  <c:v>2014/15-P07</c:v>
                </c:pt>
                <c:pt idx="7">
                  <c:v>2014/15-P08</c:v>
                </c:pt>
                <c:pt idx="8">
                  <c:v>2014/15-P09</c:v>
                </c:pt>
                <c:pt idx="9">
                  <c:v>2014/15-P10</c:v>
                </c:pt>
                <c:pt idx="10">
                  <c:v>2014/15-P11</c:v>
                </c:pt>
                <c:pt idx="11">
                  <c:v>2014/15-P12</c:v>
                </c:pt>
                <c:pt idx="12">
                  <c:v>2014/15-P13</c:v>
                </c:pt>
                <c:pt idx="13">
                  <c:v>2015/16-P01</c:v>
                </c:pt>
                <c:pt idx="14">
                  <c:v>2015/16-P02</c:v>
                </c:pt>
                <c:pt idx="15">
                  <c:v>2015/16-P03</c:v>
                </c:pt>
                <c:pt idx="16">
                  <c:v>2015/16-P04</c:v>
                </c:pt>
                <c:pt idx="17">
                  <c:v>2015/16-P05</c:v>
                </c:pt>
                <c:pt idx="18">
                  <c:v>2015/16-P06</c:v>
                </c:pt>
                <c:pt idx="19">
                  <c:v>2015/16-P07</c:v>
                </c:pt>
                <c:pt idx="20">
                  <c:v>2015/16-P08</c:v>
                </c:pt>
                <c:pt idx="21">
                  <c:v>2015/16-P09</c:v>
                </c:pt>
                <c:pt idx="22">
                  <c:v>2015/16-P10</c:v>
                </c:pt>
                <c:pt idx="23">
                  <c:v>2015/16-P11</c:v>
                </c:pt>
                <c:pt idx="24">
                  <c:v>2015/16-P12</c:v>
                </c:pt>
                <c:pt idx="25">
                  <c:v>2015/16-P13</c:v>
                </c:pt>
              </c:strCache>
            </c:strRef>
          </c:cat>
          <c:val>
            <c:numRef>
              <c:f>[0]!Cum_Without_Saving</c:f>
              <c:numCache>
                <c:formatCode>_-* #,##0_-;\-* #,##0_-;_-* "-"??_-;_-@_-</c:formatCode>
                <c:ptCount val="26"/>
                <c:pt idx="0">
                  <c:v>18608.628525376811</c:v>
                </c:pt>
                <c:pt idx="1">
                  <c:v>53530.424034293625</c:v>
                </c:pt>
                <c:pt idx="2">
                  <c:v>94456.554344772419</c:v>
                </c:pt>
                <c:pt idx="3">
                  <c:v>126722.38974351122</c:v>
                </c:pt>
                <c:pt idx="4">
                  <c:v>177948.56045480003</c:v>
                </c:pt>
                <c:pt idx="5">
                  <c:v>210858.47008587804</c:v>
                </c:pt>
                <c:pt idx="6">
                  <c:v>337349.85404146602</c:v>
                </c:pt>
                <c:pt idx="7">
                  <c:v>431100.89976356406</c:v>
                </c:pt>
                <c:pt idx="8">
                  <c:v>527843.2542073651</c:v>
                </c:pt>
                <c:pt idx="9">
                  <c:v>621626.57831739623</c:v>
                </c:pt>
                <c:pt idx="10">
                  <c:v>716211.58829850727</c:v>
                </c:pt>
                <c:pt idx="11">
                  <c:v>807053.53560759837</c:v>
                </c:pt>
                <c:pt idx="12">
                  <c:v>891435.6993879294</c:v>
                </c:pt>
                <c:pt idx="13">
                  <c:v>981791.93644798046</c:v>
                </c:pt>
                <c:pt idx="14">
                  <c:v>1073191.0303546616</c:v>
                </c:pt>
                <c:pt idx="15">
                  <c:v>1165962.894422692</c:v>
                </c:pt>
                <c:pt idx="16">
                  <c:v>1252689.5342325307</c:v>
                </c:pt>
                <c:pt idx="17">
                  <c:v>1339416.1740423695</c:v>
                </c:pt>
                <c:pt idx="18">
                  <c:v>1426142.8138522082</c:v>
                </c:pt>
                <c:pt idx="19">
                  <c:v>1512869.4536620469</c:v>
                </c:pt>
                <c:pt idx="20">
                  <c:v>1595875.6483439857</c:v>
                </c:pt>
                <c:pt idx="21">
                  <c:v>1673714.0430259244</c:v>
                </c:pt>
                <c:pt idx="22">
                  <c:v>1751552.437707863</c:v>
                </c:pt>
                <c:pt idx="23">
                  <c:v>1820502.5872619017</c:v>
                </c:pt>
                <c:pt idx="24">
                  <c:v>1889452.7368159404</c:v>
                </c:pt>
                <c:pt idx="25">
                  <c:v>1953235.0863699792</c:v>
                </c:pt>
              </c:numCache>
            </c:numRef>
          </c:val>
          <c:smooth val="0"/>
        </c:ser>
        <c:dLbls>
          <c:showLegendKey val="0"/>
          <c:showVal val="0"/>
          <c:showCatName val="0"/>
          <c:showSerName val="0"/>
          <c:showPercent val="0"/>
          <c:showBubbleSize val="0"/>
        </c:dLbls>
        <c:marker val="1"/>
        <c:smooth val="0"/>
        <c:axId val="127403520"/>
        <c:axId val="126090624"/>
      </c:lineChart>
      <c:catAx>
        <c:axId val="126086528"/>
        <c:scaling>
          <c:orientation val="minMax"/>
        </c:scaling>
        <c:delete val="0"/>
        <c:axPos val="b"/>
        <c:title>
          <c:tx>
            <c:rich>
              <a:bodyPr/>
              <a:lstStyle/>
              <a:p>
                <a:pPr>
                  <a:defRPr/>
                </a:pPr>
                <a:r>
                  <a:rPr lang="en-US"/>
                  <a:t>Period</a:t>
                </a:r>
              </a:p>
            </c:rich>
          </c:tx>
          <c:overlay val="0"/>
        </c:title>
        <c:majorTickMark val="out"/>
        <c:minorTickMark val="none"/>
        <c:tickLblPos val="nextTo"/>
        <c:txPr>
          <a:bodyPr rot="-2700000"/>
          <a:lstStyle/>
          <a:p>
            <a:pPr>
              <a:defRPr sz="800"/>
            </a:pPr>
            <a:endParaRPr lang="en-US"/>
          </a:p>
        </c:txPr>
        <c:crossAx val="126088704"/>
        <c:crosses val="autoZero"/>
        <c:auto val="1"/>
        <c:lblAlgn val="ctr"/>
        <c:lblOffset val="100"/>
        <c:noMultiLvlLbl val="0"/>
      </c:catAx>
      <c:valAx>
        <c:axId val="126088704"/>
        <c:scaling>
          <c:orientation val="minMax"/>
          <c:max val="40000"/>
        </c:scaling>
        <c:delete val="0"/>
        <c:axPos val="l"/>
        <c:majorGridlines/>
        <c:title>
          <c:tx>
            <c:rich>
              <a:bodyPr rot="-5400000" vert="horz"/>
              <a:lstStyle/>
              <a:p>
                <a:pPr>
                  <a:defRPr/>
                </a:pPr>
                <a:r>
                  <a:rPr lang="en-US"/>
                  <a:t>Savings per period (kg CO2e)</a:t>
                </a:r>
              </a:p>
            </c:rich>
          </c:tx>
          <c:overlay val="0"/>
        </c:title>
        <c:numFmt formatCode="#,##0" sourceLinked="0"/>
        <c:majorTickMark val="out"/>
        <c:minorTickMark val="none"/>
        <c:tickLblPos val="nextTo"/>
        <c:crossAx val="126086528"/>
        <c:crosses val="autoZero"/>
        <c:crossBetween val="between"/>
      </c:valAx>
      <c:valAx>
        <c:axId val="126090624"/>
        <c:scaling>
          <c:orientation val="minMax"/>
        </c:scaling>
        <c:delete val="0"/>
        <c:axPos val="r"/>
        <c:title>
          <c:tx>
            <c:rich>
              <a:bodyPr rot="-5400000" vert="horz"/>
              <a:lstStyle/>
              <a:p>
                <a:pPr>
                  <a:defRPr/>
                </a:pPr>
                <a:r>
                  <a:rPr lang="en-US"/>
                  <a:t>Cumulative CO2e</a:t>
                </a:r>
              </a:p>
            </c:rich>
          </c:tx>
          <c:overlay val="0"/>
        </c:title>
        <c:numFmt formatCode="#,##0" sourceLinked="0"/>
        <c:majorTickMark val="out"/>
        <c:minorTickMark val="none"/>
        <c:tickLblPos val="nextTo"/>
        <c:crossAx val="127403520"/>
        <c:crosses val="max"/>
        <c:crossBetween val="between"/>
      </c:valAx>
      <c:catAx>
        <c:axId val="127403520"/>
        <c:scaling>
          <c:orientation val="minMax"/>
        </c:scaling>
        <c:delete val="1"/>
        <c:axPos val="b"/>
        <c:majorTickMark val="out"/>
        <c:minorTickMark val="none"/>
        <c:tickLblPos val="none"/>
        <c:crossAx val="126090624"/>
        <c:crosses val="autoZero"/>
        <c:auto val="1"/>
        <c:lblAlgn val="ctr"/>
        <c:lblOffset val="100"/>
        <c:noMultiLvlLbl val="0"/>
      </c:catAx>
      <c:spPr>
        <a:solidFill>
          <a:schemeClr val="bg1">
            <a:lumMod val="95000"/>
          </a:schemeClr>
        </a:solidFill>
        <a:ln>
          <a:solidFill>
            <a:sysClr val="windowText" lastClr="000000"/>
          </a:solidFill>
        </a:ln>
      </c:spPr>
    </c:plotArea>
    <c:legend>
      <c:legendPos val="b"/>
      <c:overlay val="0"/>
    </c:legend>
    <c:plotVisOnly val="1"/>
    <c:dispBlanksAs val="gap"/>
    <c:showDLblsOverMax val="0"/>
  </c:chart>
  <c:spPr>
    <a:ln>
      <a:solidFill>
        <a:sysClr val="windowText" lastClr="000000"/>
      </a:solid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98391</xdr:rowOff>
    </xdr:from>
    <xdr:to>
      <xdr:col>12</xdr:col>
      <xdr:colOff>0</xdr:colOff>
      <xdr:row>36</xdr:row>
      <xdr:rowOff>4333353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51876</xdr:colOff>
      <xdr:row>37</xdr:row>
      <xdr:rowOff>74159</xdr:rowOff>
    </xdr:from>
    <xdr:to>
      <xdr:col>1</xdr:col>
      <xdr:colOff>1200830</xdr:colOff>
      <xdr:row>62</xdr:row>
      <xdr:rowOff>40821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1360713</xdr:colOff>
      <xdr:row>44</xdr:row>
      <xdr:rowOff>95249</xdr:rowOff>
    </xdr:from>
    <xdr:ext cx="3959679" cy="2346412"/>
    <xdr:sp macro="" textlink="">
      <xdr:nvSpPr>
        <xdr:cNvPr id="4" name="TextBox 3"/>
        <xdr:cNvSpPr txBox="1"/>
      </xdr:nvSpPr>
      <xdr:spPr>
        <a:xfrm>
          <a:off x="6177642" y="17743713"/>
          <a:ext cx="3959679" cy="2346412"/>
        </a:xfrm>
        <a:prstGeom prst="rect">
          <a:avLst/>
        </a:prstGeom>
        <a:solidFill>
          <a:schemeClr val="bg1"/>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2400"/>
            <a:t>This spreadsheet monitors the carbon reduction impact on Scopes 1 &amp; 2 and the % energy reduction reflects this. Scope 3 emissions data is for reference purposes only.</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4</xdr:row>
      <xdr:rowOff>180975</xdr:rowOff>
    </xdr:from>
    <xdr:to>
      <xdr:col>14</xdr:col>
      <xdr:colOff>590550</xdr:colOff>
      <xdr:row>11</xdr:row>
      <xdr:rowOff>76200</xdr:rowOff>
    </xdr:to>
    <xdr:sp macro="" textlink="">
      <xdr:nvSpPr>
        <xdr:cNvPr id="2" name="TextBox 1"/>
        <xdr:cNvSpPr txBox="1"/>
      </xdr:nvSpPr>
      <xdr:spPr>
        <a:xfrm>
          <a:off x="7258050" y="942975"/>
          <a:ext cx="2114550" cy="12287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p>
        <a:p>
          <a:r>
            <a:rPr lang="en-GB" sz="1100" b="0"/>
            <a:t>This</a:t>
          </a:r>
          <a:r>
            <a:rPr lang="en-GB" sz="1100" b="0" baseline="0"/>
            <a:t> is  based on the measured amount of water that is collected per period.</a:t>
          </a:r>
        </a:p>
        <a:p>
          <a:r>
            <a:rPr lang="en-GB" sz="1100" b="0" baseline="0"/>
            <a:t>This quantity is multiplied by the Defra carbon factor for water.</a:t>
          </a:r>
        </a:p>
      </xdr:txBody>
    </xdr:sp>
    <xdr:clientData/>
  </xdr:twoCellAnchor>
  <xdr:oneCellAnchor>
    <xdr:from>
      <xdr:col>10</xdr:col>
      <xdr:colOff>23812</xdr:colOff>
      <xdr:row>15</xdr:row>
      <xdr:rowOff>142875</xdr:rowOff>
    </xdr:from>
    <xdr:ext cx="3786188" cy="530658"/>
    <mc:AlternateContent xmlns:mc="http://schemas.openxmlformats.org/markup-compatibility/2006" xmlns:a14="http://schemas.microsoft.com/office/drawing/2010/main">
      <mc:Choice Requires="a14">
        <xdr:sp macro="" textlink="">
          <xdr:nvSpPr>
            <xdr:cNvPr id="3" name="TextBox 2"/>
            <xdr:cNvSpPr txBox="1"/>
          </xdr:nvSpPr>
          <xdr:spPr>
            <a:xfrm>
              <a:off x="6367462" y="3000375"/>
              <a:ext cx="378618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𝑽𝒐𝒍𝒖𝒎</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𝒘𝒂𝒕𝒆𝒓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𝒘𝒂𝒕𝒆𝒓</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6367462" y="3000375"/>
              <a:ext cx="378618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Cambria Math"/>
                  <a:ea typeface="+mn-ea"/>
                  <a:cs typeface="+mn-cs"/>
                </a:rPr>
                <a:t>𝑪𝑶_𝟐 𝒆_𝑺𝒂𝒗𝒆𝒅=𝑽𝒐𝒍𝒖𝒎𝒆_𝒘𝒂𝒕𝒆𝒓∗𝑮𝑯𝑮_𝒘𝒂𝒕𝒆𝒓</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xdr:from>
      <xdr:col>6</xdr:col>
      <xdr:colOff>95251</xdr:colOff>
      <xdr:row>1</xdr:row>
      <xdr:rowOff>1</xdr:rowOff>
    </xdr:from>
    <xdr:to>
      <xdr:col>10</xdr:col>
      <xdr:colOff>2299607</xdr:colOff>
      <xdr:row>8</xdr:row>
      <xdr:rowOff>95251</xdr:rowOff>
    </xdr:to>
    <xdr:sp macro="" textlink="">
      <xdr:nvSpPr>
        <xdr:cNvPr id="2" name="TextBox 1"/>
        <xdr:cNvSpPr txBox="1"/>
      </xdr:nvSpPr>
      <xdr:spPr>
        <a:xfrm>
          <a:off x="8422822" y="190501"/>
          <a:ext cx="4993821" cy="1714500"/>
        </a:xfrm>
        <a:prstGeom prst="rect">
          <a:avLst/>
        </a:prstGeom>
        <a:solidFill>
          <a:schemeClr val="lt1"/>
        </a:solidFill>
        <a:ln w="222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i="1">
              <a:solidFill>
                <a:schemeClr val="dk1"/>
              </a:solidFill>
              <a:effectLst/>
              <a:latin typeface="+mn-lt"/>
              <a:ea typeface="+mn-ea"/>
              <a:cs typeface="+mn-cs"/>
            </a:rPr>
            <a:t>NOTE: if you are using a specific blend of biodiesel, please choose “biodiesel 100%” you will then have the opportunity to enter your specific blend percentage</a:t>
          </a:r>
          <a:r>
            <a:rPr lang="en-GB" sz="2000" b="1" i="1" baseline="0">
              <a:solidFill>
                <a:schemeClr val="dk1"/>
              </a:solidFill>
              <a:effectLst/>
              <a:latin typeface="+mn-lt"/>
              <a:ea typeface="+mn-ea"/>
              <a:cs typeface="+mn-cs"/>
            </a:rPr>
            <a:t> </a:t>
          </a:r>
          <a:r>
            <a:rPr lang="en-GB" sz="2000" b="1" i="1">
              <a:solidFill>
                <a:schemeClr val="dk1"/>
              </a:solidFill>
              <a:effectLst/>
              <a:latin typeface="+mn-lt"/>
              <a:ea typeface="+mn-ea"/>
              <a:cs typeface="+mn-cs"/>
            </a:rPr>
            <a:t>in the “Data Entry Fuel” tab cell I3. </a:t>
          </a:r>
          <a:endParaRPr lang="en-GB" sz="2000"/>
        </a:p>
      </xdr:txBody>
    </xdr:sp>
    <xdr:clientData/>
  </xdr:twoCellAnchor>
  <xdr:twoCellAnchor>
    <xdr:from>
      <xdr:col>6</xdr:col>
      <xdr:colOff>0</xdr:colOff>
      <xdr:row>8</xdr:row>
      <xdr:rowOff>95251</xdr:rowOff>
    </xdr:from>
    <xdr:to>
      <xdr:col>9</xdr:col>
      <xdr:colOff>415019</xdr:colOff>
      <xdr:row>13</xdr:row>
      <xdr:rowOff>326571</xdr:rowOff>
    </xdr:to>
    <xdr:cxnSp macro="">
      <xdr:nvCxnSpPr>
        <xdr:cNvPr id="4" name="Elbow Connector 3"/>
        <xdr:cNvCxnSpPr>
          <a:stCxn id="2" idx="2"/>
        </xdr:cNvCxnSpPr>
      </xdr:nvCxnSpPr>
      <xdr:spPr>
        <a:xfrm rot="5400000">
          <a:off x="8364992" y="1867580"/>
          <a:ext cx="2517320" cy="2592162"/>
        </a:xfrm>
        <a:prstGeom prst="bentConnector2">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333375</xdr:colOff>
      <xdr:row>4</xdr:row>
      <xdr:rowOff>19050</xdr:rowOff>
    </xdr:from>
    <xdr:ext cx="2878232" cy="1386977"/>
    <xdr:pic>
      <xdr:nvPicPr>
        <xdr:cNvPr id="2" name="Picture 1"/>
        <xdr:cNvPicPr>
          <a:picLocks noChangeAspect="1"/>
        </xdr:cNvPicPr>
      </xdr:nvPicPr>
      <xdr:blipFill rotWithShape="1">
        <a:blip xmlns:r="http://schemas.openxmlformats.org/officeDocument/2006/relationships" r:embed="rId1"/>
        <a:srcRect l="50802" t="25742" r="29182" b="50302"/>
        <a:stretch/>
      </xdr:blipFill>
      <xdr:spPr>
        <a:xfrm>
          <a:off x="923925" y="781050"/>
          <a:ext cx="2878232" cy="13869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107674</xdr:colOff>
      <xdr:row>0</xdr:row>
      <xdr:rowOff>112074</xdr:rowOff>
    </xdr:from>
    <xdr:to>
      <xdr:col>9</xdr:col>
      <xdr:colOff>513523</xdr:colOff>
      <xdr:row>44</xdr:row>
      <xdr:rowOff>94992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74" y="112074"/>
          <a:ext cx="5922066" cy="83649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40822</xdr:colOff>
      <xdr:row>1</xdr:row>
      <xdr:rowOff>68035</xdr:rowOff>
    </xdr:from>
    <xdr:to>
      <xdr:col>8</xdr:col>
      <xdr:colOff>231322</xdr:colOff>
      <xdr:row>16</xdr:row>
      <xdr:rowOff>629069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1927413</xdr:colOff>
      <xdr:row>125</xdr:row>
      <xdr:rowOff>175933</xdr:rowOff>
    </xdr:from>
    <xdr:ext cx="9849970" cy="552450"/>
    <mc:AlternateContent xmlns:mc="http://schemas.openxmlformats.org/markup-compatibility/2006" xmlns:a14="http://schemas.microsoft.com/office/drawing/2010/main">
      <mc:Choice Requires="a14">
        <xdr:sp macro="" textlink="">
          <xdr:nvSpPr>
            <xdr:cNvPr id="2" name="TextBox 1"/>
            <xdr:cNvSpPr txBox="1"/>
          </xdr:nvSpPr>
          <xdr:spPr>
            <a:xfrm>
              <a:off x="1927413" y="17937257"/>
              <a:ext cx="984997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d>
                          <m:dPr>
                            <m:ctrlPr>
                              <a:rPr lang="en-GB" sz="1400" b="1" i="1">
                                <a:solidFill>
                                  <a:schemeClr val="tx1"/>
                                </a:solidFill>
                                <a:effectLst/>
                                <a:latin typeface="Cambria Math"/>
                                <a:ea typeface="+mn-ea"/>
                                <a:cs typeface="+mn-cs"/>
                              </a:rPr>
                            </m:ctrlPr>
                          </m:dPr>
                          <m:e>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𝒆𝒒𝒖𝒊𝒑</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e>
                        </m:d>
                      </m:e>
                      <m:sub>
                        <m:r>
                          <a:rPr lang="en-GB" sz="1400" b="1" i="1">
                            <a:solidFill>
                              <a:schemeClr val="tx1"/>
                            </a:solidFill>
                            <a:effectLst/>
                            <a:latin typeface="Cambria Math"/>
                            <a:ea typeface="+mn-ea"/>
                            <a:cs typeface="+mn-cs"/>
                          </a:rPr>
                          <m:t>𝑻𝒐𝒕𝒂𝒍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𝒆𝒒𝒖𝒊𝒑𝒆𝒏𝒕</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𝒊𝒔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𝒐𝒏</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r>
                          <a:rPr lang="en-GB" sz="1400" b="1" i="1">
                            <a:solidFill>
                              <a:schemeClr val="tx1"/>
                            </a:solidFill>
                            <a:effectLst/>
                            <a:latin typeface="Cambria Math"/>
                            <a:ea typeface="+mn-ea"/>
                            <a:cs typeface="+mn-cs"/>
                          </a:rPr>
                          <m:t>𝑭</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𝑺𝒕𝒂𝒏𝒅𝒂𝒓𝒅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𝑭</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𝑬𝒇𝒇𝒊𝒄𝒊𝒆𝒏𝒕</m:t>
                            </m:r>
                          </m:sub>
                        </m:sSub>
                      </m:e>
                    </m:d>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𝑭𝒖𝒆𝒍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𝒕𝒚𝒑𝒆</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2" name="TextBox 1"/>
            <xdr:cNvSpPr txBox="1"/>
          </xdr:nvSpPr>
          <xdr:spPr>
            <a:xfrm>
              <a:off x="1927413" y="17937257"/>
              <a:ext cx="984997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Cambria Math"/>
                  <a:ea typeface="+mn-ea"/>
                  <a:cs typeface="+mn-cs"/>
                </a:rPr>
                <a:t>𝑪𝑶_𝟐 𝒆_𝑺𝒂𝒗𝒆𝒅=(#_𝒆𝒒𝒖𝒊𝒑∗𝑯𝒐𝒖𝒓𝒔_(𝒑𝒆𝒓 𝒅𝒂𝒚)∗𝑫𝒂𝒚𝒔_(𝒑𝒆𝒓 𝒑𝒆𝒓𝒊𝒐𝒅) )_(𝑻𝒐𝒕𝒂𝒍 𝒉𝒐𝒖𝒓𝒔 𝒆𝒒𝒖𝒊𝒑𝒆𝒏𝒕 𝒊𝒔 𝒐𝒏)∗(𝑭𝑪_𝑺𝒕𝒂𝒏𝒅𝒂𝒓𝒅−𝑭𝑪_𝑬𝒇𝒇𝒊𝒄𝒊𝒆𝒏𝒕 )∗𝑮𝑯𝑮_(𝑭𝒖𝒆𝒍 𝒕𝒚𝒑𝒆)</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7</xdr:col>
      <xdr:colOff>108857</xdr:colOff>
      <xdr:row>5</xdr:row>
      <xdr:rowOff>95250</xdr:rowOff>
    </xdr:from>
    <xdr:to>
      <xdr:col>10</xdr:col>
      <xdr:colOff>938892</xdr:colOff>
      <xdr:row>12</xdr:row>
      <xdr:rowOff>231321</xdr:rowOff>
    </xdr:to>
    <xdr:sp macro="" textlink="">
      <xdr:nvSpPr>
        <xdr:cNvPr id="2" name="TextBox 1"/>
        <xdr:cNvSpPr txBox="1"/>
      </xdr:nvSpPr>
      <xdr:spPr>
        <a:xfrm>
          <a:off x="11851821" y="1469571"/>
          <a:ext cx="4993821" cy="1714500"/>
        </a:xfrm>
        <a:prstGeom prst="rect">
          <a:avLst/>
        </a:prstGeom>
        <a:solidFill>
          <a:schemeClr val="lt1"/>
        </a:solidFill>
        <a:ln w="222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i="1">
              <a:solidFill>
                <a:schemeClr val="dk1"/>
              </a:solidFill>
              <a:effectLst/>
              <a:latin typeface="+mn-lt"/>
              <a:ea typeface="+mn-ea"/>
              <a:cs typeface="+mn-cs"/>
            </a:rPr>
            <a:t>NOTE: if you are using a specific blend of biodiesel, please choose “biodiesel 100%” you will then have the opportunity to enter your specific blend percentage</a:t>
          </a:r>
          <a:r>
            <a:rPr lang="en-GB" sz="2000" b="1" i="1" baseline="0">
              <a:solidFill>
                <a:schemeClr val="dk1"/>
              </a:solidFill>
              <a:effectLst/>
              <a:latin typeface="+mn-lt"/>
              <a:ea typeface="+mn-ea"/>
              <a:cs typeface="+mn-cs"/>
            </a:rPr>
            <a:t> </a:t>
          </a:r>
          <a:r>
            <a:rPr lang="en-GB" sz="2000" b="1" i="1">
              <a:solidFill>
                <a:schemeClr val="dk1"/>
              </a:solidFill>
              <a:effectLst/>
              <a:latin typeface="+mn-lt"/>
              <a:ea typeface="+mn-ea"/>
              <a:cs typeface="+mn-cs"/>
            </a:rPr>
            <a:t>in the “Data Entry Fuel” tab cell I3. </a:t>
          </a:r>
          <a:endParaRPr lang="en-GB" sz="20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485774</xdr:colOff>
      <xdr:row>41</xdr:row>
      <xdr:rowOff>180974</xdr:rowOff>
    </xdr:from>
    <xdr:ext cx="9801226" cy="608239"/>
    <mc:AlternateContent xmlns:mc="http://schemas.openxmlformats.org/markup-compatibility/2006" xmlns:a14="http://schemas.microsoft.com/office/drawing/2010/main">
      <mc:Choice Requires="a14">
        <xdr:sp macro="" textlink="">
          <xdr:nvSpPr>
            <xdr:cNvPr id="2" name="TextBox 1"/>
            <xdr:cNvSpPr txBox="1"/>
          </xdr:nvSpPr>
          <xdr:spPr>
            <a:xfrm>
              <a:off x="4976131" y="8372474"/>
              <a:ext cx="9801226" cy="608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600" b="1" i="1">
                        <a:solidFill>
                          <a:schemeClr val="tx1"/>
                        </a:solidFill>
                        <a:effectLst/>
                        <a:latin typeface="Cambria Math"/>
                        <a:ea typeface="+mn-ea"/>
                        <a:cs typeface="+mn-cs"/>
                      </a:rPr>
                      <m:t>𝑪</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𝑶</m:t>
                        </m:r>
                      </m:e>
                      <m:sub>
                        <m:r>
                          <a:rPr lang="en-GB" sz="1600" b="1" i="1">
                            <a:solidFill>
                              <a:schemeClr val="tx1"/>
                            </a:solidFill>
                            <a:effectLst/>
                            <a:latin typeface="Cambria Math"/>
                            <a:ea typeface="+mn-ea"/>
                            <a:cs typeface="+mn-cs"/>
                          </a:rPr>
                          <m:t>𝟐</m:t>
                        </m:r>
                      </m:sub>
                    </m:sSub>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𝒆</m:t>
                        </m:r>
                      </m:e>
                      <m:sub>
                        <m:r>
                          <a:rPr lang="en-GB" sz="1600" b="1" i="1">
                            <a:solidFill>
                              <a:schemeClr val="tx1"/>
                            </a:solidFill>
                            <a:effectLst/>
                            <a:latin typeface="Cambria Math"/>
                            <a:ea typeface="+mn-ea"/>
                            <a:cs typeface="+mn-cs"/>
                          </a:rPr>
                          <m:t>𝑺𝒂𝒗𝒆𝒅</m:t>
                        </m:r>
                      </m:sub>
                    </m:sSub>
                    <m:r>
                      <a:rPr lang="en-GB" sz="1600" b="1" i="1">
                        <a:solidFill>
                          <a:schemeClr val="tx1"/>
                        </a:solidFill>
                        <a:effectLst/>
                        <a:latin typeface="Cambria Math"/>
                        <a:ea typeface="+mn-ea"/>
                        <a:cs typeface="+mn-cs"/>
                      </a:rPr>
                      <m:t>=</m:t>
                    </m:r>
                    <m:d>
                      <m:dPr>
                        <m:ctrlPr>
                          <a:rPr lang="en-GB" sz="1600" b="1" i="1">
                            <a:solidFill>
                              <a:schemeClr val="tx1"/>
                            </a:solidFill>
                            <a:effectLst/>
                            <a:latin typeface="Cambria Math"/>
                            <a:ea typeface="+mn-ea"/>
                            <a:cs typeface="+mn-cs"/>
                          </a:rPr>
                        </m:ctrlPr>
                      </m:dPr>
                      <m:e>
                        <m:f>
                          <m:fPr>
                            <m:ctrlPr>
                              <a:rPr lang="en-GB" sz="1600" b="1" i="1">
                                <a:solidFill>
                                  <a:schemeClr val="tx1"/>
                                </a:solidFill>
                                <a:effectLst/>
                                <a:latin typeface="Cambria Math"/>
                                <a:ea typeface="+mn-ea"/>
                                <a:cs typeface="+mn-cs"/>
                              </a:rPr>
                            </m:ctrlPr>
                          </m:fPr>
                          <m:num>
                            <m:r>
                              <a:rPr lang="en-GB" sz="1600" b="1" i="1">
                                <a:solidFill>
                                  <a:schemeClr val="tx1"/>
                                </a:solidFill>
                                <a:effectLst/>
                                <a:latin typeface="Cambria Math"/>
                                <a:ea typeface="+mn-ea"/>
                                <a:cs typeface="+mn-cs"/>
                              </a:rPr>
                              <m:t>𝟏𝟎𝟎</m:t>
                            </m:r>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𝑬𝑷</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𝑪</m:t>
                                </m:r>
                              </m:e>
                              <m:sub>
                                <m:r>
                                  <a:rPr lang="en-GB" sz="1600" b="1" i="1">
                                    <a:solidFill>
                                      <a:schemeClr val="tx1"/>
                                    </a:solidFill>
                                    <a:effectLst/>
                                    <a:latin typeface="Cambria Math"/>
                                    <a:ea typeface="+mn-ea"/>
                                    <a:cs typeface="+mn-cs"/>
                                  </a:rPr>
                                  <m:t>𝒔𝒄𝒂𝒍𝒆</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𝒗𝒂𝒍𝒖𝒆</m:t>
                                </m:r>
                              </m:sub>
                            </m:sSub>
                          </m:num>
                          <m:den>
                            <m:r>
                              <a:rPr lang="en-GB" sz="1600" b="1" i="1">
                                <a:solidFill>
                                  <a:schemeClr val="tx1"/>
                                </a:solidFill>
                                <a:effectLst/>
                                <a:latin typeface="Cambria Math"/>
                                <a:ea typeface="+mn-ea"/>
                                <a:cs typeface="+mn-cs"/>
                              </a:rPr>
                              <m:t>𝟏𝟎𝟎</m:t>
                            </m:r>
                          </m:den>
                        </m:f>
                      </m:e>
                    </m:d>
                    <m:r>
                      <a:rPr lang="en-GB" sz="1600" b="1" i="1">
                        <a:solidFill>
                          <a:schemeClr val="tx1"/>
                        </a:solidFill>
                        <a:effectLst/>
                        <a:latin typeface="Cambria Math"/>
                        <a:ea typeface="+mn-ea"/>
                        <a:cs typeface="+mn-cs"/>
                      </a:rPr>
                      <m:t>∗</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m:t>
                        </m:r>
                      </m:e>
                      <m:sub>
                        <m:r>
                          <a:rPr lang="en-GB" sz="1600" b="1" i="1">
                            <a:solidFill>
                              <a:schemeClr val="tx1"/>
                            </a:solidFill>
                            <a:effectLst/>
                            <a:latin typeface="Cambria Math"/>
                            <a:ea typeface="+mn-ea"/>
                            <a:cs typeface="+mn-cs"/>
                          </a:rPr>
                          <m:t>𝒔𝒊𝒕𝒆</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𝒆𝒍𝒆𝒄</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𝒖𝒔𝒆𝒅</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𝒃𝒚</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𝒐𝒇𝒇𝒊𝒄𝒆</m:t>
                        </m:r>
                      </m:sub>
                    </m:sSub>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𝑬𝒍𝒆𝒄𝒕𝒓𝒊𝒄𝒊𝒕</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𝒚</m:t>
                        </m:r>
                      </m:e>
                      <m:sub>
                        <m:r>
                          <a:rPr lang="en-GB" sz="1600" b="1" i="1">
                            <a:solidFill>
                              <a:schemeClr val="tx1"/>
                            </a:solidFill>
                            <a:effectLst/>
                            <a:latin typeface="Cambria Math"/>
                            <a:ea typeface="+mn-ea"/>
                            <a:cs typeface="+mn-cs"/>
                          </a:rPr>
                          <m:t>𝒄𝒐𝒏𝒔𝒖𝒎𝒆𝒅</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𝒃𝒚</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𝒔𝒊𝒕𝒆</m:t>
                        </m:r>
                      </m:sub>
                    </m:sSub>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𝑮𝑯</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𝑮</m:t>
                        </m:r>
                      </m:e>
                      <m:sub>
                        <m:r>
                          <a:rPr lang="en-GB" sz="1600" b="1" i="1">
                            <a:solidFill>
                              <a:schemeClr val="tx1"/>
                            </a:solidFill>
                            <a:effectLst/>
                            <a:latin typeface="Cambria Math"/>
                            <a:ea typeface="+mn-ea"/>
                            <a:cs typeface="+mn-cs"/>
                          </a:rPr>
                          <m:t>𝒆𝒍𝒆𝒄</m:t>
                        </m:r>
                      </m:sub>
                    </m:sSub>
                  </m:oMath>
                </m:oMathPara>
              </a14:m>
              <a:endParaRPr lang="en-GB" sz="1600" b="1">
                <a:solidFill>
                  <a:schemeClr val="tx1"/>
                </a:solidFill>
                <a:effectLst/>
                <a:latin typeface="+mn-lt"/>
                <a:ea typeface="+mn-ea"/>
                <a:cs typeface="+mn-cs"/>
              </a:endParaRPr>
            </a:p>
            <a:p>
              <a:endParaRPr lang="en-GB" sz="1600" b="1"/>
            </a:p>
          </xdr:txBody>
        </xdr:sp>
      </mc:Choice>
      <mc:Fallback xmlns="">
        <xdr:sp macro="" textlink="">
          <xdr:nvSpPr>
            <xdr:cNvPr id="2" name="TextBox 1"/>
            <xdr:cNvSpPr txBox="1"/>
          </xdr:nvSpPr>
          <xdr:spPr>
            <a:xfrm>
              <a:off x="4976131" y="8372474"/>
              <a:ext cx="9801226" cy="608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600" b="1" i="0">
                  <a:solidFill>
                    <a:schemeClr val="tx1"/>
                  </a:solidFill>
                  <a:effectLst/>
                  <a:latin typeface="+mn-lt"/>
                  <a:ea typeface="+mn-ea"/>
                  <a:cs typeface="+mn-cs"/>
                </a:rPr>
                <a:t>𝑪𝑶_𝟐 𝒆_𝑺𝒂𝒗𝒆𝒅=((𝟏𝟎𝟎−𝑬𝑷𝑪_(𝒔𝒄𝒂𝒍𝒆 𝒗𝒂𝒍𝒖𝒆))/𝟏𝟎𝟎)∗%_(𝒔𝒊𝒕𝒆 𝒆𝒍𝒆𝒄 𝒖𝒔𝒆𝒅 𝒃𝒚 𝒐𝒇𝒇𝒊𝒄𝒆)∗𝑬𝒍𝒆𝒄𝒕𝒓𝒊𝒄𝒊𝒕𝒚_(𝒄𝒐𝒏𝒔𝒖𝒎𝒆𝒅 𝒃𝒚 𝒔𝒊𝒕𝒆)</a:t>
              </a:r>
              <a:r>
                <a:rPr lang="en-GB" sz="1600" b="1" i="0">
                  <a:solidFill>
                    <a:schemeClr val="tx1"/>
                  </a:solidFill>
                  <a:effectLst/>
                  <a:latin typeface="Cambria Math"/>
                  <a:ea typeface="+mn-ea"/>
                  <a:cs typeface="+mn-cs"/>
                </a:rPr>
                <a:t>∗𝑮𝑯𝑮_𝒆𝒍𝒆𝒄</a:t>
              </a:r>
              <a:endParaRPr lang="en-GB" sz="1600" b="1">
                <a:solidFill>
                  <a:schemeClr val="tx1"/>
                </a:solidFill>
                <a:effectLst/>
                <a:latin typeface="+mn-lt"/>
                <a:ea typeface="+mn-ea"/>
                <a:cs typeface="+mn-cs"/>
              </a:endParaRPr>
            </a:p>
            <a:p>
              <a:endParaRPr lang="en-GB" sz="1600" b="1"/>
            </a:p>
          </xdr:txBody>
        </xdr:sp>
      </mc:Fallback>
    </mc:AlternateContent>
    <xdr:clientData/>
  </xdr:oneCellAnchor>
  <xdr:oneCellAnchor>
    <xdr:from>
      <xdr:col>7</xdr:col>
      <xdr:colOff>576261</xdr:colOff>
      <xdr:row>46</xdr:row>
      <xdr:rowOff>142875</xdr:rowOff>
    </xdr:from>
    <xdr:ext cx="9125632" cy="795539"/>
    <mc:AlternateContent xmlns:mc="http://schemas.openxmlformats.org/markup-compatibility/2006" xmlns:a14="http://schemas.microsoft.com/office/drawing/2010/main">
      <mc:Choice Requires="a14">
        <xdr:sp macro="" textlink="">
          <xdr:nvSpPr>
            <xdr:cNvPr id="3" name="TextBox 2"/>
            <xdr:cNvSpPr txBox="1"/>
          </xdr:nvSpPr>
          <xdr:spPr>
            <a:xfrm>
              <a:off x="5066618" y="9286875"/>
              <a:ext cx="9125632" cy="79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r>
                              <a:rPr lang="en-GB" sz="1400" b="1" i="1">
                                <a:solidFill>
                                  <a:schemeClr val="tx1"/>
                                </a:solidFill>
                                <a:effectLst/>
                                <a:latin typeface="Cambria Math"/>
                                <a:ea typeface="+mn-ea"/>
                                <a:cs typeface="+mn-cs"/>
                              </a:rPr>
                              <m:t>𝟏𝟎𝟎</m:t>
                            </m:r>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𝑬𝑷</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𝒔𝒄𝒂𝒍𝒆</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𝒗𝒂𝒍𝒖𝒆</m:t>
                                </m:r>
                              </m:sub>
                            </m:sSub>
                          </m:num>
                          <m:den>
                            <m:r>
                              <a:rPr lang="en-GB" sz="1400" b="1" i="1">
                                <a:solidFill>
                                  <a:schemeClr val="tx1"/>
                                </a:solidFill>
                                <a:effectLst/>
                                <a:latin typeface="Cambria Math"/>
                                <a:ea typeface="+mn-ea"/>
                                <a:cs typeface="+mn-cs"/>
                              </a:rPr>
                              <m:t>𝟏𝟎𝟎</m:t>
                            </m:r>
                          </m:den>
                        </m:f>
                      </m:e>
                    </m:d>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𝑬𝒍𝒆𝒄𝒕𝒓𝒊𝒄𝒊𝒕</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𝒚</m:t>
                        </m:r>
                      </m:e>
                      <m:sub>
                        <m:r>
                          <a:rPr lang="en-GB" sz="1400" b="1" i="1">
                            <a:solidFill>
                              <a:schemeClr val="tx1"/>
                            </a:solidFill>
                            <a:effectLst/>
                            <a:latin typeface="Cambria Math"/>
                            <a:ea typeface="+mn-ea"/>
                            <a:cs typeface="+mn-cs"/>
                          </a:rPr>
                          <m:t>𝒄𝒐𝒏𝒔𝒖𝒎𝒆𝒅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𝒃𝒚</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𝒐𝒇𝒇𝒊𝒄𝒆</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5066618" y="9286875"/>
              <a:ext cx="9125632" cy="79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𝒆_𝑺𝒂𝒗𝒆𝒅=((𝟏𝟎𝟎−𝑬𝑷𝑪_(𝒔𝒄𝒂𝒍𝒆 𝒗𝒂𝒍𝒖𝒆))/𝟏𝟎𝟎)∗𝑬𝒍𝒆𝒄𝒕𝒓𝒊𝒄𝒊𝒕𝒚_(𝒄𝒐𝒏𝒔𝒖𝒎𝒆𝒅 𝒃𝒚 𝒐𝒇𝒇𝒊𝒄𝒆)∗𝑮𝑯𝑮_𝒆𝒍𝒆𝒄</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10</xdr:col>
      <xdr:colOff>400050</xdr:colOff>
      <xdr:row>3</xdr:row>
      <xdr:rowOff>66674</xdr:rowOff>
    </xdr:from>
    <xdr:to>
      <xdr:col>16</xdr:col>
      <xdr:colOff>361950</xdr:colOff>
      <xdr:row>20</xdr:row>
      <xdr:rowOff>38099</xdr:rowOff>
    </xdr:to>
    <xdr:sp macro="" textlink="">
      <xdr:nvSpPr>
        <xdr:cNvPr id="2" name="TextBox 1"/>
        <xdr:cNvSpPr txBox="1"/>
      </xdr:nvSpPr>
      <xdr:spPr>
        <a:xfrm>
          <a:off x="7324725" y="676274"/>
          <a:ext cx="3619500" cy="32099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endParaRPr lang="en-GB" sz="1100" b="0" baseline="0"/>
        </a:p>
        <a:p>
          <a:r>
            <a:rPr lang="en-GB" sz="1100" b="0" baseline="0"/>
            <a:t>Watt of lights divided by 1000 to get kW. kW times by number lights times 24hr  times days in period ( 28 days excluding weekend). For a general </a:t>
          </a:r>
          <a:r>
            <a:rPr lang="en-GB" sz="1100" b="1" baseline="0"/>
            <a:t>period kWh</a:t>
          </a:r>
          <a:r>
            <a:rPr lang="en-GB" sz="1100" b="0" baseline="0"/>
            <a:t>, which is then timed by a carbon factor. The difference between the  LED and 'standard' light kWh is reported per period.</a:t>
          </a:r>
          <a:endParaRPr lang="en-GB" sz="1100" b="0" baseline="0">
            <a:solidFill>
              <a:srgbClr val="FF0000"/>
            </a:solidFill>
          </a:endParaRPr>
        </a:p>
        <a:p>
          <a:endParaRPr lang="en-GB" sz="1100" b="1" baseline="0">
            <a:solidFill>
              <a:srgbClr val="FF0000"/>
            </a:solidFill>
          </a:endParaRPr>
        </a:p>
        <a:p>
          <a:r>
            <a:rPr lang="en-GB" sz="1100" b="1" baseline="0">
              <a:solidFill>
                <a:sysClr val="windowText" lastClr="000000"/>
              </a:solidFill>
            </a:rPr>
            <a:t>References:</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rgbClr val="FF0000"/>
              </a:solidFill>
              <a:effectLst/>
              <a:latin typeface="+mn-lt"/>
              <a:ea typeface="+mn-ea"/>
              <a:cs typeface="+mn-cs"/>
            </a:rPr>
            <a:t>CO2 factor from DEFRA 0.0004455tCO2 per Kwh consumed in UK. </a:t>
          </a:r>
          <a:r>
            <a:rPr lang="en-GB" sz="1100" b="0" baseline="0">
              <a:solidFill>
                <a:sysClr val="windowText" lastClr="000000"/>
              </a:solidFill>
              <a:effectLst/>
              <a:latin typeface="+mn-lt"/>
              <a:ea typeface="+mn-ea"/>
              <a:cs typeface="+mn-cs"/>
            </a:rPr>
            <a:t>The method of calculation  is taken from C435's carbon model from Sarah Doliffe and Susie Page. </a:t>
          </a:r>
          <a:endParaRPr lang="en-GB">
            <a:solidFill>
              <a:sysClr val="windowText" lastClr="000000"/>
            </a:solidFill>
            <a:effectLst/>
          </a:endParaRPr>
        </a:p>
        <a:p>
          <a:r>
            <a:rPr lang="en-GB" sz="1100" b="0" baseline="0">
              <a:solidFill>
                <a:sysClr val="windowText" lastClr="000000"/>
              </a:solidFill>
            </a:rPr>
            <a:t>Wosrt case scenario of 24hr a day, 28 days a period lighting use to be consistent with  Susie Page calculations and so that a higher carbon saving can be claimed against. If contract wants to change this they will have to edit the formula (e.g. if they know they have  light scensors or lighting campaign). </a:t>
          </a:r>
        </a:p>
      </xdr:txBody>
    </xdr:sp>
    <xdr:clientData/>
  </xdr:twoCellAnchor>
  <xdr:oneCellAnchor>
    <xdr:from>
      <xdr:col>8</xdr:col>
      <xdr:colOff>219075</xdr:colOff>
      <xdr:row>22</xdr:row>
      <xdr:rowOff>152400</xdr:rowOff>
    </xdr:from>
    <xdr:ext cx="9591675" cy="737638"/>
    <mc:AlternateContent xmlns:mc="http://schemas.openxmlformats.org/markup-compatibility/2006" xmlns:a14="http://schemas.microsoft.com/office/drawing/2010/main">
      <mc:Choice Requires="a14">
        <xdr:sp macro="" textlink="">
          <xdr:nvSpPr>
            <xdr:cNvPr id="3" name="TextBox 2"/>
            <xdr:cNvSpPr txBox="1"/>
          </xdr:nvSpPr>
          <xdr:spPr>
            <a:xfrm>
              <a:off x="5924550" y="4381500"/>
              <a:ext cx="9591675" cy="737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e>
                              <m:sub>
                                <m:r>
                                  <a:rPr lang="en-GB" sz="1400" b="1" i="1">
                                    <a:solidFill>
                                      <a:schemeClr val="tx1"/>
                                    </a:solidFill>
                                    <a:effectLst/>
                                    <a:latin typeface="Cambria Math"/>
                                    <a:ea typeface="+mn-ea"/>
                                    <a:cs typeface="+mn-cs"/>
                                  </a:rPr>
                                  <m:t>𝒔𝒕𝒂𝒏𝒅𝒂𝒓𝒅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e>
                              <m:sub>
                                <m:r>
                                  <a:rPr lang="en-GB" sz="1400" b="1" i="1">
                                    <a:solidFill>
                                      <a:schemeClr val="tx1"/>
                                    </a:solidFill>
                                    <a:effectLst/>
                                    <a:latin typeface="Cambria Math"/>
                                    <a:ea typeface="+mn-ea"/>
                                    <a:cs typeface="+mn-cs"/>
                                  </a:rPr>
                                  <m:t>𝒓𝒆𝒅𝒖𝒄𝒆𝒅</m:t>
                                </m:r>
                              </m:sub>
                            </m:sSub>
                          </m:num>
                          <m:den>
                            <m:r>
                              <a:rPr lang="en-GB" sz="1400" b="1" i="1">
                                <a:solidFill>
                                  <a:schemeClr val="tx1"/>
                                </a:solidFill>
                                <a:effectLst/>
                                <a:latin typeface="Cambria Math"/>
                                <a:ea typeface="+mn-ea"/>
                                <a:cs typeface="+mn-cs"/>
                              </a:rPr>
                              <m:t>𝟏</m:t>
                            </m:r>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𝟎𝟎𝟎</m:t>
                            </m:r>
                          </m:den>
                        </m:f>
                      </m:e>
                    </m:d>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𝒍𝒊𝒈𝒉𝒕𝒔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𝒓𝒆𝒑𝒍𝒂𝒄𝒆𝒅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pPr algn="l"/>
              <a:endParaRPr lang="en-GB" sz="1400" b="1"/>
            </a:p>
          </xdr:txBody>
        </xdr:sp>
      </mc:Choice>
      <mc:Fallback xmlns="">
        <xdr:sp macro="" textlink="">
          <xdr:nvSpPr>
            <xdr:cNvPr id="3" name="TextBox 2"/>
            <xdr:cNvSpPr txBox="1"/>
          </xdr:nvSpPr>
          <xdr:spPr>
            <a:xfrm>
              <a:off x="5924550" y="4381500"/>
              <a:ext cx="9591675" cy="737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𝒆_𝑺𝒂𝒗𝒆𝒅=((𝑷𝒐𝒘𝒆𝒓_𝒔𝒕𝒂𝒏𝒅𝒂𝒓𝒅−𝑷𝒐𝒘𝒆𝒓_𝒓𝒆𝒅𝒖𝒄𝒆𝒅)/(𝟏,𝟎𝟎𝟎))∗#_(𝒍𝒊𝒈𝒉𝒕𝒔 𝒓𝒆𝒑𝒍𝒂𝒄𝒆𝒅)∗𝑯𝒐𝒖𝒓𝒔_(</a:t>
              </a:r>
              <a:r>
                <a:rPr lang="en-GB" sz="1400" b="1" i="0">
                  <a:solidFill>
                    <a:schemeClr val="tx1"/>
                  </a:solidFill>
                  <a:effectLst/>
                  <a:latin typeface="Cambria Math"/>
                  <a:ea typeface="+mn-ea"/>
                  <a:cs typeface="+mn-cs"/>
                </a:rPr>
                <a:t>𝒐𝒏 </a:t>
              </a:r>
              <a:r>
                <a:rPr lang="en-GB" sz="1400" b="1" i="0">
                  <a:solidFill>
                    <a:schemeClr val="tx1"/>
                  </a:solidFill>
                  <a:effectLst/>
                  <a:latin typeface="+mn-lt"/>
                  <a:ea typeface="+mn-ea"/>
                  <a:cs typeface="+mn-cs"/>
                </a:rPr>
                <a:t>𝒑𝒆𝒓 𝒅𝒂𝒚)∗𝑫𝒂𝒚𝒔_(</a:t>
              </a:r>
              <a:r>
                <a:rPr lang="en-GB" sz="1400" b="1" i="0">
                  <a:solidFill>
                    <a:schemeClr val="tx1"/>
                  </a:solidFill>
                  <a:effectLst/>
                  <a:latin typeface="Cambria Math"/>
                  <a:ea typeface="+mn-ea"/>
                  <a:cs typeface="+mn-cs"/>
                </a:rPr>
                <a:t>𝒐𝒏 </a:t>
              </a:r>
              <a:r>
                <a:rPr lang="en-GB" sz="1400" b="1" i="0">
                  <a:solidFill>
                    <a:schemeClr val="tx1"/>
                  </a:solidFill>
                  <a:effectLst/>
                  <a:latin typeface="+mn-lt"/>
                  <a:ea typeface="+mn-ea"/>
                  <a:cs typeface="+mn-cs"/>
                </a:rPr>
                <a:t>𝒑𝒆𝒓 𝒑𝒆𝒓𝒊𝒐𝒅)∗𝑮𝑯𝑮_𝒆𝒍𝒆𝒄</a:t>
              </a:r>
              <a:endParaRPr lang="en-GB" sz="1400" b="1">
                <a:solidFill>
                  <a:schemeClr val="tx1"/>
                </a:solidFill>
                <a:effectLst/>
                <a:latin typeface="+mn-lt"/>
                <a:ea typeface="+mn-ea"/>
                <a:cs typeface="+mn-cs"/>
              </a:endParaRPr>
            </a:p>
            <a:p>
              <a:pPr algn="l"/>
              <a:endParaRPr lang="en-GB" sz="1400" b="1"/>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8</xdr:col>
      <xdr:colOff>80961</xdr:colOff>
      <xdr:row>14</xdr:row>
      <xdr:rowOff>133351</xdr:rowOff>
    </xdr:from>
    <xdr:ext cx="9682164" cy="457200"/>
    <mc:AlternateContent xmlns:mc="http://schemas.openxmlformats.org/markup-compatibility/2006" xmlns:a14="http://schemas.microsoft.com/office/drawing/2010/main">
      <mc:Choice Requires="a14">
        <xdr:sp macro="" textlink="">
          <xdr:nvSpPr>
            <xdr:cNvPr id="3" name="TextBox 2"/>
            <xdr:cNvSpPr txBox="1"/>
          </xdr:nvSpPr>
          <xdr:spPr>
            <a:xfrm>
              <a:off x="5205411" y="2838451"/>
              <a:ext cx="968216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𝒌𝑾</m:t>
                        </m:r>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𝒄𝒐𝒏𝒏𝒆𝒄𝒕𝒆𝒅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𝒕𝒐</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𝑷𝑰𝑹</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𝒔𝒆𝒏𝒔𝒐𝒓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𝒔𝒂𝒗𝒆𝒅</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𝒔𝒊𝒕𝒆</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𝒐𝒑𝒆𝒓𝒂𝒕𝒊𝒐𝒏𝒂𝒍</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5205411" y="2838451"/>
              <a:ext cx="968216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𝒆_𝑺𝒂𝒗𝒆𝒅=𝑷𝒐𝒘𝒆〖𝒓 (𝒌𝑾)〗_(𝒄𝒐𝒏𝒏𝒆𝒄𝒕𝒆𝒅 𝒕𝒐 𝑷𝑰𝑹 𝒔𝒆𝒏𝒔𝒐𝒓)∗𝑯𝒐𝒖𝒓〖𝒔</a:t>
              </a:r>
              <a:r>
                <a:rPr lang="en-GB" sz="1400" b="1" i="0">
                  <a:solidFill>
                    <a:schemeClr val="tx1"/>
                  </a:solidFill>
                  <a:effectLst/>
                  <a:latin typeface="Cambria Math"/>
                  <a:ea typeface="+mn-ea"/>
                  <a:cs typeface="+mn-cs"/>
                </a:rPr>
                <a:t> 𝒔𝒂𝒗𝒆𝒅</a:t>
              </a:r>
              <a:r>
                <a:rPr lang="en-GB" sz="1400" b="1" i="0">
                  <a:solidFill>
                    <a:schemeClr val="tx1"/>
                  </a:solidFill>
                  <a:effectLst/>
                  <a:latin typeface="+mn-lt"/>
                  <a:ea typeface="+mn-ea"/>
                  <a:cs typeface="+mn-cs"/>
                </a:rPr>
                <a:t>〗_(𝒑𝒆𝒓 𝒅𝒂𝒚)∗𝑫𝒂𝒚〖𝒔</a:t>
              </a:r>
              <a:r>
                <a:rPr lang="en-GB" sz="1400" b="1" i="0">
                  <a:solidFill>
                    <a:schemeClr val="tx1"/>
                  </a:solidFill>
                  <a:effectLst/>
                  <a:latin typeface="Cambria Math"/>
                  <a:ea typeface="+mn-ea"/>
                  <a:cs typeface="+mn-cs"/>
                </a:rPr>
                <a:t> 𝒔𝒊𝒕𝒆 𝒐𝒑𝒆𝒓𝒂𝒕𝒊𝒐𝒏𝒂𝒍</a:t>
              </a:r>
              <a:r>
                <a:rPr lang="en-GB" sz="1400" b="1" i="0">
                  <a:solidFill>
                    <a:schemeClr val="tx1"/>
                  </a:solidFill>
                  <a:effectLst/>
                  <a:latin typeface="+mn-lt"/>
                  <a:ea typeface="+mn-ea"/>
                  <a:cs typeface="+mn-cs"/>
                </a:rPr>
                <a:t>〗_(𝒑𝒆𝒓 𝒑𝒆𝒓𝒊𝒐𝒅)∗𝑮𝑯𝑮_𝒆𝒍𝒆𝒄</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xdr:from>
      <xdr:col>8</xdr:col>
      <xdr:colOff>438150</xdr:colOff>
      <xdr:row>17</xdr:row>
      <xdr:rowOff>171450</xdr:rowOff>
    </xdr:from>
    <xdr:to>
      <xdr:col>14</xdr:col>
      <xdr:colOff>400050</xdr:colOff>
      <xdr:row>34</xdr:row>
      <xdr:rowOff>142875</xdr:rowOff>
    </xdr:to>
    <xdr:sp macro="" textlink="">
      <xdr:nvSpPr>
        <xdr:cNvPr id="2" name="TextBox 1"/>
        <xdr:cNvSpPr txBox="1"/>
      </xdr:nvSpPr>
      <xdr:spPr>
        <a:xfrm>
          <a:off x="10906125" y="3581400"/>
          <a:ext cx="3619500" cy="32099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p>
        <a:p>
          <a:r>
            <a:rPr lang="en-GB" sz="1100" b="0" baseline="0"/>
            <a:t>The calculation is based on the claim of 10.46kgCO</a:t>
          </a:r>
          <a:r>
            <a:rPr lang="en-GB" sz="1100" b="0" baseline="-25000"/>
            <a:t>2  </a:t>
          </a:r>
          <a:r>
            <a:rPr lang="en-GB" sz="1100" b="0" baseline="0"/>
            <a:t>saved per week. This has been multiplied by four to get an in period estimate and then divided by 1000 to put the figure into tonnes. The period tCO</a:t>
          </a:r>
          <a:r>
            <a:rPr lang="en-GB" sz="1100" b="0" baseline="-25000"/>
            <a:t>2</a:t>
          </a:r>
          <a:r>
            <a:rPr lang="en-GB" sz="1100" b="0" baseline="0"/>
            <a:t>  saved is then multiplied by the number of lighting towers in use. </a:t>
          </a:r>
        </a:p>
        <a:p>
          <a:endParaRPr lang="en-GB" sz="1100" b="1" baseline="0">
            <a:solidFill>
              <a:srgbClr val="FF0000"/>
            </a:solidFill>
          </a:endParaRPr>
        </a:p>
        <a:p>
          <a:r>
            <a:rPr lang="en-GB" sz="1100" b="1" baseline="0">
              <a:solidFill>
                <a:sysClr val="windowText" lastClr="000000"/>
              </a:solidFill>
            </a:rPr>
            <a:t>References:</a:t>
          </a:r>
        </a:p>
        <a:p>
          <a:r>
            <a:rPr lang="en-GB" sz="1100" u="sng">
              <a:solidFill>
                <a:schemeClr val="dk1"/>
              </a:solidFill>
              <a:effectLst/>
              <a:latin typeface="+mn-lt"/>
              <a:ea typeface="+mn-ea"/>
              <a:cs typeface="+mn-cs"/>
              <a:hlinkClick xmlns:r="http://schemas.openxmlformats.org/officeDocument/2006/relationships" r:id=""/>
            </a:rPr>
            <a:t>http://directorates.crossrail.co.uk/sites/Technical/SandC/Environment/Energy/Resources/Hybrid_LightingTower.pdf</a:t>
          </a:r>
          <a:endParaRPr lang="en-GB" sz="1100" u="sng">
            <a:solidFill>
              <a:schemeClr val="dk1"/>
            </a:solidFill>
            <a:effectLst/>
            <a:latin typeface="+mn-lt"/>
            <a:ea typeface="+mn-ea"/>
            <a:cs typeface="+mn-cs"/>
          </a:endParaRPr>
        </a:p>
        <a:p>
          <a:r>
            <a:rPr lang="en-GB" sz="1100" u="none">
              <a:solidFill>
                <a:schemeClr val="dk1"/>
              </a:solidFill>
              <a:effectLst/>
              <a:latin typeface="+mn-lt"/>
              <a:ea typeface="+mn-ea"/>
              <a:cs typeface="+mn-cs"/>
            </a:rPr>
            <a:t>The</a:t>
          </a:r>
          <a:r>
            <a:rPr lang="en-GB" sz="1100" u="none" baseline="0">
              <a:solidFill>
                <a:schemeClr val="dk1"/>
              </a:solidFill>
              <a:effectLst/>
              <a:latin typeface="+mn-lt"/>
              <a:ea typeface="+mn-ea"/>
              <a:cs typeface="+mn-cs"/>
            </a:rPr>
            <a:t> carbon saving claim</a:t>
          </a:r>
          <a:r>
            <a:rPr lang="en-GB" sz="1100">
              <a:solidFill>
                <a:schemeClr val="dk1"/>
              </a:solidFill>
              <a:effectLst/>
              <a:latin typeface="+mn-lt"/>
              <a:ea typeface="+mn-ea"/>
              <a:cs typeface="+mn-cs"/>
            </a:rPr>
            <a:t> comes</a:t>
          </a:r>
          <a:r>
            <a:rPr lang="en-GB" sz="1100" baseline="0">
              <a:solidFill>
                <a:schemeClr val="dk1"/>
              </a:solidFill>
              <a:effectLst/>
              <a:latin typeface="+mn-lt"/>
              <a:ea typeface="+mn-ea"/>
              <a:cs typeface="+mn-cs"/>
            </a:rPr>
            <a:t> from hybrid towers supplied from VT comparied to their non hybrid counter parts.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This can be used as a general average saving, however if you are using hybrid lighting towers from another supplier who have supplied you with specific carbon saving data please feel free to ammend the formula in A3 in red. </a:t>
          </a:r>
          <a:endParaRPr lang="en-GB" sz="1100">
            <a:solidFill>
              <a:schemeClr val="dk1"/>
            </a:solidFill>
            <a:effectLst/>
            <a:latin typeface="+mn-lt"/>
            <a:ea typeface="+mn-ea"/>
            <a:cs typeface="+mn-cs"/>
          </a:endParaRPr>
        </a:p>
      </xdr:txBody>
    </xdr:sp>
    <xdr:clientData/>
  </xdr:twoCellAnchor>
  <xdr:oneCellAnchor>
    <xdr:from>
      <xdr:col>8</xdr:col>
      <xdr:colOff>219076</xdr:colOff>
      <xdr:row>7</xdr:row>
      <xdr:rowOff>66675</xdr:rowOff>
    </xdr:from>
    <xdr:ext cx="8753474" cy="398571"/>
    <mc:AlternateContent xmlns:mc="http://schemas.openxmlformats.org/markup-compatibility/2006" xmlns:a14="http://schemas.microsoft.com/office/drawing/2010/main">
      <mc:Choice Requires="a14">
        <xdr:sp macro="" textlink="">
          <xdr:nvSpPr>
            <xdr:cNvPr id="3" name="TextBox 2"/>
            <xdr:cNvSpPr txBox="1"/>
          </xdr:nvSpPr>
          <xdr:spPr>
            <a:xfrm>
              <a:off x="10687051" y="1571625"/>
              <a:ext cx="8753474" cy="398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d>
                          <m:dPr>
                            <m:ctrlPr>
                              <a:rPr lang="en-GB" sz="1400" b="1" i="1">
                                <a:solidFill>
                                  <a:schemeClr val="tx1"/>
                                </a:solidFill>
                                <a:effectLst/>
                                <a:latin typeface="Cambria Math"/>
                                <a:ea typeface="+mn-ea"/>
                                <a:cs typeface="+mn-cs"/>
                              </a:rPr>
                            </m:ctrlPr>
                          </m:dPr>
                          <m:e>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𝒆𝒒𝒖𝒊𝒑</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e>
                        </m:d>
                      </m:e>
                      <m:sub>
                        <m:r>
                          <a:rPr lang="en-GB" sz="1400" b="1" i="1">
                            <a:solidFill>
                              <a:schemeClr val="tx1"/>
                            </a:solidFill>
                            <a:effectLst/>
                            <a:latin typeface="Cambria Math"/>
                            <a:ea typeface="+mn-ea"/>
                            <a:cs typeface="+mn-cs"/>
                          </a:rPr>
                          <m:t>𝑻𝒐𝒕𝒂𝒍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𝒆𝒒𝒖𝒊𝒑𝒆𝒏𝒕</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𝒊𝒔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𝒐𝒏</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𝑭𝒖𝒆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𝒍</m:t>
                        </m:r>
                      </m:e>
                      <m:sub>
                        <m:r>
                          <a:rPr lang="en-GB" sz="1400" b="1" i="1">
                            <a:solidFill>
                              <a:schemeClr val="tx1"/>
                            </a:solidFill>
                            <a:effectLst/>
                            <a:latin typeface="Cambria Math"/>
                            <a:ea typeface="+mn-ea"/>
                            <a:cs typeface="+mn-cs"/>
                          </a:rPr>
                          <m:t>𝒔𝒂𝒗𝒆𝒅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𝑭𝒖𝒆𝒍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𝒕𝒚𝒑𝒆</m:t>
                        </m:r>
                      </m:sub>
                    </m:sSub>
                  </m:oMath>
                </m:oMathPara>
              </a14:m>
              <a:endParaRPr lang="en-GB" sz="1400" b="1"/>
            </a:p>
          </xdr:txBody>
        </xdr:sp>
      </mc:Choice>
      <mc:Fallback xmlns="">
        <xdr:sp macro="" textlink="">
          <xdr:nvSpPr>
            <xdr:cNvPr id="3" name="TextBox 2"/>
            <xdr:cNvSpPr txBox="1"/>
          </xdr:nvSpPr>
          <xdr:spPr>
            <a:xfrm>
              <a:off x="10687051" y="1571625"/>
              <a:ext cx="8753474" cy="398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GB" sz="1400" b="1" i="0">
                  <a:solidFill>
                    <a:schemeClr val="tx1"/>
                  </a:solidFill>
                  <a:effectLst/>
                  <a:latin typeface="Cambria Math"/>
                  <a:ea typeface="+mn-ea"/>
                  <a:cs typeface="+mn-cs"/>
                </a:rPr>
                <a:t>𝑪𝑶_𝟐 𝒆_𝑺𝒂𝒗𝒆𝒅=(#_𝒆𝒒𝒖𝒊𝒑∗𝑯𝒐𝒖𝒓𝒔_(𝒑𝒆𝒓 𝒅𝒂𝒚)∗𝑫𝒂𝒚𝒔_(𝒑𝒆𝒓 𝒑𝒆𝒓𝒊𝒐𝒅) )_(𝑻𝒐𝒕𝒂𝒍 𝒉𝒐𝒖𝒓𝒔 𝒆𝒒𝒖𝒊𝒑𝒆𝒏𝒕 𝒊𝒔 𝒐𝒏)∗𝑭𝒖𝒆𝒍_(𝒔𝒂𝒗𝒆𝒅 𝒑𝒆𝒓 𝒉𝒐𝒖𝒓)∗𝑮𝑯𝑮_(𝑭𝒖𝒆𝒍 𝒕𝒚𝒑𝒆)</a:t>
              </a:r>
              <a:endParaRPr lang="en-GB" sz="1400" b="1"/>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xdr:from>
      <xdr:col>17</xdr:col>
      <xdr:colOff>333375</xdr:colOff>
      <xdr:row>17</xdr:row>
      <xdr:rowOff>95250</xdr:rowOff>
    </xdr:from>
    <xdr:to>
      <xdr:col>23</xdr:col>
      <xdr:colOff>295275</xdr:colOff>
      <xdr:row>34</xdr:row>
      <xdr:rowOff>85725</xdr:rowOff>
    </xdr:to>
    <xdr:sp macro="" textlink="">
      <xdr:nvSpPr>
        <xdr:cNvPr id="2" name="TextBox 1"/>
        <xdr:cNvSpPr txBox="1"/>
      </xdr:nvSpPr>
      <xdr:spPr>
        <a:xfrm>
          <a:off x="12401550" y="3152775"/>
          <a:ext cx="3619500" cy="322897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p>
        <a:p>
          <a:r>
            <a:rPr lang="en-GB" sz="1100" b="0" baseline="0"/>
            <a:t>Quantity of carbon is calculated on a per person basis, which is an annual figure, therefore is divided by 13 to align with the Crissrail periods.</a:t>
          </a:r>
        </a:p>
        <a:p>
          <a:endParaRPr lang="en-GB" sz="1100" b="1" baseline="0">
            <a:solidFill>
              <a:srgbClr val="FF0000"/>
            </a:solidFill>
          </a:endParaRPr>
        </a:p>
        <a:p>
          <a:r>
            <a:rPr lang="en-GB" sz="1100" b="1" baseline="0">
              <a:solidFill>
                <a:sysClr val="windowText" lastClr="000000"/>
              </a:solidFill>
            </a:rPr>
            <a:t>References:</a:t>
          </a:r>
        </a:p>
        <a:p>
          <a:r>
            <a:rPr lang="en-GB" sz="1100" b="0" baseline="0">
              <a:solidFill>
                <a:sysClr val="windowText" lastClr="000000"/>
              </a:solidFill>
            </a:rPr>
            <a:t>The carbon saved per person is an average figure stated by the carbon trust. </a:t>
          </a:r>
        </a:p>
        <a:p>
          <a:r>
            <a:rPr lang="en-GB" sz="1100" b="0" u="sng" baseline="0">
              <a:solidFill>
                <a:sysClr val="windowText" lastClr="000000"/>
              </a:solidFill>
            </a:rPr>
            <a:t>Office  Lighting </a:t>
          </a:r>
          <a:r>
            <a:rPr lang="en-GB" sz="1100" b="0" baseline="0">
              <a:solidFill>
                <a:sysClr val="windowText" lastClr="000000"/>
              </a:solidFill>
            </a:rPr>
            <a:t>- this is based on the average carbon you would save from running a 'Switch it off campaign' therefore to ensure lights were turned off at the end of the day/when not in use.</a:t>
          </a:r>
        </a:p>
        <a:p>
          <a:r>
            <a:rPr lang="en-GB" sz="1100" b="0" u="sng" baseline="0">
              <a:solidFill>
                <a:sysClr val="windowText" lastClr="000000"/>
              </a:solidFill>
            </a:rPr>
            <a:t>Computers and Monitors </a:t>
          </a:r>
          <a:r>
            <a:rPr lang="en-GB" sz="1100" b="0" baseline="0">
              <a:solidFill>
                <a:sysClr val="windowText" lastClr="000000"/>
              </a:solidFill>
            </a:rPr>
            <a:t>- this is based on the average carbon that would be saved from switching off computers at night and not leaving them on Stand-By.</a:t>
          </a:r>
        </a:p>
        <a:p>
          <a:r>
            <a:rPr lang="en-GB" sz="1100" b="0" u="sng" baseline="0">
              <a:solidFill>
                <a:sysClr val="windowText" lastClr="000000"/>
              </a:solidFill>
            </a:rPr>
            <a:t>Paper Recycling </a:t>
          </a:r>
          <a:r>
            <a:rPr lang="en-GB" sz="1100" b="0" baseline="0">
              <a:solidFill>
                <a:sysClr val="windowText" lastClr="000000"/>
              </a:solidFill>
            </a:rPr>
            <a:t>- this is the average carbon saved from encouraging employees to print double sided &amp; two pages per sheet of paper.</a:t>
          </a:r>
        </a:p>
        <a:p>
          <a:endParaRPr lang="en-GB" sz="1100" b="1" baseline="0">
            <a:solidFill>
              <a:sysClr val="windowText" lastClr="000000"/>
            </a:solidFill>
          </a:endParaRPr>
        </a:p>
      </xdr:txBody>
    </xdr:sp>
    <xdr:clientData/>
  </xdr:twoCellAnchor>
  <xdr:oneCellAnchor>
    <xdr:from>
      <xdr:col>16</xdr:col>
      <xdr:colOff>395287</xdr:colOff>
      <xdr:row>6</xdr:row>
      <xdr:rowOff>104775</xdr:rowOff>
    </xdr:from>
    <xdr:ext cx="5672138" cy="714375"/>
    <mc:AlternateContent xmlns:mc="http://schemas.openxmlformats.org/markup-compatibility/2006" xmlns:a14="http://schemas.microsoft.com/office/drawing/2010/main">
      <mc:Choice Requires="a14">
        <xdr:sp macro="" textlink="">
          <xdr:nvSpPr>
            <xdr:cNvPr id="3" name="TextBox 2"/>
            <xdr:cNvSpPr txBox="1"/>
          </xdr:nvSpPr>
          <xdr:spPr>
            <a:xfrm>
              <a:off x="11853862" y="1066800"/>
              <a:ext cx="5672138"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𝑪𝒂𝒓𝒃𝒐𝒏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𝑺𝒂𝒗𝒊𝒏𝒈</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𝒚𝒆𝒂𝒓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𝒆𝒎𝒑𝒍𝒐𝒚𝒆𝒆</m:t>
                                </m:r>
                              </m:sub>
                            </m:sSub>
                          </m:num>
                          <m:den>
                            <m:r>
                              <a:rPr lang="en-GB" sz="1400" b="1" i="1">
                                <a:solidFill>
                                  <a:schemeClr val="tx1"/>
                                </a:solidFill>
                                <a:effectLst/>
                                <a:latin typeface="Cambria Math"/>
                                <a:ea typeface="+mn-ea"/>
                                <a:cs typeface="+mn-cs"/>
                              </a:rPr>
                              <m:t>𝟏𝟑</m:t>
                            </m:r>
                          </m:den>
                        </m:f>
                      </m:e>
                    </m:d>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𝒆𝒎𝒑𝒍𝒐𝒚𝒆𝒆𝒔</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11853862" y="1066800"/>
              <a:ext cx="5672138"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𝒆_𝑺𝒂𝒗𝒆𝒅=(〖𝑪𝒂𝒓𝒃𝒐𝒏 𝑺𝒂𝒗𝒊𝒏𝒈〗_(𝒑𝒆𝒓 𝒚𝒆𝒂𝒓 𝒑𝒆𝒓 𝒆𝒎𝒑𝒍𝒐𝒚𝒆𝒆)/𝟏𝟑)∗#_𝒆𝒎𝒑𝒍𝒐𝒚𝒆𝒆𝒔</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ctor%20Construction%20Energy\Energy%20emissions%20performance%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money\Library\Containers\com.apple.mail\Data\Library\Mail%20Downloads\Model%20v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134%20TCR%20CARBON%20FOOTPRINT_1407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CR%20Stage%20E%20-%20Foundation%20Package%20Estimate%20(Ver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Savings Calculator"/>
      <sheetName val="Office lookup"/>
      <sheetName val="Saving site office worksheet"/>
      <sheetName val="Saving PFC worksheet"/>
      <sheetName val="Data entry-electricity"/>
      <sheetName val="Data entry-fuel"/>
      <sheetName val="Actual-CO2"/>
      <sheetName val="Electricity vs Fuel"/>
      <sheetName val="Password"/>
      <sheetName val="Data entry-fuel Totals"/>
      <sheetName val="Saving P&amp;E worksheet"/>
      <sheetName val="Estimate fuel Total"/>
      <sheetName val="Validation"/>
      <sheetName val="Saving-equipment worksheet"/>
      <sheetName val="Quarter lookup"/>
      <sheetName val="Behaviour"/>
      <sheetName val="LED Lighting"/>
      <sheetName val="Hybrid Lighting"/>
      <sheetName val="Scope 3- VMPS"/>
      <sheetName val="Scope 3 - Embodied"/>
      <sheetName val="PIR Lighting"/>
      <sheetName val="Water"/>
      <sheetName val="Drop Down Box for SC"/>
      <sheetName val="Excavators"/>
      <sheetName val="EX"/>
      <sheetName val="Generators"/>
      <sheetName val="GE"/>
      <sheetName val="Dumpers"/>
      <sheetName val="DU"/>
      <sheetName val="Scissor Lifts"/>
      <sheetName val="SL"/>
      <sheetName val="Cranes"/>
      <sheetName val="CR"/>
      <sheetName val="Additional Equipment E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Cranes</v>
          </cell>
        </row>
        <row r="5">
          <cell r="H5" t="str">
            <v>Dumpers</v>
          </cell>
        </row>
        <row r="6">
          <cell r="H6" t="str">
            <v>Excavators</v>
          </cell>
        </row>
        <row r="7">
          <cell r="H7" t="str">
            <v>Generators</v>
          </cell>
        </row>
        <row r="8">
          <cell r="H8" t="str">
            <v>Scissor_Lifts_Elec</v>
          </cell>
        </row>
        <row r="9">
          <cell r="H9" t="str">
            <v>Scissor_Lifts_Fuel</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Model structure"/>
      <sheetName val="1 Materials"/>
      <sheetName val="2 Materials"/>
      <sheetName val="3 Materials"/>
      <sheetName val=" 4 Materials"/>
      <sheetName val="5 Logistics and Waste Delivery"/>
      <sheetName val="Actual-CO2"/>
    </sheetNames>
    <sheetDataSet>
      <sheetData sheetId="0" refreshError="1">
        <row r="5">
          <cell r="F5" t="str">
            <v>Crossrail Carbon Footprint</v>
          </cell>
        </row>
        <row r="7">
          <cell r="F7" t="str">
            <v>210060-09</v>
          </cell>
        </row>
        <row r="9">
          <cell r="F9" t="str">
            <v>GF</v>
          </cell>
        </row>
        <row r="11">
          <cell r="F11" t="str">
            <v/>
          </cell>
        </row>
        <row r="13">
          <cell r="F13">
            <v>40368</v>
          </cell>
        </row>
        <row r="17">
          <cell r="F17" t="str">
            <v/>
          </cell>
        </row>
        <row r="19">
          <cell r="F19" t="str">
            <v/>
          </cell>
        </row>
        <row r="21">
          <cell r="F21" t="str">
            <v/>
          </cell>
        </row>
        <row r="48">
          <cell r="F48">
            <v>0</v>
          </cell>
        </row>
      </sheetData>
      <sheetData sheetId="1"/>
      <sheetData sheetId="2"/>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oundaries"/>
      <sheetName val="Operational energy"/>
      <sheetName val="Materials (current)"/>
      <sheetName val="Materials (baseline)"/>
      <sheetName val="Pilling_Foundation Materials"/>
      <sheetName val="Construction West Tkt Hall"/>
      <sheetName val="RPS Plant List"/>
      <sheetName val="Plant fuel use"/>
      <sheetName val="C100 Fitout Materials"/>
      <sheetName val="Waste Sumarry"/>
      <sheetName val="C&amp;D Waste"/>
      <sheetName val="Excavation Waste"/>
      <sheetName val="Excavation waste logistics"/>
      <sheetName val="Freight transport"/>
      <sheetName val="Macros"/>
      <sheetName val="DEFRA Logistics"/>
      <sheetName val="Actual-C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4249.0259999999998</v>
          </cell>
        </row>
      </sheetData>
      <sheetData sheetId="15">
        <row r="4">
          <cell r="E4" t="str">
            <v>7.5-17t</v>
          </cell>
        </row>
        <row r="5">
          <cell r="E5" t="str">
            <v>&gt;17t</v>
          </cell>
        </row>
        <row r="6">
          <cell r="E6" t="str">
            <v>3.5-33t</v>
          </cell>
        </row>
        <row r="7">
          <cell r="E7" t="str">
            <v>&gt;33t</v>
          </cell>
        </row>
        <row r="8">
          <cell r="E8" t="str">
            <v>UK average</v>
          </cell>
        </row>
        <row r="15">
          <cell r="C15" t="str">
            <v>3.5-7.5t</v>
          </cell>
          <cell r="D15" t="str">
            <v>7.5-17t</v>
          </cell>
          <cell r="E15" t="str">
            <v>&gt;17t</v>
          </cell>
          <cell r="F15" t="str">
            <v>3.5-33t</v>
          </cell>
          <cell r="G15" t="str">
            <v>&gt;33t</v>
          </cell>
          <cell r="H15" t="str">
            <v>UK average</v>
          </cell>
        </row>
        <row r="16">
          <cell r="B16" t="str">
            <v>Rigid (empty)</v>
          </cell>
          <cell r="C16">
            <v>0.50880000000000003</v>
          </cell>
          <cell r="D16">
            <v>0.65780000000000005</v>
          </cell>
          <cell r="E16">
            <v>0.75129999999999997</v>
          </cell>
          <cell r="F16" t="str">
            <v>n/a</v>
          </cell>
          <cell r="G16" t="str">
            <v>n/a</v>
          </cell>
          <cell r="H16">
            <v>0.23169999999999999</v>
          </cell>
        </row>
        <row r="17">
          <cell r="B17" t="str">
            <v>Rigid (half full)</v>
          </cell>
          <cell r="C17">
            <v>0.54562666666666682</v>
          </cell>
          <cell r="D17">
            <v>0.24107720000000002</v>
          </cell>
          <cell r="E17">
            <v>0.19308915000000001</v>
          </cell>
          <cell r="F17" t="str">
            <v>n/a</v>
          </cell>
          <cell r="G17" t="str">
            <v>n/a</v>
          </cell>
          <cell r="H17">
            <v>0.23169999999999999</v>
          </cell>
        </row>
        <row r="18">
          <cell r="B18" t="str">
            <v>Rigid (full)</v>
          </cell>
          <cell r="C18">
            <v>0.29466800000000004</v>
          </cell>
          <cell r="D18">
            <v>0.13559389999999999</v>
          </cell>
          <cell r="E18">
            <v>0.1139209125</v>
          </cell>
          <cell r="F18" t="str">
            <v>n/a</v>
          </cell>
          <cell r="G18" t="str">
            <v>n/a</v>
          </cell>
          <cell r="H18">
            <v>0.23169999999999999</v>
          </cell>
        </row>
        <row r="19">
          <cell r="B19" t="str">
            <v>Articulated (empty)</v>
          </cell>
          <cell r="C19" t="str">
            <v>n/a</v>
          </cell>
          <cell r="D19" t="str">
            <v>n/a</v>
          </cell>
          <cell r="E19" t="str">
            <v>n/a</v>
          </cell>
          <cell r="F19">
            <v>0.68940000000000001</v>
          </cell>
          <cell r="G19">
            <v>0.67410000000000003</v>
          </cell>
          <cell r="H19">
            <v>8.4900000000000003E-2</v>
          </cell>
        </row>
        <row r="20">
          <cell r="B20" t="str">
            <v>Articulated (half full)</v>
          </cell>
          <cell r="C20" t="str">
            <v>n/a</v>
          </cell>
          <cell r="D20" t="str">
            <v>n/a</v>
          </cell>
          <cell r="E20" t="str">
            <v>n/a</v>
          </cell>
          <cell r="F20">
            <v>0.12352466666666667</v>
          </cell>
          <cell r="G20">
            <v>9.4145491525423744E-2</v>
          </cell>
          <cell r="H20">
            <v>8.4900000000000003E-2</v>
          </cell>
        </row>
        <row r="21">
          <cell r="B21" t="str">
            <v>Articulated (full)</v>
          </cell>
          <cell r="C21" t="str">
            <v>n/a</v>
          </cell>
          <cell r="D21" t="str">
            <v>n/a</v>
          </cell>
          <cell r="E21" t="str">
            <v>n/a</v>
          </cell>
          <cell r="F21">
            <v>7.4117666666666665E-2</v>
          </cell>
          <cell r="G21">
            <v>5.8840932203389831E-2</v>
          </cell>
          <cell r="H21">
            <v>8.4900000000000003E-2</v>
          </cell>
        </row>
        <row r="22">
          <cell r="B22" t="str">
            <v>All HGVs (UK average)</v>
          </cell>
          <cell r="C22" t="str">
            <v>n/a</v>
          </cell>
          <cell r="D22" t="str">
            <v>n/a</v>
          </cell>
          <cell r="E22" t="str">
            <v>n/a</v>
          </cell>
          <cell r="F22" t="str">
            <v>n/a</v>
          </cell>
          <cell r="G22" t="str">
            <v>n/a</v>
          </cell>
          <cell r="H22">
            <v>0.1186</v>
          </cell>
        </row>
        <row r="83">
          <cell r="C83" t="str">
            <v>Large RoPax Ferry</v>
          </cell>
          <cell r="E83" t="str">
            <v>-</v>
          </cell>
          <cell r="J83">
            <v>0.38429999999999997</v>
          </cell>
        </row>
        <row r="84">
          <cell r="C84" t="str">
            <v>Small tanker</v>
          </cell>
          <cell r="E84">
            <v>844</v>
          </cell>
          <cell r="I84" t="str">
            <v>x</v>
          </cell>
          <cell r="J84">
            <v>0.02</v>
          </cell>
        </row>
        <row r="85">
          <cell r="C85" t="str">
            <v>Large tanker</v>
          </cell>
          <cell r="E85">
            <v>18371</v>
          </cell>
          <cell r="I85" t="str">
            <v>x</v>
          </cell>
          <cell r="J85">
            <v>5.0000000000000001E-3</v>
          </cell>
        </row>
        <row r="86">
          <cell r="C86" t="str">
            <v>Very large tanker</v>
          </cell>
          <cell r="E86">
            <v>100000</v>
          </cell>
          <cell r="I86" t="str">
            <v>x</v>
          </cell>
          <cell r="J86">
            <v>4.0000000000000001E-3</v>
          </cell>
        </row>
        <row r="87">
          <cell r="C87" t="str">
            <v>Small bulk carrier</v>
          </cell>
          <cell r="E87">
            <v>1720</v>
          </cell>
          <cell r="I87" t="str">
            <v>x</v>
          </cell>
          <cell r="J87">
            <v>1.0999999999999999E-2</v>
          </cell>
        </row>
        <row r="88">
          <cell r="C88" t="str">
            <v>Large bulk carrier</v>
          </cell>
          <cell r="E88">
            <v>14201</v>
          </cell>
          <cell r="I88" t="str">
            <v>x</v>
          </cell>
          <cell r="J88">
            <v>7.0000000000000001E-3</v>
          </cell>
        </row>
        <row r="89">
          <cell r="C89" t="str">
            <v>Very large bulk carrier</v>
          </cell>
          <cell r="E89">
            <v>70000</v>
          </cell>
          <cell r="I89" t="str">
            <v>x</v>
          </cell>
          <cell r="J89">
            <v>6.0000000000000001E-3</v>
          </cell>
        </row>
        <row r="90">
          <cell r="C90" t="str">
            <v>Small container vessel</v>
          </cell>
          <cell r="E90">
            <v>2500</v>
          </cell>
          <cell r="I90" t="str">
            <v>x</v>
          </cell>
          <cell r="J90">
            <v>1.4999999999999999E-2</v>
          </cell>
        </row>
        <row r="91">
          <cell r="C91" t="str">
            <v>Large container vessel</v>
          </cell>
          <cell r="E91">
            <v>20000</v>
          </cell>
          <cell r="I91" t="str">
            <v>x</v>
          </cell>
          <cell r="J91">
            <v>1.2999999999999999E-2</v>
          </cell>
        </row>
      </sheetData>
      <sheetData sheetId="16"/>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Summary"/>
      <sheetName val="Elemental Summary"/>
      <sheetName val="Package Summary"/>
      <sheetName val="Notes"/>
      <sheetName val="WTH - Foundation Package"/>
      <sheetName val="List"/>
      <sheetName val="Actual-CO2"/>
    </sheetNames>
    <sheetDataSet>
      <sheetData sheetId="0" refreshError="1"/>
      <sheetData sheetId="1" refreshError="1"/>
      <sheetData sheetId="2" refreshError="1"/>
      <sheetData sheetId="3" refreshError="1"/>
      <sheetData sheetId="4" refreshError="1"/>
      <sheetData sheetId="5">
        <row r="2">
          <cell r="A2" t="str">
            <v>m</v>
          </cell>
        </row>
        <row r="3">
          <cell r="A3" t="str">
            <v>m²</v>
          </cell>
        </row>
        <row r="4">
          <cell r="A4" t="str">
            <v>m³</v>
          </cell>
        </row>
        <row r="5">
          <cell r="A5" t="str">
            <v>nr</v>
          </cell>
        </row>
        <row r="6">
          <cell r="A6" t="str">
            <v>kg</v>
          </cell>
        </row>
        <row r="7">
          <cell r="A7" t="str">
            <v>t</v>
          </cell>
        </row>
        <row r="8">
          <cell r="A8" t="str">
            <v>ha</v>
          </cell>
        </row>
        <row r="9">
          <cell r="A9" t="str">
            <v>item</v>
          </cell>
        </row>
        <row r="10">
          <cell r="A10" t="str">
            <v>sum</v>
          </cell>
        </row>
        <row r="11">
          <cell r="A11" t="str">
            <v>p.sum</v>
          </cell>
        </row>
        <row r="12">
          <cell r="A12" t="str">
            <v>hr</v>
          </cell>
        </row>
        <row r="13">
          <cell r="A13" t="str">
            <v>shift</v>
          </cell>
        </row>
        <row r="14">
          <cell r="A14" t="str">
            <v>day</v>
          </cell>
        </row>
        <row r="15">
          <cell r="A15" t="str">
            <v>week</v>
          </cell>
        </row>
        <row r="16">
          <cell r="A16" t="str">
            <v>%</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http://www.carbontrust.com/resources/tools/empower-savings-calculator"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hyperlink" Target="http://vmps.crossrail.co.uk/"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gov.uk/government/publications/carbon-calculator-for-construction-projects"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speedyservices.com/canopied-generators-hire?mainfilter=all&amp;per_page=99"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51"/>
  <sheetViews>
    <sheetView zoomScale="85" zoomScaleNormal="85" workbookViewId="0">
      <selection activeCell="D57" sqref="D57"/>
    </sheetView>
  </sheetViews>
  <sheetFormatPr defaultRowHeight="15"/>
  <cols>
    <col min="1" max="1" width="2.42578125" style="64" customWidth="1"/>
    <col min="2" max="2" width="42.28515625" style="64" customWidth="1"/>
    <col min="3" max="3" width="50.28515625" style="64" bestFit="1" customWidth="1"/>
    <col min="4" max="4" width="86.5703125" style="64" customWidth="1"/>
    <col min="5" max="16384" width="9.140625" style="64"/>
  </cols>
  <sheetData>
    <row r="1" spans="2:4" ht="27">
      <c r="B1" s="523" t="s">
        <v>192</v>
      </c>
      <c r="C1" s="524"/>
      <c r="D1" s="525"/>
    </row>
    <row r="2" spans="2:4">
      <c r="B2" s="525"/>
      <c r="C2" s="525"/>
      <c r="D2" s="525"/>
    </row>
    <row r="3" spans="2:4" ht="20.25">
      <c r="B3" s="849" t="s">
        <v>193</v>
      </c>
      <c r="C3" s="849"/>
      <c r="D3" s="849"/>
    </row>
    <row r="4" spans="2:4" ht="33.75" customHeight="1">
      <c r="B4" s="558" t="s">
        <v>195</v>
      </c>
      <c r="C4" s="851" t="s">
        <v>1124</v>
      </c>
      <c r="D4" s="852"/>
    </row>
    <row r="5" spans="2:4" ht="36" customHeight="1">
      <c r="B5" s="557" t="s">
        <v>196</v>
      </c>
      <c r="C5" s="851" t="s">
        <v>1125</v>
      </c>
      <c r="D5" s="852"/>
    </row>
    <row r="6" spans="2:4" ht="15.75">
      <c r="B6" s="557" t="s">
        <v>197</v>
      </c>
      <c r="C6" s="853" t="s">
        <v>198</v>
      </c>
      <c r="D6" s="853"/>
    </row>
    <row r="8" spans="2:4" ht="20.25">
      <c r="B8" s="854" t="s">
        <v>199</v>
      </c>
      <c r="C8" s="854"/>
      <c r="D8" s="854"/>
    </row>
    <row r="9" spans="2:4" s="180" customFormat="1" ht="68.25" customHeight="1">
      <c r="B9" s="522" t="s">
        <v>200</v>
      </c>
      <c r="C9" s="850" t="s">
        <v>909</v>
      </c>
      <c r="D9" s="850"/>
    </row>
    <row r="10" spans="2:4" s="180" customFormat="1" ht="15" customHeight="1">
      <c r="B10" s="857" t="s">
        <v>201</v>
      </c>
      <c r="C10" s="850" t="s">
        <v>910</v>
      </c>
      <c r="D10" s="850"/>
    </row>
    <row r="11" spans="2:4" s="180" customFormat="1" ht="51.75" customHeight="1">
      <c r="B11" s="857"/>
      <c r="C11" s="850"/>
      <c r="D11" s="850"/>
    </row>
    <row r="12" spans="2:4" s="180" customFormat="1" ht="15" customHeight="1">
      <c r="B12" s="857" t="s">
        <v>226</v>
      </c>
      <c r="C12" s="850" t="s">
        <v>911</v>
      </c>
      <c r="D12" s="850"/>
    </row>
    <row r="13" spans="2:4" s="180" customFormat="1">
      <c r="B13" s="857"/>
      <c r="C13" s="850"/>
      <c r="D13" s="850"/>
    </row>
    <row r="14" spans="2:4" s="180" customFormat="1" ht="84" customHeight="1">
      <c r="B14" s="857"/>
      <c r="C14" s="850"/>
      <c r="D14" s="850"/>
    </row>
    <row r="15" spans="2:4" s="180" customFormat="1" ht="15" customHeight="1">
      <c r="B15" s="857" t="s">
        <v>229</v>
      </c>
      <c r="C15" s="855" t="s">
        <v>864</v>
      </c>
      <c r="D15" s="855"/>
    </row>
    <row r="16" spans="2:4" s="180" customFormat="1" ht="15" customHeight="1">
      <c r="B16" s="857"/>
      <c r="C16" s="856"/>
      <c r="D16" s="856"/>
    </row>
    <row r="17" spans="2:4" s="180" customFormat="1" ht="15.75" customHeight="1">
      <c r="B17" s="857"/>
      <c r="C17" s="856" t="s">
        <v>865</v>
      </c>
      <c r="D17" s="856"/>
    </row>
    <row r="18" spans="2:4" s="180" customFormat="1" ht="15.75" customHeight="1">
      <c r="B18" s="857"/>
      <c r="C18" s="856"/>
      <c r="D18" s="856"/>
    </row>
    <row r="19" spans="2:4" s="180" customFormat="1" ht="15.75" customHeight="1">
      <c r="B19" s="857"/>
      <c r="C19" s="856" t="s">
        <v>912</v>
      </c>
      <c r="D19" s="856"/>
    </row>
    <row r="20" spans="2:4" s="180" customFormat="1" ht="15.75" customHeight="1">
      <c r="B20" s="857"/>
      <c r="C20" s="856"/>
      <c r="D20" s="856"/>
    </row>
    <row r="21" spans="2:4" s="180" customFormat="1" ht="30" customHeight="1">
      <c r="B21" s="857"/>
      <c r="C21" s="858"/>
      <c r="D21" s="858"/>
    </row>
    <row r="22" spans="2:4" s="180" customFormat="1" ht="15.75" customHeight="1">
      <c r="B22" s="857" t="s">
        <v>142</v>
      </c>
      <c r="C22" s="855" t="s">
        <v>913</v>
      </c>
      <c r="D22" s="855"/>
    </row>
    <row r="23" spans="2:4" s="180" customFormat="1" ht="15.75" customHeight="1">
      <c r="B23" s="857"/>
      <c r="C23" s="856"/>
      <c r="D23" s="856"/>
    </row>
    <row r="24" spans="2:4" s="180" customFormat="1" ht="15.75" customHeight="1">
      <c r="B24" s="857"/>
      <c r="C24" s="856" t="s">
        <v>866</v>
      </c>
      <c r="D24" s="856"/>
    </row>
    <row r="25" spans="2:4" s="180" customFormat="1" ht="15.75" customHeight="1">
      <c r="B25" s="857"/>
      <c r="C25" s="856"/>
      <c r="D25" s="856"/>
    </row>
    <row r="26" spans="2:4" s="180" customFormat="1" ht="15.75" customHeight="1">
      <c r="B26" s="857"/>
      <c r="C26" s="856" t="s">
        <v>867</v>
      </c>
      <c r="D26" s="856"/>
    </row>
    <row r="27" spans="2:4" s="180" customFormat="1" ht="15.75" customHeight="1">
      <c r="B27" s="857"/>
      <c r="C27" s="856"/>
      <c r="D27" s="856"/>
    </row>
    <row r="28" spans="2:4" s="180" customFormat="1" ht="15.75" customHeight="1">
      <c r="B28" s="857"/>
      <c r="C28" s="856" t="s">
        <v>876</v>
      </c>
      <c r="D28" s="856"/>
    </row>
    <row r="29" spans="2:4" s="180" customFormat="1" ht="15.75" customHeight="1">
      <c r="B29" s="857"/>
      <c r="C29" s="858"/>
      <c r="D29" s="858"/>
    </row>
    <row r="30" spans="2:4" s="180" customFormat="1" ht="15.75" customHeight="1">
      <c r="B30" s="857" t="s">
        <v>868</v>
      </c>
      <c r="C30" s="848" t="s">
        <v>914</v>
      </c>
      <c r="D30" s="848"/>
    </row>
    <row r="31" spans="2:4" s="180" customFormat="1" ht="15.75" customHeight="1">
      <c r="B31" s="857"/>
      <c r="C31" s="848"/>
      <c r="D31" s="848"/>
    </row>
    <row r="32" spans="2:4" s="180" customFormat="1" ht="15.75" customHeight="1">
      <c r="B32" s="857"/>
      <c r="C32" s="848"/>
      <c r="D32" s="848"/>
    </row>
    <row r="33" spans="2:4" s="180" customFormat="1" ht="15.75" customHeight="1">
      <c r="B33" s="857" t="s">
        <v>284</v>
      </c>
      <c r="C33" s="848" t="s">
        <v>869</v>
      </c>
      <c r="D33" s="848"/>
    </row>
    <row r="34" spans="2:4" s="180" customFormat="1" ht="15.75" customHeight="1">
      <c r="B34" s="857"/>
      <c r="C34" s="848"/>
      <c r="D34" s="848"/>
    </row>
    <row r="35" spans="2:4" s="180" customFormat="1" ht="15.75" customHeight="1">
      <c r="B35" s="857"/>
      <c r="C35" s="848"/>
      <c r="D35" s="848"/>
    </row>
    <row r="36" spans="2:4" ht="15" customHeight="1">
      <c r="B36" s="522" t="s">
        <v>877</v>
      </c>
      <c r="C36" s="850" t="s">
        <v>915</v>
      </c>
      <c r="D36" s="850"/>
    </row>
    <row r="37" spans="2:4" ht="15" customHeight="1">
      <c r="B37" s="522" t="s">
        <v>878</v>
      </c>
      <c r="C37" s="850" t="s">
        <v>916</v>
      </c>
      <c r="D37" s="850"/>
    </row>
    <row r="38" spans="2:4" ht="62.25" customHeight="1">
      <c r="B38" s="522" t="s">
        <v>203</v>
      </c>
      <c r="C38" s="848" t="s">
        <v>1126</v>
      </c>
      <c r="D38" s="848"/>
    </row>
    <row r="39" spans="2:4" ht="55.5" customHeight="1">
      <c r="B39" s="522" t="s">
        <v>204</v>
      </c>
      <c r="C39" s="848" t="s">
        <v>1127</v>
      </c>
      <c r="D39" s="848"/>
    </row>
    <row r="41" spans="2:4">
      <c r="B41" s="847" t="s">
        <v>283</v>
      </c>
      <c r="C41" s="847"/>
    </row>
    <row r="42" spans="2:4" ht="30">
      <c r="B42" s="586" t="s">
        <v>964</v>
      </c>
      <c r="C42" s="586" t="s">
        <v>963</v>
      </c>
    </row>
    <row r="43" spans="2:4">
      <c r="B43" s="101" t="s">
        <v>1122</v>
      </c>
      <c r="C43" s="101" t="s">
        <v>1123</v>
      </c>
    </row>
    <row r="44" spans="2:4">
      <c r="B44" s="101"/>
      <c r="C44" s="101"/>
    </row>
    <row r="45" spans="2:4">
      <c r="B45" s="101"/>
      <c r="C45" s="101"/>
    </row>
    <row r="46" spans="2:4">
      <c r="B46" s="101"/>
      <c r="C46" s="101"/>
    </row>
    <row r="47" spans="2:4">
      <c r="B47" s="101"/>
      <c r="C47" s="101"/>
    </row>
    <row r="48" spans="2:4">
      <c r="B48" s="101"/>
      <c r="C48" s="101"/>
    </row>
    <row r="49" spans="2:3">
      <c r="B49" s="101"/>
      <c r="C49" s="101"/>
    </row>
    <row r="50" spans="2:3">
      <c r="B50" s="101"/>
      <c r="C50" s="101"/>
    </row>
    <row r="51" spans="2:3">
      <c r="B51" s="101"/>
      <c r="C51" s="101"/>
    </row>
  </sheetData>
  <mergeCells count="28">
    <mergeCell ref="C33:D35"/>
    <mergeCell ref="B33:B35"/>
    <mergeCell ref="C28:D29"/>
    <mergeCell ref="B22:B29"/>
    <mergeCell ref="C22:D23"/>
    <mergeCell ref="C24:D25"/>
    <mergeCell ref="C26:D27"/>
    <mergeCell ref="B10:B11"/>
    <mergeCell ref="C17:D18"/>
    <mergeCell ref="C19:D21"/>
    <mergeCell ref="C30:D32"/>
    <mergeCell ref="B30:B32"/>
    <mergeCell ref="B41:C41"/>
    <mergeCell ref="C39:D39"/>
    <mergeCell ref="B3:D3"/>
    <mergeCell ref="C36:D36"/>
    <mergeCell ref="C37:D37"/>
    <mergeCell ref="C38:D38"/>
    <mergeCell ref="C4:D4"/>
    <mergeCell ref="C5:D5"/>
    <mergeCell ref="C6:D6"/>
    <mergeCell ref="B8:D8"/>
    <mergeCell ref="C9:D9"/>
    <mergeCell ref="C15:D16"/>
    <mergeCell ref="B15:B21"/>
    <mergeCell ref="C12:D14"/>
    <mergeCell ref="B12:B14"/>
    <mergeCell ref="C10:D11"/>
  </mergeCells>
  <pageMargins left="0.7" right="0.7" top="0.75" bottom="0.75" header="0.3" footer="0.3"/>
  <pageSetup paperSize="9" orientation="portrait" verticalDpi="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71"/>
  <sheetViews>
    <sheetView zoomScale="85" zoomScaleNormal="85" workbookViewId="0">
      <selection activeCell="J33" sqref="J33"/>
    </sheetView>
  </sheetViews>
  <sheetFormatPr defaultRowHeight="15"/>
  <cols>
    <col min="1" max="1" width="30.140625" bestFit="1" customWidth="1"/>
    <col min="2" max="6" width="15.7109375" customWidth="1"/>
  </cols>
  <sheetData>
    <row r="1" spans="1:13" s="179" customFormat="1"/>
    <row r="2" spans="1:13" ht="15.75">
      <c r="A2" s="87"/>
      <c r="B2" s="587" t="str">
        <f>Report!B3</f>
        <v>2015/16-Q1</v>
      </c>
      <c r="D2" s="934" t="s">
        <v>970</v>
      </c>
      <c r="E2" s="934"/>
      <c r="F2" s="934"/>
    </row>
    <row r="3" spans="1:13" ht="15.75">
      <c r="A3" s="92" t="s">
        <v>967</v>
      </c>
      <c r="B3" s="562"/>
      <c r="D3" s="934"/>
      <c r="E3" s="934"/>
      <c r="F3" s="934"/>
    </row>
    <row r="4" spans="1:13" ht="15.75">
      <c r="A4" s="92" t="s">
        <v>968</v>
      </c>
      <c r="B4" s="562"/>
      <c r="D4" s="934"/>
      <c r="E4" s="934"/>
      <c r="F4" s="934"/>
      <c r="I4" s="604"/>
      <c r="J4" s="604"/>
      <c r="K4" s="604"/>
      <c r="L4" s="604"/>
      <c r="M4" s="604"/>
    </row>
    <row r="5" spans="1:13" ht="15.75">
      <c r="A5" s="160" t="s">
        <v>208</v>
      </c>
      <c r="B5" s="562"/>
      <c r="D5" s="934"/>
      <c r="E5" s="934"/>
      <c r="F5" s="934"/>
      <c r="I5" s="604"/>
      <c r="J5" s="604"/>
      <c r="K5" s="604"/>
      <c r="L5" s="604"/>
      <c r="M5" s="604"/>
    </row>
    <row r="6" spans="1:13" ht="15.75">
      <c r="A6" s="86"/>
      <c r="D6" s="934"/>
      <c r="E6" s="934"/>
      <c r="F6" s="934"/>
      <c r="I6" s="604"/>
      <c r="J6" s="604"/>
      <c r="K6" s="604"/>
      <c r="L6" s="604"/>
      <c r="M6" s="604"/>
    </row>
    <row r="7" spans="1:13" ht="15.75">
      <c r="A7" s="92" t="s">
        <v>862</v>
      </c>
      <c r="B7" s="563"/>
      <c r="D7" s="934"/>
      <c r="E7" s="934"/>
      <c r="F7" s="934"/>
    </row>
    <row r="9" spans="1:13" ht="16.5" thickBot="1">
      <c r="A9" s="109" t="s">
        <v>228</v>
      </c>
      <c r="B9" s="106"/>
      <c r="C9" s="106"/>
      <c r="D9" s="106"/>
      <c r="E9" s="106"/>
      <c r="F9" s="106"/>
    </row>
    <row r="10" spans="1:13" ht="16.5" thickTop="1">
      <c r="A10" s="89" t="s">
        <v>187</v>
      </c>
      <c r="B10" s="576"/>
      <c r="C10" s="576"/>
      <c r="D10" s="576"/>
      <c r="E10" s="576"/>
      <c r="F10" s="576"/>
    </row>
    <row r="11" spans="1:13" ht="15.75">
      <c r="A11" s="89" t="s">
        <v>181</v>
      </c>
      <c r="B11" s="577" t="s">
        <v>31</v>
      </c>
      <c r="C11" s="577" t="s">
        <v>31</v>
      </c>
      <c r="D11" s="577" t="s">
        <v>31</v>
      </c>
      <c r="E11" s="577" t="s">
        <v>31</v>
      </c>
      <c r="F11" s="577" t="s">
        <v>31</v>
      </c>
    </row>
    <row r="12" spans="1:13" ht="15.75">
      <c r="A12" s="89" t="s">
        <v>182</v>
      </c>
      <c r="B12" s="577" t="s">
        <v>31</v>
      </c>
      <c r="C12" s="577" t="s">
        <v>31</v>
      </c>
      <c r="D12" s="577" t="s">
        <v>31</v>
      </c>
      <c r="E12" s="577" t="s">
        <v>31</v>
      </c>
      <c r="F12" s="577" t="s">
        <v>31</v>
      </c>
    </row>
    <row r="13" spans="1:13" s="179" customFormat="1" ht="15.75">
      <c r="A13" s="111"/>
      <c r="B13" s="578"/>
      <c r="C13" s="578"/>
      <c r="D13" s="578"/>
      <c r="E13" s="578"/>
      <c r="F13" s="578"/>
    </row>
    <row r="14" spans="1:13" s="179" customFormat="1" ht="15.75">
      <c r="A14" s="560" t="s">
        <v>917</v>
      </c>
      <c r="B14" s="578"/>
      <c r="C14" s="578"/>
      <c r="D14" s="578"/>
      <c r="E14" s="578"/>
      <c r="F14" s="578"/>
    </row>
    <row r="15" spans="1:13" s="179" customFormat="1" ht="15.75">
      <c r="A15" s="560" t="s">
        <v>215</v>
      </c>
      <c r="B15" s="578"/>
      <c r="C15" s="578"/>
      <c r="D15" s="578"/>
      <c r="E15" s="578"/>
      <c r="F15" s="578"/>
    </row>
    <row r="16" spans="1:13" s="179" customFormat="1" ht="75.75">
      <c r="A16" s="111" t="s">
        <v>930</v>
      </c>
      <c r="B16" s="578"/>
      <c r="C16" s="578"/>
      <c r="D16" s="578"/>
      <c r="E16" s="578"/>
      <c r="F16" s="578"/>
    </row>
    <row r="17" spans="1:6" s="179" customFormat="1" ht="15.75">
      <c r="A17" s="111" t="s">
        <v>931</v>
      </c>
      <c r="B17" s="577"/>
      <c r="C17" s="577"/>
      <c r="D17" s="577"/>
      <c r="E17" s="577"/>
      <c r="F17" s="577"/>
    </row>
    <row r="18" spans="1:6" s="179" customFormat="1" ht="15.75">
      <c r="A18" s="111" t="s">
        <v>932</v>
      </c>
      <c r="B18" s="577"/>
      <c r="C18" s="577"/>
      <c r="D18" s="577"/>
      <c r="E18" s="577"/>
      <c r="F18" s="577"/>
    </row>
    <row r="19" spans="1:6" s="179" customFormat="1" ht="15.75">
      <c r="A19" s="111" t="s">
        <v>933</v>
      </c>
      <c r="B19" s="577"/>
      <c r="C19" s="577"/>
      <c r="D19" s="577"/>
      <c r="E19" s="577"/>
      <c r="F19" s="577"/>
    </row>
    <row r="20" spans="1:6" s="179" customFormat="1" ht="15.75">
      <c r="A20" s="111" t="s">
        <v>934</v>
      </c>
      <c r="B20" s="577"/>
      <c r="C20" s="577"/>
      <c r="D20" s="577"/>
      <c r="E20" s="577"/>
      <c r="F20" s="577"/>
    </row>
    <row r="21" spans="1:6" s="179" customFormat="1" ht="15.75">
      <c r="A21" s="111" t="s">
        <v>935</v>
      </c>
      <c r="B21" s="577"/>
      <c r="C21" s="577"/>
      <c r="D21" s="577"/>
      <c r="E21" s="577"/>
      <c r="F21" s="577"/>
    </row>
    <row r="22" spans="1:6" s="179" customFormat="1" ht="15.75">
      <c r="A22" s="111" t="s">
        <v>936</v>
      </c>
      <c r="B22" s="577"/>
      <c r="C22" s="577"/>
      <c r="D22" s="577"/>
      <c r="E22" s="577"/>
      <c r="F22" s="577"/>
    </row>
    <row r="23" spans="1:6" s="179" customFormat="1" ht="15.75">
      <c r="A23" s="560" t="s">
        <v>661</v>
      </c>
      <c r="B23" s="579">
        <f>IFERROR(AVERAGE(B17:B22),0)</f>
        <v>0</v>
      </c>
      <c r="C23" s="579">
        <f t="shared" ref="C23:F23" si="0">IFERROR(AVERAGE(C17:C22),0)</f>
        <v>0</v>
      </c>
      <c r="D23" s="579">
        <f t="shared" si="0"/>
        <v>0</v>
      </c>
      <c r="E23" s="579">
        <f t="shared" si="0"/>
        <v>0</v>
      </c>
      <c r="F23" s="579">
        <f t="shared" si="0"/>
        <v>0</v>
      </c>
    </row>
    <row r="24" spans="1:6" s="179" customFormat="1" ht="15.75">
      <c r="A24" s="560" t="s">
        <v>216</v>
      </c>
      <c r="B24" s="565" t="s">
        <v>211</v>
      </c>
      <c r="C24" s="565" t="s">
        <v>211</v>
      </c>
      <c r="D24" s="565" t="s">
        <v>211</v>
      </c>
      <c r="E24" s="565" t="s">
        <v>211</v>
      </c>
      <c r="F24" s="565" t="s">
        <v>211</v>
      </c>
    </row>
    <row r="25" spans="1:6" s="179" customFormat="1" ht="30" customHeight="1">
      <c r="A25" s="111" t="s">
        <v>923</v>
      </c>
      <c r="B25" s="577"/>
      <c r="C25" s="577"/>
      <c r="D25" s="577"/>
      <c r="E25" s="577"/>
      <c r="F25" s="577"/>
    </row>
    <row r="26" spans="1:6" s="179" customFormat="1" ht="45">
      <c r="A26" s="111" t="s">
        <v>924</v>
      </c>
      <c r="B26" s="577"/>
      <c r="C26" s="577"/>
      <c r="D26" s="577"/>
      <c r="E26" s="577"/>
      <c r="F26" s="577"/>
    </row>
    <row r="27" spans="1:6" s="179" customFormat="1" ht="45">
      <c r="A27" s="111" t="s">
        <v>925</v>
      </c>
      <c r="B27" s="577"/>
      <c r="C27" s="577"/>
      <c r="D27" s="577"/>
      <c r="E27" s="577"/>
      <c r="F27" s="577"/>
    </row>
    <row r="28" spans="1:6" s="179" customFormat="1" ht="15.75">
      <c r="A28" s="111"/>
      <c r="B28" s="578"/>
      <c r="C28" s="578"/>
      <c r="D28" s="578"/>
      <c r="E28" s="578"/>
      <c r="F28" s="578"/>
    </row>
    <row r="29" spans="1:6" s="179" customFormat="1" ht="15.75">
      <c r="A29" s="560" t="s">
        <v>918</v>
      </c>
      <c r="B29" s="578"/>
      <c r="C29" s="578"/>
      <c r="D29" s="578"/>
      <c r="E29" s="578"/>
      <c r="F29" s="578"/>
    </row>
    <row r="30" spans="1:6" s="179" customFormat="1" ht="15.75">
      <c r="A30" s="560" t="s">
        <v>215</v>
      </c>
      <c r="B30" s="578"/>
      <c r="C30" s="578"/>
      <c r="D30" s="578"/>
      <c r="E30" s="578"/>
      <c r="F30" s="578"/>
    </row>
    <row r="31" spans="1:6" s="179" customFormat="1" ht="45">
      <c r="A31" s="111" t="s">
        <v>947</v>
      </c>
      <c r="B31" s="577"/>
      <c r="C31" s="577"/>
      <c r="D31" s="577"/>
      <c r="E31" s="577"/>
      <c r="F31" s="577"/>
    </row>
    <row r="32" spans="1:6" s="179" customFormat="1" ht="15.75">
      <c r="A32" s="560" t="s">
        <v>216</v>
      </c>
      <c r="B32" s="565" t="s">
        <v>211</v>
      </c>
      <c r="C32" s="565" t="s">
        <v>211</v>
      </c>
      <c r="D32" s="565" t="s">
        <v>211</v>
      </c>
      <c r="E32" s="565" t="s">
        <v>211</v>
      </c>
      <c r="F32" s="565" t="s">
        <v>211</v>
      </c>
    </row>
    <row r="33" spans="1:6" s="179" customFormat="1" ht="60.75">
      <c r="A33" s="111" t="s">
        <v>929</v>
      </c>
      <c r="B33" s="578"/>
      <c r="C33" s="578"/>
      <c r="D33" s="578"/>
      <c r="E33" s="578"/>
      <c r="F33" s="578"/>
    </row>
    <row r="34" spans="1:6" s="179" customFormat="1" ht="15.75">
      <c r="A34" s="111" t="s">
        <v>931</v>
      </c>
      <c r="B34" s="577"/>
      <c r="C34" s="577"/>
      <c r="D34" s="577"/>
      <c r="E34" s="577"/>
      <c r="F34" s="577"/>
    </row>
    <row r="35" spans="1:6" s="179" customFormat="1" ht="15.75">
      <c r="A35" s="111" t="s">
        <v>932</v>
      </c>
      <c r="B35" s="577"/>
      <c r="C35" s="577"/>
      <c r="D35" s="577"/>
      <c r="E35" s="577"/>
      <c r="F35" s="577"/>
    </row>
    <row r="36" spans="1:6" s="179" customFormat="1" ht="15.75">
      <c r="A36" s="111" t="s">
        <v>933</v>
      </c>
      <c r="B36" s="577"/>
      <c r="C36" s="577"/>
      <c r="D36" s="577"/>
      <c r="E36" s="577"/>
      <c r="F36" s="577"/>
    </row>
    <row r="37" spans="1:6" s="179" customFormat="1" ht="15.75">
      <c r="A37" s="111" t="s">
        <v>934</v>
      </c>
      <c r="B37" s="577"/>
      <c r="C37" s="577"/>
      <c r="D37" s="577"/>
      <c r="E37" s="577"/>
      <c r="F37" s="577"/>
    </row>
    <row r="38" spans="1:6" s="179" customFormat="1" ht="15.75">
      <c r="A38" s="111" t="s">
        <v>935</v>
      </c>
      <c r="B38" s="577"/>
      <c r="C38" s="577"/>
      <c r="D38" s="577"/>
      <c r="E38" s="577"/>
      <c r="F38" s="577"/>
    </row>
    <row r="39" spans="1:6" s="179" customFormat="1" ht="15.75">
      <c r="A39" s="111" t="s">
        <v>936</v>
      </c>
      <c r="B39" s="577"/>
      <c r="C39" s="577"/>
      <c r="D39" s="577"/>
      <c r="E39" s="577"/>
      <c r="F39" s="577"/>
    </row>
    <row r="40" spans="1:6" s="179" customFormat="1" ht="15.75">
      <c r="A40" s="111" t="s">
        <v>938</v>
      </c>
      <c r="B40" s="577"/>
      <c r="C40" s="577"/>
      <c r="D40" s="577"/>
      <c r="E40" s="577"/>
      <c r="F40" s="577"/>
    </row>
    <row r="41" spans="1:6" s="179" customFormat="1" ht="15.75">
      <c r="A41" s="111" t="s">
        <v>939</v>
      </c>
      <c r="B41" s="577"/>
      <c r="C41" s="577"/>
      <c r="D41" s="577"/>
      <c r="E41" s="577"/>
      <c r="F41" s="577"/>
    </row>
    <row r="42" spans="1:6" s="179" customFormat="1" ht="15.75">
      <c r="A42" s="111" t="s">
        <v>940</v>
      </c>
      <c r="B42" s="577"/>
      <c r="C42" s="577"/>
      <c r="D42" s="577"/>
      <c r="E42" s="577"/>
      <c r="F42" s="577"/>
    </row>
    <row r="43" spans="1:6" s="179" customFormat="1" ht="15.75">
      <c r="A43" s="111" t="s">
        <v>941</v>
      </c>
      <c r="B43" s="577"/>
      <c r="C43" s="577"/>
      <c r="D43" s="577"/>
      <c r="E43" s="577"/>
      <c r="F43" s="577"/>
    </row>
    <row r="44" spans="1:6" s="179" customFormat="1" ht="15.75">
      <c r="A44" s="111" t="s">
        <v>942</v>
      </c>
      <c r="B44" s="577"/>
      <c r="C44" s="577"/>
      <c r="D44" s="577"/>
      <c r="E44" s="577"/>
      <c r="F44" s="577"/>
    </row>
    <row r="45" spans="1:6" s="179" customFormat="1" ht="15.75">
      <c r="A45" s="111" t="s">
        <v>943</v>
      </c>
      <c r="B45" s="577"/>
      <c r="C45" s="577"/>
      <c r="D45" s="577"/>
      <c r="E45" s="577"/>
      <c r="F45" s="577"/>
    </row>
    <row r="46" spans="1:6" s="179" customFormat="1" ht="16.5" thickBot="1">
      <c r="A46" s="560" t="s">
        <v>661</v>
      </c>
      <c r="B46" s="580">
        <f>IFERROR(AVERAGE(B34:B39),0)</f>
        <v>0</v>
      </c>
      <c r="C46" s="580">
        <f t="shared" ref="C46" si="1">IFERROR(AVERAGE(C34:C39),0)</f>
        <v>0</v>
      </c>
      <c r="D46" s="580">
        <f t="shared" ref="D46" si="2">IFERROR(AVERAGE(D34:D39),0)</f>
        <v>0</v>
      </c>
      <c r="E46" s="580">
        <f t="shared" ref="E46" si="3">IFERROR(AVERAGE(E34:E39),0)</f>
        <v>0</v>
      </c>
      <c r="F46" s="580">
        <f t="shared" ref="F46" si="4">IFERROR(AVERAGE(F34:F39),0)</f>
        <v>0</v>
      </c>
    </row>
    <row r="47" spans="1:6" ht="15.75" thickTop="1"/>
    <row r="50" spans="1:6" ht="18.75" thickBot="1">
      <c r="A50" s="561" t="s">
        <v>919</v>
      </c>
      <c r="B50" s="76"/>
      <c r="C50" s="76"/>
      <c r="D50" s="76"/>
      <c r="E50" s="76"/>
      <c r="F50" s="76"/>
    </row>
    <row r="51" spans="1:6" ht="31.5">
      <c r="A51" s="88" t="s">
        <v>218</v>
      </c>
      <c r="B51" s="102">
        <f>IF('PFC Calculations'!B121&gt;0,(Report!$K$8*'PFC Calculations'!B121/VLOOKUP(Report!$C$6,'Actual-CO2 Calculations'!$A$5:$O$121,'Actual-CO2 Calculations'!$O$1,FALSE)),0)</f>
        <v>0</v>
      </c>
      <c r="C51" s="102">
        <f>IF('PFC Calculations'!C121&gt;0,(Report!$K$8*'PFC Calculations'!C121/VLOOKUP(Report!$C$6,'Actual-CO2 Calculations'!$A$5:$O$121,'Actual-CO2 Calculations'!$O$1,FALSE)),0)</f>
        <v>0</v>
      </c>
      <c r="D51" s="102">
        <f>IF('PFC Calculations'!D121&gt;0,(Report!$K$8*'PFC Calculations'!D121/VLOOKUP(Report!$C$6,'Actual-CO2 Calculations'!$A$5:$O$121,'Actual-CO2 Calculations'!$O$1,FALSE)),0)</f>
        <v>0</v>
      </c>
      <c r="E51" s="102">
        <f>IF('PFC Calculations'!E121&gt;0,(Report!$K$8*'PFC Calculations'!E121/VLOOKUP(Report!$C$6,'Actual-CO2 Calculations'!$A$5:$O$121,'Actual-CO2 Calculations'!$O$1,FALSE)),0)</f>
        <v>0</v>
      </c>
      <c r="F51" s="102">
        <f>IF('PFC Calculations'!F121&gt;0,(Report!$K$8*'PFC Calculations'!F121/VLOOKUP(Report!$C$6,'Actual-CO2 Calculations'!$A$5:$O$121,'Actual-CO2 Calculations'!$O$1,FALSE)),0)</f>
        <v>0</v>
      </c>
    </row>
    <row r="54" spans="1:6">
      <c r="A54" s="144" t="s">
        <v>243</v>
      </c>
      <c r="B54" s="145"/>
      <c r="C54" s="145"/>
      <c r="D54" s="145"/>
      <c r="E54" s="145"/>
      <c r="F54" s="146"/>
    </row>
    <row r="55" spans="1:6">
      <c r="A55" s="147" t="s">
        <v>187</v>
      </c>
      <c r="B55" s="148">
        <f>IF(B10&gt;0,1,0)</f>
        <v>0</v>
      </c>
      <c r="C55" s="148">
        <f>IF(C10&gt;0,1,0)</f>
        <v>0</v>
      </c>
      <c r="D55" s="148">
        <f>IF(D10&gt;0,1,0)</f>
        <v>0</v>
      </c>
      <c r="E55" s="148">
        <f>IF(E10&gt;0,1,0)</f>
        <v>0</v>
      </c>
      <c r="F55" s="149">
        <f>IF(F10&gt;0,1,0)</f>
        <v>0</v>
      </c>
    </row>
    <row r="56" spans="1:6">
      <c r="A56" s="147" t="s">
        <v>921</v>
      </c>
      <c r="B56" s="148">
        <f>IF(B23&gt;0,1,IF(B25*B26*B27&gt;0,1,0))</f>
        <v>0</v>
      </c>
      <c r="C56" s="148">
        <f t="shared" ref="C56:F56" si="5">IF(C23&gt;0,1,IF(C25*C26*C27&gt;0,1,0))</f>
        <v>0</v>
      </c>
      <c r="D56" s="148">
        <f t="shared" si="5"/>
        <v>0</v>
      </c>
      <c r="E56" s="148">
        <f t="shared" si="5"/>
        <v>0</v>
      </c>
      <c r="F56" s="149">
        <f t="shared" si="5"/>
        <v>0</v>
      </c>
    </row>
    <row r="57" spans="1:6">
      <c r="A57" s="147" t="s">
        <v>922</v>
      </c>
      <c r="B57" s="148">
        <f>IF(B46&gt;0,1,0)</f>
        <v>0</v>
      </c>
      <c r="C57" s="148">
        <f t="shared" ref="C57:F57" si="6">IF(C46&gt;0,1,0)</f>
        <v>0</v>
      </c>
      <c r="D57" s="148">
        <f t="shared" si="6"/>
        <v>0</v>
      </c>
      <c r="E57" s="148">
        <f t="shared" si="6"/>
        <v>0</v>
      </c>
      <c r="F57" s="149">
        <f t="shared" si="6"/>
        <v>0</v>
      </c>
    </row>
    <row r="58" spans="1:6">
      <c r="A58" s="147"/>
      <c r="B58" s="148"/>
      <c r="C58" s="148"/>
      <c r="D58" s="148"/>
      <c r="E58" s="148"/>
      <c r="F58" s="149"/>
    </row>
    <row r="59" spans="1:6">
      <c r="A59" s="147" t="str">
        <f>'Fuel Equipment'!A73</f>
        <v>A: Produces 1 if it has been started</v>
      </c>
      <c r="B59" s="148">
        <f>IF(SUM(B55:B57)=0,0,1)</f>
        <v>0</v>
      </c>
      <c r="C59" s="148">
        <f>IF(SUM(C55:C57)=0,0,1)</f>
        <v>0</v>
      </c>
      <c r="D59" s="148">
        <f>IF(SUM(D55:D57)=0,0,1)</f>
        <v>0</v>
      </c>
      <c r="E59" s="148">
        <f>IF(SUM(E55:E57)=0,0,1)</f>
        <v>0</v>
      </c>
      <c r="F59" s="149">
        <f>IF(SUM(F55:F57)=0,0,1)</f>
        <v>0</v>
      </c>
    </row>
    <row r="60" spans="1:6">
      <c r="A60" s="147" t="str">
        <f>'Fuel Equipment'!A74</f>
        <v>B: Produces 2 if it has been finished</v>
      </c>
      <c r="B60" s="148">
        <f>IF(SUM(B55:B57)=3,1,0)</f>
        <v>0</v>
      </c>
      <c r="C60" s="148">
        <f t="shared" ref="C60:F60" si="7">IF(SUM(C55:C57)=3,1,0)</f>
        <v>0</v>
      </c>
      <c r="D60" s="148">
        <f t="shared" si="7"/>
        <v>0</v>
      </c>
      <c r="E60" s="148">
        <f t="shared" si="7"/>
        <v>0</v>
      </c>
      <c r="F60" s="149">
        <f t="shared" si="7"/>
        <v>0</v>
      </c>
    </row>
    <row r="61" spans="1:6">
      <c r="A61" s="147" t="str">
        <f>'Fuel Equipment'!A75</f>
        <v>A + B</v>
      </c>
      <c r="B61" s="148">
        <f>SUM(B59:B60)</f>
        <v>0</v>
      </c>
      <c r="C61" s="148">
        <f t="shared" ref="C61:F61" si="8">SUM(C59:C60)</f>
        <v>0</v>
      </c>
      <c r="D61" s="148">
        <f t="shared" si="8"/>
        <v>0</v>
      </c>
      <c r="E61" s="148">
        <f t="shared" si="8"/>
        <v>0</v>
      </c>
      <c r="F61" s="149">
        <f t="shared" si="8"/>
        <v>0</v>
      </c>
    </row>
    <row r="62" spans="1:6">
      <c r="A62" s="147"/>
      <c r="B62" s="148"/>
      <c r="C62" s="148"/>
      <c r="D62" s="148"/>
      <c r="E62" s="148"/>
      <c r="F62" s="149"/>
    </row>
    <row r="63" spans="1:6">
      <c r="A63" s="147" t="s">
        <v>257</v>
      </c>
      <c r="B63" s="148"/>
      <c r="C63" s="148"/>
      <c r="D63" s="148"/>
      <c r="E63" s="148"/>
      <c r="F63" s="149"/>
    </row>
    <row r="64" spans="1:6">
      <c r="A64" s="147"/>
      <c r="B64" s="148"/>
      <c r="C64" s="148"/>
      <c r="D64" s="148"/>
      <c r="E64" s="148"/>
      <c r="F64" s="149"/>
    </row>
    <row r="65" spans="1:6">
      <c r="A65" s="147" t="s">
        <v>262</v>
      </c>
      <c r="B65" s="148">
        <f>IF(B26&gt;28,1,0)</f>
        <v>0</v>
      </c>
      <c r="C65" s="148">
        <f>IF(C26&gt;28,1,0)</f>
        <v>0</v>
      </c>
      <c r="D65" s="148">
        <f>IF(D26&gt;28,1,0)</f>
        <v>0</v>
      </c>
      <c r="E65" s="148">
        <f>IF(E26&gt;28,1,0)</f>
        <v>0</v>
      </c>
      <c r="F65" s="149">
        <f>IF(F26&gt;28,1,0)</f>
        <v>0</v>
      </c>
    </row>
    <row r="66" spans="1:6">
      <c r="A66" s="147" t="s">
        <v>261</v>
      </c>
      <c r="B66" s="148">
        <f>IF(B27&gt;24,1,0)</f>
        <v>0</v>
      </c>
      <c r="C66" s="148">
        <f>IF(C27&gt;24,1,0)</f>
        <v>0</v>
      </c>
      <c r="D66" s="148">
        <f>IF(D27&gt;24,1,0)</f>
        <v>0</v>
      </c>
      <c r="E66" s="148">
        <f>IF(E27&gt;24,1,0)</f>
        <v>0</v>
      </c>
      <c r="F66" s="149">
        <f>IF(F27&gt;24,1,0)</f>
        <v>0</v>
      </c>
    </row>
    <row r="67" spans="1:6" s="179" customFormat="1">
      <c r="A67" s="147" t="s">
        <v>926</v>
      </c>
      <c r="B67" s="148">
        <f>IF(B23&gt;0,IF(B46&gt;0,IF(B23&lt;B46,1,0),0),0)</f>
        <v>0</v>
      </c>
      <c r="C67" s="148">
        <f t="shared" ref="C67:F67" si="9">IF(C23&gt;0,IF(C46&gt;0,IF(C23&lt;C46,1,0),0),0)</f>
        <v>0</v>
      </c>
      <c r="D67" s="148">
        <f t="shared" si="9"/>
        <v>0</v>
      </c>
      <c r="E67" s="148">
        <f t="shared" si="9"/>
        <v>0</v>
      </c>
      <c r="F67" s="149">
        <f t="shared" si="9"/>
        <v>0</v>
      </c>
    </row>
    <row r="68" spans="1:6">
      <c r="A68" s="147"/>
      <c r="B68" s="148"/>
      <c r="C68" s="148"/>
      <c r="D68" s="148"/>
      <c r="E68" s="148"/>
      <c r="F68" s="149"/>
    </row>
    <row r="69" spans="1:6">
      <c r="A69" s="147" t="s">
        <v>266</v>
      </c>
      <c r="B69" s="148">
        <f>IF(SUM(B55:B57)&gt;1,IF(B3=0,1,0),0)</f>
        <v>0</v>
      </c>
      <c r="C69" s="148"/>
      <c r="D69" s="148"/>
      <c r="E69" s="148"/>
      <c r="F69" s="149"/>
    </row>
    <row r="70" spans="1:6">
      <c r="A70" s="147" t="s">
        <v>202</v>
      </c>
      <c r="B70" s="148">
        <f>IF(SUM(B55:B57)&gt;1,IF(B7=0,1,0),0)</f>
        <v>0</v>
      </c>
      <c r="C70" s="148"/>
      <c r="D70" s="148"/>
      <c r="E70" s="148"/>
      <c r="F70" s="149"/>
    </row>
    <row r="71" spans="1:6">
      <c r="A71" s="150"/>
      <c r="B71" s="151"/>
      <c r="C71" s="151"/>
      <c r="D71" s="151"/>
      <c r="E71" s="151"/>
      <c r="F71" s="152"/>
    </row>
  </sheetData>
  <mergeCells count="1">
    <mergeCell ref="D2:F7"/>
  </mergeCells>
  <conditionalFormatting sqref="B3">
    <cfRule type="expression" dxfId="43" priority="20">
      <formula>$B$69=1</formula>
    </cfRule>
  </conditionalFormatting>
  <conditionalFormatting sqref="B7">
    <cfRule type="expression" dxfId="42" priority="19">
      <formula>$B$70=1</formula>
    </cfRule>
  </conditionalFormatting>
  <conditionalFormatting sqref="B26:F26">
    <cfRule type="expression" dxfId="41" priority="16">
      <formula>B$65=1</formula>
    </cfRule>
  </conditionalFormatting>
  <conditionalFormatting sqref="B27:F27">
    <cfRule type="expression" dxfId="40" priority="15">
      <formula>B$66=1</formula>
    </cfRule>
  </conditionalFormatting>
  <conditionalFormatting sqref="B15:F24">
    <cfRule type="expression" dxfId="39" priority="7">
      <formula>(B$25+B$26+B$27)&gt;0</formula>
    </cfRule>
  </conditionalFormatting>
  <conditionalFormatting sqref="B24:F27">
    <cfRule type="expression" dxfId="38" priority="6">
      <formula>B$23&gt;0</formula>
    </cfRule>
  </conditionalFormatting>
  <conditionalFormatting sqref="B17:F23 B34:F46">
    <cfRule type="expression" dxfId="37" priority="5">
      <formula>B$67&gt;0</formula>
    </cfRule>
  </conditionalFormatting>
  <conditionalFormatting sqref="B32:F32">
    <cfRule type="expression" dxfId="36" priority="4">
      <formula>(B$25+B$26+B$27)&gt;0</formula>
    </cfRule>
  </conditionalFormatting>
  <conditionalFormatting sqref="B32:F32">
    <cfRule type="expression" dxfId="35" priority="3">
      <formula>B$23&gt;0</formula>
    </cfRule>
  </conditionalFormatting>
  <conditionalFormatting sqref="B31:F32">
    <cfRule type="expression" dxfId="34" priority="2">
      <formula>B$46&gt;0</formula>
    </cfRule>
  </conditionalFormatting>
  <conditionalFormatting sqref="B32:F46">
    <cfRule type="expression" dxfId="33" priority="1">
      <formula>B$31&gt;0</formula>
    </cfRule>
  </conditionalFormatting>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'Actual-CO2 Calculations'!$A$5:$A$121</xm:f>
          </x14:formula1>
          <xm:sqref>B11:F12</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27" zoomScale="70" zoomScaleNormal="70" workbookViewId="0">
      <selection activeCell="F27" sqref="F27"/>
    </sheetView>
  </sheetViews>
  <sheetFormatPr defaultRowHeight="15"/>
  <cols>
    <col min="1" max="1" width="11.7109375" bestFit="1" customWidth="1"/>
    <col min="7" max="7" width="9.140625" style="179"/>
  </cols>
  <sheetData>
    <row r="1" spans="1:16" s="179" customFormat="1">
      <c r="A1" s="684" t="s">
        <v>944</v>
      </c>
      <c r="B1" s="684"/>
      <c r="C1" s="684"/>
      <c r="D1" s="684"/>
      <c r="E1" s="684"/>
      <c r="F1" s="684"/>
      <c r="G1" s="684"/>
      <c r="K1" s="935" t="s">
        <v>945</v>
      </c>
      <c r="L1" s="935"/>
      <c r="M1" s="935"/>
      <c r="N1" s="935"/>
      <c r="O1" s="935"/>
      <c r="P1" s="935"/>
    </row>
    <row r="2" spans="1:16">
      <c r="A2" s="456" t="s">
        <v>187</v>
      </c>
      <c r="B2" s="456">
        <f>'Power Factor Correction'!B10</f>
        <v>0</v>
      </c>
      <c r="C2" s="456">
        <f>'Power Factor Correction'!C10</f>
        <v>0</v>
      </c>
      <c r="D2" s="456">
        <f>'Power Factor Correction'!D10</f>
        <v>0</v>
      </c>
      <c r="E2" s="456">
        <f>'Power Factor Correction'!E10</f>
        <v>0</v>
      </c>
      <c r="F2" s="456">
        <f>'Power Factor Correction'!F10</f>
        <v>0</v>
      </c>
      <c r="G2" s="456" t="s">
        <v>112</v>
      </c>
      <c r="I2" t="s">
        <v>920</v>
      </c>
      <c r="K2" s="456">
        <f>B2</f>
        <v>0</v>
      </c>
      <c r="L2" s="456">
        <f t="shared" ref="L2:O2" si="0">C2</f>
        <v>0</v>
      </c>
      <c r="M2" s="456">
        <f t="shared" si="0"/>
        <v>0</v>
      </c>
      <c r="N2" s="456">
        <f t="shared" si="0"/>
        <v>0</v>
      </c>
      <c r="O2" s="456">
        <f t="shared" si="0"/>
        <v>0</v>
      </c>
      <c r="P2" s="456" t="s">
        <v>112</v>
      </c>
    </row>
    <row r="3" spans="1:16">
      <c r="A3" t="s">
        <v>31</v>
      </c>
      <c r="B3">
        <f>IF(AND($A3&gt;='Power Factor Correction'!B$11,$A3&lt;='Power Factor Correction'!B$12),IF('Power Factor Correction'!B23&gt;0,('Power Factor Correction'!B$23*'PFC Calculations'!$I$3)-'PFC Calculations'!K3,IF('Power Factor Correction'!B$25*'Power Factor Correction'!B$26*'Power Factor Correction'!B$27&gt;0,((('Power Factor Correction'!B$26*'Power Factor Correction'!B$27)/(365*24))*'PFC Calculations'!$I$6*'Power Factor Correction'!B$25),0)),0)</f>
        <v>0</v>
      </c>
      <c r="C3" s="179">
        <f>IF(AND($A3&gt;='Power Factor Correction'!C$11,$A3&lt;='Power Factor Correction'!C$12),IF('Power Factor Correction'!C23&gt;0,('Power Factor Correction'!C$23*'PFC Calculations'!$I$3)-'PFC Calculations'!L3,IF('Power Factor Correction'!C$25*'Power Factor Correction'!C$26*'Power Factor Correction'!C$27&gt;0,((('Power Factor Correction'!C$26*'Power Factor Correction'!C$27)/(365*24))*'PFC Calculations'!$I$6*'Power Factor Correction'!C$25),0)),0)</f>
        <v>0</v>
      </c>
      <c r="D3" s="179">
        <f>IF(AND($A3&gt;='Power Factor Correction'!D$11,$A3&lt;='Power Factor Correction'!D$12),IF('Power Factor Correction'!D23&gt;0,('Power Factor Correction'!D$23*'PFC Calculations'!$I$3)-'PFC Calculations'!M3,IF('Power Factor Correction'!D$25*'Power Factor Correction'!D$26*'Power Factor Correction'!D$27&gt;0,((('Power Factor Correction'!D$26*'Power Factor Correction'!D$27)/(365*24))*'PFC Calculations'!$I$6*'Power Factor Correction'!D$25),0)),0)</f>
        <v>0</v>
      </c>
      <c r="E3" s="179">
        <f>IF(AND($A3&gt;='Power Factor Correction'!E$11,$A3&lt;='Power Factor Correction'!E$12),IF('Power Factor Correction'!E23&gt;0,('Power Factor Correction'!E$23*'PFC Calculations'!$I$3)-'PFC Calculations'!N3,IF('Power Factor Correction'!E$25*'Power Factor Correction'!E$26*'Power Factor Correction'!E$27&gt;0,((('Power Factor Correction'!E$26*'Power Factor Correction'!E$27)/(365*24))*'PFC Calculations'!$I$6*'Power Factor Correction'!E$25),0)),0)</f>
        <v>0</v>
      </c>
      <c r="F3" s="179">
        <f>IF(AND($A3&gt;='Power Factor Correction'!F$11,$A3&lt;='Power Factor Correction'!F$12),IF('Power Factor Correction'!F23&gt;0,('Power Factor Correction'!F$23*'PFC Calculations'!$I$3)-'PFC Calculations'!O3,IF('Power Factor Correction'!F$25*'Power Factor Correction'!F$26*'Power Factor Correction'!F$27&gt;0,((('Power Factor Correction'!F$26*'Power Factor Correction'!F$27)/(365*24))*'PFC Calculations'!$I$6*'Power Factor Correction'!F$25),0)),0)</f>
        <v>0</v>
      </c>
      <c r="G3" s="179">
        <f>SUM(B3:F3)</f>
        <v>0</v>
      </c>
      <c r="I3">
        <f>I6/(24*365)</f>
        <v>1.6666666666666666E-2</v>
      </c>
      <c r="K3" s="179">
        <f>IF(AND($A3&gt;='Power Factor Correction'!B$11,$A3&lt;='Power Factor Correction'!B$12),IF('Power Factor Correction'!B$31&gt;0,'Data Entry Electricity'!$F4*'PFC Calculations'!$I$3*(TAN(ACOS('Power Factor Correction'!B$31))),IF('Power Factor Correction'!B$46&gt;0,'Power Factor Correction'!B$46*'PFC Calculations'!$I$3,0)),0)</f>
        <v>0</v>
      </c>
      <c r="L3" s="179">
        <f>IF(AND($A3&gt;='Power Factor Correction'!C$11,$A3&lt;='Power Factor Correction'!C$12),IF('Power Factor Correction'!C$31&gt;0,'Data Entry Electricity'!$F4*'PFC Calculations'!$I$3*(TAN(ACOS('Power Factor Correction'!C$31))),IF('Power Factor Correction'!C$46&gt;0,'Power Factor Correction'!C$46*'PFC Calculations'!$I$3,0)),0)</f>
        <v>0</v>
      </c>
      <c r="M3" s="179">
        <f>IF(AND($A3&gt;='Power Factor Correction'!D$11,$A3&lt;='Power Factor Correction'!D$12),IF('Power Factor Correction'!D$31&gt;0,'Data Entry Electricity'!$F4*'PFC Calculations'!$I$3*(TAN(ACOS('Power Factor Correction'!D$31))),IF('Power Factor Correction'!D$46&gt;0,'Power Factor Correction'!D$46*'PFC Calculations'!$I$3,0)),0)</f>
        <v>0</v>
      </c>
      <c r="N3" s="179">
        <f>IF(AND($A3&gt;='Power Factor Correction'!E$11,$A3&lt;='Power Factor Correction'!E$12),IF('Power Factor Correction'!E$31&gt;0,'Data Entry Electricity'!$F4*'PFC Calculations'!$I$3*(TAN(ACOS('Power Factor Correction'!E$31))),IF('Power Factor Correction'!E$46&gt;0,'Power Factor Correction'!E$46*'PFC Calculations'!$I$3,0)),0)</f>
        <v>0</v>
      </c>
      <c r="O3" s="179">
        <f>IF(AND($A3&gt;='Power Factor Correction'!F$11,$A3&lt;='Power Factor Correction'!F$12),IF('Power Factor Correction'!F$31&gt;0,'Data Entry Electricity'!$F4*'PFC Calculations'!$I$3*(TAN(ACOS('Power Factor Correction'!F$31))),IF('Power Factor Correction'!F$46&gt;0,'Power Factor Correction'!F$46*'PFC Calculations'!$I$3,0)),0)</f>
        <v>0</v>
      </c>
      <c r="P3">
        <f>SUM(K3:O3)</f>
        <v>0</v>
      </c>
    </row>
    <row r="4" spans="1:16">
      <c r="A4" s="179" t="s">
        <v>32</v>
      </c>
      <c r="B4" s="179">
        <f>IF(AND($A4&gt;='Power Factor Correction'!B$11,$A4&lt;='Power Factor Correction'!B$12),IF('Power Factor Correction'!B24&gt;0,('Power Factor Correction'!B$23*'PFC Calculations'!$I$3)-'PFC Calculations'!K4,IF('Power Factor Correction'!B$25*'Power Factor Correction'!B$26*'Power Factor Correction'!B$27&gt;0,((('Power Factor Correction'!B$26*'Power Factor Correction'!B$27)/(365*24))*'PFC Calculations'!$I$6*'Power Factor Correction'!B$25),0)),0)</f>
        <v>0</v>
      </c>
      <c r="C4" s="179">
        <f>IF(AND($A4&gt;='Power Factor Correction'!C$11,$A4&lt;='Power Factor Correction'!C$12),IF('Power Factor Correction'!C24&gt;0,('Power Factor Correction'!C$23*'PFC Calculations'!$I$3)-'PFC Calculations'!L4,IF('Power Factor Correction'!C$25*'Power Factor Correction'!C$26*'Power Factor Correction'!C$27&gt;0,((('Power Factor Correction'!C$26*'Power Factor Correction'!C$27)/(365*24))*'PFC Calculations'!$I$6*'Power Factor Correction'!C$25),0)),0)</f>
        <v>0</v>
      </c>
      <c r="D4" s="179">
        <f>IF(AND($A4&gt;='Power Factor Correction'!D$11,$A4&lt;='Power Factor Correction'!D$12),IF('Power Factor Correction'!D24&gt;0,('Power Factor Correction'!D$23*'PFC Calculations'!$I$3)-'PFC Calculations'!M4,IF('Power Factor Correction'!D$25*'Power Factor Correction'!D$26*'Power Factor Correction'!D$27&gt;0,((('Power Factor Correction'!D$26*'Power Factor Correction'!D$27)/(365*24))*'PFC Calculations'!$I$6*'Power Factor Correction'!D$25),0)),0)</f>
        <v>0</v>
      </c>
      <c r="E4" s="179">
        <f>IF(AND($A4&gt;='Power Factor Correction'!E$11,$A4&lt;='Power Factor Correction'!E$12),IF('Power Factor Correction'!E24&gt;0,('Power Factor Correction'!E$23*'PFC Calculations'!$I$3)-'PFC Calculations'!N4,IF('Power Factor Correction'!E$25*'Power Factor Correction'!E$26*'Power Factor Correction'!E$27&gt;0,((('Power Factor Correction'!E$26*'Power Factor Correction'!E$27)/(365*24))*'PFC Calculations'!$I$6*'Power Factor Correction'!E$25),0)),0)</f>
        <v>0</v>
      </c>
      <c r="F4" s="179">
        <f>IF(AND($A4&gt;='Power Factor Correction'!F$11,$A4&lt;='Power Factor Correction'!F$12),IF('Power Factor Correction'!F24&gt;0,('Power Factor Correction'!F$23*'PFC Calculations'!$I$3)-'PFC Calculations'!O4,IF('Power Factor Correction'!F$25*'Power Factor Correction'!F$26*'Power Factor Correction'!F$27&gt;0,((('Power Factor Correction'!F$26*'Power Factor Correction'!F$27)/(365*24))*'PFC Calculations'!$I$6*'Power Factor Correction'!F$25),0)),0)</f>
        <v>0</v>
      </c>
      <c r="G4" s="179">
        <f t="shared" ref="G4:G67" si="1">SUM(B4:F4)</f>
        <v>0</v>
      </c>
      <c r="K4" s="179">
        <f>IF(AND($A4&gt;='Power Factor Correction'!B$11,$A4&lt;='Power Factor Correction'!B$12),IF('Power Factor Correction'!B$31&gt;0,'Data Entry Electricity'!$F5*'PFC Calculations'!$I$3*(TAN(ACOS('Power Factor Correction'!B$31))),IF('Power Factor Correction'!B$46&gt;0,'Power Factor Correction'!B$46*'PFC Calculations'!$I$3,0)),0)</f>
        <v>0</v>
      </c>
      <c r="L4" s="179">
        <f>IF(AND($A4&gt;='Power Factor Correction'!C$11,$A4&lt;='Power Factor Correction'!C$12),IF('Power Factor Correction'!C$31&gt;0,'Data Entry Electricity'!$F5*'PFC Calculations'!$I$3*(TAN(ACOS('Power Factor Correction'!C$31))),IF('Power Factor Correction'!C$46&gt;0,'Power Factor Correction'!C$46*'PFC Calculations'!$I$3,0)),0)</f>
        <v>0</v>
      </c>
      <c r="M4" s="179">
        <f>IF(AND($A4&gt;='Power Factor Correction'!D$11,$A4&lt;='Power Factor Correction'!D$12),IF('Power Factor Correction'!D$31&gt;0,'Data Entry Electricity'!$F5*'PFC Calculations'!$I$3*(TAN(ACOS('Power Factor Correction'!D$31))),IF('Power Factor Correction'!D$46&gt;0,'Power Factor Correction'!D$46*'PFC Calculations'!$I$3,0)),0)</f>
        <v>0</v>
      </c>
      <c r="N4" s="179">
        <f>IF(AND($A4&gt;='Power Factor Correction'!E$11,$A4&lt;='Power Factor Correction'!E$12),IF('Power Factor Correction'!E$31&gt;0,'Data Entry Electricity'!$F5*'PFC Calculations'!$I$3*(TAN(ACOS('Power Factor Correction'!E$31))),IF('Power Factor Correction'!E$46&gt;0,'Power Factor Correction'!E$46*'PFC Calculations'!$I$3,0)),0)</f>
        <v>0</v>
      </c>
      <c r="O4" s="179">
        <f>IF(AND($A4&gt;='Power Factor Correction'!F$11,$A4&lt;='Power Factor Correction'!F$12),IF('Power Factor Correction'!F$31&gt;0,'Data Entry Electricity'!$F5*'PFC Calculations'!$I$3*(TAN(ACOS('Power Factor Correction'!F$31))),IF('Power Factor Correction'!F$46&gt;0,'Power Factor Correction'!F$46*'PFC Calculations'!$I$3,0)),0)</f>
        <v>0</v>
      </c>
      <c r="P4" s="179">
        <f t="shared" ref="P4:P67" si="2">SUM(K4:O4)</f>
        <v>0</v>
      </c>
    </row>
    <row r="5" spans="1:16">
      <c r="A5" s="179" t="s">
        <v>33</v>
      </c>
      <c r="B5" s="179">
        <f>IF(AND($A5&gt;='Power Factor Correction'!B$11,$A5&lt;='Power Factor Correction'!B$12),IF('Power Factor Correction'!B25&gt;0,('Power Factor Correction'!B$23*'PFC Calculations'!$I$3)-'PFC Calculations'!K5,IF('Power Factor Correction'!B$25*'Power Factor Correction'!B$26*'Power Factor Correction'!B$27&gt;0,((('Power Factor Correction'!B$26*'Power Factor Correction'!B$27)/(365*24))*'PFC Calculations'!$I$6*'Power Factor Correction'!B$25),0)),0)</f>
        <v>0</v>
      </c>
      <c r="C5" s="179">
        <f>IF(AND($A5&gt;='Power Factor Correction'!C$11,$A5&lt;='Power Factor Correction'!C$12),IF('Power Factor Correction'!C25&gt;0,('Power Factor Correction'!C$23*'PFC Calculations'!$I$3)-'PFC Calculations'!L5,IF('Power Factor Correction'!C$25*'Power Factor Correction'!C$26*'Power Factor Correction'!C$27&gt;0,((('Power Factor Correction'!C$26*'Power Factor Correction'!C$27)/(365*24))*'PFC Calculations'!$I$6*'Power Factor Correction'!C$25),0)),0)</f>
        <v>0</v>
      </c>
      <c r="D5" s="179">
        <f>IF(AND($A5&gt;='Power Factor Correction'!D$11,$A5&lt;='Power Factor Correction'!D$12),IF('Power Factor Correction'!D25&gt;0,('Power Factor Correction'!D$23*'PFC Calculations'!$I$3)-'PFC Calculations'!M5,IF('Power Factor Correction'!D$25*'Power Factor Correction'!D$26*'Power Factor Correction'!D$27&gt;0,((('Power Factor Correction'!D$26*'Power Factor Correction'!D$27)/(365*24))*'PFC Calculations'!$I$6*'Power Factor Correction'!D$25),0)),0)</f>
        <v>0</v>
      </c>
      <c r="E5" s="179">
        <f>IF(AND($A5&gt;='Power Factor Correction'!E$11,$A5&lt;='Power Factor Correction'!E$12),IF('Power Factor Correction'!E25&gt;0,('Power Factor Correction'!E$23*'PFC Calculations'!$I$3)-'PFC Calculations'!N5,IF('Power Factor Correction'!E$25*'Power Factor Correction'!E$26*'Power Factor Correction'!E$27&gt;0,((('Power Factor Correction'!E$26*'Power Factor Correction'!E$27)/(365*24))*'PFC Calculations'!$I$6*'Power Factor Correction'!E$25),0)),0)</f>
        <v>0</v>
      </c>
      <c r="F5" s="179">
        <f>IF(AND($A5&gt;='Power Factor Correction'!F$11,$A5&lt;='Power Factor Correction'!F$12),IF('Power Factor Correction'!F25&gt;0,('Power Factor Correction'!F$23*'PFC Calculations'!$I$3)-'PFC Calculations'!O5,IF('Power Factor Correction'!F$25*'Power Factor Correction'!F$26*'Power Factor Correction'!F$27&gt;0,((('Power Factor Correction'!F$26*'Power Factor Correction'!F$27)/(365*24))*'PFC Calculations'!$I$6*'Power Factor Correction'!F$25),0)),0)</f>
        <v>0</v>
      </c>
      <c r="G5" s="179">
        <f t="shared" si="1"/>
        <v>0</v>
      </c>
      <c r="I5" t="s">
        <v>937</v>
      </c>
      <c r="K5" s="179">
        <f>IF(AND($A5&gt;='Power Factor Correction'!B$11,$A5&lt;='Power Factor Correction'!B$12),IF('Power Factor Correction'!B$31&gt;0,'Data Entry Electricity'!$F6*'PFC Calculations'!$I$3*(TAN(ACOS('Power Factor Correction'!B$31))),IF('Power Factor Correction'!B$46&gt;0,'Power Factor Correction'!B$46*'PFC Calculations'!$I$3,0)),0)</f>
        <v>0</v>
      </c>
      <c r="L5" s="179">
        <f>IF(AND($A5&gt;='Power Factor Correction'!C$11,$A5&lt;='Power Factor Correction'!C$12),IF('Power Factor Correction'!C$31&gt;0,'Data Entry Electricity'!$F6*'PFC Calculations'!$I$3*(TAN(ACOS('Power Factor Correction'!C$31))),IF('Power Factor Correction'!C$46&gt;0,'Power Factor Correction'!C$46*'PFC Calculations'!$I$3,0)),0)</f>
        <v>0</v>
      </c>
      <c r="M5" s="179">
        <f>IF(AND($A5&gt;='Power Factor Correction'!D$11,$A5&lt;='Power Factor Correction'!D$12),IF('Power Factor Correction'!D$31&gt;0,'Data Entry Electricity'!$F6*'PFC Calculations'!$I$3*(TAN(ACOS('Power Factor Correction'!D$31))),IF('Power Factor Correction'!D$46&gt;0,'Power Factor Correction'!D$46*'PFC Calculations'!$I$3,0)),0)</f>
        <v>0</v>
      </c>
      <c r="N5" s="179">
        <f>IF(AND($A5&gt;='Power Factor Correction'!E$11,$A5&lt;='Power Factor Correction'!E$12),IF('Power Factor Correction'!E$31&gt;0,'Data Entry Electricity'!$F6*'PFC Calculations'!$I$3*(TAN(ACOS('Power Factor Correction'!E$31))),IF('Power Factor Correction'!E$46&gt;0,'Power Factor Correction'!E$46*'PFC Calculations'!$I$3,0)),0)</f>
        <v>0</v>
      </c>
      <c r="O5" s="179">
        <f>IF(AND($A5&gt;='Power Factor Correction'!F$11,$A5&lt;='Power Factor Correction'!F$12),IF('Power Factor Correction'!F$31&gt;0,'Data Entry Electricity'!$F6*'PFC Calculations'!$I$3*(TAN(ACOS('Power Factor Correction'!F$31))),IF('Power Factor Correction'!F$46&gt;0,'Power Factor Correction'!F$46*'PFC Calculations'!$I$3,0)),0)</f>
        <v>0</v>
      </c>
      <c r="P5" s="179">
        <f t="shared" si="2"/>
        <v>0</v>
      </c>
    </row>
    <row r="6" spans="1:16">
      <c r="A6" s="179" t="s">
        <v>34</v>
      </c>
      <c r="B6" s="179">
        <f>IF(AND($A6&gt;='Power Factor Correction'!B$11,$A6&lt;='Power Factor Correction'!B$12),IF('Power Factor Correction'!B26&gt;0,('Power Factor Correction'!B$23*'PFC Calculations'!$I$3)-'PFC Calculations'!K6,IF('Power Factor Correction'!B$25*'Power Factor Correction'!B$26*'Power Factor Correction'!B$27&gt;0,((('Power Factor Correction'!B$26*'Power Factor Correction'!B$27)/(365*24))*'PFC Calculations'!$I$6*'Power Factor Correction'!B$25),0)),0)</f>
        <v>0</v>
      </c>
      <c r="C6" s="179">
        <f>IF(AND($A6&gt;='Power Factor Correction'!C$11,$A6&lt;='Power Factor Correction'!C$12),IF('Power Factor Correction'!C26&gt;0,('Power Factor Correction'!C$23*'PFC Calculations'!$I$3)-'PFC Calculations'!L6,IF('Power Factor Correction'!C$25*'Power Factor Correction'!C$26*'Power Factor Correction'!C$27&gt;0,((('Power Factor Correction'!C$26*'Power Factor Correction'!C$27)/(365*24))*'PFC Calculations'!$I$6*'Power Factor Correction'!C$25),0)),0)</f>
        <v>0</v>
      </c>
      <c r="D6" s="179">
        <f>IF(AND($A6&gt;='Power Factor Correction'!D$11,$A6&lt;='Power Factor Correction'!D$12),IF('Power Factor Correction'!D26&gt;0,('Power Factor Correction'!D$23*'PFC Calculations'!$I$3)-'PFC Calculations'!M6,IF('Power Factor Correction'!D$25*'Power Factor Correction'!D$26*'Power Factor Correction'!D$27&gt;0,((('Power Factor Correction'!D$26*'Power Factor Correction'!D$27)/(365*24))*'PFC Calculations'!$I$6*'Power Factor Correction'!D$25),0)),0)</f>
        <v>0</v>
      </c>
      <c r="E6" s="179">
        <f>IF(AND($A6&gt;='Power Factor Correction'!E$11,$A6&lt;='Power Factor Correction'!E$12),IF('Power Factor Correction'!E26&gt;0,('Power Factor Correction'!E$23*'PFC Calculations'!$I$3)-'PFC Calculations'!N6,IF('Power Factor Correction'!E$25*'Power Factor Correction'!E$26*'Power Factor Correction'!E$27&gt;0,((('Power Factor Correction'!E$26*'Power Factor Correction'!E$27)/(365*24))*'PFC Calculations'!$I$6*'Power Factor Correction'!E$25),0)),0)</f>
        <v>0</v>
      </c>
      <c r="F6" s="179">
        <f>IF(AND($A6&gt;='Power Factor Correction'!F$11,$A6&lt;='Power Factor Correction'!F$12),IF('Power Factor Correction'!F26&gt;0,('Power Factor Correction'!F$23*'PFC Calculations'!$I$3)-'PFC Calculations'!O6,IF('Power Factor Correction'!F$25*'Power Factor Correction'!F$26*'Power Factor Correction'!F$27&gt;0,((('Power Factor Correction'!F$26*'Power Factor Correction'!F$27)/(365*24))*'PFC Calculations'!$I$6*'Power Factor Correction'!F$25),0)),0)</f>
        <v>0</v>
      </c>
      <c r="G6" s="179">
        <f t="shared" si="1"/>
        <v>0</v>
      </c>
      <c r="I6">
        <v>146</v>
      </c>
      <c r="K6" s="179">
        <f>IF(AND($A6&gt;='Power Factor Correction'!B$11,$A6&lt;='Power Factor Correction'!B$12),IF('Power Factor Correction'!B$31&gt;0,'Data Entry Electricity'!$F7*'PFC Calculations'!$I$3*(TAN(ACOS('Power Factor Correction'!B$31))),IF('Power Factor Correction'!B$46&gt;0,'Power Factor Correction'!B$46*'PFC Calculations'!$I$3,0)),0)</f>
        <v>0</v>
      </c>
      <c r="L6" s="179">
        <f>IF(AND($A6&gt;='Power Factor Correction'!C$11,$A6&lt;='Power Factor Correction'!C$12),IF('Power Factor Correction'!C$31&gt;0,'Data Entry Electricity'!$F7*'PFC Calculations'!$I$3*(TAN(ACOS('Power Factor Correction'!C$31))),IF('Power Factor Correction'!C$46&gt;0,'Power Factor Correction'!C$46*'PFC Calculations'!$I$3,0)),0)</f>
        <v>0</v>
      </c>
      <c r="M6" s="179">
        <f>IF(AND($A6&gt;='Power Factor Correction'!D$11,$A6&lt;='Power Factor Correction'!D$12),IF('Power Factor Correction'!D$31&gt;0,'Data Entry Electricity'!$F7*'PFC Calculations'!$I$3*(TAN(ACOS('Power Factor Correction'!D$31))),IF('Power Factor Correction'!D$46&gt;0,'Power Factor Correction'!D$46*'PFC Calculations'!$I$3,0)),0)</f>
        <v>0</v>
      </c>
      <c r="N6" s="179">
        <f>IF(AND($A6&gt;='Power Factor Correction'!E$11,$A6&lt;='Power Factor Correction'!E$12),IF('Power Factor Correction'!E$31&gt;0,'Data Entry Electricity'!$F7*'PFC Calculations'!$I$3*(TAN(ACOS('Power Factor Correction'!E$31))),IF('Power Factor Correction'!E$46&gt;0,'Power Factor Correction'!E$46*'PFC Calculations'!$I$3,0)),0)</f>
        <v>0</v>
      </c>
      <c r="O6" s="179">
        <f>IF(AND($A6&gt;='Power Factor Correction'!F$11,$A6&lt;='Power Factor Correction'!F$12),IF('Power Factor Correction'!F$31&gt;0,'Data Entry Electricity'!$F7*'PFC Calculations'!$I$3*(TAN(ACOS('Power Factor Correction'!F$31))),IF('Power Factor Correction'!F$46&gt;0,'Power Factor Correction'!F$46*'PFC Calculations'!$I$3,0)),0)</f>
        <v>0</v>
      </c>
      <c r="P6" s="179">
        <f t="shared" si="2"/>
        <v>0</v>
      </c>
    </row>
    <row r="7" spans="1:16">
      <c r="A7" s="179" t="s">
        <v>35</v>
      </c>
      <c r="B7" s="179">
        <f>IF(AND($A7&gt;='Power Factor Correction'!B$11,$A7&lt;='Power Factor Correction'!B$12),IF('Power Factor Correction'!B27&gt;0,('Power Factor Correction'!B$23*'PFC Calculations'!$I$3)-'PFC Calculations'!K7,IF('Power Factor Correction'!B$25*'Power Factor Correction'!B$26*'Power Factor Correction'!B$27&gt;0,((('Power Factor Correction'!B$26*'Power Factor Correction'!B$27)/(365*24))*'PFC Calculations'!$I$6*'Power Factor Correction'!B$25),0)),0)</f>
        <v>0</v>
      </c>
      <c r="C7" s="179">
        <f>IF(AND($A7&gt;='Power Factor Correction'!C$11,$A7&lt;='Power Factor Correction'!C$12),IF('Power Factor Correction'!C27&gt;0,('Power Factor Correction'!C$23*'PFC Calculations'!$I$3)-'PFC Calculations'!L7,IF('Power Factor Correction'!C$25*'Power Factor Correction'!C$26*'Power Factor Correction'!C$27&gt;0,((('Power Factor Correction'!C$26*'Power Factor Correction'!C$27)/(365*24))*'PFC Calculations'!$I$6*'Power Factor Correction'!C$25),0)),0)</f>
        <v>0</v>
      </c>
      <c r="D7" s="179">
        <f>IF(AND($A7&gt;='Power Factor Correction'!D$11,$A7&lt;='Power Factor Correction'!D$12),IF('Power Factor Correction'!D27&gt;0,('Power Factor Correction'!D$23*'PFC Calculations'!$I$3)-'PFC Calculations'!M7,IF('Power Factor Correction'!D$25*'Power Factor Correction'!D$26*'Power Factor Correction'!D$27&gt;0,((('Power Factor Correction'!D$26*'Power Factor Correction'!D$27)/(365*24))*'PFC Calculations'!$I$6*'Power Factor Correction'!D$25),0)),0)</f>
        <v>0</v>
      </c>
      <c r="E7" s="179">
        <f>IF(AND($A7&gt;='Power Factor Correction'!E$11,$A7&lt;='Power Factor Correction'!E$12),IF('Power Factor Correction'!E27&gt;0,('Power Factor Correction'!E$23*'PFC Calculations'!$I$3)-'PFC Calculations'!N7,IF('Power Factor Correction'!E$25*'Power Factor Correction'!E$26*'Power Factor Correction'!E$27&gt;0,((('Power Factor Correction'!E$26*'Power Factor Correction'!E$27)/(365*24))*'PFC Calculations'!$I$6*'Power Factor Correction'!E$25),0)),0)</f>
        <v>0</v>
      </c>
      <c r="F7" s="179">
        <f>IF(AND($A7&gt;='Power Factor Correction'!F$11,$A7&lt;='Power Factor Correction'!F$12),IF('Power Factor Correction'!F27&gt;0,('Power Factor Correction'!F$23*'PFC Calculations'!$I$3)-'PFC Calculations'!O7,IF('Power Factor Correction'!F$25*'Power Factor Correction'!F$26*'Power Factor Correction'!F$27&gt;0,((('Power Factor Correction'!F$26*'Power Factor Correction'!F$27)/(365*24))*'PFC Calculations'!$I$6*'Power Factor Correction'!F$25),0)),0)</f>
        <v>0</v>
      </c>
      <c r="G7" s="179">
        <f t="shared" si="1"/>
        <v>0</v>
      </c>
      <c r="K7" s="179">
        <f>IF(AND($A7&gt;='Power Factor Correction'!B$11,$A7&lt;='Power Factor Correction'!B$12),IF('Power Factor Correction'!B$31&gt;0,'Data Entry Electricity'!$F8*'PFC Calculations'!$I$3*(TAN(ACOS('Power Factor Correction'!B$31))),IF('Power Factor Correction'!B$46&gt;0,'Power Factor Correction'!B$46*'PFC Calculations'!$I$3,0)),0)</f>
        <v>0</v>
      </c>
      <c r="L7" s="179">
        <f>IF(AND($A7&gt;='Power Factor Correction'!C$11,$A7&lt;='Power Factor Correction'!C$12),IF('Power Factor Correction'!C$31&gt;0,'Data Entry Electricity'!$F8*'PFC Calculations'!$I$3*(TAN(ACOS('Power Factor Correction'!C$31))),IF('Power Factor Correction'!C$46&gt;0,'Power Factor Correction'!C$46*'PFC Calculations'!$I$3,0)),0)</f>
        <v>0</v>
      </c>
      <c r="M7" s="179">
        <f>IF(AND($A7&gt;='Power Factor Correction'!D$11,$A7&lt;='Power Factor Correction'!D$12),IF('Power Factor Correction'!D$31&gt;0,'Data Entry Electricity'!$F8*'PFC Calculations'!$I$3*(TAN(ACOS('Power Factor Correction'!D$31))),IF('Power Factor Correction'!D$46&gt;0,'Power Factor Correction'!D$46*'PFC Calculations'!$I$3,0)),0)</f>
        <v>0</v>
      </c>
      <c r="N7" s="179">
        <f>IF(AND($A7&gt;='Power Factor Correction'!E$11,$A7&lt;='Power Factor Correction'!E$12),IF('Power Factor Correction'!E$31&gt;0,'Data Entry Electricity'!$F8*'PFC Calculations'!$I$3*(TAN(ACOS('Power Factor Correction'!E$31))),IF('Power Factor Correction'!E$46&gt;0,'Power Factor Correction'!E$46*'PFC Calculations'!$I$3,0)),0)</f>
        <v>0</v>
      </c>
      <c r="O7" s="179">
        <f>IF(AND($A7&gt;='Power Factor Correction'!F$11,$A7&lt;='Power Factor Correction'!F$12),IF('Power Factor Correction'!F$31&gt;0,'Data Entry Electricity'!$F8*'PFC Calculations'!$I$3*(TAN(ACOS('Power Factor Correction'!F$31))),IF('Power Factor Correction'!F$46&gt;0,'Power Factor Correction'!F$46*'PFC Calculations'!$I$3,0)),0)</f>
        <v>0</v>
      </c>
      <c r="P7" s="179">
        <f t="shared" si="2"/>
        <v>0</v>
      </c>
    </row>
    <row r="8" spans="1:16">
      <c r="A8" s="179" t="s">
        <v>36</v>
      </c>
      <c r="B8" s="179">
        <f>IF(AND($A8&gt;='Power Factor Correction'!B$11,$A8&lt;='Power Factor Correction'!B$12),IF('Power Factor Correction'!B28&gt;0,('Power Factor Correction'!B$23*'PFC Calculations'!$I$3)-'PFC Calculations'!K8,IF('Power Factor Correction'!B$25*'Power Factor Correction'!B$26*'Power Factor Correction'!B$27&gt;0,((('Power Factor Correction'!B$26*'Power Factor Correction'!B$27)/(365*24))*'PFC Calculations'!$I$6*'Power Factor Correction'!B$25),0)),0)</f>
        <v>0</v>
      </c>
      <c r="C8" s="179">
        <f>IF(AND($A8&gt;='Power Factor Correction'!C$11,$A8&lt;='Power Factor Correction'!C$12),IF('Power Factor Correction'!C28&gt;0,('Power Factor Correction'!C$23*'PFC Calculations'!$I$3)-'PFC Calculations'!L8,IF('Power Factor Correction'!C$25*'Power Factor Correction'!C$26*'Power Factor Correction'!C$27&gt;0,((('Power Factor Correction'!C$26*'Power Factor Correction'!C$27)/(365*24))*'PFC Calculations'!$I$6*'Power Factor Correction'!C$25),0)),0)</f>
        <v>0</v>
      </c>
      <c r="D8" s="179">
        <f>IF(AND($A8&gt;='Power Factor Correction'!D$11,$A8&lt;='Power Factor Correction'!D$12),IF('Power Factor Correction'!D28&gt;0,('Power Factor Correction'!D$23*'PFC Calculations'!$I$3)-'PFC Calculations'!M8,IF('Power Factor Correction'!D$25*'Power Factor Correction'!D$26*'Power Factor Correction'!D$27&gt;0,((('Power Factor Correction'!D$26*'Power Factor Correction'!D$27)/(365*24))*'PFC Calculations'!$I$6*'Power Factor Correction'!D$25),0)),0)</f>
        <v>0</v>
      </c>
      <c r="E8" s="179">
        <f>IF(AND($A8&gt;='Power Factor Correction'!E$11,$A8&lt;='Power Factor Correction'!E$12),IF('Power Factor Correction'!E28&gt;0,('Power Factor Correction'!E$23*'PFC Calculations'!$I$3)-'PFC Calculations'!N8,IF('Power Factor Correction'!E$25*'Power Factor Correction'!E$26*'Power Factor Correction'!E$27&gt;0,((('Power Factor Correction'!E$26*'Power Factor Correction'!E$27)/(365*24))*'PFC Calculations'!$I$6*'Power Factor Correction'!E$25),0)),0)</f>
        <v>0</v>
      </c>
      <c r="F8" s="179">
        <f>IF(AND($A8&gt;='Power Factor Correction'!F$11,$A8&lt;='Power Factor Correction'!F$12),IF('Power Factor Correction'!F28&gt;0,('Power Factor Correction'!F$23*'PFC Calculations'!$I$3)-'PFC Calculations'!O8,IF('Power Factor Correction'!F$25*'Power Factor Correction'!F$26*'Power Factor Correction'!F$27&gt;0,((('Power Factor Correction'!F$26*'Power Factor Correction'!F$27)/(365*24))*'PFC Calculations'!$I$6*'Power Factor Correction'!F$25),0)),0)</f>
        <v>0</v>
      </c>
      <c r="G8" s="179">
        <f t="shared" si="1"/>
        <v>0</v>
      </c>
      <c r="K8" s="179">
        <f>IF(AND($A8&gt;='Power Factor Correction'!B$11,$A8&lt;='Power Factor Correction'!B$12),IF('Power Factor Correction'!B$31&gt;0,'Data Entry Electricity'!$F9*'PFC Calculations'!$I$3*(TAN(ACOS('Power Factor Correction'!B$31))),IF('Power Factor Correction'!B$46&gt;0,'Power Factor Correction'!B$46*'PFC Calculations'!$I$3,0)),0)</f>
        <v>0</v>
      </c>
      <c r="L8" s="179">
        <f>IF(AND($A8&gt;='Power Factor Correction'!C$11,$A8&lt;='Power Factor Correction'!C$12),IF('Power Factor Correction'!C$31&gt;0,'Data Entry Electricity'!$F9*'PFC Calculations'!$I$3*(TAN(ACOS('Power Factor Correction'!C$31))),IF('Power Factor Correction'!C$46&gt;0,'Power Factor Correction'!C$46*'PFC Calculations'!$I$3,0)),0)</f>
        <v>0</v>
      </c>
      <c r="M8" s="179">
        <f>IF(AND($A8&gt;='Power Factor Correction'!D$11,$A8&lt;='Power Factor Correction'!D$12),IF('Power Factor Correction'!D$31&gt;0,'Data Entry Electricity'!$F9*'PFC Calculations'!$I$3*(TAN(ACOS('Power Factor Correction'!D$31))),IF('Power Factor Correction'!D$46&gt;0,'Power Factor Correction'!D$46*'PFC Calculations'!$I$3,0)),0)</f>
        <v>0</v>
      </c>
      <c r="N8" s="179">
        <f>IF(AND($A8&gt;='Power Factor Correction'!E$11,$A8&lt;='Power Factor Correction'!E$12),IF('Power Factor Correction'!E$31&gt;0,'Data Entry Electricity'!$F9*'PFC Calculations'!$I$3*(TAN(ACOS('Power Factor Correction'!E$31))),IF('Power Factor Correction'!E$46&gt;0,'Power Factor Correction'!E$46*'PFC Calculations'!$I$3,0)),0)</f>
        <v>0</v>
      </c>
      <c r="O8" s="179">
        <f>IF(AND($A8&gt;='Power Factor Correction'!F$11,$A8&lt;='Power Factor Correction'!F$12),IF('Power Factor Correction'!F$31&gt;0,'Data Entry Electricity'!$F9*'PFC Calculations'!$I$3*(TAN(ACOS('Power Factor Correction'!F$31))),IF('Power Factor Correction'!F$46&gt;0,'Power Factor Correction'!F$46*'PFC Calculations'!$I$3,0)),0)</f>
        <v>0</v>
      </c>
      <c r="P8" s="179">
        <f t="shared" si="2"/>
        <v>0</v>
      </c>
    </row>
    <row r="9" spans="1:16">
      <c r="A9" s="179" t="s">
        <v>37</v>
      </c>
      <c r="B9" s="179">
        <f>IF(AND($A9&gt;='Power Factor Correction'!B$11,$A9&lt;='Power Factor Correction'!B$12),IF('Power Factor Correction'!B29&gt;0,('Power Factor Correction'!B$23*'PFC Calculations'!$I$3)-'PFC Calculations'!K9,IF('Power Factor Correction'!B$25*'Power Factor Correction'!B$26*'Power Factor Correction'!B$27&gt;0,((('Power Factor Correction'!B$26*'Power Factor Correction'!B$27)/(365*24))*'PFC Calculations'!$I$6*'Power Factor Correction'!B$25),0)),0)</f>
        <v>0</v>
      </c>
      <c r="C9" s="179">
        <f>IF(AND($A9&gt;='Power Factor Correction'!C$11,$A9&lt;='Power Factor Correction'!C$12),IF('Power Factor Correction'!C29&gt;0,('Power Factor Correction'!C$23*'PFC Calculations'!$I$3)-'PFC Calculations'!L9,IF('Power Factor Correction'!C$25*'Power Factor Correction'!C$26*'Power Factor Correction'!C$27&gt;0,((('Power Factor Correction'!C$26*'Power Factor Correction'!C$27)/(365*24))*'PFC Calculations'!$I$6*'Power Factor Correction'!C$25),0)),0)</f>
        <v>0</v>
      </c>
      <c r="D9" s="179">
        <f>IF(AND($A9&gt;='Power Factor Correction'!D$11,$A9&lt;='Power Factor Correction'!D$12),IF('Power Factor Correction'!D29&gt;0,('Power Factor Correction'!D$23*'PFC Calculations'!$I$3)-'PFC Calculations'!M9,IF('Power Factor Correction'!D$25*'Power Factor Correction'!D$26*'Power Factor Correction'!D$27&gt;0,((('Power Factor Correction'!D$26*'Power Factor Correction'!D$27)/(365*24))*'PFC Calculations'!$I$6*'Power Factor Correction'!D$25),0)),0)</f>
        <v>0</v>
      </c>
      <c r="E9" s="179">
        <f>IF(AND($A9&gt;='Power Factor Correction'!E$11,$A9&lt;='Power Factor Correction'!E$12),IF('Power Factor Correction'!E29&gt;0,('Power Factor Correction'!E$23*'PFC Calculations'!$I$3)-'PFC Calculations'!N9,IF('Power Factor Correction'!E$25*'Power Factor Correction'!E$26*'Power Factor Correction'!E$27&gt;0,((('Power Factor Correction'!E$26*'Power Factor Correction'!E$27)/(365*24))*'PFC Calculations'!$I$6*'Power Factor Correction'!E$25),0)),0)</f>
        <v>0</v>
      </c>
      <c r="F9" s="179">
        <f>IF(AND($A9&gt;='Power Factor Correction'!F$11,$A9&lt;='Power Factor Correction'!F$12),IF('Power Factor Correction'!F29&gt;0,('Power Factor Correction'!F$23*'PFC Calculations'!$I$3)-'PFC Calculations'!O9,IF('Power Factor Correction'!F$25*'Power Factor Correction'!F$26*'Power Factor Correction'!F$27&gt;0,((('Power Factor Correction'!F$26*'Power Factor Correction'!F$27)/(365*24))*'PFC Calculations'!$I$6*'Power Factor Correction'!F$25),0)),0)</f>
        <v>0</v>
      </c>
      <c r="G9" s="179">
        <f t="shared" si="1"/>
        <v>0</v>
      </c>
      <c r="K9" s="179">
        <f>IF(AND($A9&gt;='Power Factor Correction'!B$11,$A9&lt;='Power Factor Correction'!B$12),IF('Power Factor Correction'!B$31&gt;0,'Data Entry Electricity'!$F10*'PFC Calculations'!$I$3*(TAN(ACOS('Power Factor Correction'!B$31))),IF('Power Factor Correction'!B$46&gt;0,'Power Factor Correction'!B$46*'PFC Calculations'!$I$3,0)),0)</f>
        <v>0</v>
      </c>
      <c r="L9" s="179">
        <f>IF(AND($A9&gt;='Power Factor Correction'!C$11,$A9&lt;='Power Factor Correction'!C$12),IF('Power Factor Correction'!C$31&gt;0,'Data Entry Electricity'!$F10*'PFC Calculations'!$I$3*(TAN(ACOS('Power Factor Correction'!C$31))),IF('Power Factor Correction'!C$46&gt;0,'Power Factor Correction'!C$46*'PFC Calculations'!$I$3,0)),0)</f>
        <v>0</v>
      </c>
      <c r="M9" s="179">
        <f>IF(AND($A9&gt;='Power Factor Correction'!D$11,$A9&lt;='Power Factor Correction'!D$12),IF('Power Factor Correction'!D$31&gt;0,'Data Entry Electricity'!$F10*'PFC Calculations'!$I$3*(TAN(ACOS('Power Factor Correction'!D$31))),IF('Power Factor Correction'!D$46&gt;0,'Power Factor Correction'!D$46*'PFC Calculations'!$I$3,0)),0)</f>
        <v>0</v>
      </c>
      <c r="N9" s="179">
        <f>IF(AND($A9&gt;='Power Factor Correction'!E$11,$A9&lt;='Power Factor Correction'!E$12),IF('Power Factor Correction'!E$31&gt;0,'Data Entry Electricity'!$F10*'PFC Calculations'!$I$3*(TAN(ACOS('Power Factor Correction'!E$31))),IF('Power Factor Correction'!E$46&gt;0,'Power Factor Correction'!E$46*'PFC Calculations'!$I$3,0)),0)</f>
        <v>0</v>
      </c>
      <c r="O9" s="179">
        <f>IF(AND($A9&gt;='Power Factor Correction'!F$11,$A9&lt;='Power Factor Correction'!F$12),IF('Power Factor Correction'!F$31&gt;0,'Data Entry Electricity'!$F10*'PFC Calculations'!$I$3*(TAN(ACOS('Power Factor Correction'!F$31))),IF('Power Factor Correction'!F$46&gt;0,'Power Factor Correction'!F$46*'PFC Calculations'!$I$3,0)),0)</f>
        <v>0</v>
      </c>
      <c r="P9" s="179">
        <f t="shared" si="2"/>
        <v>0</v>
      </c>
    </row>
    <row r="10" spans="1:16">
      <c r="A10" s="179" t="s">
        <v>38</v>
      </c>
      <c r="B10" s="179">
        <f>IF(AND($A10&gt;='Power Factor Correction'!B$11,$A10&lt;='Power Factor Correction'!B$12),IF('Power Factor Correction'!B33&gt;0,('Power Factor Correction'!B$23*'PFC Calculations'!$I$3)-'PFC Calculations'!K10,IF('Power Factor Correction'!B$25*'Power Factor Correction'!B$26*'Power Factor Correction'!B$27&gt;0,((('Power Factor Correction'!B$26*'Power Factor Correction'!B$27)/(365*24))*'PFC Calculations'!$I$6*'Power Factor Correction'!B$25),0)),0)</f>
        <v>0</v>
      </c>
      <c r="C10" s="179">
        <f>IF(AND($A10&gt;='Power Factor Correction'!C$11,$A10&lt;='Power Factor Correction'!C$12),IF('Power Factor Correction'!C33&gt;0,('Power Factor Correction'!C$23*'PFC Calculations'!$I$3)-'PFC Calculations'!L10,IF('Power Factor Correction'!C$25*'Power Factor Correction'!C$26*'Power Factor Correction'!C$27&gt;0,((('Power Factor Correction'!C$26*'Power Factor Correction'!C$27)/(365*24))*'PFC Calculations'!$I$6*'Power Factor Correction'!C$25),0)),0)</f>
        <v>0</v>
      </c>
      <c r="D10" s="179">
        <f>IF(AND($A10&gt;='Power Factor Correction'!D$11,$A10&lt;='Power Factor Correction'!D$12),IF('Power Factor Correction'!D33&gt;0,('Power Factor Correction'!D$23*'PFC Calculations'!$I$3)-'PFC Calculations'!M10,IF('Power Factor Correction'!D$25*'Power Factor Correction'!D$26*'Power Factor Correction'!D$27&gt;0,((('Power Factor Correction'!D$26*'Power Factor Correction'!D$27)/(365*24))*'PFC Calculations'!$I$6*'Power Factor Correction'!D$25),0)),0)</f>
        <v>0</v>
      </c>
      <c r="E10" s="179">
        <f>IF(AND($A10&gt;='Power Factor Correction'!E$11,$A10&lt;='Power Factor Correction'!E$12),IF('Power Factor Correction'!E33&gt;0,('Power Factor Correction'!E$23*'PFC Calculations'!$I$3)-'PFC Calculations'!N10,IF('Power Factor Correction'!E$25*'Power Factor Correction'!E$26*'Power Factor Correction'!E$27&gt;0,((('Power Factor Correction'!E$26*'Power Factor Correction'!E$27)/(365*24))*'PFC Calculations'!$I$6*'Power Factor Correction'!E$25),0)),0)</f>
        <v>0</v>
      </c>
      <c r="F10" s="179">
        <f>IF(AND($A10&gt;='Power Factor Correction'!F$11,$A10&lt;='Power Factor Correction'!F$12),IF('Power Factor Correction'!F33&gt;0,('Power Factor Correction'!F$23*'PFC Calculations'!$I$3)-'PFC Calculations'!O10,IF('Power Factor Correction'!F$25*'Power Factor Correction'!F$26*'Power Factor Correction'!F$27&gt;0,((('Power Factor Correction'!F$26*'Power Factor Correction'!F$27)/(365*24))*'PFC Calculations'!$I$6*'Power Factor Correction'!F$25),0)),0)</f>
        <v>0</v>
      </c>
      <c r="G10" s="179">
        <f t="shared" si="1"/>
        <v>0</v>
      </c>
      <c r="K10" s="179">
        <f>IF(AND($A10&gt;='Power Factor Correction'!B$11,$A10&lt;='Power Factor Correction'!B$12),IF('Power Factor Correction'!B$31&gt;0,'Data Entry Electricity'!$F11*'PFC Calculations'!$I$3*(TAN(ACOS('Power Factor Correction'!B$31))),IF('Power Factor Correction'!B$46&gt;0,'Power Factor Correction'!B$46*'PFC Calculations'!$I$3,0)),0)</f>
        <v>0</v>
      </c>
      <c r="L10" s="179">
        <f>IF(AND($A10&gt;='Power Factor Correction'!C$11,$A10&lt;='Power Factor Correction'!C$12),IF('Power Factor Correction'!C$31&gt;0,'Data Entry Electricity'!$F11*'PFC Calculations'!$I$3*(TAN(ACOS('Power Factor Correction'!C$31))),IF('Power Factor Correction'!C$46&gt;0,'Power Factor Correction'!C$46*'PFC Calculations'!$I$3,0)),0)</f>
        <v>0</v>
      </c>
      <c r="M10" s="179">
        <f>IF(AND($A10&gt;='Power Factor Correction'!D$11,$A10&lt;='Power Factor Correction'!D$12),IF('Power Factor Correction'!D$31&gt;0,'Data Entry Electricity'!$F11*'PFC Calculations'!$I$3*(TAN(ACOS('Power Factor Correction'!D$31))),IF('Power Factor Correction'!D$46&gt;0,'Power Factor Correction'!D$46*'PFC Calculations'!$I$3,0)),0)</f>
        <v>0</v>
      </c>
      <c r="N10" s="179">
        <f>IF(AND($A10&gt;='Power Factor Correction'!E$11,$A10&lt;='Power Factor Correction'!E$12),IF('Power Factor Correction'!E$31&gt;0,'Data Entry Electricity'!$F11*'PFC Calculations'!$I$3*(TAN(ACOS('Power Factor Correction'!E$31))),IF('Power Factor Correction'!E$46&gt;0,'Power Factor Correction'!E$46*'PFC Calculations'!$I$3,0)),0)</f>
        <v>0</v>
      </c>
      <c r="O10" s="179">
        <f>IF(AND($A10&gt;='Power Factor Correction'!F$11,$A10&lt;='Power Factor Correction'!F$12),IF('Power Factor Correction'!F$31&gt;0,'Data Entry Electricity'!$F11*'PFC Calculations'!$I$3*(TAN(ACOS('Power Factor Correction'!F$31))),IF('Power Factor Correction'!F$46&gt;0,'Power Factor Correction'!F$46*'PFC Calculations'!$I$3,0)),0)</f>
        <v>0</v>
      </c>
      <c r="P10" s="179">
        <f t="shared" si="2"/>
        <v>0</v>
      </c>
    </row>
    <row r="11" spans="1:16">
      <c r="A11" s="179" t="s">
        <v>39</v>
      </c>
      <c r="B11" s="179">
        <f>IF(AND($A11&gt;='Power Factor Correction'!B$11,$A11&lt;='Power Factor Correction'!B$12),IF('Power Factor Correction'!B34&gt;0,('Power Factor Correction'!B$23*'PFC Calculations'!$I$3)-'PFC Calculations'!K11,IF('Power Factor Correction'!B$25*'Power Factor Correction'!B$26*'Power Factor Correction'!B$27&gt;0,((('Power Factor Correction'!B$26*'Power Factor Correction'!B$27)/(365*24))*'PFC Calculations'!$I$6*'Power Factor Correction'!B$25),0)),0)</f>
        <v>0</v>
      </c>
      <c r="C11" s="179">
        <f>IF(AND($A11&gt;='Power Factor Correction'!C$11,$A11&lt;='Power Factor Correction'!C$12),IF('Power Factor Correction'!C34&gt;0,('Power Factor Correction'!C$23*'PFC Calculations'!$I$3)-'PFC Calculations'!L11,IF('Power Factor Correction'!C$25*'Power Factor Correction'!C$26*'Power Factor Correction'!C$27&gt;0,((('Power Factor Correction'!C$26*'Power Factor Correction'!C$27)/(365*24))*'PFC Calculations'!$I$6*'Power Factor Correction'!C$25),0)),0)</f>
        <v>0</v>
      </c>
      <c r="D11" s="179">
        <f>IF(AND($A11&gt;='Power Factor Correction'!D$11,$A11&lt;='Power Factor Correction'!D$12),IF('Power Factor Correction'!D34&gt;0,('Power Factor Correction'!D$23*'PFC Calculations'!$I$3)-'PFC Calculations'!M11,IF('Power Factor Correction'!D$25*'Power Factor Correction'!D$26*'Power Factor Correction'!D$27&gt;0,((('Power Factor Correction'!D$26*'Power Factor Correction'!D$27)/(365*24))*'PFC Calculations'!$I$6*'Power Factor Correction'!D$25),0)),0)</f>
        <v>0</v>
      </c>
      <c r="E11" s="179">
        <f>IF(AND($A11&gt;='Power Factor Correction'!E$11,$A11&lt;='Power Factor Correction'!E$12),IF('Power Factor Correction'!E34&gt;0,('Power Factor Correction'!E$23*'PFC Calculations'!$I$3)-'PFC Calculations'!N11,IF('Power Factor Correction'!E$25*'Power Factor Correction'!E$26*'Power Factor Correction'!E$27&gt;0,((('Power Factor Correction'!E$26*'Power Factor Correction'!E$27)/(365*24))*'PFC Calculations'!$I$6*'Power Factor Correction'!E$25),0)),0)</f>
        <v>0</v>
      </c>
      <c r="F11" s="179">
        <f>IF(AND($A11&gt;='Power Factor Correction'!F$11,$A11&lt;='Power Factor Correction'!F$12),IF('Power Factor Correction'!F34&gt;0,('Power Factor Correction'!F$23*'PFC Calculations'!$I$3)-'PFC Calculations'!O11,IF('Power Factor Correction'!F$25*'Power Factor Correction'!F$26*'Power Factor Correction'!F$27&gt;0,((('Power Factor Correction'!F$26*'Power Factor Correction'!F$27)/(365*24))*'PFC Calculations'!$I$6*'Power Factor Correction'!F$25),0)),0)</f>
        <v>0</v>
      </c>
      <c r="G11" s="179">
        <f t="shared" si="1"/>
        <v>0</v>
      </c>
      <c r="K11" s="179">
        <f>IF(AND($A11&gt;='Power Factor Correction'!B$11,$A11&lt;='Power Factor Correction'!B$12),IF('Power Factor Correction'!B$31&gt;0,'Data Entry Electricity'!$F12*'PFC Calculations'!$I$3*(TAN(ACOS('Power Factor Correction'!B$31))),IF('Power Factor Correction'!B$46&gt;0,'Power Factor Correction'!B$46*'PFC Calculations'!$I$3,0)),0)</f>
        <v>0</v>
      </c>
      <c r="L11" s="179">
        <f>IF(AND($A11&gt;='Power Factor Correction'!C$11,$A11&lt;='Power Factor Correction'!C$12),IF('Power Factor Correction'!C$31&gt;0,'Data Entry Electricity'!$F12*'PFC Calculations'!$I$3*(TAN(ACOS('Power Factor Correction'!C$31))),IF('Power Factor Correction'!C$46&gt;0,'Power Factor Correction'!C$46*'PFC Calculations'!$I$3,0)),0)</f>
        <v>0</v>
      </c>
      <c r="M11" s="179">
        <f>IF(AND($A11&gt;='Power Factor Correction'!D$11,$A11&lt;='Power Factor Correction'!D$12),IF('Power Factor Correction'!D$31&gt;0,'Data Entry Electricity'!$F12*'PFC Calculations'!$I$3*(TAN(ACOS('Power Factor Correction'!D$31))),IF('Power Factor Correction'!D$46&gt;0,'Power Factor Correction'!D$46*'PFC Calculations'!$I$3,0)),0)</f>
        <v>0</v>
      </c>
      <c r="N11" s="179">
        <f>IF(AND($A11&gt;='Power Factor Correction'!E$11,$A11&lt;='Power Factor Correction'!E$12),IF('Power Factor Correction'!E$31&gt;0,'Data Entry Electricity'!$F12*'PFC Calculations'!$I$3*(TAN(ACOS('Power Factor Correction'!E$31))),IF('Power Factor Correction'!E$46&gt;0,'Power Factor Correction'!E$46*'PFC Calculations'!$I$3,0)),0)</f>
        <v>0</v>
      </c>
      <c r="O11" s="179">
        <f>IF(AND($A11&gt;='Power Factor Correction'!F$11,$A11&lt;='Power Factor Correction'!F$12),IF('Power Factor Correction'!F$31&gt;0,'Data Entry Electricity'!$F12*'PFC Calculations'!$I$3*(TAN(ACOS('Power Factor Correction'!F$31))),IF('Power Factor Correction'!F$46&gt;0,'Power Factor Correction'!F$46*'PFC Calculations'!$I$3,0)),0)</f>
        <v>0</v>
      </c>
      <c r="P11" s="179">
        <f t="shared" si="2"/>
        <v>0</v>
      </c>
    </row>
    <row r="12" spans="1:16">
      <c r="A12" s="179" t="s">
        <v>25</v>
      </c>
      <c r="B12" s="179">
        <f>IF(AND($A12&gt;='Power Factor Correction'!B$11,$A12&lt;='Power Factor Correction'!B$12),IF('Power Factor Correction'!B35&gt;0,('Power Factor Correction'!B$23*'PFC Calculations'!$I$3)-'PFC Calculations'!K12,IF('Power Factor Correction'!B$25*'Power Factor Correction'!B$26*'Power Factor Correction'!B$27&gt;0,((('Power Factor Correction'!B$26*'Power Factor Correction'!B$27)/(365*24))*'PFC Calculations'!$I$6*'Power Factor Correction'!B$25),0)),0)</f>
        <v>0</v>
      </c>
      <c r="C12" s="179">
        <f>IF(AND($A12&gt;='Power Factor Correction'!C$11,$A12&lt;='Power Factor Correction'!C$12),IF('Power Factor Correction'!C35&gt;0,('Power Factor Correction'!C$23*'PFC Calculations'!$I$3)-'PFC Calculations'!L12,IF('Power Factor Correction'!C$25*'Power Factor Correction'!C$26*'Power Factor Correction'!C$27&gt;0,((('Power Factor Correction'!C$26*'Power Factor Correction'!C$27)/(365*24))*'PFC Calculations'!$I$6*'Power Factor Correction'!C$25),0)),0)</f>
        <v>0</v>
      </c>
      <c r="D12" s="179">
        <f>IF(AND($A12&gt;='Power Factor Correction'!D$11,$A12&lt;='Power Factor Correction'!D$12),IF('Power Factor Correction'!D35&gt;0,('Power Factor Correction'!D$23*'PFC Calculations'!$I$3)-'PFC Calculations'!M12,IF('Power Factor Correction'!D$25*'Power Factor Correction'!D$26*'Power Factor Correction'!D$27&gt;0,((('Power Factor Correction'!D$26*'Power Factor Correction'!D$27)/(365*24))*'PFC Calculations'!$I$6*'Power Factor Correction'!D$25),0)),0)</f>
        <v>0</v>
      </c>
      <c r="E12" s="179">
        <f>IF(AND($A12&gt;='Power Factor Correction'!E$11,$A12&lt;='Power Factor Correction'!E$12),IF('Power Factor Correction'!E35&gt;0,('Power Factor Correction'!E$23*'PFC Calculations'!$I$3)-'PFC Calculations'!N12,IF('Power Factor Correction'!E$25*'Power Factor Correction'!E$26*'Power Factor Correction'!E$27&gt;0,((('Power Factor Correction'!E$26*'Power Factor Correction'!E$27)/(365*24))*'PFC Calculations'!$I$6*'Power Factor Correction'!E$25),0)),0)</f>
        <v>0</v>
      </c>
      <c r="F12" s="179">
        <f>IF(AND($A12&gt;='Power Factor Correction'!F$11,$A12&lt;='Power Factor Correction'!F$12),IF('Power Factor Correction'!F35&gt;0,('Power Factor Correction'!F$23*'PFC Calculations'!$I$3)-'PFC Calculations'!O12,IF('Power Factor Correction'!F$25*'Power Factor Correction'!F$26*'Power Factor Correction'!F$27&gt;0,((('Power Factor Correction'!F$26*'Power Factor Correction'!F$27)/(365*24))*'PFC Calculations'!$I$6*'Power Factor Correction'!F$25),0)),0)</f>
        <v>0</v>
      </c>
      <c r="G12" s="179">
        <f t="shared" si="1"/>
        <v>0</v>
      </c>
      <c r="K12" s="179">
        <f>IF(AND($A12&gt;='Power Factor Correction'!B$11,$A12&lt;='Power Factor Correction'!B$12),IF('Power Factor Correction'!B$31&gt;0,'Data Entry Electricity'!$F13*'PFC Calculations'!$I$3*(TAN(ACOS('Power Factor Correction'!B$31))),IF('Power Factor Correction'!B$46&gt;0,'Power Factor Correction'!B$46*'PFC Calculations'!$I$3,0)),0)</f>
        <v>0</v>
      </c>
      <c r="L12" s="179">
        <f>IF(AND($A12&gt;='Power Factor Correction'!C$11,$A12&lt;='Power Factor Correction'!C$12),IF('Power Factor Correction'!C$31&gt;0,'Data Entry Electricity'!$F13*'PFC Calculations'!$I$3*(TAN(ACOS('Power Factor Correction'!C$31))),IF('Power Factor Correction'!C$46&gt;0,'Power Factor Correction'!C$46*'PFC Calculations'!$I$3,0)),0)</f>
        <v>0</v>
      </c>
      <c r="M12" s="179">
        <f>IF(AND($A12&gt;='Power Factor Correction'!D$11,$A12&lt;='Power Factor Correction'!D$12),IF('Power Factor Correction'!D$31&gt;0,'Data Entry Electricity'!$F13*'PFC Calculations'!$I$3*(TAN(ACOS('Power Factor Correction'!D$31))),IF('Power Factor Correction'!D$46&gt;0,'Power Factor Correction'!D$46*'PFC Calculations'!$I$3,0)),0)</f>
        <v>0</v>
      </c>
      <c r="N12" s="179">
        <f>IF(AND($A12&gt;='Power Factor Correction'!E$11,$A12&lt;='Power Factor Correction'!E$12),IF('Power Factor Correction'!E$31&gt;0,'Data Entry Electricity'!$F13*'PFC Calculations'!$I$3*(TAN(ACOS('Power Factor Correction'!E$31))),IF('Power Factor Correction'!E$46&gt;0,'Power Factor Correction'!E$46*'PFC Calculations'!$I$3,0)),0)</f>
        <v>0</v>
      </c>
      <c r="O12" s="179">
        <f>IF(AND($A12&gt;='Power Factor Correction'!F$11,$A12&lt;='Power Factor Correction'!F$12),IF('Power Factor Correction'!F$31&gt;0,'Data Entry Electricity'!$F13*'PFC Calculations'!$I$3*(TAN(ACOS('Power Factor Correction'!F$31))),IF('Power Factor Correction'!F$46&gt;0,'Power Factor Correction'!F$46*'PFC Calculations'!$I$3,0)),0)</f>
        <v>0</v>
      </c>
      <c r="P12" s="179">
        <f t="shared" si="2"/>
        <v>0</v>
      </c>
    </row>
    <row r="13" spans="1:16">
      <c r="A13" s="179" t="s">
        <v>26</v>
      </c>
      <c r="B13" s="179">
        <f>IF(AND($A13&gt;='Power Factor Correction'!B$11,$A13&lt;='Power Factor Correction'!B$12),IF('Power Factor Correction'!B36&gt;0,('Power Factor Correction'!B$23*'PFC Calculations'!$I$3)-'PFC Calculations'!K13,IF('Power Factor Correction'!B$25*'Power Factor Correction'!B$26*'Power Factor Correction'!B$27&gt;0,((('Power Factor Correction'!B$26*'Power Factor Correction'!B$27)/(365*24))*'PFC Calculations'!$I$6*'Power Factor Correction'!B$25),0)),0)</f>
        <v>0</v>
      </c>
      <c r="C13" s="179">
        <f>IF(AND($A13&gt;='Power Factor Correction'!C$11,$A13&lt;='Power Factor Correction'!C$12),IF('Power Factor Correction'!C36&gt;0,('Power Factor Correction'!C$23*'PFC Calculations'!$I$3)-'PFC Calculations'!L13,IF('Power Factor Correction'!C$25*'Power Factor Correction'!C$26*'Power Factor Correction'!C$27&gt;0,((('Power Factor Correction'!C$26*'Power Factor Correction'!C$27)/(365*24))*'PFC Calculations'!$I$6*'Power Factor Correction'!C$25),0)),0)</f>
        <v>0</v>
      </c>
      <c r="D13" s="179">
        <f>IF(AND($A13&gt;='Power Factor Correction'!D$11,$A13&lt;='Power Factor Correction'!D$12),IF('Power Factor Correction'!D36&gt;0,('Power Factor Correction'!D$23*'PFC Calculations'!$I$3)-'PFC Calculations'!M13,IF('Power Factor Correction'!D$25*'Power Factor Correction'!D$26*'Power Factor Correction'!D$27&gt;0,((('Power Factor Correction'!D$26*'Power Factor Correction'!D$27)/(365*24))*'PFC Calculations'!$I$6*'Power Factor Correction'!D$25),0)),0)</f>
        <v>0</v>
      </c>
      <c r="E13" s="179">
        <f>IF(AND($A13&gt;='Power Factor Correction'!E$11,$A13&lt;='Power Factor Correction'!E$12),IF('Power Factor Correction'!E36&gt;0,('Power Factor Correction'!E$23*'PFC Calculations'!$I$3)-'PFC Calculations'!N13,IF('Power Factor Correction'!E$25*'Power Factor Correction'!E$26*'Power Factor Correction'!E$27&gt;0,((('Power Factor Correction'!E$26*'Power Factor Correction'!E$27)/(365*24))*'PFC Calculations'!$I$6*'Power Factor Correction'!E$25),0)),0)</f>
        <v>0</v>
      </c>
      <c r="F13" s="179">
        <f>IF(AND($A13&gt;='Power Factor Correction'!F$11,$A13&lt;='Power Factor Correction'!F$12),IF('Power Factor Correction'!F36&gt;0,('Power Factor Correction'!F$23*'PFC Calculations'!$I$3)-'PFC Calculations'!O13,IF('Power Factor Correction'!F$25*'Power Factor Correction'!F$26*'Power Factor Correction'!F$27&gt;0,((('Power Factor Correction'!F$26*'Power Factor Correction'!F$27)/(365*24))*'PFC Calculations'!$I$6*'Power Factor Correction'!F$25),0)),0)</f>
        <v>0</v>
      </c>
      <c r="G13" s="179">
        <f t="shared" si="1"/>
        <v>0</v>
      </c>
      <c r="K13" s="179">
        <f>IF(AND($A13&gt;='Power Factor Correction'!B$11,$A13&lt;='Power Factor Correction'!B$12),IF('Power Factor Correction'!B$31&gt;0,'Data Entry Electricity'!$F14*'PFC Calculations'!$I$3*(TAN(ACOS('Power Factor Correction'!B$31))),IF('Power Factor Correction'!B$46&gt;0,'Power Factor Correction'!B$46*'PFC Calculations'!$I$3,0)),0)</f>
        <v>0</v>
      </c>
      <c r="L13" s="179">
        <f>IF(AND($A13&gt;='Power Factor Correction'!C$11,$A13&lt;='Power Factor Correction'!C$12),IF('Power Factor Correction'!C$31&gt;0,'Data Entry Electricity'!$F14*'PFC Calculations'!$I$3*(TAN(ACOS('Power Factor Correction'!C$31))),IF('Power Factor Correction'!C$46&gt;0,'Power Factor Correction'!C$46*'PFC Calculations'!$I$3,0)),0)</f>
        <v>0</v>
      </c>
      <c r="M13" s="179">
        <f>IF(AND($A13&gt;='Power Factor Correction'!D$11,$A13&lt;='Power Factor Correction'!D$12),IF('Power Factor Correction'!D$31&gt;0,'Data Entry Electricity'!$F14*'PFC Calculations'!$I$3*(TAN(ACOS('Power Factor Correction'!D$31))),IF('Power Factor Correction'!D$46&gt;0,'Power Factor Correction'!D$46*'PFC Calculations'!$I$3,0)),0)</f>
        <v>0</v>
      </c>
      <c r="N13" s="179">
        <f>IF(AND($A13&gt;='Power Factor Correction'!E$11,$A13&lt;='Power Factor Correction'!E$12),IF('Power Factor Correction'!E$31&gt;0,'Data Entry Electricity'!$F14*'PFC Calculations'!$I$3*(TAN(ACOS('Power Factor Correction'!E$31))),IF('Power Factor Correction'!E$46&gt;0,'Power Factor Correction'!E$46*'PFC Calculations'!$I$3,0)),0)</f>
        <v>0</v>
      </c>
      <c r="O13" s="179">
        <f>IF(AND($A13&gt;='Power Factor Correction'!F$11,$A13&lt;='Power Factor Correction'!F$12),IF('Power Factor Correction'!F$31&gt;0,'Data Entry Electricity'!$F14*'PFC Calculations'!$I$3*(TAN(ACOS('Power Factor Correction'!F$31))),IF('Power Factor Correction'!F$46&gt;0,'Power Factor Correction'!F$46*'PFC Calculations'!$I$3,0)),0)</f>
        <v>0</v>
      </c>
      <c r="P13" s="179">
        <f t="shared" si="2"/>
        <v>0</v>
      </c>
    </row>
    <row r="14" spans="1:16">
      <c r="A14" s="179" t="s">
        <v>27</v>
      </c>
      <c r="B14" s="179">
        <f>IF(AND($A14&gt;='Power Factor Correction'!B$11,$A14&lt;='Power Factor Correction'!B$12),IF('Power Factor Correction'!B37&gt;0,('Power Factor Correction'!B$23*'PFC Calculations'!$I$3)-'PFC Calculations'!K14,IF('Power Factor Correction'!B$25*'Power Factor Correction'!B$26*'Power Factor Correction'!B$27&gt;0,((('Power Factor Correction'!B$26*'Power Factor Correction'!B$27)/(365*24))*'PFC Calculations'!$I$6*'Power Factor Correction'!B$25),0)),0)</f>
        <v>0</v>
      </c>
      <c r="C14" s="179">
        <f>IF(AND($A14&gt;='Power Factor Correction'!C$11,$A14&lt;='Power Factor Correction'!C$12),IF('Power Factor Correction'!C37&gt;0,('Power Factor Correction'!C$23*'PFC Calculations'!$I$3)-'PFC Calculations'!L14,IF('Power Factor Correction'!C$25*'Power Factor Correction'!C$26*'Power Factor Correction'!C$27&gt;0,((('Power Factor Correction'!C$26*'Power Factor Correction'!C$27)/(365*24))*'PFC Calculations'!$I$6*'Power Factor Correction'!C$25),0)),0)</f>
        <v>0</v>
      </c>
      <c r="D14" s="179">
        <f>IF(AND($A14&gt;='Power Factor Correction'!D$11,$A14&lt;='Power Factor Correction'!D$12),IF('Power Factor Correction'!D37&gt;0,('Power Factor Correction'!D$23*'PFC Calculations'!$I$3)-'PFC Calculations'!M14,IF('Power Factor Correction'!D$25*'Power Factor Correction'!D$26*'Power Factor Correction'!D$27&gt;0,((('Power Factor Correction'!D$26*'Power Factor Correction'!D$27)/(365*24))*'PFC Calculations'!$I$6*'Power Factor Correction'!D$25),0)),0)</f>
        <v>0</v>
      </c>
      <c r="E14" s="179">
        <f>IF(AND($A14&gt;='Power Factor Correction'!E$11,$A14&lt;='Power Factor Correction'!E$12),IF('Power Factor Correction'!E37&gt;0,('Power Factor Correction'!E$23*'PFC Calculations'!$I$3)-'PFC Calculations'!N14,IF('Power Factor Correction'!E$25*'Power Factor Correction'!E$26*'Power Factor Correction'!E$27&gt;0,((('Power Factor Correction'!E$26*'Power Factor Correction'!E$27)/(365*24))*'PFC Calculations'!$I$6*'Power Factor Correction'!E$25),0)),0)</f>
        <v>0</v>
      </c>
      <c r="F14" s="179">
        <f>IF(AND($A14&gt;='Power Factor Correction'!F$11,$A14&lt;='Power Factor Correction'!F$12),IF('Power Factor Correction'!F37&gt;0,('Power Factor Correction'!F$23*'PFC Calculations'!$I$3)-'PFC Calculations'!O14,IF('Power Factor Correction'!F$25*'Power Factor Correction'!F$26*'Power Factor Correction'!F$27&gt;0,((('Power Factor Correction'!F$26*'Power Factor Correction'!F$27)/(365*24))*'PFC Calculations'!$I$6*'Power Factor Correction'!F$25),0)),0)</f>
        <v>0</v>
      </c>
      <c r="G14" s="179">
        <f t="shared" si="1"/>
        <v>0</v>
      </c>
      <c r="K14" s="179">
        <f>IF(AND($A14&gt;='Power Factor Correction'!B$11,$A14&lt;='Power Factor Correction'!B$12),IF('Power Factor Correction'!B$31&gt;0,'Data Entry Electricity'!$F15*'PFC Calculations'!$I$3*(TAN(ACOS('Power Factor Correction'!B$31))),IF('Power Factor Correction'!B$46&gt;0,'Power Factor Correction'!B$46*'PFC Calculations'!$I$3,0)),0)</f>
        <v>0</v>
      </c>
      <c r="L14" s="179">
        <f>IF(AND($A14&gt;='Power Factor Correction'!C$11,$A14&lt;='Power Factor Correction'!C$12),IF('Power Factor Correction'!C$31&gt;0,'Data Entry Electricity'!$F15*'PFC Calculations'!$I$3*(TAN(ACOS('Power Factor Correction'!C$31))),IF('Power Factor Correction'!C$46&gt;0,'Power Factor Correction'!C$46*'PFC Calculations'!$I$3,0)),0)</f>
        <v>0</v>
      </c>
      <c r="M14" s="179">
        <f>IF(AND($A14&gt;='Power Factor Correction'!D$11,$A14&lt;='Power Factor Correction'!D$12),IF('Power Factor Correction'!D$31&gt;0,'Data Entry Electricity'!$F15*'PFC Calculations'!$I$3*(TAN(ACOS('Power Factor Correction'!D$31))),IF('Power Factor Correction'!D$46&gt;0,'Power Factor Correction'!D$46*'PFC Calculations'!$I$3,0)),0)</f>
        <v>0</v>
      </c>
      <c r="N14" s="179">
        <f>IF(AND($A14&gt;='Power Factor Correction'!E$11,$A14&lt;='Power Factor Correction'!E$12),IF('Power Factor Correction'!E$31&gt;0,'Data Entry Electricity'!$F15*'PFC Calculations'!$I$3*(TAN(ACOS('Power Factor Correction'!E$31))),IF('Power Factor Correction'!E$46&gt;0,'Power Factor Correction'!E$46*'PFC Calculations'!$I$3,0)),0)</f>
        <v>0</v>
      </c>
      <c r="O14" s="179">
        <f>IF(AND($A14&gt;='Power Factor Correction'!F$11,$A14&lt;='Power Factor Correction'!F$12),IF('Power Factor Correction'!F$31&gt;0,'Data Entry Electricity'!$F15*'PFC Calculations'!$I$3*(TAN(ACOS('Power Factor Correction'!F$31))),IF('Power Factor Correction'!F$46&gt;0,'Power Factor Correction'!F$46*'PFC Calculations'!$I$3,0)),0)</f>
        <v>0</v>
      </c>
      <c r="P14" s="179">
        <f t="shared" si="2"/>
        <v>0</v>
      </c>
    </row>
    <row r="15" spans="1:16">
      <c r="A15" s="179" t="s">
        <v>24</v>
      </c>
      <c r="B15" s="179">
        <f>IF(AND($A15&gt;='Power Factor Correction'!B$11,$A15&lt;='Power Factor Correction'!B$12),IF('Power Factor Correction'!B38&gt;0,('Power Factor Correction'!B$23*'PFC Calculations'!$I$3)-'PFC Calculations'!K15,IF('Power Factor Correction'!B$25*'Power Factor Correction'!B$26*'Power Factor Correction'!B$27&gt;0,((('Power Factor Correction'!B$26*'Power Factor Correction'!B$27)/(365*24))*'PFC Calculations'!$I$6*'Power Factor Correction'!B$25),0)),0)</f>
        <v>0</v>
      </c>
      <c r="C15" s="179">
        <f>IF(AND($A15&gt;='Power Factor Correction'!C$11,$A15&lt;='Power Factor Correction'!C$12),IF('Power Factor Correction'!C38&gt;0,('Power Factor Correction'!C$23*'PFC Calculations'!$I$3)-'PFC Calculations'!L15,IF('Power Factor Correction'!C$25*'Power Factor Correction'!C$26*'Power Factor Correction'!C$27&gt;0,((('Power Factor Correction'!C$26*'Power Factor Correction'!C$27)/(365*24))*'PFC Calculations'!$I$6*'Power Factor Correction'!C$25),0)),0)</f>
        <v>0</v>
      </c>
      <c r="D15" s="179">
        <f>IF(AND($A15&gt;='Power Factor Correction'!D$11,$A15&lt;='Power Factor Correction'!D$12),IF('Power Factor Correction'!D38&gt;0,('Power Factor Correction'!D$23*'PFC Calculations'!$I$3)-'PFC Calculations'!M15,IF('Power Factor Correction'!D$25*'Power Factor Correction'!D$26*'Power Factor Correction'!D$27&gt;0,((('Power Factor Correction'!D$26*'Power Factor Correction'!D$27)/(365*24))*'PFC Calculations'!$I$6*'Power Factor Correction'!D$25),0)),0)</f>
        <v>0</v>
      </c>
      <c r="E15" s="179">
        <f>IF(AND($A15&gt;='Power Factor Correction'!E$11,$A15&lt;='Power Factor Correction'!E$12),IF('Power Factor Correction'!E38&gt;0,('Power Factor Correction'!E$23*'PFC Calculations'!$I$3)-'PFC Calculations'!N15,IF('Power Factor Correction'!E$25*'Power Factor Correction'!E$26*'Power Factor Correction'!E$27&gt;0,((('Power Factor Correction'!E$26*'Power Factor Correction'!E$27)/(365*24))*'PFC Calculations'!$I$6*'Power Factor Correction'!E$25),0)),0)</f>
        <v>0</v>
      </c>
      <c r="F15" s="179">
        <f>IF(AND($A15&gt;='Power Factor Correction'!F$11,$A15&lt;='Power Factor Correction'!F$12),IF('Power Factor Correction'!F38&gt;0,('Power Factor Correction'!F$23*'PFC Calculations'!$I$3)-'PFC Calculations'!O15,IF('Power Factor Correction'!F$25*'Power Factor Correction'!F$26*'Power Factor Correction'!F$27&gt;0,((('Power Factor Correction'!F$26*'Power Factor Correction'!F$27)/(365*24))*'PFC Calculations'!$I$6*'Power Factor Correction'!F$25),0)),0)</f>
        <v>0</v>
      </c>
      <c r="G15" s="179">
        <f t="shared" si="1"/>
        <v>0</v>
      </c>
      <c r="K15" s="179">
        <f>IF(AND($A15&gt;='Power Factor Correction'!B$11,$A15&lt;='Power Factor Correction'!B$12),IF('Power Factor Correction'!B$31&gt;0,'Data Entry Electricity'!$F16*'PFC Calculations'!$I$3*(TAN(ACOS('Power Factor Correction'!B$31))),IF('Power Factor Correction'!B$46&gt;0,'Power Factor Correction'!B$46*'PFC Calculations'!$I$3,0)),0)</f>
        <v>0</v>
      </c>
      <c r="L15" s="179">
        <f>IF(AND($A15&gt;='Power Factor Correction'!C$11,$A15&lt;='Power Factor Correction'!C$12),IF('Power Factor Correction'!C$31&gt;0,'Data Entry Electricity'!$F16*'PFC Calculations'!$I$3*(TAN(ACOS('Power Factor Correction'!C$31))),IF('Power Factor Correction'!C$46&gt;0,'Power Factor Correction'!C$46*'PFC Calculations'!$I$3,0)),0)</f>
        <v>0</v>
      </c>
      <c r="M15" s="179">
        <f>IF(AND($A15&gt;='Power Factor Correction'!D$11,$A15&lt;='Power Factor Correction'!D$12),IF('Power Factor Correction'!D$31&gt;0,'Data Entry Electricity'!$F16*'PFC Calculations'!$I$3*(TAN(ACOS('Power Factor Correction'!D$31))),IF('Power Factor Correction'!D$46&gt;0,'Power Factor Correction'!D$46*'PFC Calculations'!$I$3,0)),0)</f>
        <v>0</v>
      </c>
      <c r="N15" s="179">
        <f>IF(AND($A15&gt;='Power Factor Correction'!E$11,$A15&lt;='Power Factor Correction'!E$12),IF('Power Factor Correction'!E$31&gt;0,'Data Entry Electricity'!$F16*'PFC Calculations'!$I$3*(TAN(ACOS('Power Factor Correction'!E$31))),IF('Power Factor Correction'!E$46&gt;0,'Power Factor Correction'!E$46*'PFC Calculations'!$I$3,0)),0)</f>
        <v>0</v>
      </c>
      <c r="O15" s="179">
        <f>IF(AND($A15&gt;='Power Factor Correction'!F$11,$A15&lt;='Power Factor Correction'!F$12),IF('Power Factor Correction'!F$31&gt;0,'Data Entry Electricity'!$F16*'PFC Calculations'!$I$3*(TAN(ACOS('Power Factor Correction'!F$31))),IF('Power Factor Correction'!F$46&gt;0,'Power Factor Correction'!F$46*'PFC Calculations'!$I$3,0)),0)</f>
        <v>0</v>
      </c>
      <c r="P15" s="179">
        <f t="shared" si="2"/>
        <v>0</v>
      </c>
    </row>
    <row r="16" spans="1:16">
      <c r="A16" s="179" t="s">
        <v>40</v>
      </c>
      <c r="B16" s="179">
        <f>IF(AND($A16&gt;='Power Factor Correction'!B$11,$A16&lt;='Power Factor Correction'!B$12),IF('Power Factor Correction'!B39&gt;0,('Power Factor Correction'!B$23*'PFC Calculations'!$I$3)-'PFC Calculations'!K16,IF('Power Factor Correction'!B$25*'Power Factor Correction'!B$26*'Power Factor Correction'!B$27&gt;0,((('Power Factor Correction'!B$26*'Power Factor Correction'!B$27)/(365*24))*'PFC Calculations'!$I$6*'Power Factor Correction'!B$25),0)),0)</f>
        <v>0</v>
      </c>
      <c r="C16" s="179">
        <f>IF(AND($A16&gt;='Power Factor Correction'!C$11,$A16&lt;='Power Factor Correction'!C$12),IF('Power Factor Correction'!C39&gt;0,('Power Factor Correction'!C$23*'PFC Calculations'!$I$3)-'PFC Calculations'!L16,IF('Power Factor Correction'!C$25*'Power Factor Correction'!C$26*'Power Factor Correction'!C$27&gt;0,((('Power Factor Correction'!C$26*'Power Factor Correction'!C$27)/(365*24))*'PFC Calculations'!$I$6*'Power Factor Correction'!C$25),0)),0)</f>
        <v>0</v>
      </c>
      <c r="D16" s="179">
        <f>IF(AND($A16&gt;='Power Factor Correction'!D$11,$A16&lt;='Power Factor Correction'!D$12),IF('Power Factor Correction'!D39&gt;0,('Power Factor Correction'!D$23*'PFC Calculations'!$I$3)-'PFC Calculations'!M16,IF('Power Factor Correction'!D$25*'Power Factor Correction'!D$26*'Power Factor Correction'!D$27&gt;0,((('Power Factor Correction'!D$26*'Power Factor Correction'!D$27)/(365*24))*'PFC Calculations'!$I$6*'Power Factor Correction'!D$25),0)),0)</f>
        <v>0</v>
      </c>
      <c r="E16" s="179">
        <f>IF(AND($A16&gt;='Power Factor Correction'!E$11,$A16&lt;='Power Factor Correction'!E$12),IF('Power Factor Correction'!E39&gt;0,('Power Factor Correction'!E$23*'PFC Calculations'!$I$3)-'PFC Calculations'!N16,IF('Power Factor Correction'!E$25*'Power Factor Correction'!E$26*'Power Factor Correction'!E$27&gt;0,((('Power Factor Correction'!E$26*'Power Factor Correction'!E$27)/(365*24))*'PFC Calculations'!$I$6*'Power Factor Correction'!E$25),0)),0)</f>
        <v>0</v>
      </c>
      <c r="F16" s="179">
        <f>IF(AND($A16&gt;='Power Factor Correction'!F$11,$A16&lt;='Power Factor Correction'!F$12),IF('Power Factor Correction'!F39&gt;0,('Power Factor Correction'!F$23*'PFC Calculations'!$I$3)-'PFC Calculations'!O16,IF('Power Factor Correction'!F$25*'Power Factor Correction'!F$26*'Power Factor Correction'!F$27&gt;0,((('Power Factor Correction'!F$26*'Power Factor Correction'!F$27)/(365*24))*'PFC Calculations'!$I$6*'Power Factor Correction'!F$25),0)),0)</f>
        <v>0</v>
      </c>
      <c r="G16" s="179">
        <f t="shared" si="1"/>
        <v>0</v>
      </c>
      <c r="K16" s="179">
        <f>IF(AND($A16&gt;='Power Factor Correction'!B$11,$A16&lt;='Power Factor Correction'!B$12),IF('Power Factor Correction'!B$31&gt;0,'Data Entry Electricity'!$F17*'PFC Calculations'!$I$3*(TAN(ACOS('Power Factor Correction'!B$31))),IF('Power Factor Correction'!B$46&gt;0,'Power Factor Correction'!B$46*'PFC Calculations'!$I$3,0)),0)</f>
        <v>0</v>
      </c>
      <c r="L16" s="179">
        <f>IF(AND($A16&gt;='Power Factor Correction'!C$11,$A16&lt;='Power Factor Correction'!C$12),IF('Power Factor Correction'!C$31&gt;0,'Data Entry Electricity'!$F17*'PFC Calculations'!$I$3*(TAN(ACOS('Power Factor Correction'!C$31))),IF('Power Factor Correction'!C$46&gt;0,'Power Factor Correction'!C$46*'PFC Calculations'!$I$3,0)),0)</f>
        <v>0</v>
      </c>
      <c r="M16" s="179">
        <f>IF(AND($A16&gt;='Power Factor Correction'!D$11,$A16&lt;='Power Factor Correction'!D$12),IF('Power Factor Correction'!D$31&gt;0,'Data Entry Electricity'!$F17*'PFC Calculations'!$I$3*(TAN(ACOS('Power Factor Correction'!D$31))),IF('Power Factor Correction'!D$46&gt;0,'Power Factor Correction'!D$46*'PFC Calculations'!$I$3,0)),0)</f>
        <v>0</v>
      </c>
      <c r="N16" s="179">
        <f>IF(AND($A16&gt;='Power Factor Correction'!E$11,$A16&lt;='Power Factor Correction'!E$12),IF('Power Factor Correction'!E$31&gt;0,'Data Entry Electricity'!$F17*'PFC Calculations'!$I$3*(TAN(ACOS('Power Factor Correction'!E$31))),IF('Power Factor Correction'!E$46&gt;0,'Power Factor Correction'!E$46*'PFC Calculations'!$I$3,0)),0)</f>
        <v>0</v>
      </c>
      <c r="O16" s="179">
        <f>IF(AND($A16&gt;='Power Factor Correction'!F$11,$A16&lt;='Power Factor Correction'!F$12),IF('Power Factor Correction'!F$31&gt;0,'Data Entry Electricity'!$F17*'PFC Calculations'!$I$3*(TAN(ACOS('Power Factor Correction'!F$31))),IF('Power Factor Correction'!F$46&gt;0,'Power Factor Correction'!F$46*'PFC Calculations'!$I$3,0)),0)</f>
        <v>0</v>
      </c>
      <c r="P16" s="179">
        <f t="shared" si="2"/>
        <v>0</v>
      </c>
    </row>
    <row r="17" spans="1:16">
      <c r="A17" s="179" t="s">
        <v>41</v>
      </c>
      <c r="B17" s="179">
        <f>IF(AND($A17&gt;='Power Factor Correction'!B$11,$A17&lt;='Power Factor Correction'!B$12),IF('Power Factor Correction'!B46&gt;0,('Power Factor Correction'!B$23*'PFC Calculations'!$I$3)-'PFC Calculations'!K17,IF('Power Factor Correction'!B$25*'Power Factor Correction'!B$26*'Power Factor Correction'!B$27&gt;0,((('Power Factor Correction'!B$26*'Power Factor Correction'!B$27)/(365*24))*'PFC Calculations'!$I$6*'Power Factor Correction'!B$25),0)),0)</f>
        <v>0</v>
      </c>
      <c r="C17" s="179">
        <f>IF(AND($A17&gt;='Power Factor Correction'!C$11,$A17&lt;='Power Factor Correction'!C$12),IF('Power Factor Correction'!C46&gt;0,('Power Factor Correction'!C$23*'PFC Calculations'!$I$3)-'PFC Calculations'!L17,IF('Power Factor Correction'!C$25*'Power Factor Correction'!C$26*'Power Factor Correction'!C$27&gt;0,((('Power Factor Correction'!C$26*'Power Factor Correction'!C$27)/(365*24))*'PFC Calculations'!$I$6*'Power Factor Correction'!C$25),0)),0)</f>
        <v>0</v>
      </c>
      <c r="D17" s="179">
        <f>IF(AND($A17&gt;='Power Factor Correction'!D$11,$A17&lt;='Power Factor Correction'!D$12),IF('Power Factor Correction'!D46&gt;0,('Power Factor Correction'!D$23*'PFC Calculations'!$I$3)-'PFC Calculations'!M17,IF('Power Factor Correction'!D$25*'Power Factor Correction'!D$26*'Power Factor Correction'!D$27&gt;0,((('Power Factor Correction'!D$26*'Power Factor Correction'!D$27)/(365*24))*'PFC Calculations'!$I$6*'Power Factor Correction'!D$25),0)),0)</f>
        <v>0</v>
      </c>
      <c r="E17" s="179">
        <f>IF(AND($A17&gt;='Power Factor Correction'!E$11,$A17&lt;='Power Factor Correction'!E$12),IF('Power Factor Correction'!E46&gt;0,('Power Factor Correction'!E$23*'PFC Calculations'!$I$3)-'PFC Calculations'!N17,IF('Power Factor Correction'!E$25*'Power Factor Correction'!E$26*'Power Factor Correction'!E$27&gt;0,((('Power Factor Correction'!E$26*'Power Factor Correction'!E$27)/(365*24))*'PFC Calculations'!$I$6*'Power Factor Correction'!E$25),0)),0)</f>
        <v>0</v>
      </c>
      <c r="F17" s="179">
        <f>IF(AND($A17&gt;='Power Factor Correction'!F$11,$A17&lt;='Power Factor Correction'!F$12),IF('Power Factor Correction'!F46&gt;0,('Power Factor Correction'!F$23*'PFC Calculations'!$I$3)-'PFC Calculations'!O17,IF('Power Factor Correction'!F$25*'Power Factor Correction'!F$26*'Power Factor Correction'!F$27&gt;0,((('Power Factor Correction'!F$26*'Power Factor Correction'!F$27)/(365*24))*'PFC Calculations'!$I$6*'Power Factor Correction'!F$25),0)),0)</f>
        <v>0</v>
      </c>
      <c r="G17" s="179">
        <f t="shared" si="1"/>
        <v>0</v>
      </c>
      <c r="K17" s="179">
        <f>IF(AND($A17&gt;='Power Factor Correction'!B$11,$A17&lt;='Power Factor Correction'!B$12),IF('Power Factor Correction'!B$31&gt;0,'Data Entry Electricity'!$F18*'PFC Calculations'!$I$3*(TAN(ACOS('Power Factor Correction'!B$31))),IF('Power Factor Correction'!B$46&gt;0,'Power Factor Correction'!B$46*'PFC Calculations'!$I$3,0)),0)</f>
        <v>0</v>
      </c>
      <c r="L17" s="179">
        <f>IF(AND($A17&gt;='Power Factor Correction'!C$11,$A17&lt;='Power Factor Correction'!C$12),IF('Power Factor Correction'!C$31&gt;0,'Data Entry Electricity'!$F18*'PFC Calculations'!$I$3*(TAN(ACOS('Power Factor Correction'!C$31))),IF('Power Factor Correction'!C$46&gt;0,'Power Factor Correction'!C$46*'PFC Calculations'!$I$3,0)),0)</f>
        <v>0</v>
      </c>
      <c r="M17" s="179">
        <f>IF(AND($A17&gt;='Power Factor Correction'!D$11,$A17&lt;='Power Factor Correction'!D$12),IF('Power Factor Correction'!D$31&gt;0,'Data Entry Electricity'!$F18*'PFC Calculations'!$I$3*(TAN(ACOS('Power Factor Correction'!D$31))),IF('Power Factor Correction'!D$46&gt;0,'Power Factor Correction'!D$46*'PFC Calculations'!$I$3,0)),0)</f>
        <v>0</v>
      </c>
      <c r="N17" s="179">
        <f>IF(AND($A17&gt;='Power Factor Correction'!E$11,$A17&lt;='Power Factor Correction'!E$12),IF('Power Factor Correction'!E$31&gt;0,'Data Entry Electricity'!$F18*'PFC Calculations'!$I$3*(TAN(ACOS('Power Factor Correction'!E$31))),IF('Power Factor Correction'!E$46&gt;0,'Power Factor Correction'!E$46*'PFC Calculations'!$I$3,0)),0)</f>
        <v>0</v>
      </c>
      <c r="O17" s="179">
        <f>IF(AND($A17&gt;='Power Factor Correction'!F$11,$A17&lt;='Power Factor Correction'!F$12),IF('Power Factor Correction'!F$31&gt;0,'Data Entry Electricity'!$F18*'PFC Calculations'!$I$3*(TAN(ACOS('Power Factor Correction'!F$31))),IF('Power Factor Correction'!F$46&gt;0,'Power Factor Correction'!F$46*'PFC Calculations'!$I$3,0)),0)</f>
        <v>0</v>
      </c>
      <c r="P17" s="179">
        <f t="shared" si="2"/>
        <v>0</v>
      </c>
    </row>
    <row r="18" spans="1:16">
      <c r="A18" s="179" t="s">
        <v>42</v>
      </c>
      <c r="B18" s="179">
        <f>IF(AND($A18&gt;='Power Factor Correction'!B$11,$A18&lt;='Power Factor Correction'!B$12),IF('Power Factor Correction'!B47&gt;0,('Power Factor Correction'!B$23*'PFC Calculations'!$I$3)-'PFC Calculations'!K18,IF('Power Factor Correction'!B$25*'Power Factor Correction'!B$26*'Power Factor Correction'!B$27&gt;0,((('Power Factor Correction'!B$26*'Power Factor Correction'!B$27)/(365*24))*'PFC Calculations'!$I$6*'Power Factor Correction'!B$25),0)),0)</f>
        <v>0</v>
      </c>
      <c r="C18" s="179">
        <f>IF(AND($A18&gt;='Power Factor Correction'!C$11,$A18&lt;='Power Factor Correction'!C$12),IF('Power Factor Correction'!C47&gt;0,('Power Factor Correction'!C$23*'PFC Calculations'!$I$3)-'PFC Calculations'!L18,IF('Power Factor Correction'!C$25*'Power Factor Correction'!C$26*'Power Factor Correction'!C$27&gt;0,((('Power Factor Correction'!C$26*'Power Factor Correction'!C$27)/(365*24))*'PFC Calculations'!$I$6*'Power Factor Correction'!C$25),0)),0)</f>
        <v>0</v>
      </c>
      <c r="D18" s="179">
        <f>IF(AND($A18&gt;='Power Factor Correction'!D$11,$A18&lt;='Power Factor Correction'!D$12),IF('Power Factor Correction'!D47&gt;0,('Power Factor Correction'!D$23*'PFC Calculations'!$I$3)-'PFC Calculations'!M18,IF('Power Factor Correction'!D$25*'Power Factor Correction'!D$26*'Power Factor Correction'!D$27&gt;0,((('Power Factor Correction'!D$26*'Power Factor Correction'!D$27)/(365*24))*'PFC Calculations'!$I$6*'Power Factor Correction'!D$25),0)),0)</f>
        <v>0</v>
      </c>
      <c r="E18" s="179">
        <f>IF(AND($A18&gt;='Power Factor Correction'!E$11,$A18&lt;='Power Factor Correction'!E$12),IF('Power Factor Correction'!E47&gt;0,('Power Factor Correction'!E$23*'PFC Calculations'!$I$3)-'PFC Calculations'!N18,IF('Power Factor Correction'!E$25*'Power Factor Correction'!E$26*'Power Factor Correction'!E$27&gt;0,((('Power Factor Correction'!E$26*'Power Factor Correction'!E$27)/(365*24))*'PFC Calculations'!$I$6*'Power Factor Correction'!E$25),0)),0)</f>
        <v>0</v>
      </c>
      <c r="F18" s="179">
        <f>IF(AND($A18&gt;='Power Factor Correction'!F$11,$A18&lt;='Power Factor Correction'!F$12),IF('Power Factor Correction'!F47&gt;0,('Power Factor Correction'!F$23*'PFC Calculations'!$I$3)-'PFC Calculations'!O18,IF('Power Factor Correction'!F$25*'Power Factor Correction'!F$26*'Power Factor Correction'!F$27&gt;0,((('Power Factor Correction'!F$26*'Power Factor Correction'!F$27)/(365*24))*'PFC Calculations'!$I$6*'Power Factor Correction'!F$25),0)),0)</f>
        <v>0</v>
      </c>
      <c r="G18" s="179">
        <f t="shared" si="1"/>
        <v>0</v>
      </c>
      <c r="K18" s="179">
        <f>IF(AND($A18&gt;='Power Factor Correction'!B$11,$A18&lt;='Power Factor Correction'!B$12),IF('Power Factor Correction'!B$31&gt;0,'Data Entry Electricity'!$F19*'PFC Calculations'!$I$3*(TAN(ACOS('Power Factor Correction'!B$31))),IF('Power Factor Correction'!B$46&gt;0,'Power Factor Correction'!B$46*'PFC Calculations'!$I$3,0)),0)</f>
        <v>0</v>
      </c>
      <c r="L18" s="179">
        <f>IF(AND($A18&gt;='Power Factor Correction'!C$11,$A18&lt;='Power Factor Correction'!C$12),IF('Power Factor Correction'!C$31&gt;0,'Data Entry Electricity'!$F19*'PFC Calculations'!$I$3*(TAN(ACOS('Power Factor Correction'!C$31))),IF('Power Factor Correction'!C$46&gt;0,'Power Factor Correction'!C$46*'PFC Calculations'!$I$3,0)),0)</f>
        <v>0</v>
      </c>
      <c r="M18" s="179">
        <f>IF(AND($A18&gt;='Power Factor Correction'!D$11,$A18&lt;='Power Factor Correction'!D$12),IF('Power Factor Correction'!D$31&gt;0,'Data Entry Electricity'!$F19*'PFC Calculations'!$I$3*(TAN(ACOS('Power Factor Correction'!D$31))),IF('Power Factor Correction'!D$46&gt;0,'Power Factor Correction'!D$46*'PFC Calculations'!$I$3,0)),0)</f>
        <v>0</v>
      </c>
      <c r="N18" s="179">
        <f>IF(AND($A18&gt;='Power Factor Correction'!E$11,$A18&lt;='Power Factor Correction'!E$12),IF('Power Factor Correction'!E$31&gt;0,'Data Entry Electricity'!$F19*'PFC Calculations'!$I$3*(TAN(ACOS('Power Factor Correction'!E$31))),IF('Power Factor Correction'!E$46&gt;0,'Power Factor Correction'!E$46*'PFC Calculations'!$I$3,0)),0)</f>
        <v>0</v>
      </c>
      <c r="O18" s="179">
        <f>IF(AND($A18&gt;='Power Factor Correction'!F$11,$A18&lt;='Power Factor Correction'!F$12),IF('Power Factor Correction'!F$31&gt;0,'Data Entry Electricity'!$F19*'PFC Calculations'!$I$3*(TAN(ACOS('Power Factor Correction'!F$31))),IF('Power Factor Correction'!F$46&gt;0,'Power Factor Correction'!F$46*'PFC Calculations'!$I$3,0)),0)</f>
        <v>0</v>
      </c>
      <c r="P18" s="179">
        <f t="shared" si="2"/>
        <v>0</v>
      </c>
    </row>
    <row r="19" spans="1:16">
      <c r="A19" s="179" t="s">
        <v>43</v>
      </c>
      <c r="B19" s="179">
        <f>IF(AND($A19&gt;='Power Factor Correction'!B$11,$A19&lt;='Power Factor Correction'!B$12),IF('Power Factor Correction'!B48&gt;0,('Power Factor Correction'!B$23*'PFC Calculations'!$I$3)-'PFC Calculations'!K19,IF('Power Factor Correction'!B$25*'Power Factor Correction'!B$26*'Power Factor Correction'!B$27&gt;0,((('Power Factor Correction'!B$26*'Power Factor Correction'!B$27)/(365*24))*'PFC Calculations'!$I$6*'Power Factor Correction'!B$25),0)),0)</f>
        <v>0</v>
      </c>
      <c r="C19" s="179">
        <f>IF(AND($A19&gt;='Power Factor Correction'!C$11,$A19&lt;='Power Factor Correction'!C$12),IF('Power Factor Correction'!C48&gt;0,('Power Factor Correction'!C$23*'PFC Calculations'!$I$3)-'PFC Calculations'!L19,IF('Power Factor Correction'!C$25*'Power Factor Correction'!C$26*'Power Factor Correction'!C$27&gt;0,((('Power Factor Correction'!C$26*'Power Factor Correction'!C$27)/(365*24))*'PFC Calculations'!$I$6*'Power Factor Correction'!C$25),0)),0)</f>
        <v>0</v>
      </c>
      <c r="D19" s="179">
        <f>IF(AND($A19&gt;='Power Factor Correction'!D$11,$A19&lt;='Power Factor Correction'!D$12),IF('Power Factor Correction'!D48&gt;0,('Power Factor Correction'!D$23*'PFC Calculations'!$I$3)-'PFC Calculations'!M19,IF('Power Factor Correction'!D$25*'Power Factor Correction'!D$26*'Power Factor Correction'!D$27&gt;0,((('Power Factor Correction'!D$26*'Power Factor Correction'!D$27)/(365*24))*'PFC Calculations'!$I$6*'Power Factor Correction'!D$25),0)),0)</f>
        <v>0</v>
      </c>
      <c r="E19" s="179">
        <f>IF(AND($A19&gt;='Power Factor Correction'!E$11,$A19&lt;='Power Factor Correction'!E$12),IF('Power Factor Correction'!E48&gt;0,('Power Factor Correction'!E$23*'PFC Calculations'!$I$3)-'PFC Calculations'!N19,IF('Power Factor Correction'!E$25*'Power Factor Correction'!E$26*'Power Factor Correction'!E$27&gt;0,((('Power Factor Correction'!E$26*'Power Factor Correction'!E$27)/(365*24))*'PFC Calculations'!$I$6*'Power Factor Correction'!E$25),0)),0)</f>
        <v>0</v>
      </c>
      <c r="F19" s="179">
        <f>IF(AND($A19&gt;='Power Factor Correction'!F$11,$A19&lt;='Power Factor Correction'!F$12),IF('Power Factor Correction'!F48&gt;0,('Power Factor Correction'!F$23*'PFC Calculations'!$I$3)-'PFC Calculations'!O19,IF('Power Factor Correction'!F$25*'Power Factor Correction'!F$26*'Power Factor Correction'!F$27&gt;0,((('Power Factor Correction'!F$26*'Power Factor Correction'!F$27)/(365*24))*'PFC Calculations'!$I$6*'Power Factor Correction'!F$25),0)),0)</f>
        <v>0</v>
      </c>
      <c r="G19" s="179">
        <f t="shared" si="1"/>
        <v>0</v>
      </c>
      <c r="K19" s="179">
        <f>IF(AND($A19&gt;='Power Factor Correction'!B$11,$A19&lt;='Power Factor Correction'!B$12),IF('Power Factor Correction'!B$31&gt;0,'Data Entry Electricity'!$F20*'PFC Calculations'!$I$3*(TAN(ACOS('Power Factor Correction'!B$31))),IF('Power Factor Correction'!B$46&gt;0,'Power Factor Correction'!B$46*'PFC Calculations'!$I$3,0)),0)</f>
        <v>0</v>
      </c>
      <c r="L19" s="179">
        <f>IF(AND($A19&gt;='Power Factor Correction'!C$11,$A19&lt;='Power Factor Correction'!C$12),IF('Power Factor Correction'!C$31&gt;0,'Data Entry Electricity'!$F20*'PFC Calculations'!$I$3*(TAN(ACOS('Power Factor Correction'!C$31))),IF('Power Factor Correction'!C$46&gt;0,'Power Factor Correction'!C$46*'PFC Calculations'!$I$3,0)),0)</f>
        <v>0</v>
      </c>
      <c r="M19" s="179">
        <f>IF(AND($A19&gt;='Power Factor Correction'!D$11,$A19&lt;='Power Factor Correction'!D$12),IF('Power Factor Correction'!D$31&gt;0,'Data Entry Electricity'!$F20*'PFC Calculations'!$I$3*(TAN(ACOS('Power Factor Correction'!D$31))),IF('Power Factor Correction'!D$46&gt;0,'Power Factor Correction'!D$46*'PFC Calculations'!$I$3,0)),0)</f>
        <v>0</v>
      </c>
      <c r="N19" s="179">
        <f>IF(AND($A19&gt;='Power Factor Correction'!E$11,$A19&lt;='Power Factor Correction'!E$12),IF('Power Factor Correction'!E$31&gt;0,'Data Entry Electricity'!$F20*'PFC Calculations'!$I$3*(TAN(ACOS('Power Factor Correction'!E$31))),IF('Power Factor Correction'!E$46&gt;0,'Power Factor Correction'!E$46*'PFC Calculations'!$I$3,0)),0)</f>
        <v>0</v>
      </c>
      <c r="O19" s="179">
        <f>IF(AND($A19&gt;='Power Factor Correction'!F$11,$A19&lt;='Power Factor Correction'!F$12),IF('Power Factor Correction'!F$31&gt;0,'Data Entry Electricity'!$F20*'PFC Calculations'!$I$3*(TAN(ACOS('Power Factor Correction'!F$31))),IF('Power Factor Correction'!F$46&gt;0,'Power Factor Correction'!F$46*'PFC Calculations'!$I$3,0)),0)</f>
        <v>0</v>
      </c>
      <c r="P19" s="179">
        <f t="shared" si="2"/>
        <v>0</v>
      </c>
    </row>
    <row r="20" spans="1:16">
      <c r="A20" s="179" t="s">
        <v>44</v>
      </c>
      <c r="B20" s="179">
        <f>IF(AND($A20&gt;='Power Factor Correction'!B$11,$A20&lt;='Power Factor Correction'!B$12),IF('Power Factor Correction'!B49&gt;0,('Power Factor Correction'!B$23*'PFC Calculations'!$I$3)-'PFC Calculations'!K20,IF('Power Factor Correction'!B$25*'Power Factor Correction'!B$26*'Power Factor Correction'!B$27&gt;0,((('Power Factor Correction'!B$26*'Power Factor Correction'!B$27)/(365*24))*'PFC Calculations'!$I$6*'Power Factor Correction'!B$25),0)),0)</f>
        <v>0</v>
      </c>
      <c r="C20" s="179">
        <f>IF(AND($A20&gt;='Power Factor Correction'!C$11,$A20&lt;='Power Factor Correction'!C$12),IF('Power Factor Correction'!C49&gt;0,('Power Factor Correction'!C$23*'PFC Calculations'!$I$3)-'PFC Calculations'!L20,IF('Power Factor Correction'!C$25*'Power Factor Correction'!C$26*'Power Factor Correction'!C$27&gt;0,((('Power Factor Correction'!C$26*'Power Factor Correction'!C$27)/(365*24))*'PFC Calculations'!$I$6*'Power Factor Correction'!C$25),0)),0)</f>
        <v>0</v>
      </c>
      <c r="D20" s="179">
        <f>IF(AND($A20&gt;='Power Factor Correction'!D$11,$A20&lt;='Power Factor Correction'!D$12),IF('Power Factor Correction'!D49&gt;0,('Power Factor Correction'!D$23*'PFC Calculations'!$I$3)-'PFC Calculations'!M20,IF('Power Factor Correction'!D$25*'Power Factor Correction'!D$26*'Power Factor Correction'!D$27&gt;0,((('Power Factor Correction'!D$26*'Power Factor Correction'!D$27)/(365*24))*'PFC Calculations'!$I$6*'Power Factor Correction'!D$25),0)),0)</f>
        <v>0</v>
      </c>
      <c r="E20" s="179">
        <f>IF(AND($A20&gt;='Power Factor Correction'!E$11,$A20&lt;='Power Factor Correction'!E$12),IF('Power Factor Correction'!E49&gt;0,('Power Factor Correction'!E$23*'PFC Calculations'!$I$3)-'PFC Calculations'!N20,IF('Power Factor Correction'!E$25*'Power Factor Correction'!E$26*'Power Factor Correction'!E$27&gt;0,((('Power Factor Correction'!E$26*'Power Factor Correction'!E$27)/(365*24))*'PFC Calculations'!$I$6*'Power Factor Correction'!E$25),0)),0)</f>
        <v>0</v>
      </c>
      <c r="F20" s="179">
        <f>IF(AND($A20&gt;='Power Factor Correction'!F$11,$A20&lt;='Power Factor Correction'!F$12),IF('Power Factor Correction'!F49&gt;0,('Power Factor Correction'!F$23*'PFC Calculations'!$I$3)-'PFC Calculations'!O20,IF('Power Factor Correction'!F$25*'Power Factor Correction'!F$26*'Power Factor Correction'!F$27&gt;0,((('Power Factor Correction'!F$26*'Power Factor Correction'!F$27)/(365*24))*'PFC Calculations'!$I$6*'Power Factor Correction'!F$25),0)),0)</f>
        <v>0</v>
      </c>
      <c r="G20" s="179">
        <f t="shared" si="1"/>
        <v>0</v>
      </c>
      <c r="K20" s="179">
        <f>IF(AND($A20&gt;='Power Factor Correction'!B$11,$A20&lt;='Power Factor Correction'!B$12),IF('Power Factor Correction'!B$31&gt;0,'Data Entry Electricity'!$F21*'PFC Calculations'!$I$3*(TAN(ACOS('Power Factor Correction'!B$31))),IF('Power Factor Correction'!B$46&gt;0,'Power Factor Correction'!B$46*'PFC Calculations'!$I$3,0)),0)</f>
        <v>0</v>
      </c>
      <c r="L20" s="179">
        <f>IF(AND($A20&gt;='Power Factor Correction'!C$11,$A20&lt;='Power Factor Correction'!C$12),IF('Power Factor Correction'!C$31&gt;0,'Data Entry Electricity'!$F21*'PFC Calculations'!$I$3*(TAN(ACOS('Power Factor Correction'!C$31))),IF('Power Factor Correction'!C$46&gt;0,'Power Factor Correction'!C$46*'PFC Calculations'!$I$3,0)),0)</f>
        <v>0</v>
      </c>
      <c r="M20" s="179">
        <f>IF(AND($A20&gt;='Power Factor Correction'!D$11,$A20&lt;='Power Factor Correction'!D$12),IF('Power Factor Correction'!D$31&gt;0,'Data Entry Electricity'!$F21*'PFC Calculations'!$I$3*(TAN(ACOS('Power Factor Correction'!D$31))),IF('Power Factor Correction'!D$46&gt;0,'Power Factor Correction'!D$46*'PFC Calculations'!$I$3,0)),0)</f>
        <v>0</v>
      </c>
      <c r="N20" s="179">
        <f>IF(AND($A20&gt;='Power Factor Correction'!E$11,$A20&lt;='Power Factor Correction'!E$12),IF('Power Factor Correction'!E$31&gt;0,'Data Entry Electricity'!$F21*'PFC Calculations'!$I$3*(TAN(ACOS('Power Factor Correction'!E$31))),IF('Power Factor Correction'!E$46&gt;0,'Power Factor Correction'!E$46*'PFC Calculations'!$I$3,0)),0)</f>
        <v>0</v>
      </c>
      <c r="O20" s="179">
        <f>IF(AND($A20&gt;='Power Factor Correction'!F$11,$A20&lt;='Power Factor Correction'!F$12),IF('Power Factor Correction'!F$31&gt;0,'Data Entry Electricity'!$F21*'PFC Calculations'!$I$3*(TAN(ACOS('Power Factor Correction'!F$31))),IF('Power Factor Correction'!F$46&gt;0,'Power Factor Correction'!F$46*'PFC Calculations'!$I$3,0)),0)</f>
        <v>0</v>
      </c>
      <c r="P20" s="179">
        <f t="shared" si="2"/>
        <v>0</v>
      </c>
    </row>
    <row r="21" spans="1:16">
      <c r="A21" s="179" t="s">
        <v>45</v>
      </c>
      <c r="B21" s="179">
        <f>IF(AND($A21&gt;='Power Factor Correction'!B$11,$A21&lt;='Power Factor Correction'!B$12),IF('Power Factor Correction'!B50&gt;0,('Power Factor Correction'!B$23*'PFC Calculations'!$I$3)-'PFC Calculations'!K21,IF('Power Factor Correction'!B$25*'Power Factor Correction'!B$26*'Power Factor Correction'!B$27&gt;0,((('Power Factor Correction'!B$26*'Power Factor Correction'!B$27)/(365*24))*'PFC Calculations'!$I$6*'Power Factor Correction'!B$25),0)),0)</f>
        <v>0</v>
      </c>
      <c r="C21" s="179">
        <f>IF(AND($A21&gt;='Power Factor Correction'!C$11,$A21&lt;='Power Factor Correction'!C$12),IF('Power Factor Correction'!C50&gt;0,('Power Factor Correction'!C$23*'PFC Calculations'!$I$3)-'PFC Calculations'!L21,IF('Power Factor Correction'!C$25*'Power Factor Correction'!C$26*'Power Factor Correction'!C$27&gt;0,((('Power Factor Correction'!C$26*'Power Factor Correction'!C$27)/(365*24))*'PFC Calculations'!$I$6*'Power Factor Correction'!C$25),0)),0)</f>
        <v>0</v>
      </c>
      <c r="D21" s="179">
        <f>IF(AND($A21&gt;='Power Factor Correction'!D$11,$A21&lt;='Power Factor Correction'!D$12),IF('Power Factor Correction'!D50&gt;0,('Power Factor Correction'!D$23*'PFC Calculations'!$I$3)-'PFC Calculations'!M21,IF('Power Factor Correction'!D$25*'Power Factor Correction'!D$26*'Power Factor Correction'!D$27&gt;0,((('Power Factor Correction'!D$26*'Power Factor Correction'!D$27)/(365*24))*'PFC Calculations'!$I$6*'Power Factor Correction'!D$25),0)),0)</f>
        <v>0</v>
      </c>
      <c r="E21" s="179">
        <f>IF(AND($A21&gt;='Power Factor Correction'!E$11,$A21&lt;='Power Factor Correction'!E$12),IF('Power Factor Correction'!E50&gt;0,('Power Factor Correction'!E$23*'PFC Calculations'!$I$3)-'PFC Calculations'!N21,IF('Power Factor Correction'!E$25*'Power Factor Correction'!E$26*'Power Factor Correction'!E$27&gt;0,((('Power Factor Correction'!E$26*'Power Factor Correction'!E$27)/(365*24))*'PFC Calculations'!$I$6*'Power Factor Correction'!E$25),0)),0)</f>
        <v>0</v>
      </c>
      <c r="F21" s="179">
        <f>IF(AND($A21&gt;='Power Factor Correction'!F$11,$A21&lt;='Power Factor Correction'!F$12),IF('Power Factor Correction'!F50&gt;0,('Power Factor Correction'!F$23*'PFC Calculations'!$I$3)-'PFC Calculations'!O21,IF('Power Factor Correction'!F$25*'Power Factor Correction'!F$26*'Power Factor Correction'!F$27&gt;0,((('Power Factor Correction'!F$26*'Power Factor Correction'!F$27)/(365*24))*'PFC Calculations'!$I$6*'Power Factor Correction'!F$25),0)),0)</f>
        <v>0</v>
      </c>
      <c r="G21" s="179">
        <f t="shared" si="1"/>
        <v>0</v>
      </c>
      <c r="K21" s="179">
        <f>IF(AND($A21&gt;='Power Factor Correction'!B$11,$A21&lt;='Power Factor Correction'!B$12),IF('Power Factor Correction'!B$31&gt;0,'Data Entry Electricity'!$F22*'PFC Calculations'!$I$3*(TAN(ACOS('Power Factor Correction'!B$31))),IF('Power Factor Correction'!B$46&gt;0,'Power Factor Correction'!B$46*'PFC Calculations'!$I$3,0)),0)</f>
        <v>0</v>
      </c>
      <c r="L21" s="179">
        <f>IF(AND($A21&gt;='Power Factor Correction'!C$11,$A21&lt;='Power Factor Correction'!C$12),IF('Power Factor Correction'!C$31&gt;0,'Data Entry Electricity'!$F22*'PFC Calculations'!$I$3*(TAN(ACOS('Power Factor Correction'!C$31))),IF('Power Factor Correction'!C$46&gt;0,'Power Factor Correction'!C$46*'PFC Calculations'!$I$3,0)),0)</f>
        <v>0</v>
      </c>
      <c r="M21" s="179">
        <f>IF(AND($A21&gt;='Power Factor Correction'!D$11,$A21&lt;='Power Factor Correction'!D$12),IF('Power Factor Correction'!D$31&gt;0,'Data Entry Electricity'!$F22*'PFC Calculations'!$I$3*(TAN(ACOS('Power Factor Correction'!D$31))),IF('Power Factor Correction'!D$46&gt;0,'Power Factor Correction'!D$46*'PFC Calculations'!$I$3,0)),0)</f>
        <v>0</v>
      </c>
      <c r="N21" s="179">
        <f>IF(AND($A21&gt;='Power Factor Correction'!E$11,$A21&lt;='Power Factor Correction'!E$12),IF('Power Factor Correction'!E$31&gt;0,'Data Entry Electricity'!$F22*'PFC Calculations'!$I$3*(TAN(ACOS('Power Factor Correction'!E$31))),IF('Power Factor Correction'!E$46&gt;0,'Power Factor Correction'!E$46*'PFC Calculations'!$I$3,0)),0)</f>
        <v>0</v>
      </c>
      <c r="O21" s="179">
        <f>IF(AND($A21&gt;='Power Factor Correction'!F$11,$A21&lt;='Power Factor Correction'!F$12),IF('Power Factor Correction'!F$31&gt;0,'Data Entry Electricity'!$F22*'PFC Calculations'!$I$3*(TAN(ACOS('Power Factor Correction'!F$31))),IF('Power Factor Correction'!F$46&gt;0,'Power Factor Correction'!F$46*'PFC Calculations'!$I$3,0)),0)</f>
        <v>0</v>
      </c>
      <c r="P21" s="179">
        <f t="shared" si="2"/>
        <v>0</v>
      </c>
    </row>
    <row r="22" spans="1:16">
      <c r="A22" s="179" t="s">
        <v>46</v>
      </c>
      <c r="B22" s="179">
        <f>IF(AND($A22&gt;='Power Factor Correction'!B$11,$A22&lt;='Power Factor Correction'!B$12),IF('Power Factor Correction'!B51&gt;0,('Power Factor Correction'!B$23*'PFC Calculations'!$I$3)-'PFC Calculations'!K22,IF('Power Factor Correction'!B$25*'Power Factor Correction'!B$26*'Power Factor Correction'!B$27&gt;0,((('Power Factor Correction'!B$26*'Power Factor Correction'!B$27)/(365*24))*'PFC Calculations'!$I$6*'Power Factor Correction'!B$25),0)),0)</f>
        <v>0</v>
      </c>
      <c r="C22" s="179">
        <f>IF(AND($A22&gt;='Power Factor Correction'!C$11,$A22&lt;='Power Factor Correction'!C$12),IF('Power Factor Correction'!C51&gt;0,('Power Factor Correction'!C$23*'PFC Calculations'!$I$3)-'PFC Calculations'!L22,IF('Power Factor Correction'!C$25*'Power Factor Correction'!C$26*'Power Factor Correction'!C$27&gt;0,((('Power Factor Correction'!C$26*'Power Factor Correction'!C$27)/(365*24))*'PFC Calculations'!$I$6*'Power Factor Correction'!C$25),0)),0)</f>
        <v>0</v>
      </c>
      <c r="D22" s="179">
        <f>IF(AND($A22&gt;='Power Factor Correction'!D$11,$A22&lt;='Power Factor Correction'!D$12),IF('Power Factor Correction'!D51&gt;0,('Power Factor Correction'!D$23*'PFC Calculations'!$I$3)-'PFC Calculations'!M22,IF('Power Factor Correction'!D$25*'Power Factor Correction'!D$26*'Power Factor Correction'!D$27&gt;0,((('Power Factor Correction'!D$26*'Power Factor Correction'!D$27)/(365*24))*'PFC Calculations'!$I$6*'Power Factor Correction'!D$25),0)),0)</f>
        <v>0</v>
      </c>
      <c r="E22" s="179">
        <f>IF(AND($A22&gt;='Power Factor Correction'!E$11,$A22&lt;='Power Factor Correction'!E$12),IF('Power Factor Correction'!E51&gt;0,('Power Factor Correction'!E$23*'PFC Calculations'!$I$3)-'PFC Calculations'!N22,IF('Power Factor Correction'!E$25*'Power Factor Correction'!E$26*'Power Factor Correction'!E$27&gt;0,((('Power Factor Correction'!E$26*'Power Factor Correction'!E$27)/(365*24))*'PFC Calculations'!$I$6*'Power Factor Correction'!E$25),0)),0)</f>
        <v>0</v>
      </c>
      <c r="F22" s="179">
        <f>IF(AND($A22&gt;='Power Factor Correction'!F$11,$A22&lt;='Power Factor Correction'!F$12),IF('Power Factor Correction'!F51&gt;0,('Power Factor Correction'!F$23*'PFC Calculations'!$I$3)-'PFC Calculations'!O22,IF('Power Factor Correction'!F$25*'Power Factor Correction'!F$26*'Power Factor Correction'!F$27&gt;0,((('Power Factor Correction'!F$26*'Power Factor Correction'!F$27)/(365*24))*'PFC Calculations'!$I$6*'Power Factor Correction'!F$25),0)),0)</f>
        <v>0</v>
      </c>
      <c r="G22" s="179">
        <f t="shared" si="1"/>
        <v>0</v>
      </c>
      <c r="K22" s="179">
        <f>IF(AND($A22&gt;='Power Factor Correction'!B$11,$A22&lt;='Power Factor Correction'!B$12),IF('Power Factor Correction'!B$31&gt;0,'Data Entry Electricity'!$F23*'PFC Calculations'!$I$3*(TAN(ACOS('Power Factor Correction'!B$31))),IF('Power Factor Correction'!B$46&gt;0,'Power Factor Correction'!B$46*'PFC Calculations'!$I$3,0)),0)</f>
        <v>0</v>
      </c>
      <c r="L22" s="179">
        <f>IF(AND($A22&gt;='Power Factor Correction'!C$11,$A22&lt;='Power Factor Correction'!C$12),IF('Power Factor Correction'!C$31&gt;0,'Data Entry Electricity'!$F23*'PFC Calculations'!$I$3*(TAN(ACOS('Power Factor Correction'!C$31))),IF('Power Factor Correction'!C$46&gt;0,'Power Factor Correction'!C$46*'PFC Calculations'!$I$3,0)),0)</f>
        <v>0</v>
      </c>
      <c r="M22" s="179">
        <f>IF(AND($A22&gt;='Power Factor Correction'!D$11,$A22&lt;='Power Factor Correction'!D$12),IF('Power Factor Correction'!D$31&gt;0,'Data Entry Electricity'!$F23*'PFC Calculations'!$I$3*(TAN(ACOS('Power Factor Correction'!D$31))),IF('Power Factor Correction'!D$46&gt;0,'Power Factor Correction'!D$46*'PFC Calculations'!$I$3,0)),0)</f>
        <v>0</v>
      </c>
      <c r="N22" s="179">
        <f>IF(AND($A22&gt;='Power Factor Correction'!E$11,$A22&lt;='Power Factor Correction'!E$12),IF('Power Factor Correction'!E$31&gt;0,'Data Entry Electricity'!$F23*'PFC Calculations'!$I$3*(TAN(ACOS('Power Factor Correction'!E$31))),IF('Power Factor Correction'!E$46&gt;0,'Power Factor Correction'!E$46*'PFC Calculations'!$I$3,0)),0)</f>
        <v>0</v>
      </c>
      <c r="O22" s="179">
        <f>IF(AND($A22&gt;='Power Factor Correction'!F$11,$A22&lt;='Power Factor Correction'!F$12),IF('Power Factor Correction'!F$31&gt;0,'Data Entry Electricity'!$F23*'PFC Calculations'!$I$3*(TAN(ACOS('Power Factor Correction'!F$31))),IF('Power Factor Correction'!F$46&gt;0,'Power Factor Correction'!F$46*'PFC Calculations'!$I$3,0)),0)</f>
        <v>0</v>
      </c>
      <c r="P22" s="179">
        <f t="shared" si="2"/>
        <v>0</v>
      </c>
    </row>
    <row r="23" spans="1:16">
      <c r="A23" s="179" t="s">
        <v>47</v>
      </c>
      <c r="B23" s="179">
        <f>IF(AND($A23&gt;='Power Factor Correction'!B$11,$A23&lt;='Power Factor Correction'!B$12),IF('Power Factor Correction'!B52&gt;0,('Power Factor Correction'!B$23*'PFC Calculations'!$I$3)-'PFC Calculations'!K23,IF('Power Factor Correction'!B$25*'Power Factor Correction'!B$26*'Power Factor Correction'!B$27&gt;0,((('Power Factor Correction'!B$26*'Power Factor Correction'!B$27)/(365*24))*'PFC Calculations'!$I$6*'Power Factor Correction'!B$25),0)),0)</f>
        <v>0</v>
      </c>
      <c r="C23" s="179">
        <f>IF(AND($A23&gt;='Power Factor Correction'!C$11,$A23&lt;='Power Factor Correction'!C$12),IF('Power Factor Correction'!C52&gt;0,('Power Factor Correction'!C$23*'PFC Calculations'!$I$3)-'PFC Calculations'!L23,IF('Power Factor Correction'!C$25*'Power Factor Correction'!C$26*'Power Factor Correction'!C$27&gt;0,((('Power Factor Correction'!C$26*'Power Factor Correction'!C$27)/(365*24))*'PFC Calculations'!$I$6*'Power Factor Correction'!C$25),0)),0)</f>
        <v>0</v>
      </c>
      <c r="D23" s="179">
        <f>IF(AND($A23&gt;='Power Factor Correction'!D$11,$A23&lt;='Power Factor Correction'!D$12),IF('Power Factor Correction'!D52&gt;0,('Power Factor Correction'!D$23*'PFC Calculations'!$I$3)-'PFC Calculations'!M23,IF('Power Factor Correction'!D$25*'Power Factor Correction'!D$26*'Power Factor Correction'!D$27&gt;0,((('Power Factor Correction'!D$26*'Power Factor Correction'!D$27)/(365*24))*'PFC Calculations'!$I$6*'Power Factor Correction'!D$25),0)),0)</f>
        <v>0</v>
      </c>
      <c r="E23" s="179">
        <f>IF(AND($A23&gt;='Power Factor Correction'!E$11,$A23&lt;='Power Factor Correction'!E$12),IF('Power Factor Correction'!E52&gt;0,('Power Factor Correction'!E$23*'PFC Calculations'!$I$3)-'PFC Calculations'!N23,IF('Power Factor Correction'!E$25*'Power Factor Correction'!E$26*'Power Factor Correction'!E$27&gt;0,((('Power Factor Correction'!E$26*'Power Factor Correction'!E$27)/(365*24))*'PFC Calculations'!$I$6*'Power Factor Correction'!E$25),0)),0)</f>
        <v>0</v>
      </c>
      <c r="F23" s="179">
        <f>IF(AND($A23&gt;='Power Factor Correction'!F$11,$A23&lt;='Power Factor Correction'!F$12),IF('Power Factor Correction'!F52&gt;0,('Power Factor Correction'!F$23*'PFC Calculations'!$I$3)-'PFC Calculations'!O23,IF('Power Factor Correction'!F$25*'Power Factor Correction'!F$26*'Power Factor Correction'!F$27&gt;0,((('Power Factor Correction'!F$26*'Power Factor Correction'!F$27)/(365*24))*'PFC Calculations'!$I$6*'Power Factor Correction'!F$25),0)),0)</f>
        <v>0</v>
      </c>
      <c r="G23" s="179">
        <f t="shared" si="1"/>
        <v>0</v>
      </c>
      <c r="K23" s="179">
        <f>IF(AND($A23&gt;='Power Factor Correction'!B$11,$A23&lt;='Power Factor Correction'!B$12),IF('Power Factor Correction'!B$31&gt;0,'Data Entry Electricity'!$F24*'PFC Calculations'!$I$3*(TAN(ACOS('Power Factor Correction'!B$31))),IF('Power Factor Correction'!B$46&gt;0,'Power Factor Correction'!B$46*'PFC Calculations'!$I$3,0)),0)</f>
        <v>0</v>
      </c>
      <c r="L23" s="179">
        <f>IF(AND($A23&gt;='Power Factor Correction'!C$11,$A23&lt;='Power Factor Correction'!C$12),IF('Power Factor Correction'!C$31&gt;0,'Data Entry Electricity'!$F24*'PFC Calculations'!$I$3*(TAN(ACOS('Power Factor Correction'!C$31))),IF('Power Factor Correction'!C$46&gt;0,'Power Factor Correction'!C$46*'PFC Calculations'!$I$3,0)),0)</f>
        <v>0</v>
      </c>
      <c r="M23" s="179">
        <f>IF(AND($A23&gt;='Power Factor Correction'!D$11,$A23&lt;='Power Factor Correction'!D$12),IF('Power Factor Correction'!D$31&gt;0,'Data Entry Electricity'!$F24*'PFC Calculations'!$I$3*(TAN(ACOS('Power Factor Correction'!D$31))),IF('Power Factor Correction'!D$46&gt;0,'Power Factor Correction'!D$46*'PFC Calculations'!$I$3,0)),0)</f>
        <v>0</v>
      </c>
      <c r="N23" s="179">
        <f>IF(AND($A23&gt;='Power Factor Correction'!E$11,$A23&lt;='Power Factor Correction'!E$12),IF('Power Factor Correction'!E$31&gt;0,'Data Entry Electricity'!$F24*'PFC Calculations'!$I$3*(TAN(ACOS('Power Factor Correction'!E$31))),IF('Power Factor Correction'!E$46&gt;0,'Power Factor Correction'!E$46*'PFC Calculations'!$I$3,0)),0)</f>
        <v>0</v>
      </c>
      <c r="O23" s="179">
        <f>IF(AND($A23&gt;='Power Factor Correction'!F$11,$A23&lt;='Power Factor Correction'!F$12),IF('Power Factor Correction'!F$31&gt;0,'Data Entry Electricity'!$F24*'PFC Calculations'!$I$3*(TAN(ACOS('Power Factor Correction'!F$31))),IF('Power Factor Correction'!F$46&gt;0,'Power Factor Correction'!F$46*'PFC Calculations'!$I$3,0)),0)</f>
        <v>0</v>
      </c>
      <c r="P23" s="179">
        <f t="shared" si="2"/>
        <v>0</v>
      </c>
    </row>
    <row r="24" spans="1:16">
      <c r="A24" s="179" t="s">
        <v>48</v>
      </c>
      <c r="B24" s="179">
        <f>IF(AND($A24&gt;='Power Factor Correction'!B$11,$A24&lt;='Power Factor Correction'!B$12),IF('Power Factor Correction'!B53&gt;0,('Power Factor Correction'!B$23*'PFC Calculations'!$I$3)-'PFC Calculations'!K24,IF('Power Factor Correction'!B$25*'Power Factor Correction'!B$26*'Power Factor Correction'!B$27&gt;0,((('Power Factor Correction'!B$26*'Power Factor Correction'!B$27)/(365*24))*'PFC Calculations'!$I$6*'Power Factor Correction'!B$25),0)),0)</f>
        <v>0</v>
      </c>
      <c r="C24" s="179">
        <f>IF(AND($A24&gt;='Power Factor Correction'!C$11,$A24&lt;='Power Factor Correction'!C$12),IF('Power Factor Correction'!C53&gt;0,('Power Factor Correction'!C$23*'PFC Calculations'!$I$3)-'PFC Calculations'!L24,IF('Power Factor Correction'!C$25*'Power Factor Correction'!C$26*'Power Factor Correction'!C$27&gt;0,((('Power Factor Correction'!C$26*'Power Factor Correction'!C$27)/(365*24))*'PFC Calculations'!$I$6*'Power Factor Correction'!C$25),0)),0)</f>
        <v>0</v>
      </c>
      <c r="D24" s="179">
        <f>IF(AND($A24&gt;='Power Factor Correction'!D$11,$A24&lt;='Power Factor Correction'!D$12),IF('Power Factor Correction'!D53&gt;0,('Power Factor Correction'!D$23*'PFC Calculations'!$I$3)-'PFC Calculations'!M24,IF('Power Factor Correction'!D$25*'Power Factor Correction'!D$26*'Power Factor Correction'!D$27&gt;0,((('Power Factor Correction'!D$26*'Power Factor Correction'!D$27)/(365*24))*'PFC Calculations'!$I$6*'Power Factor Correction'!D$25),0)),0)</f>
        <v>0</v>
      </c>
      <c r="E24" s="179">
        <f>IF(AND($A24&gt;='Power Factor Correction'!E$11,$A24&lt;='Power Factor Correction'!E$12),IF('Power Factor Correction'!E53&gt;0,('Power Factor Correction'!E$23*'PFC Calculations'!$I$3)-'PFC Calculations'!N24,IF('Power Factor Correction'!E$25*'Power Factor Correction'!E$26*'Power Factor Correction'!E$27&gt;0,((('Power Factor Correction'!E$26*'Power Factor Correction'!E$27)/(365*24))*'PFC Calculations'!$I$6*'Power Factor Correction'!E$25),0)),0)</f>
        <v>0</v>
      </c>
      <c r="F24" s="179">
        <f>IF(AND($A24&gt;='Power Factor Correction'!F$11,$A24&lt;='Power Factor Correction'!F$12),IF('Power Factor Correction'!F53&gt;0,('Power Factor Correction'!F$23*'PFC Calculations'!$I$3)-'PFC Calculations'!O24,IF('Power Factor Correction'!F$25*'Power Factor Correction'!F$26*'Power Factor Correction'!F$27&gt;0,((('Power Factor Correction'!F$26*'Power Factor Correction'!F$27)/(365*24))*'PFC Calculations'!$I$6*'Power Factor Correction'!F$25),0)),0)</f>
        <v>0</v>
      </c>
      <c r="G24" s="179">
        <f t="shared" si="1"/>
        <v>0</v>
      </c>
      <c r="K24" s="179">
        <f>IF(AND($A24&gt;='Power Factor Correction'!B$11,$A24&lt;='Power Factor Correction'!B$12),IF('Power Factor Correction'!B$31&gt;0,'Data Entry Electricity'!$F25*'PFC Calculations'!$I$3*(TAN(ACOS('Power Factor Correction'!B$31))),IF('Power Factor Correction'!B$46&gt;0,'Power Factor Correction'!B$46*'PFC Calculations'!$I$3,0)),0)</f>
        <v>0</v>
      </c>
      <c r="L24" s="179">
        <f>IF(AND($A24&gt;='Power Factor Correction'!C$11,$A24&lt;='Power Factor Correction'!C$12),IF('Power Factor Correction'!C$31&gt;0,'Data Entry Electricity'!$F25*'PFC Calculations'!$I$3*(TAN(ACOS('Power Factor Correction'!C$31))),IF('Power Factor Correction'!C$46&gt;0,'Power Factor Correction'!C$46*'PFC Calculations'!$I$3,0)),0)</f>
        <v>0</v>
      </c>
      <c r="M24" s="179">
        <f>IF(AND($A24&gt;='Power Factor Correction'!D$11,$A24&lt;='Power Factor Correction'!D$12),IF('Power Factor Correction'!D$31&gt;0,'Data Entry Electricity'!$F25*'PFC Calculations'!$I$3*(TAN(ACOS('Power Factor Correction'!D$31))),IF('Power Factor Correction'!D$46&gt;0,'Power Factor Correction'!D$46*'PFC Calculations'!$I$3,0)),0)</f>
        <v>0</v>
      </c>
      <c r="N24" s="179">
        <f>IF(AND($A24&gt;='Power Factor Correction'!E$11,$A24&lt;='Power Factor Correction'!E$12),IF('Power Factor Correction'!E$31&gt;0,'Data Entry Electricity'!$F25*'PFC Calculations'!$I$3*(TAN(ACOS('Power Factor Correction'!E$31))),IF('Power Factor Correction'!E$46&gt;0,'Power Factor Correction'!E$46*'PFC Calculations'!$I$3,0)),0)</f>
        <v>0</v>
      </c>
      <c r="O24" s="179">
        <f>IF(AND($A24&gt;='Power Factor Correction'!F$11,$A24&lt;='Power Factor Correction'!F$12),IF('Power Factor Correction'!F$31&gt;0,'Data Entry Electricity'!$F25*'PFC Calculations'!$I$3*(TAN(ACOS('Power Factor Correction'!F$31))),IF('Power Factor Correction'!F$46&gt;0,'Power Factor Correction'!F$46*'PFC Calculations'!$I$3,0)),0)</f>
        <v>0</v>
      </c>
      <c r="P24" s="179">
        <f t="shared" si="2"/>
        <v>0</v>
      </c>
    </row>
    <row r="25" spans="1:16">
      <c r="A25" s="179" t="s">
        <v>0</v>
      </c>
      <c r="B25" s="179">
        <f>IF(AND($A25&gt;='Power Factor Correction'!B$11,$A25&lt;='Power Factor Correction'!B$12),IF('Power Factor Correction'!B54&gt;0,('Power Factor Correction'!B$23*'PFC Calculations'!$I$3)-'PFC Calculations'!K25,IF('Power Factor Correction'!B$25*'Power Factor Correction'!B$26*'Power Factor Correction'!B$27&gt;0,((('Power Factor Correction'!B$26*'Power Factor Correction'!B$27)/(365*24))*'PFC Calculations'!$I$6*'Power Factor Correction'!B$25),0)),0)</f>
        <v>0</v>
      </c>
      <c r="C25" s="179">
        <f>IF(AND($A25&gt;='Power Factor Correction'!C$11,$A25&lt;='Power Factor Correction'!C$12),IF('Power Factor Correction'!C54&gt;0,('Power Factor Correction'!C$23*'PFC Calculations'!$I$3)-'PFC Calculations'!L25,IF('Power Factor Correction'!C$25*'Power Factor Correction'!C$26*'Power Factor Correction'!C$27&gt;0,((('Power Factor Correction'!C$26*'Power Factor Correction'!C$27)/(365*24))*'PFC Calculations'!$I$6*'Power Factor Correction'!C$25),0)),0)</f>
        <v>0</v>
      </c>
      <c r="D25" s="179">
        <f>IF(AND($A25&gt;='Power Factor Correction'!D$11,$A25&lt;='Power Factor Correction'!D$12),IF('Power Factor Correction'!D54&gt;0,('Power Factor Correction'!D$23*'PFC Calculations'!$I$3)-'PFC Calculations'!M25,IF('Power Factor Correction'!D$25*'Power Factor Correction'!D$26*'Power Factor Correction'!D$27&gt;0,((('Power Factor Correction'!D$26*'Power Factor Correction'!D$27)/(365*24))*'PFC Calculations'!$I$6*'Power Factor Correction'!D$25),0)),0)</f>
        <v>0</v>
      </c>
      <c r="E25" s="179">
        <f>IF(AND($A25&gt;='Power Factor Correction'!E$11,$A25&lt;='Power Factor Correction'!E$12),IF('Power Factor Correction'!E54&gt;0,('Power Factor Correction'!E$23*'PFC Calculations'!$I$3)-'PFC Calculations'!N25,IF('Power Factor Correction'!E$25*'Power Factor Correction'!E$26*'Power Factor Correction'!E$27&gt;0,((('Power Factor Correction'!E$26*'Power Factor Correction'!E$27)/(365*24))*'PFC Calculations'!$I$6*'Power Factor Correction'!E$25),0)),0)</f>
        <v>0</v>
      </c>
      <c r="F25" s="179">
        <f>IF(AND($A25&gt;='Power Factor Correction'!F$11,$A25&lt;='Power Factor Correction'!F$12),IF('Power Factor Correction'!F54&gt;0,('Power Factor Correction'!F$23*'PFC Calculations'!$I$3)-'PFC Calculations'!O25,IF('Power Factor Correction'!F$25*'Power Factor Correction'!F$26*'Power Factor Correction'!F$27&gt;0,((('Power Factor Correction'!F$26*'Power Factor Correction'!F$27)/(365*24))*'PFC Calculations'!$I$6*'Power Factor Correction'!F$25),0)),0)</f>
        <v>0</v>
      </c>
      <c r="G25" s="179">
        <f t="shared" si="1"/>
        <v>0</v>
      </c>
      <c r="K25" s="179">
        <f>IF(AND($A25&gt;='Power Factor Correction'!B$11,$A25&lt;='Power Factor Correction'!B$12),IF('Power Factor Correction'!B$31&gt;0,'Data Entry Electricity'!$F26*'PFC Calculations'!$I$3*(TAN(ACOS('Power Factor Correction'!B$31))),IF('Power Factor Correction'!B$46&gt;0,'Power Factor Correction'!B$46*'PFC Calculations'!$I$3,0)),0)</f>
        <v>0</v>
      </c>
      <c r="L25" s="179">
        <f>IF(AND($A25&gt;='Power Factor Correction'!C$11,$A25&lt;='Power Factor Correction'!C$12),IF('Power Factor Correction'!C$31&gt;0,'Data Entry Electricity'!$F26*'PFC Calculations'!$I$3*(TAN(ACOS('Power Factor Correction'!C$31))),IF('Power Factor Correction'!C$46&gt;0,'Power Factor Correction'!C$46*'PFC Calculations'!$I$3,0)),0)</f>
        <v>0</v>
      </c>
      <c r="M25" s="179">
        <f>IF(AND($A25&gt;='Power Factor Correction'!D$11,$A25&lt;='Power Factor Correction'!D$12),IF('Power Factor Correction'!D$31&gt;0,'Data Entry Electricity'!$F26*'PFC Calculations'!$I$3*(TAN(ACOS('Power Factor Correction'!D$31))),IF('Power Factor Correction'!D$46&gt;0,'Power Factor Correction'!D$46*'PFC Calculations'!$I$3,0)),0)</f>
        <v>0</v>
      </c>
      <c r="N25" s="179">
        <f>IF(AND($A25&gt;='Power Factor Correction'!E$11,$A25&lt;='Power Factor Correction'!E$12),IF('Power Factor Correction'!E$31&gt;0,'Data Entry Electricity'!$F26*'PFC Calculations'!$I$3*(TAN(ACOS('Power Factor Correction'!E$31))),IF('Power Factor Correction'!E$46&gt;0,'Power Factor Correction'!E$46*'PFC Calculations'!$I$3,0)),0)</f>
        <v>0</v>
      </c>
      <c r="O25" s="179">
        <f>IF(AND($A25&gt;='Power Factor Correction'!F$11,$A25&lt;='Power Factor Correction'!F$12),IF('Power Factor Correction'!F$31&gt;0,'Data Entry Electricity'!$F26*'PFC Calculations'!$I$3*(TAN(ACOS('Power Factor Correction'!F$31))),IF('Power Factor Correction'!F$46&gt;0,'Power Factor Correction'!F$46*'PFC Calculations'!$I$3,0)),0)</f>
        <v>0</v>
      </c>
      <c r="P25" s="179">
        <f t="shared" si="2"/>
        <v>0</v>
      </c>
    </row>
    <row r="26" spans="1:16">
      <c r="A26" s="179" t="s">
        <v>1</v>
      </c>
      <c r="B26" s="179">
        <f>IF(AND($A26&gt;='Power Factor Correction'!B$11,$A26&lt;='Power Factor Correction'!B$12),IF('Power Factor Correction'!B55&gt;0,('Power Factor Correction'!B$23*'PFC Calculations'!$I$3)-'PFC Calculations'!K26,IF('Power Factor Correction'!B$25*'Power Factor Correction'!B$26*'Power Factor Correction'!B$27&gt;0,((('Power Factor Correction'!B$26*'Power Factor Correction'!B$27)/(365*24))*'PFC Calculations'!$I$6*'Power Factor Correction'!B$25),0)),0)</f>
        <v>0</v>
      </c>
      <c r="C26" s="179">
        <f>IF(AND($A26&gt;='Power Factor Correction'!C$11,$A26&lt;='Power Factor Correction'!C$12),IF('Power Factor Correction'!C55&gt;0,('Power Factor Correction'!C$23*'PFC Calculations'!$I$3)-'PFC Calculations'!L26,IF('Power Factor Correction'!C$25*'Power Factor Correction'!C$26*'Power Factor Correction'!C$27&gt;0,((('Power Factor Correction'!C$26*'Power Factor Correction'!C$27)/(365*24))*'PFC Calculations'!$I$6*'Power Factor Correction'!C$25),0)),0)</f>
        <v>0</v>
      </c>
      <c r="D26" s="179">
        <f>IF(AND($A26&gt;='Power Factor Correction'!D$11,$A26&lt;='Power Factor Correction'!D$12),IF('Power Factor Correction'!D55&gt;0,('Power Factor Correction'!D$23*'PFC Calculations'!$I$3)-'PFC Calculations'!M26,IF('Power Factor Correction'!D$25*'Power Factor Correction'!D$26*'Power Factor Correction'!D$27&gt;0,((('Power Factor Correction'!D$26*'Power Factor Correction'!D$27)/(365*24))*'PFC Calculations'!$I$6*'Power Factor Correction'!D$25),0)),0)</f>
        <v>0</v>
      </c>
      <c r="E26" s="179">
        <f>IF(AND($A26&gt;='Power Factor Correction'!E$11,$A26&lt;='Power Factor Correction'!E$12),IF('Power Factor Correction'!E55&gt;0,('Power Factor Correction'!E$23*'PFC Calculations'!$I$3)-'PFC Calculations'!N26,IF('Power Factor Correction'!E$25*'Power Factor Correction'!E$26*'Power Factor Correction'!E$27&gt;0,((('Power Factor Correction'!E$26*'Power Factor Correction'!E$27)/(365*24))*'PFC Calculations'!$I$6*'Power Factor Correction'!E$25),0)),0)</f>
        <v>0</v>
      </c>
      <c r="F26" s="179">
        <f>IF(AND($A26&gt;='Power Factor Correction'!F$11,$A26&lt;='Power Factor Correction'!F$12),IF('Power Factor Correction'!F55&gt;0,('Power Factor Correction'!F$23*'PFC Calculations'!$I$3)-'PFC Calculations'!O26,IF('Power Factor Correction'!F$25*'Power Factor Correction'!F$26*'Power Factor Correction'!F$27&gt;0,((('Power Factor Correction'!F$26*'Power Factor Correction'!F$27)/(365*24))*'PFC Calculations'!$I$6*'Power Factor Correction'!F$25),0)),0)</f>
        <v>0</v>
      </c>
      <c r="G26" s="179">
        <f t="shared" si="1"/>
        <v>0</v>
      </c>
      <c r="K26" s="179">
        <f>IF(AND($A26&gt;='Power Factor Correction'!B$11,$A26&lt;='Power Factor Correction'!B$12),IF('Power Factor Correction'!B$31&gt;0,'Data Entry Electricity'!$F27*'PFC Calculations'!$I$3*(TAN(ACOS('Power Factor Correction'!B$31))),IF('Power Factor Correction'!B$46&gt;0,'Power Factor Correction'!B$46*'PFC Calculations'!$I$3,0)),0)</f>
        <v>0</v>
      </c>
      <c r="L26" s="179">
        <f>IF(AND($A26&gt;='Power Factor Correction'!C$11,$A26&lt;='Power Factor Correction'!C$12),IF('Power Factor Correction'!C$31&gt;0,'Data Entry Electricity'!$F27*'PFC Calculations'!$I$3*(TAN(ACOS('Power Factor Correction'!C$31))),IF('Power Factor Correction'!C$46&gt;0,'Power Factor Correction'!C$46*'PFC Calculations'!$I$3,0)),0)</f>
        <v>0</v>
      </c>
      <c r="M26" s="179">
        <f>IF(AND($A26&gt;='Power Factor Correction'!D$11,$A26&lt;='Power Factor Correction'!D$12),IF('Power Factor Correction'!D$31&gt;0,'Data Entry Electricity'!$F27*'PFC Calculations'!$I$3*(TAN(ACOS('Power Factor Correction'!D$31))),IF('Power Factor Correction'!D$46&gt;0,'Power Factor Correction'!D$46*'PFC Calculations'!$I$3,0)),0)</f>
        <v>0</v>
      </c>
      <c r="N26" s="179">
        <f>IF(AND($A26&gt;='Power Factor Correction'!E$11,$A26&lt;='Power Factor Correction'!E$12),IF('Power Factor Correction'!E$31&gt;0,'Data Entry Electricity'!$F27*'PFC Calculations'!$I$3*(TAN(ACOS('Power Factor Correction'!E$31))),IF('Power Factor Correction'!E$46&gt;0,'Power Factor Correction'!E$46*'PFC Calculations'!$I$3,0)),0)</f>
        <v>0</v>
      </c>
      <c r="O26" s="179">
        <f>IF(AND($A26&gt;='Power Factor Correction'!F$11,$A26&lt;='Power Factor Correction'!F$12),IF('Power Factor Correction'!F$31&gt;0,'Data Entry Electricity'!$F27*'PFC Calculations'!$I$3*(TAN(ACOS('Power Factor Correction'!F$31))),IF('Power Factor Correction'!F$46&gt;0,'Power Factor Correction'!F$46*'PFC Calculations'!$I$3,0)),0)</f>
        <v>0</v>
      </c>
      <c r="P26" s="179">
        <f t="shared" si="2"/>
        <v>0</v>
      </c>
    </row>
    <row r="27" spans="1:16">
      <c r="A27" s="179" t="s">
        <v>2</v>
      </c>
      <c r="B27" s="179">
        <f>IF(AND($A27&gt;='Power Factor Correction'!B$11,$A27&lt;='Power Factor Correction'!B$12),IF('Power Factor Correction'!#REF!&gt;0,('Power Factor Correction'!B$23*'PFC Calculations'!$I$3)-'PFC Calculations'!K27,IF('Power Factor Correction'!B$25*'Power Factor Correction'!B$26*'Power Factor Correction'!B$27&gt;0,((('Power Factor Correction'!B$26*'Power Factor Correction'!B$27)/(365*24))*'PFC Calculations'!$I$6*'Power Factor Correction'!B$25),0)),0)</f>
        <v>0</v>
      </c>
      <c r="C27" s="179">
        <f>IF(AND($A27&gt;='Power Factor Correction'!C$11,$A27&lt;='Power Factor Correction'!C$12),IF('Power Factor Correction'!#REF!&gt;0,('Power Factor Correction'!C$23*'PFC Calculations'!$I$3)-'PFC Calculations'!L27,IF('Power Factor Correction'!C$25*'Power Factor Correction'!C$26*'Power Factor Correction'!C$27&gt;0,((('Power Factor Correction'!C$26*'Power Factor Correction'!C$27)/(365*24))*'PFC Calculations'!$I$6*'Power Factor Correction'!C$25),0)),0)</f>
        <v>0</v>
      </c>
      <c r="D27" s="179">
        <f>IF(AND($A27&gt;='Power Factor Correction'!D$11,$A27&lt;='Power Factor Correction'!D$12),IF('Power Factor Correction'!#REF!&gt;0,('Power Factor Correction'!D$23*'PFC Calculations'!$I$3)-'PFC Calculations'!M27,IF('Power Factor Correction'!D$25*'Power Factor Correction'!D$26*'Power Factor Correction'!D$27&gt;0,((('Power Factor Correction'!D$26*'Power Factor Correction'!D$27)/(365*24))*'PFC Calculations'!$I$6*'Power Factor Correction'!D$25),0)),0)</f>
        <v>0</v>
      </c>
      <c r="E27" s="179">
        <f>IF(AND($A27&gt;='Power Factor Correction'!E$11,$A27&lt;='Power Factor Correction'!E$12),IF('Power Factor Correction'!#REF!&gt;0,('Power Factor Correction'!E$23*'PFC Calculations'!$I$3)-'PFC Calculations'!N27,IF('Power Factor Correction'!E$25*'Power Factor Correction'!E$26*'Power Factor Correction'!E$27&gt;0,((('Power Factor Correction'!E$26*'Power Factor Correction'!E$27)/(365*24))*'PFC Calculations'!$I$6*'Power Factor Correction'!E$25),0)),0)</f>
        <v>0</v>
      </c>
      <c r="F27" s="179">
        <f>IF(AND($A27&gt;='Power Factor Correction'!F$11,$A27&lt;='Power Factor Correction'!F$12),IF('Power Factor Correction'!#REF!&gt;0,('Power Factor Correction'!F$23*'PFC Calculations'!$I$3)-'PFC Calculations'!O27,IF('Power Factor Correction'!F$25*'Power Factor Correction'!F$26*'Power Factor Correction'!F$27&gt;0,((('Power Factor Correction'!F$26*'Power Factor Correction'!F$27)/(365*24))*'PFC Calculations'!$I$6*'Power Factor Correction'!F$25),0)),0)</f>
        <v>0</v>
      </c>
      <c r="G27" s="179">
        <f t="shared" si="1"/>
        <v>0</v>
      </c>
      <c r="K27" s="179">
        <f>IF(AND($A27&gt;='Power Factor Correction'!B$11,$A27&lt;='Power Factor Correction'!B$12),IF('Power Factor Correction'!B$31&gt;0,'Data Entry Electricity'!$F28*'PFC Calculations'!$I$3*(TAN(ACOS('Power Factor Correction'!B$31))),IF('Power Factor Correction'!B$46&gt;0,'Power Factor Correction'!B$46*'PFC Calculations'!$I$3,0)),0)</f>
        <v>0</v>
      </c>
      <c r="L27" s="179">
        <f>IF(AND($A27&gt;='Power Factor Correction'!C$11,$A27&lt;='Power Factor Correction'!C$12),IF('Power Factor Correction'!C$31&gt;0,'Data Entry Electricity'!$F28*'PFC Calculations'!$I$3*(TAN(ACOS('Power Factor Correction'!C$31))),IF('Power Factor Correction'!C$46&gt;0,'Power Factor Correction'!C$46*'PFC Calculations'!$I$3,0)),0)</f>
        <v>0</v>
      </c>
      <c r="M27" s="179">
        <f>IF(AND($A27&gt;='Power Factor Correction'!D$11,$A27&lt;='Power Factor Correction'!D$12),IF('Power Factor Correction'!D$31&gt;0,'Data Entry Electricity'!$F28*'PFC Calculations'!$I$3*(TAN(ACOS('Power Factor Correction'!D$31))),IF('Power Factor Correction'!D$46&gt;0,'Power Factor Correction'!D$46*'PFC Calculations'!$I$3,0)),0)</f>
        <v>0</v>
      </c>
      <c r="N27" s="179">
        <f>IF(AND($A27&gt;='Power Factor Correction'!E$11,$A27&lt;='Power Factor Correction'!E$12),IF('Power Factor Correction'!E$31&gt;0,'Data Entry Electricity'!$F28*'PFC Calculations'!$I$3*(TAN(ACOS('Power Factor Correction'!E$31))),IF('Power Factor Correction'!E$46&gt;0,'Power Factor Correction'!E$46*'PFC Calculations'!$I$3,0)),0)</f>
        <v>0</v>
      </c>
      <c r="O27" s="179">
        <f>IF(AND($A27&gt;='Power Factor Correction'!F$11,$A27&lt;='Power Factor Correction'!F$12),IF('Power Factor Correction'!F$31&gt;0,'Data Entry Electricity'!$F28*'PFC Calculations'!$I$3*(TAN(ACOS('Power Factor Correction'!F$31))),IF('Power Factor Correction'!F$46&gt;0,'Power Factor Correction'!F$46*'PFC Calculations'!$I$3,0)),0)</f>
        <v>0</v>
      </c>
      <c r="P27" s="179">
        <f t="shared" si="2"/>
        <v>0</v>
      </c>
    </row>
    <row r="28" spans="1:16">
      <c r="A28" s="179" t="s">
        <v>3</v>
      </c>
      <c r="B28" s="179">
        <f>IF(AND($A28&gt;='Power Factor Correction'!B$11,$A28&lt;='Power Factor Correction'!B$12),IF('Power Factor Correction'!B56&gt;0,('Power Factor Correction'!B$23*'PFC Calculations'!$I$3)-'PFC Calculations'!K28,IF('Power Factor Correction'!B$25*'Power Factor Correction'!B$26*'Power Factor Correction'!B$27&gt;0,((('Power Factor Correction'!B$26*'Power Factor Correction'!B$27)/(365*24))*'PFC Calculations'!$I$6*'Power Factor Correction'!B$25),0)),0)</f>
        <v>0</v>
      </c>
      <c r="C28" s="179">
        <f>IF(AND($A28&gt;='Power Factor Correction'!C$11,$A28&lt;='Power Factor Correction'!C$12),IF('Power Factor Correction'!C56&gt;0,('Power Factor Correction'!C$23*'PFC Calculations'!$I$3)-'PFC Calculations'!L28,IF('Power Factor Correction'!C$25*'Power Factor Correction'!C$26*'Power Factor Correction'!C$27&gt;0,((('Power Factor Correction'!C$26*'Power Factor Correction'!C$27)/(365*24))*'PFC Calculations'!$I$6*'Power Factor Correction'!C$25),0)),0)</f>
        <v>0</v>
      </c>
      <c r="D28" s="179">
        <f>IF(AND($A28&gt;='Power Factor Correction'!D$11,$A28&lt;='Power Factor Correction'!D$12),IF('Power Factor Correction'!D56&gt;0,('Power Factor Correction'!D$23*'PFC Calculations'!$I$3)-'PFC Calculations'!M28,IF('Power Factor Correction'!D$25*'Power Factor Correction'!D$26*'Power Factor Correction'!D$27&gt;0,((('Power Factor Correction'!D$26*'Power Factor Correction'!D$27)/(365*24))*'PFC Calculations'!$I$6*'Power Factor Correction'!D$25),0)),0)</f>
        <v>0</v>
      </c>
      <c r="E28" s="179">
        <f>IF(AND($A28&gt;='Power Factor Correction'!E$11,$A28&lt;='Power Factor Correction'!E$12),IF('Power Factor Correction'!E56&gt;0,('Power Factor Correction'!E$23*'PFC Calculations'!$I$3)-'PFC Calculations'!N28,IF('Power Factor Correction'!E$25*'Power Factor Correction'!E$26*'Power Factor Correction'!E$27&gt;0,((('Power Factor Correction'!E$26*'Power Factor Correction'!E$27)/(365*24))*'PFC Calculations'!$I$6*'Power Factor Correction'!E$25),0)),0)</f>
        <v>0</v>
      </c>
      <c r="F28" s="179">
        <f>IF(AND($A28&gt;='Power Factor Correction'!F$11,$A28&lt;='Power Factor Correction'!F$12),IF('Power Factor Correction'!F56&gt;0,('Power Factor Correction'!F$23*'PFC Calculations'!$I$3)-'PFC Calculations'!O28,IF('Power Factor Correction'!F$25*'Power Factor Correction'!F$26*'Power Factor Correction'!F$27&gt;0,((('Power Factor Correction'!F$26*'Power Factor Correction'!F$27)/(365*24))*'PFC Calculations'!$I$6*'Power Factor Correction'!F$25),0)),0)</f>
        <v>0</v>
      </c>
      <c r="G28" s="179">
        <f t="shared" si="1"/>
        <v>0</v>
      </c>
      <c r="K28" s="179">
        <f>IF(AND($A28&gt;='Power Factor Correction'!B$11,$A28&lt;='Power Factor Correction'!B$12),IF('Power Factor Correction'!B$31&gt;0,'Data Entry Electricity'!$F29*'PFC Calculations'!$I$3*(TAN(ACOS('Power Factor Correction'!B$31))),IF('Power Factor Correction'!B$46&gt;0,'Power Factor Correction'!B$46*'PFC Calculations'!$I$3,0)),0)</f>
        <v>0</v>
      </c>
      <c r="L28" s="179">
        <f>IF(AND($A28&gt;='Power Factor Correction'!C$11,$A28&lt;='Power Factor Correction'!C$12),IF('Power Factor Correction'!C$31&gt;0,'Data Entry Electricity'!$F29*'PFC Calculations'!$I$3*(TAN(ACOS('Power Factor Correction'!C$31))),IF('Power Factor Correction'!C$46&gt;0,'Power Factor Correction'!C$46*'PFC Calculations'!$I$3,0)),0)</f>
        <v>0</v>
      </c>
      <c r="M28" s="179">
        <f>IF(AND($A28&gt;='Power Factor Correction'!D$11,$A28&lt;='Power Factor Correction'!D$12),IF('Power Factor Correction'!D$31&gt;0,'Data Entry Electricity'!$F29*'PFC Calculations'!$I$3*(TAN(ACOS('Power Factor Correction'!D$31))),IF('Power Factor Correction'!D$46&gt;0,'Power Factor Correction'!D$46*'PFC Calculations'!$I$3,0)),0)</f>
        <v>0</v>
      </c>
      <c r="N28" s="179">
        <f>IF(AND($A28&gt;='Power Factor Correction'!E$11,$A28&lt;='Power Factor Correction'!E$12),IF('Power Factor Correction'!E$31&gt;0,'Data Entry Electricity'!$F29*'PFC Calculations'!$I$3*(TAN(ACOS('Power Factor Correction'!E$31))),IF('Power Factor Correction'!E$46&gt;0,'Power Factor Correction'!E$46*'PFC Calculations'!$I$3,0)),0)</f>
        <v>0</v>
      </c>
      <c r="O28" s="179">
        <f>IF(AND($A28&gt;='Power Factor Correction'!F$11,$A28&lt;='Power Factor Correction'!F$12),IF('Power Factor Correction'!F$31&gt;0,'Data Entry Electricity'!$F29*'PFC Calculations'!$I$3*(TAN(ACOS('Power Factor Correction'!F$31))),IF('Power Factor Correction'!F$46&gt;0,'Power Factor Correction'!F$46*'PFC Calculations'!$I$3,0)),0)</f>
        <v>0</v>
      </c>
      <c r="P28" s="179">
        <f t="shared" si="2"/>
        <v>0</v>
      </c>
    </row>
    <row r="29" spans="1:16">
      <c r="A29" s="179" t="s">
        <v>49</v>
      </c>
      <c r="B29" s="179">
        <f>IF(AND($A29&gt;='Power Factor Correction'!B$11,$A29&lt;='Power Factor Correction'!B$12),IF('Power Factor Correction'!B57&gt;0,('Power Factor Correction'!B$23*'PFC Calculations'!$I$3)-'PFC Calculations'!K29,IF('Power Factor Correction'!B$25*'Power Factor Correction'!B$26*'Power Factor Correction'!B$27&gt;0,((('Power Factor Correction'!B$26*'Power Factor Correction'!B$27)/(365*24))*'PFC Calculations'!$I$6*'Power Factor Correction'!B$25),0)),0)</f>
        <v>0</v>
      </c>
      <c r="C29" s="179">
        <f>IF(AND($A29&gt;='Power Factor Correction'!C$11,$A29&lt;='Power Factor Correction'!C$12),IF('Power Factor Correction'!C57&gt;0,('Power Factor Correction'!C$23*'PFC Calculations'!$I$3)-'PFC Calculations'!L29,IF('Power Factor Correction'!C$25*'Power Factor Correction'!C$26*'Power Factor Correction'!C$27&gt;0,((('Power Factor Correction'!C$26*'Power Factor Correction'!C$27)/(365*24))*'PFC Calculations'!$I$6*'Power Factor Correction'!C$25),0)),0)</f>
        <v>0</v>
      </c>
      <c r="D29" s="179">
        <f>IF(AND($A29&gt;='Power Factor Correction'!D$11,$A29&lt;='Power Factor Correction'!D$12),IF('Power Factor Correction'!D57&gt;0,('Power Factor Correction'!D$23*'PFC Calculations'!$I$3)-'PFC Calculations'!M29,IF('Power Factor Correction'!D$25*'Power Factor Correction'!D$26*'Power Factor Correction'!D$27&gt;0,((('Power Factor Correction'!D$26*'Power Factor Correction'!D$27)/(365*24))*'PFC Calculations'!$I$6*'Power Factor Correction'!D$25),0)),0)</f>
        <v>0</v>
      </c>
      <c r="E29" s="179">
        <f>IF(AND($A29&gt;='Power Factor Correction'!E$11,$A29&lt;='Power Factor Correction'!E$12),IF('Power Factor Correction'!E57&gt;0,('Power Factor Correction'!E$23*'PFC Calculations'!$I$3)-'PFC Calculations'!N29,IF('Power Factor Correction'!E$25*'Power Factor Correction'!E$26*'Power Factor Correction'!E$27&gt;0,((('Power Factor Correction'!E$26*'Power Factor Correction'!E$27)/(365*24))*'PFC Calculations'!$I$6*'Power Factor Correction'!E$25),0)),0)</f>
        <v>0</v>
      </c>
      <c r="F29" s="179">
        <f>IF(AND($A29&gt;='Power Factor Correction'!F$11,$A29&lt;='Power Factor Correction'!F$12),IF('Power Factor Correction'!F57&gt;0,('Power Factor Correction'!F$23*'PFC Calculations'!$I$3)-'PFC Calculations'!O29,IF('Power Factor Correction'!F$25*'Power Factor Correction'!F$26*'Power Factor Correction'!F$27&gt;0,((('Power Factor Correction'!F$26*'Power Factor Correction'!F$27)/(365*24))*'PFC Calculations'!$I$6*'Power Factor Correction'!F$25),0)),0)</f>
        <v>0</v>
      </c>
      <c r="G29" s="179">
        <f t="shared" si="1"/>
        <v>0</v>
      </c>
      <c r="K29" s="179">
        <f>IF(AND($A29&gt;='Power Factor Correction'!B$11,$A29&lt;='Power Factor Correction'!B$12),IF('Power Factor Correction'!B$31&gt;0,'Data Entry Electricity'!$F30*'PFC Calculations'!$I$3*(TAN(ACOS('Power Factor Correction'!B$31))),IF('Power Factor Correction'!B$46&gt;0,'Power Factor Correction'!B$46*'PFC Calculations'!$I$3,0)),0)</f>
        <v>0</v>
      </c>
      <c r="L29" s="179">
        <f>IF(AND($A29&gt;='Power Factor Correction'!C$11,$A29&lt;='Power Factor Correction'!C$12),IF('Power Factor Correction'!C$31&gt;0,'Data Entry Electricity'!$F30*'PFC Calculations'!$I$3*(TAN(ACOS('Power Factor Correction'!C$31))),IF('Power Factor Correction'!C$46&gt;0,'Power Factor Correction'!C$46*'PFC Calculations'!$I$3,0)),0)</f>
        <v>0</v>
      </c>
      <c r="M29" s="179">
        <f>IF(AND($A29&gt;='Power Factor Correction'!D$11,$A29&lt;='Power Factor Correction'!D$12),IF('Power Factor Correction'!D$31&gt;0,'Data Entry Electricity'!$F30*'PFC Calculations'!$I$3*(TAN(ACOS('Power Factor Correction'!D$31))),IF('Power Factor Correction'!D$46&gt;0,'Power Factor Correction'!D$46*'PFC Calculations'!$I$3,0)),0)</f>
        <v>0</v>
      </c>
      <c r="N29" s="179">
        <f>IF(AND($A29&gt;='Power Factor Correction'!E$11,$A29&lt;='Power Factor Correction'!E$12),IF('Power Factor Correction'!E$31&gt;0,'Data Entry Electricity'!$F30*'PFC Calculations'!$I$3*(TAN(ACOS('Power Factor Correction'!E$31))),IF('Power Factor Correction'!E$46&gt;0,'Power Factor Correction'!E$46*'PFC Calculations'!$I$3,0)),0)</f>
        <v>0</v>
      </c>
      <c r="O29" s="179">
        <f>IF(AND($A29&gt;='Power Factor Correction'!F$11,$A29&lt;='Power Factor Correction'!F$12),IF('Power Factor Correction'!F$31&gt;0,'Data Entry Electricity'!$F30*'PFC Calculations'!$I$3*(TAN(ACOS('Power Factor Correction'!F$31))),IF('Power Factor Correction'!F$46&gt;0,'Power Factor Correction'!F$46*'PFC Calculations'!$I$3,0)),0)</f>
        <v>0</v>
      </c>
      <c r="P29" s="179">
        <f t="shared" si="2"/>
        <v>0</v>
      </c>
    </row>
    <row r="30" spans="1:16">
      <c r="A30" s="179" t="s">
        <v>50</v>
      </c>
      <c r="B30" s="179">
        <f>IF(AND($A30&gt;='Power Factor Correction'!B$11,$A30&lt;='Power Factor Correction'!B$12),IF('Power Factor Correction'!B58&gt;0,('Power Factor Correction'!B$23*'PFC Calculations'!$I$3)-'PFC Calculations'!K30,IF('Power Factor Correction'!B$25*'Power Factor Correction'!B$26*'Power Factor Correction'!B$27&gt;0,((('Power Factor Correction'!B$26*'Power Factor Correction'!B$27)/(365*24))*'PFC Calculations'!$I$6*'Power Factor Correction'!B$25),0)),0)</f>
        <v>0</v>
      </c>
      <c r="C30" s="179">
        <f>IF(AND($A30&gt;='Power Factor Correction'!C$11,$A30&lt;='Power Factor Correction'!C$12),IF('Power Factor Correction'!C58&gt;0,('Power Factor Correction'!C$23*'PFC Calculations'!$I$3)-'PFC Calculations'!L30,IF('Power Factor Correction'!C$25*'Power Factor Correction'!C$26*'Power Factor Correction'!C$27&gt;0,((('Power Factor Correction'!C$26*'Power Factor Correction'!C$27)/(365*24))*'PFC Calculations'!$I$6*'Power Factor Correction'!C$25),0)),0)</f>
        <v>0</v>
      </c>
      <c r="D30" s="179">
        <f>IF(AND($A30&gt;='Power Factor Correction'!D$11,$A30&lt;='Power Factor Correction'!D$12),IF('Power Factor Correction'!D58&gt;0,('Power Factor Correction'!D$23*'PFC Calculations'!$I$3)-'PFC Calculations'!M30,IF('Power Factor Correction'!D$25*'Power Factor Correction'!D$26*'Power Factor Correction'!D$27&gt;0,((('Power Factor Correction'!D$26*'Power Factor Correction'!D$27)/(365*24))*'PFC Calculations'!$I$6*'Power Factor Correction'!D$25),0)),0)</f>
        <v>0</v>
      </c>
      <c r="E30" s="179">
        <f>IF(AND($A30&gt;='Power Factor Correction'!E$11,$A30&lt;='Power Factor Correction'!E$12),IF('Power Factor Correction'!E58&gt;0,('Power Factor Correction'!E$23*'PFC Calculations'!$I$3)-'PFC Calculations'!N30,IF('Power Factor Correction'!E$25*'Power Factor Correction'!E$26*'Power Factor Correction'!E$27&gt;0,((('Power Factor Correction'!E$26*'Power Factor Correction'!E$27)/(365*24))*'PFC Calculations'!$I$6*'Power Factor Correction'!E$25),0)),0)</f>
        <v>0</v>
      </c>
      <c r="F30" s="179">
        <f>IF(AND($A30&gt;='Power Factor Correction'!F$11,$A30&lt;='Power Factor Correction'!F$12),IF('Power Factor Correction'!F58&gt;0,('Power Factor Correction'!F$23*'PFC Calculations'!$I$3)-'PFC Calculations'!O30,IF('Power Factor Correction'!F$25*'Power Factor Correction'!F$26*'Power Factor Correction'!F$27&gt;0,((('Power Factor Correction'!F$26*'Power Factor Correction'!F$27)/(365*24))*'PFC Calculations'!$I$6*'Power Factor Correction'!F$25),0)),0)</f>
        <v>0</v>
      </c>
      <c r="G30" s="179">
        <f t="shared" si="1"/>
        <v>0</v>
      </c>
      <c r="K30" s="179">
        <f>IF(AND($A30&gt;='Power Factor Correction'!B$11,$A30&lt;='Power Factor Correction'!B$12),IF('Power Factor Correction'!B$31&gt;0,'Data Entry Electricity'!$F31*'PFC Calculations'!$I$3*(TAN(ACOS('Power Factor Correction'!B$31))),IF('Power Factor Correction'!B$46&gt;0,'Power Factor Correction'!B$46*'PFC Calculations'!$I$3,0)),0)</f>
        <v>0</v>
      </c>
      <c r="L30" s="179">
        <f>IF(AND($A30&gt;='Power Factor Correction'!C$11,$A30&lt;='Power Factor Correction'!C$12),IF('Power Factor Correction'!C$31&gt;0,'Data Entry Electricity'!$F31*'PFC Calculations'!$I$3*(TAN(ACOS('Power Factor Correction'!C$31))),IF('Power Factor Correction'!C$46&gt;0,'Power Factor Correction'!C$46*'PFC Calculations'!$I$3,0)),0)</f>
        <v>0</v>
      </c>
      <c r="M30" s="179">
        <f>IF(AND($A30&gt;='Power Factor Correction'!D$11,$A30&lt;='Power Factor Correction'!D$12),IF('Power Factor Correction'!D$31&gt;0,'Data Entry Electricity'!$F31*'PFC Calculations'!$I$3*(TAN(ACOS('Power Factor Correction'!D$31))),IF('Power Factor Correction'!D$46&gt;0,'Power Factor Correction'!D$46*'PFC Calculations'!$I$3,0)),0)</f>
        <v>0</v>
      </c>
      <c r="N30" s="179">
        <f>IF(AND($A30&gt;='Power Factor Correction'!E$11,$A30&lt;='Power Factor Correction'!E$12),IF('Power Factor Correction'!E$31&gt;0,'Data Entry Electricity'!$F31*'PFC Calculations'!$I$3*(TAN(ACOS('Power Factor Correction'!E$31))),IF('Power Factor Correction'!E$46&gt;0,'Power Factor Correction'!E$46*'PFC Calculations'!$I$3,0)),0)</f>
        <v>0</v>
      </c>
      <c r="O30" s="179">
        <f>IF(AND($A30&gt;='Power Factor Correction'!F$11,$A30&lt;='Power Factor Correction'!F$12),IF('Power Factor Correction'!F$31&gt;0,'Data Entry Electricity'!$F31*'PFC Calculations'!$I$3*(TAN(ACOS('Power Factor Correction'!F$31))),IF('Power Factor Correction'!F$46&gt;0,'Power Factor Correction'!F$46*'PFC Calculations'!$I$3,0)),0)</f>
        <v>0</v>
      </c>
      <c r="P30" s="179">
        <f t="shared" si="2"/>
        <v>0</v>
      </c>
    </row>
    <row r="31" spans="1:16">
      <c r="A31" s="179" t="s">
        <v>51</v>
      </c>
      <c r="B31" s="179">
        <f>IF(AND($A31&gt;='Power Factor Correction'!B$11,$A31&lt;='Power Factor Correction'!B$12),IF('Power Factor Correction'!B59&gt;0,('Power Factor Correction'!B$23*'PFC Calculations'!$I$3)-'PFC Calculations'!K31,IF('Power Factor Correction'!B$25*'Power Factor Correction'!B$26*'Power Factor Correction'!B$27&gt;0,((('Power Factor Correction'!B$26*'Power Factor Correction'!B$27)/(365*24))*'PFC Calculations'!$I$6*'Power Factor Correction'!B$25),0)),0)</f>
        <v>0</v>
      </c>
      <c r="C31" s="179">
        <f>IF(AND($A31&gt;='Power Factor Correction'!C$11,$A31&lt;='Power Factor Correction'!C$12),IF('Power Factor Correction'!C59&gt;0,('Power Factor Correction'!C$23*'PFC Calculations'!$I$3)-'PFC Calculations'!L31,IF('Power Factor Correction'!C$25*'Power Factor Correction'!C$26*'Power Factor Correction'!C$27&gt;0,((('Power Factor Correction'!C$26*'Power Factor Correction'!C$27)/(365*24))*'PFC Calculations'!$I$6*'Power Factor Correction'!C$25),0)),0)</f>
        <v>0</v>
      </c>
      <c r="D31" s="179">
        <f>IF(AND($A31&gt;='Power Factor Correction'!D$11,$A31&lt;='Power Factor Correction'!D$12),IF('Power Factor Correction'!D59&gt;0,('Power Factor Correction'!D$23*'PFC Calculations'!$I$3)-'PFC Calculations'!M31,IF('Power Factor Correction'!D$25*'Power Factor Correction'!D$26*'Power Factor Correction'!D$27&gt;0,((('Power Factor Correction'!D$26*'Power Factor Correction'!D$27)/(365*24))*'PFC Calculations'!$I$6*'Power Factor Correction'!D$25),0)),0)</f>
        <v>0</v>
      </c>
      <c r="E31" s="179">
        <f>IF(AND($A31&gt;='Power Factor Correction'!E$11,$A31&lt;='Power Factor Correction'!E$12),IF('Power Factor Correction'!E59&gt;0,('Power Factor Correction'!E$23*'PFC Calculations'!$I$3)-'PFC Calculations'!N31,IF('Power Factor Correction'!E$25*'Power Factor Correction'!E$26*'Power Factor Correction'!E$27&gt;0,((('Power Factor Correction'!E$26*'Power Factor Correction'!E$27)/(365*24))*'PFC Calculations'!$I$6*'Power Factor Correction'!E$25),0)),0)</f>
        <v>0</v>
      </c>
      <c r="F31" s="179">
        <f>IF(AND($A31&gt;='Power Factor Correction'!F$11,$A31&lt;='Power Factor Correction'!F$12),IF('Power Factor Correction'!F59&gt;0,('Power Factor Correction'!F$23*'PFC Calculations'!$I$3)-'PFC Calculations'!O31,IF('Power Factor Correction'!F$25*'Power Factor Correction'!F$26*'Power Factor Correction'!F$27&gt;0,((('Power Factor Correction'!F$26*'Power Factor Correction'!F$27)/(365*24))*'PFC Calculations'!$I$6*'Power Factor Correction'!F$25),0)),0)</f>
        <v>0</v>
      </c>
      <c r="G31" s="179">
        <f t="shared" si="1"/>
        <v>0</v>
      </c>
      <c r="K31" s="179">
        <f>IF(AND($A31&gt;='Power Factor Correction'!B$11,$A31&lt;='Power Factor Correction'!B$12),IF('Power Factor Correction'!B$31&gt;0,'Data Entry Electricity'!$F32*'PFC Calculations'!$I$3*(TAN(ACOS('Power Factor Correction'!B$31))),IF('Power Factor Correction'!B$46&gt;0,'Power Factor Correction'!B$46*'PFC Calculations'!$I$3,0)),0)</f>
        <v>0</v>
      </c>
      <c r="L31" s="179">
        <f>IF(AND($A31&gt;='Power Factor Correction'!C$11,$A31&lt;='Power Factor Correction'!C$12),IF('Power Factor Correction'!C$31&gt;0,'Data Entry Electricity'!$F32*'PFC Calculations'!$I$3*(TAN(ACOS('Power Factor Correction'!C$31))),IF('Power Factor Correction'!C$46&gt;0,'Power Factor Correction'!C$46*'PFC Calculations'!$I$3,0)),0)</f>
        <v>0</v>
      </c>
      <c r="M31" s="179">
        <f>IF(AND($A31&gt;='Power Factor Correction'!D$11,$A31&lt;='Power Factor Correction'!D$12),IF('Power Factor Correction'!D$31&gt;0,'Data Entry Electricity'!$F32*'PFC Calculations'!$I$3*(TAN(ACOS('Power Factor Correction'!D$31))),IF('Power Factor Correction'!D$46&gt;0,'Power Factor Correction'!D$46*'PFC Calculations'!$I$3,0)),0)</f>
        <v>0</v>
      </c>
      <c r="N31" s="179">
        <f>IF(AND($A31&gt;='Power Factor Correction'!E$11,$A31&lt;='Power Factor Correction'!E$12),IF('Power Factor Correction'!E$31&gt;0,'Data Entry Electricity'!$F32*'PFC Calculations'!$I$3*(TAN(ACOS('Power Factor Correction'!E$31))),IF('Power Factor Correction'!E$46&gt;0,'Power Factor Correction'!E$46*'PFC Calculations'!$I$3,0)),0)</f>
        <v>0</v>
      </c>
      <c r="O31" s="179">
        <f>IF(AND($A31&gt;='Power Factor Correction'!F$11,$A31&lt;='Power Factor Correction'!F$12),IF('Power Factor Correction'!F$31&gt;0,'Data Entry Electricity'!$F32*'PFC Calculations'!$I$3*(TAN(ACOS('Power Factor Correction'!F$31))),IF('Power Factor Correction'!F$46&gt;0,'Power Factor Correction'!F$46*'PFC Calculations'!$I$3,0)),0)</f>
        <v>0</v>
      </c>
      <c r="P31" s="179">
        <f t="shared" si="2"/>
        <v>0</v>
      </c>
    </row>
    <row r="32" spans="1:16">
      <c r="A32" s="179" t="s">
        <v>52</v>
      </c>
      <c r="B32" s="179">
        <f>IF(AND($A32&gt;='Power Factor Correction'!B$11,$A32&lt;='Power Factor Correction'!B$12),IF('Power Factor Correction'!B60&gt;0,('Power Factor Correction'!B$23*'PFC Calculations'!$I$3)-'PFC Calculations'!K32,IF('Power Factor Correction'!B$25*'Power Factor Correction'!B$26*'Power Factor Correction'!B$27&gt;0,((('Power Factor Correction'!B$26*'Power Factor Correction'!B$27)/(365*24))*'PFC Calculations'!$I$6*'Power Factor Correction'!B$25),0)),0)</f>
        <v>0</v>
      </c>
      <c r="C32" s="179">
        <f>IF(AND($A32&gt;='Power Factor Correction'!C$11,$A32&lt;='Power Factor Correction'!C$12),IF('Power Factor Correction'!C60&gt;0,('Power Factor Correction'!C$23*'PFC Calculations'!$I$3)-'PFC Calculations'!L32,IF('Power Factor Correction'!C$25*'Power Factor Correction'!C$26*'Power Factor Correction'!C$27&gt;0,((('Power Factor Correction'!C$26*'Power Factor Correction'!C$27)/(365*24))*'PFC Calculations'!$I$6*'Power Factor Correction'!C$25),0)),0)</f>
        <v>0</v>
      </c>
      <c r="D32" s="179">
        <f>IF(AND($A32&gt;='Power Factor Correction'!D$11,$A32&lt;='Power Factor Correction'!D$12),IF('Power Factor Correction'!D60&gt;0,('Power Factor Correction'!D$23*'PFC Calculations'!$I$3)-'PFC Calculations'!M32,IF('Power Factor Correction'!D$25*'Power Factor Correction'!D$26*'Power Factor Correction'!D$27&gt;0,((('Power Factor Correction'!D$26*'Power Factor Correction'!D$27)/(365*24))*'PFC Calculations'!$I$6*'Power Factor Correction'!D$25),0)),0)</f>
        <v>0</v>
      </c>
      <c r="E32" s="179">
        <f>IF(AND($A32&gt;='Power Factor Correction'!E$11,$A32&lt;='Power Factor Correction'!E$12),IF('Power Factor Correction'!E60&gt;0,('Power Factor Correction'!E$23*'PFC Calculations'!$I$3)-'PFC Calculations'!N32,IF('Power Factor Correction'!E$25*'Power Factor Correction'!E$26*'Power Factor Correction'!E$27&gt;0,((('Power Factor Correction'!E$26*'Power Factor Correction'!E$27)/(365*24))*'PFC Calculations'!$I$6*'Power Factor Correction'!E$25),0)),0)</f>
        <v>0</v>
      </c>
      <c r="F32" s="179">
        <f>IF(AND($A32&gt;='Power Factor Correction'!F$11,$A32&lt;='Power Factor Correction'!F$12),IF('Power Factor Correction'!F60&gt;0,('Power Factor Correction'!F$23*'PFC Calculations'!$I$3)-'PFC Calculations'!O32,IF('Power Factor Correction'!F$25*'Power Factor Correction'!F$26*'Power Factor Correction'!F$27&gt;0,((('Power Factor Correction'!F$26*'Power Factor Correction'!F$27)/(365*24))*'PFC Calculations'!$I$6*'Power Factor Correction'!F$25),0)),0)</f>
        <v>0</v>
      </c>
      <c r="G32" s="179">
        <f t="shared" si="1"/>
        <v>0</v>
      </c>
      <c r="K32" s="179">
        <f>IF(AND($A32&gt;='Power Factor Correction'!B$11,$A32&lt;='Power Factor Correction'!B$12),IF('Power Factor Correction'!B$31&gt;0,'Data Entry Electricity'!$F33*'PFC Calculations'!$I$3*(TAN(ACOS('Power Factor Correction'!B$31))),IF('Power Factor Correction'!B$46&gt;0,'Power Factor Correction'!B$46*'PFC Calculations'!$I$3,0)),0)</f>
        <v>0</v>
      </c>
      <c r="L32" s="179">
        <f>IF(AND($A32&gt;='Power Factor Correction'!C$11,$A32&lt;='Power Factor Correction'!C$12),IF('Power Factor Correction'!C$31&gt;0,'Data Entry Electricity'!$F33*'PFC Calculations'!$I$3*(TAN(ACOS('Power Factor Correction'!C$31))),IF('Power Factor Correction'!C$46&gt;0,'Power Factor Correction'!C$46*'PFC Calculations'!$I$3,0)),0)</f>
        <v>0</v>
      </c>
      <c r="M32" s="179">
        <f>IF(AND($A32&gt;='Power Factor Correction'!D$11,$A32&lt;='Power Factor Correction'!D$12),IF('Power Factor Correction'!D$31&gt;0,'Data Entry Electricity'!$F33*'PFC Calculations'!$I$3*(TAN(ACOS('Power Factor Correction'!D$31))),IF('Power Factor Correction'!D$46&gt;0,'Power Factor Correction'!D$46*'PFC Calculations'!$I$3,0)),0)</f>
        <v>0</v>
      </c>
      <c r="N32" s="179">
        <f>IF(AND($A32&gt;='Power Factor Correction'!E$11,$A32&lt;='Power Factor Correction'!E$12),IF('Power Factor Correction'!E$31&gt;0,'Data Entry Electricity'!$F33*'PFC Calculations'!$I$3*(TAN(ACOS('Power Factor Correction'!E$31))),IF('Power Factor Correction'!E$46&gt;0,'Power Factor Correction'!E$46*'PFC Calculations'!$I$3,0)),0)</f>
        <v>0</v>
      </c>
      <c r="O32" s="179">
        <f>IF(AND($A32&gt;='Power Factor Correction'!F$11,$A32&lt;='Power Factor Correction'!F$12),IF('Power Factor Correction'!F$31&gt;0,'Data Entry Electricity'!$F33*'PFC Calculations'!$I$3*(TAN(ACOS('Power Factor Correction'!F$31))),IF('Power Factor Correction'!F$46&gt;0,'Power Factor Correction'!F$46*'PFC Calculations'!$I$3,0)),0)</f>
        <v>0</v>
      </c>
      <c r="P32" s="179">
        <f t="shared" si="2"/>
        <v>0</v>
      </c>
    </row>
    <row r="33" spans="1:16">
      <c r="A33" s="179" t="s">
        <v>53</v>
      </c>
      <c r="B33" s="179">
        <f>IF(AND($A33&gt;='Power Factor Correction'!B$11,$A33&lt;='Power Factor Correction'!B$12),IF('Power Factor Correction'!B61&gt;0,('Power Factor Correction'!B$23*'PFC Calculations'!$I$3)-'PFC Calculations'!K33,IF('Power Factor Correction'!B$25*'Power Factor Correction'!B$26*'Power Factor Correction'!B$27&gt;0,((('Power Factor Correction'!B$26*'Power Factor Correction'!B$27)/(365*24))*'PFC Calculations'!$I$6*'Power Factor Correction'!B$25),0)),0)</f>
        <v>0</v>
      </c>
      <c r="C33" s="179">
        <f>IF(AND($A33&gt;='Power Factor Correction'!C$11,$A33&lt;='Power Factor Correction'!C$12),IF('Power Factor Correction'!C61&gt;0,('Power Factor Correction'!C$23*'PFC Calculations'!$I$3)-'PFC Calculations'!L33,IF('Power Factor Correction'!C$25*'Power Factor Correction'!C$26*'Power Factor Correction'!C$27&gt;0,((('Power Factor Correction'!C$26*'Power Factor Correction'!C$27)/(365*24))*'PFC Calculations'!$I$6*'Power Factor Correction'!C$25),0)),0)</f>
        <v>0</v>
      </c>
      <c r="D33" s="179">
        <f>IF(AND($A33&gt;='Power Factor Correction'!D$11,$A33&lt;='Power Factor Correction'!D$12),IF('Power Factor Correction'!D61&gt;0,('Power Factor Correction'!D$23*'PFC Calculations'!$I$3)-'PFC Calculations'!M33,IF('Power Factor Correction'!D$25*'Power Factor Correction'!D$26*'Power Factor Correction'!D$27&gt;0,((('Power Factor Correction'!D$26*'Power Factor Correction'!D$27)/(365*24))*'PFC Calculations'!$I$6*'Power Factor Correction'!D$25),0)),0)</f>
        <v>0</v>
      </c>
      <c r="E33" s="179">
        <f>IF(AND($A33&gt;='Power Factor Correction'!E$11,$A33&lt;='Power Factor Correction'!E$12),IF('Power Factor Correction'!E61&gt;0,('Power Factor Correction'!E$23*'PFC Calculations'!$I$3)-'PFC Calculations'!N33,IF('Power Factor Correction'!E$25*'Power Factor Correction'!E$26*'Power Factor Correction'!E$27&gt;0,((('Power Factor Correction'!E$26*'Power Factor Correction'!E$27)/(365*24))*'PFC Calculations'!$I$6*'Power Factor Correction'!E$25),0)),0)</f>
        <v>0</v>
      </c>
      <c r="F33" s="179">
        <f>IF(AND($A33&gt;='Power Factor Correction'!F$11,$A33&lt;='Power Factor Correction'!F$12),IF('Power Factor Correction'!F61&gt;0,('Power Factor Correction'!F$23*'PFC Calculations'!$I$3)-'PFC Calculations'!O33,IF('Power Factor Correction'!F$25*'Power Factor Correction'!F$26*'Power Factor Correction'!F$27&gt;0,((('Power Factor Correction'!F$26*'Power Factor Correction'!F$27)/(365*24))*'PFC Calculations'!$I$6*'Power Factor Correction'!F$25),0)),0)</f>
        <v>0</v>
      </c>
      <c r="G33" s="179">
        <f t="shared" si="1"/>
        <v>0</v>
      </c>
      <c r="K33" s="179">
        <f>IF(AND($A33&gt;='Power Factor Correction'!B$11,$A33&lt;='Power Factor Correction'!B$12),IF('Power Factor Correction'!B$31&gt;0,'Data Entry Electricity'!$F34*'PFC Calculations'!$I$3*(TAN(ACOS('Power Factor Correction'!B$31))),IF('Power Factor Correction'!B$46&gt;0,'Power Factor Correction'!B$46*'PFC Calculations'!$I$3,0)),0)</f>
        <v>0</v>
      </c>
      <c r="L33" s="179">
        <f>IF(AND($A33&gt;='Power Factor Correction'!C$11,$A33&lt;='Power Factor Correction'!C$12),IF('Power Factor Correction'!C$31&gt;0,'Data Entry Electricity'!$F34*'PFC Calculations'!$I$3*(TAN(ACOS('Power Factor Correction'!C$31))),IF('Power Factor Correction'!C$46&gt;0,'Power Factor Correction'!C$46*'PFC Calculations'!$I$3,0)),0)</f>
        <v>0</v>
      </c>
      <c r="M33" s="179">
        <f>IF(AND($A33&gt;='Power Factor Correction'!D$11,$A33&lt;='Power Factor Correction'!D$12),IF('Power Factor Correction'!D$31&gt;0,'Data Entry Electricity'!$F34*'PFC Calculations'!$I$3*(TAN(ACOS('Power Factor Correction'!D$31))),IF('Power Factor Correction'!D$46&gt;0,'Power Factor Correction'!D$46*'PFC Calculations'!$I$3,0)),0)</f>
        <v>0</v>
      </c>
      <c r="N33" s="179">
        <f>IF(AND($A33&gt;='Power Factor Correction'!E$11,$A33&lt;='Power Factor Correction'!E$12),IF('Power Factor Correction'!E$31&gt;0,'Data Entry Electricity'!$F34*'PFC Calculations'!$I$3*(TAN(ACOS('Power Factor Correction'!E$31))),IF('Power Factor Correction'!E$46&gt;0,'Power Factor Correction'!E$46*'PFC Calculations'!$I$3,0)),0)</f>
        <v>0</v>
      </c>
      <c r="O33" s="179">
        <f>IF(AND($A33&gt;='Power Factor Correction'!F$11,$A33&lt;='Power Factor Correction'!F$12),IF('Power Factor Correction'!F$31&gt;0,'Data Entry Electricity'!$F34*'PFC Calculations'!$I$3*(TAN(ACOS('Power Factor Correction'!F$31))),IF('Power Factor Correction'!F$46&gt;0,'Power Factor Correction'!F$46*'PFC Calculations'!$I$3,0)),0)</f>
        <v>0</v>
      </c>
      <c r="P33" s="179">
        <f t="shared" si="2"/>
        <v>0</v>
      </c>
    </row>
    <row r="34" spans="1:16">
      <c r="A34" s="179" t="s">
        <v>54</v>
      </c>
      <c r="B34" s="179">
        <f>IF(AND($A34&gt;='Power Factor Correction'!B$11,$A34&lt;='Power Factor Correction'!B$12),IF('Power Factor Correction'!B62&gt;0,('Power Factor Correction'!B$23*'PFC Calculations'!$I$3)-'PFC Calculations'!K34,IF('Power Factor Correction'!B$25*'Power Factor Correction'!B$26*'Power Factor Correction'!B$27&gt;0,((('Power Factor Correction'!B$26*'Power Factor Correction'!B$27)/(365*24))*'PFC Calculations'!$I$6*'Power Factor Correction'!B$25),0)),0)</f>
        <v>0</v>
      </c>
      <c r="C34" s="179">
        <f>IF(AND($A34&gt;='Power Factor Correction'!C$11,$A34&lt;='Power Factor Correction'!C$12),IF('Power Factor Correction'!C62&gt;0,('Power Factor Correction'!C$23*'PFC Calculations'!$I$3)-'PFC Calculations'!L34,IF('Power Factor Correction'!C$25*'Power Factor Correction'!C$26*'Power Factor Correction'!C$27&gt;0,((('Power Factor Correction'!C$26*'Power Factor Correction'!C$27)/(365*24))*'PFC Calculations'!$I$6*'Power Factor Correction'!C$25),0)),0)</f>
        <v>0</v>
      </c>
      <c r="D34" s="179">
        <f>IF(AND($A34&gt;='Power Factor Correction'!D$11,$A34&lt;='Power Factor Correction'!D$12),IF('Power Factor Correction'!D62&gt;0,('Power Factor Correction'!D$23*'PFC Calculations'!$I$3)-'PFC Calculations'!M34,IF('Power Factor Correction'!D$25*'Power Factor Correction'!D$26*'Power Factor Correction'!D$27&gt;0,((('Power Factor Correction'!D$26*'Power Factor Correction'!D$27)/(365*24))*'PFC Calculations'!$I$6*'Power Factor Correction'!D$25),0)),0)</f>
        <v>0</v>
      </c>
      <c r="E34" s="179">
        <f>IF(AND($A34&gt;='Power Factor Correction'!E$11,$A34&lt;='Power Factor Correction'!E$12),IF('Power Factor Correction'!E62&gt;0,('Power Factor Correction'!E$23*'PFC Calculations'!$I$3)-'PFC Calculations'!N34,IF('Power Factor Correction'!E$25*'Power Factor Correction'!E$26*'Power Factor Correction'!E$27&gt;0,((('Power Factor Correction'!E$26*'Power Factor Correction'!E$27)/(365*24))*'PFC Calculations'!$I$6*'Power Factor Correction'!E$25),0)),0)</f>
        <v>0</v>
      </c>
      <c r="F34" s="179">
        <f>IF(AND($A34&gt;='Power Factor Correction'!F$11,$A34&lt;='Power Factor Correction'!F$12),IF('Power Factor Correction'!F62&gt;0,('Power Factor Correction'!F$23*'PFC Calculations'!$I$3)-'PFC Calculations'!O34,IF('Power Factor Correction'!F$25*'Power Factor Correction'!F$26*'Power Factor Correction'!F$27&gt;0,((('Power Factor Correction'!F$26*'Power Factor Correction'!F$27)/(365*24))*'PFC Calculations'!$I$6*'Power Factor Correction'!F$25),0)),0)</f>
        <v>0</v>
      </c>
      <c r="G34" s="179">
        <f t="shared" si="1"/>
        <v>0</v>
      </c>
      <c r="K34" s="179">
        <f>IF(AND($A34&gt;='Power Factor Correction'!B$11,$A34&lt;='Power Factor Correction'!B$12),IF('Power Factor Correction'!B$31&gt;0,'Data Entry Electricity'!$F35*'PFC Calculations'!$I$3*(TAN(ACOS('Power Factor Correction'!B$31))),IF('Power Factor Correction'!B$46&gt;0,'Power Factor Correction'!B$46*'PFC Calculations'!$I$3,0)),0)</f>
        <v>0</v>
      </c>
      <c r="L34" s="179">
        <f>IF(AND($A34&gt;='Power Factor Correction'!C$11,$A34&lt;='Power Factor Correction'!C$12),IF('Power Factor Correction'!C$31&gt;0,'Data Entry Electricity'!$F35*'PFC Calculations'!$I$3*(TAN(ACOS('Power Factor Correction'!C$31))),IF('Power Factor Correction'!C$46&gt;0,'Power Factor Correction'!C$46*'PFC Calculations'!$I$3,0)),0)</f>
        <v>0</v>
      </c>
      <c r="M34" s="179">
        <f>IF(AND($A34&gt;='Power Factor Correction'!D$11,$A34&lt;='Power Factor Correction'!D$12),IF('Power Factor Correction'!D$31&gt;0,'Data Entry Electricity'!$F35*'PFC Calculations'!$I$3*(TAN(ACOS('Power Factor Correction'!D$31))),IF('Power Factor Correction'!D$46&gt;0,'Power Factor Correction'!D$46*'PFC Calculations'!$I$3,0)),0)</f>
        <v>0</v>
      </c>
      <c r="N34" s="179">
        <f>IF(AND($A34&gt;='Power Factor Correction'!E$11,$A34&lt;='Power Factor Correction'!E$12),IF('Power Factor Correction'!E$31&gt;0,'Data Entry Electricity'!$F35*'PFC Calculations'!$I$3*(TAN(ACOS('Power Factor Correction'!E$31))),IF('Power Factor Correction'!E$46&gt;0,'Power Factor Correction'!E$46*'PFC Calculations'!$I$3,0)),0)</f>
        <v>0</v>
      </c>
      <c r="O34" s="179">
        <f>IF(AND($A34&gt;='Power Factor Correction'!F$11,$A34&lt;='Power Factor Correction'!F$12),IF('Power Factor Correction'!F$31&gt;0,'Data Entry Electricity'!$F35*'PFC Calculations'!$I$3*(TAN(ACOS('Power Factor Correction'!F$31))),IF('Power Factor Correction'!F$46&gt;0,'Power Factor Correction'!F$46*'PFC Calculations'!$I$3,0)),0)</f>
        <v>0</v>
      </c>
      <c r="P34" s="179">
        <f t="shared" si="2"/>
        <v>0</v>
      </c>
    </row>
    <row r="35" spans="1:16">
      <c r="A35" s="179" t="s">
        <v>55</v>
      </c>
      <c r="B35" s="179">
        <f>IF(AND($A35&gt;='Power Factor Correction'!B$11,$A35&lt;='Power Factor Correction'!B$12),IF('Power Factor Correction'!B63&gt;0,('Power Factor Correction'!B$23*'PFC Calculations'!$I$3)-'PFC Calculations'!K35,IF('Power Factor Correction'!B$25*'Power Factor Correction'!B$26*'Power Factor Correction'!B$27&gt;0,((('Power Factor Correction'!B$26*'Power Factor Correction'!B$27)/(365*24))*'PFC Calculations'!$I$6*'Power Factor Correction'!B$25),0)),0)</f>
        <v>0</v>
      </c>
      <c r="C35" s="179">
        <f>IF(AND($A35&gt;='Power Factor Correction'!C$11,$A35&lt;='Power Factor Correction'!C$12),IF('Power Factor Correction'!C63&gt;0,('Power Factor Correction'!C$23*'PFC Calculations'!$I$3)-'PFC Calculations'!L35,IF('Power Factor Correction'!C$25*'Power Factor Correction'!C$26*'Power Factor Correction'!C$27&gt;0,((('Power Factor Correction'!C$26*'Power Factor Correction'!C$27)/(365*24))*'PFC Calculations'!$I$6*'Power Factor Correction'!C$25),0)),0)</f>
        <v>0</v>
      </c>
      <c r="D35" s="179">
        <f>IF(AND($A35&gt;='Power Factor Correction'!D$11,$A35&lt;='Power Factor Correction'!D$12),IF('Power Factor Correction'!D63&gt;0,('Power Factor Correction'!D$23*'PFC Calculations'!$I$3)-'PFC Calculations'!M35,IF('Power Factor Correction'!D$25*'Power Factor Correction'!D$26*'Power Factor Correction'!D$27&gt;0,((('Power Factor Correction'!D$26*'Power Factor Correction'!D$27)/(365*24))*'PFC Calculations'!$I$6*'Power Factor Correction'!D$25),0)),0)</f>
        <v>0</v>
      </c>
      <c r="E35" s="179">
        <f>IF(AND($A35&gt;='Power Factor Correction'!E$11,$A35&lt;='Power Factor Correction'!E$12),IF('Power Factor Correction'!E63&gt;0,('Power Factor Correction'!E$23*'PFC Calculations'!$I$3)-'PFC Calculations'!N35,IF('Power Factor Correction'!E$25*'Power Factor Correction'!E$26*'Power Factor Correction'!E$27&gt;0,((('Power Factor Correction'!E$26*'Power Factor Correction'!E$27)/(365*24))*'PFC Calculations'!$I$6*'Power Factor Correction'!E$25),0)),0)</f>
        <v>0</v>
      </c>
      <c r="F35" s="179">
        <f>IF(AND($A35&gt;='Power Factor Correction'!F$11,$A35&lt;='Power Factor Correction'!F$12),IF('Power Factor Correction'!F63&gt;0,('Power Factor Correction'!F$23*'PFC Calculations'!$I$3)-'PFC Calculations'!O35,IF('Power Factor Correction'!F$25*'Power Factor Correction'!F$26*'Power Factor Correction'!F$27&gt;0,((('Power Factor Correction'!F$26*'Power Factor Correction'!F$27)/(365*24))*'PFC Calculations'!$I$6*'Power Factor Correction'!F$25),0)),0)</f>
        <v>0</v>
      </c>
      <c r="G35" s="179">
        <f t="shared" si="1"/>
        <v>0</v>
      </c>
      <c r="K35" s="179">
        <f>IF(AND($A35&gt;='Power Factor Correction'!B$11,$A35&lt;='Power Factor Correction'!B$12),IF('Power Factor Correction'!B$31&gt;0,'Data Entry Electricity'!$F36*'PFC Calculations'!$I$3*(TAN(ACOS('Power Factor Correction'!B$31))),IF('Power Factor Correction'!B$46&gt;0,'Power Factor Correction'!B$46*'PFC Calculations'!$I$3,0)),0)</f>
        <v>0</v>
      </c>
      <c r="L35" s="179">
        <f>IF(AND($A35&gt;='Power Factor Correction'!C$11,$A35&lt;='Power Factor Correction'!C$12),IF('Power Factor Correction'!C$31&gt;0,'Data Entry Electricity'!$F36*'PFC Calculations'!$I$3*(TAN(ACOS('Power Factor Correction'!C$31))),IF('Power Factor Correction'!C$46&gt;0,'Power Factor Correction'!C$46*'PFC Calculations'!$I$3,0)),0)</f>
        <v>0</v>
      </c>
      <c r="M35" s="179">
        <f>IF(AND($A35&gt;='Power Factor Correction'!D$11,$A35&lt;='Power Factor Correction'!D$12),IF('Power Factor Correction'!D$31&gt;0,'Data Entry Electricity'!$F36*'PFC Calculations'!$I$3*(TAN(ACOS('Power Factor Correction'!D$31))),IF('Power Factor Correction'!D$46&gt;0,'Power Factor Correction'!D$46*'PFC Calculations'!$I$3,0)),0)</f>
        <v>0</v>
      </c>
      <c r="N35" s="179">
        <f>IF(AND($A35&gt;='Power Factor Correction'!E$11,$A35&lt;='Power Factor Correction'!E$12),IF('Power Factor Correction'!E$31&gt;0,'Data Entry Electricity'!$F36*'PFC Calculations'!$I$3*(TAN(ACOS('Power Factor Correction'!E$31))),IF('Power Factor Correction'!E$46&gt;0,'Power Factor Correction'!E$46*'PFC Calculations'!$I$3,0)),0)</f>
        <v>0</v>
      </c>
      <c r="O35" s="179">
        <f>IF(AND($A35&gt;='Power Factor Correction'!F$11,$A35&lt;='Power Factor Correction'!F$12),IF('Power Factor Correction'!F$31&gt;0,'Data Entry Electricity'!$F36*'PFC Calculations'!$I$3*(TAN(ACOS('Power Factor Correction'!F$31))),IF('Power Factor Correction'!F$46&gt;0,'Power Factor Correction'!F$46*'PFC Calculations'!$I$3,0)),0)</f>
        <v>0</v>
      </c>
      <c r="P35" s="179">
        <f t="shared" si="2"/>
        <v>0</v>
      </c>
    </row>
    <row r="36" spans="1:16">
      <c r="A36" s="179" t="s">
        <v>56</v>
      </c>
      <c r="B36" s="179">
        <f>IF(AND($A36&gt;='Power Factor Correction'!B$11,$A36&lt;='Power Factor Correction'!B$12),IF('Power Factor Correction'!B64&gt;0,('Power Factor Correction'!B$23*'PFC Calculations'!$I$3)-'PFC Calculations'!K36,IF('Power Factor Correction'!B$25*'Power Factor Correction'!B$26*'Power Factor Correction'!B$27&gt;0,((('Power Factor Correction'!B$26*'Power Factor Correction'!B$27)/(365*24))*'PFC Calculations'!$I$6*'Power Factor Correction'!B$25),0)),0)</f>
        <v>0</v>
      </c>
      <c r="C36" s="179">
        <f>IF(AND($A36&gt;='Power Factor Correction'!C$11,$A36&lt;='Power Factor Correction'!C$12),IF('Power Factor Correction'!C64&gt;0,('Power Factor Correction'!C$23*'PFC Calculations'!$I$3)-'PFC Calculations'!L36,IF('Power Factor Correction'!C$25*'Power Factor Correction'!C$26*'Power Factor Correction'!C$27&gt;0,((('Power Factor Correction'!C$26*'Power Factor Correction'!C$27)/(365*24))*'PFC Calculations'!$I$6*'Power Factor Correction'!C$25),0)),0)</f>
        <v>0</v>
      </c>
      <c r="D36" s="179">
        <f>IF(AND($A36&gt;='Power Factor Correction'!D$11,$A36&lt;='Power Factor Correction'!D$12),IF('Power Factor Correction'!D64&gt;0,('Power Factor Correction'!D$23*'PFC Calculations'!$I$3)-'PFC Calculations'!M36,IF('Power Factor Correction'!D$25*'Power Factor Correction'!D$26*'Power Factor Correction'!D$27&gt;0,((('Power Factor Correction'!D$26*'Power Factor Correction'!D$27)/(365*24))*'PFC Calculations'!$I$6*'Power Factor Correction'!D$25),0)),0)</f>
        <v>0</v>
      </c>
      <c r="E36" s="179">
        <f>IF(AND($A36&gt;='Power Factor Correction'!E$11,$A36&lt;='Power Factor Correction'!E$12),IF('Power Factor Correction'!E64&gt;0,('Power Factor Correction'!E$23*'PFC Calculations'!$I$3)-'PFC Calculations'!N36,IF('Power Factor Correction'!E$25*'Power Factor Correction'!E$26*'Power Factor Correction'!E$27&gt;0,((('Power Factor Correction'!E$26*'Power Factor Correction'!E$27)/(365*24))*'PFC Calculations'!$I$6*'Power Factor Correction'!E$25),0)),0)</f>
        <v>0</v>
      </c>
      <c r="F36" s="179">
        <f>IF(AND($A36&gt;='Power Factor Correction'!F$11,$A36&lt;='Power Factor Correction'!F$12),IF('Power Factor Correction'!F64&gt;0,('Power Factor Correction'!F$23*'PFC Calculations'!$I$3)-'PFC Calculations'!O36,IF('Power Factor Correction'!F$25*'Power Factor Correction'!F$26*'Power Factor Correction'!F$27&gt;0,((('Power Factor Correction'!F$26*'Power Factor Correction'!F$27)/(365*24))*'PFC Calculations'!$I$6*'Power Factor Correction'!F$25),0)),0)</f>
        <v>0</v>
      </c>
      <c r="G36" s="179">
        <f t="shared" si="1"/>
        <v>0</v>
      </c>
      <c r="K36" s="179">
        <f>IF(AND($A36&gt;='Power Factor Correction'!B$11,$A36&lt;='Power Factor Correction'!B$12),IF('Power Factor Correction'!B$31&gt;0,'Data Entry Electricity'!$F37*'PFC Calculations'!$I$3*(TAN(ACOS('Power Factor Correction'!B$31))),IF('Power Factor Correction'!B$46&gt;0,'Power Factor Correction'!B$46*'PFC Calculations'!$I$3,0)),0)</f>
        <v>0</v>
      </c>
      <c r="L36" s="179">
        <f>IF(AND($A36&gt;='Power Factor Correction'!C$11,$A36&lt;='Power Factor Correction'!C$12),IF('Power Factor Correction'!C$31&gt;0,'Data Entry Electricity'!$F37*'PFC Calculations'!$I$3*(TAN(ACOS('Power Factor Correction'!C$31))),IF('Power Factor Correction'!C$46&gt;0,'Power Factor Correction'!C$46*'PFC Calculations'!$I$3,0)),0)</f>
        <v>0</v>
      </c>
      <c r="M36" s="179">
        <f>IF(AND($A36&gt;='Power Factor Correction'!D$11,$A36&lt;='Power Factor Correction'!D$12),IF('Power Factor Correction'!D$31&gt;0,'Data Entry Electricity'!$F37*'PFC Calculations'!$I$3*(TAN(ACOS('Power Factor Correction'!D$31))),IF('Power Factor Correction'!D$46&gt;0,'Power Factor Correction'!D$46*'PFC Calculations'!$I$3,0)),0)</f>
        <v>0</v>
      </c>
      <c r="N36" s="179">
        <f>IF(AND($A36&gt;='Power Factor Correction'!E$11,$A36&lt;='Power Factor Correction'!E$12),IF('Power Factor Correction'!E$31&gt;0,'Data Entry Electricity'!$F37*'PFC Calculations'!$I$3*(TAN(ACOS('Power Factor Correction'!E$31))),IF('Power Factor Correction'!E$46&gt;0,'Power Factor Correction'!E$46*'PFC Calculations'!$I$3,0)),0)</f>
        <v>0</v>
      </c>
      <c r="O36" s="179">
        <f>IF(AND($A36&gt;='Power Factor Correction'!F$11,$A36&lt;='Power Factor Correction'!F$12),IF('Power Factor Correction'!F$31&gt;0,'Data Entry Electricity'!$F37*'PFC Calculations'!$I$3*(TAN(ACOS('Power Factor Correction'!F$31))),IF('Power Factor Correction'!F$46&gt;0,'Power Factor Correction'!F$46*'PFC Calculations'!$I$3,0)),0)</f>
        <v>0</v>
      </c>
      <c r="P36" s="179">
        <f t="shared" si="2"/>
        <v>0</v>
      </c>
    </row>
    <row r="37" spans="1:16">
      <c r="A37" s="179" t="s">
        <v>57</v>
      </c>
      <c r="B37" s="179">
        <f>IF(AND($A37&gt;='Power Factor Correction'!B$11,$A37&lt;='Power Factor Correction'!B$12),IF('Power Factor Correction'!#REF!&gt;0,('Power Factor Correction'!B$23*'PFC Calculations'!$I$3)-'PFC Calculations'!K37,IF('Power Factor Correction'!B$25*'Power Factor Correction'!B$26*'Power Factor Correction'!B$27&gt;0,((('Power Factor Correction'!B$26*'Power Factor Correction'!B$27)/(365*24))*'PFC Calculations'!$I$6*'Power Factor Correction'!B$25),0)),0)</f>
        <v>0</v>
      </c>
      <c r="C37" s="179">
        <f>IF(AND($A37&gt;='Power Factor Correction'!C$11,$A37&lt;='Power Factor Correction'!C$12),IF('Power Factor Correction'!#REF!&gt;0,('Power Factor Correction'!C$23*'PFC Calculations'!$I$3)-'PFC Calculations'!L37,IF('Power Factor Correction'!C$25*'Power Factor Correction'!C$26*'Power Factor Correction'!C$27&gt;0,((('Power Factor Correction'!C$26*'Power Factor Correction'!C$27)/(365*24))*'PFC Calculations'!$I$6*'Power Factor Correction'!C$25),0)),0)</f>
        <v>0</v>
      </c>
      <c r="D37" s="179">
        <f>IF(AND($A37&gt;='Power Factor Correction'!D$11,$A37&lt;='Power Factor Correction'!D$12),IF('Power Factor Correction'!#REF!&gt;0,('Power Factor Correction'!D$23*'PFC Calculations'!$I$3)-'PFC Calculations'!M37,IF('Power Factor Correction'!D$25*'Power Factor Correction'!D$26*'Power Factor Correction'!D$27&gt;0,((('Power Factor Correction'!D$26*'Power Factor Correction'!D$27)/(365*24))*'PFC Calculations'!$I$6*'Power Factor Correction'!D$25),0)),0)</f>
        <v>0</v>
      </c>
      <c r="E37" s="179">
        <f>IF(AND($A37&gt;='Power Factor Correction'!E$11,$A37&lt;='Power Factor Correction'!E$12),IF('Power Factor Correction'!#REF!&gt;0,('Power Factor Correction'!E$23*'PFC Calculations'!$I$3)-'PFC Calculations'!N37,IF('Power Factor Correction'!E$25*'Power Factor Correction'!E$26*'Power Factor Correction'!E$27&gt;0,((('Power Factor Correction'!E$26*'Power Factor Correction'!E$27)/(365*24))*'PFC Calculations'!$I$6*'Power Factor Correction'!E$25),0)),0)</f>
        <v>0</v>
      </c>
      <c r="F37" s="179">
        <f>IF(AND($A37&gt;='Power Factor Correction'!F$11,$A37&lt;='Power Factor Correction'!F$12),IF('Power Factor Correction'!#REF!&gt;0,('Power Factor Correction'!F$23*'PFC Calculations'!$I$3)-'PFC Calculations'!O37,IF('Power Factor Correction'!F$25*'Power Factor Correction'!F$26*'Power Factor Correction'!F$27&gt;0,((('Power Factor Correction'!F$26*'Power Factor Correction'!F$27)/(365*24))*'PFC Calculations'!$I$6*'Power Factor Correction'!F$25),0)),0)</f>
        <v>0</v>
      </c>
      <c r="G37" s="179">
        <f t="shared" si="1"/>
        <v>0</v>
      </c>
      <c r="K37" s="179">
        <f>IF(AND($A37&gt;='Power Factor Correction'!B$11,$A37&lt;='Power Factor Correction'!B$12),IF('Power Factor Correction'!B$31&gt;0,'Data Entry Electricity'!$F38*'PFC Calculations'!$I$3*(TAN(ACOS('Power Factor Correction'!B$31))),IF('Power Factor Correction'!B$46&gt;0,'Power Factor Correction'!B$46*'PFC Calculations'!$I$3,0)),0)</f>
        <v>0</v>
      </c>
      <c r="L37" s="179">
        <f>IF(AND($A37&gt;='Power Factor Correction'!C$11,$A37&lt;='Power Factor Correction'!C$12),IF('Power Factor Correction'!C$31&gt;0,'Data Entry Electricity'!$F38*'PFC Calculations'!$I$3*(TAN(ACOS('Power Factor Correction'!C$31))),IF('Power Factor Correction'!C$46&gt;0,'Power Factor Correction'!C$46*'PFC Calculations'!$I$3,0)),0)</f>
        <v>0</v>
      </c>
      <c r="M37" s="179">
        <f>IF(AND($A37&gt;='Power Factor Correction'!D$11,$A37&lt;='Power Factor Correction'!D$12),IF('Power Factor Correction'!D$31&gt;0,'Data Entry Electricity'!$F38*'PFC Calculations'!$I$3*(TAN(ACOS('Power Factor Correction'!D$31))),IF('Power Factor Correction'!D$46&gt;0,'Power Factor Correction'!D$46*'PFC Calculations'!$I$3,0)),0)</f>
        <v>0</v>
      </c>
      <c r="N37" s="179">
        <f>IF(AND($A37&gt;='Power Factor Correction'!E$11,$A37&lt;='Power Factor Correction'!E$12),IF('Power Factor Correction'!E$31&gt;0,'Data Entry Electricity'!$F38*'PFC Calculations'!$I$3*(TAN(ACOS('Power Factor Correction'!E$31))),IF('Power Factor Correction'!E$46&gt;0,'Power Factor Correction'!E$46*'PFC Calculations'!$I$3,0)),0)</f>
        <v>0</v>
      </c>
      <c r="O37" s="179">
        <f>IF(AND($A37&gt;='Power Factor Correction'!F$11,$A37&lt;='Power Factor Correction'!F$12),IF('Power Factor Correction'!F$31&gt;0,'Data Entry Electricity'!$F38*'PFC Calculations'!$I$3*(TAN(ACOS('Power Factor Correction'!F$31))),IF('Power Factor Correction'!F$46&gt;0,'Power Factor Correction'!F$46*'PFC Calculations'!$I$3,0)),0)</f>
        <v>0</v>
      </c>
      <c r="P37" s="179">
        <f t="shared" si="2"/>
        <v>0</v>
      </c>
    </row>
    <row r="38" spans="1:16">
      <c r="A38" s="179" t="s">
        <v>4</v>
      </c>
      <c r="B38" s="179">
        <f>IF(AND($A38&gt;='Power Factor Correction'!B$11,$A38&lt;='Power Factor Correction'!B$12),IF('Power Factor Correction'!#REF!&gt;0,('Power Factor Correction'!B$23*'PFC Calculations'!$I$3)-'PFC Calculations'!K38,IF('Power Factor Correction'!B$25*'Power Factor Correction'!B$26*'Power Factor Correction'!B$27&gt;0,((('Power Factor Correction'!B$26*'Power Factor Correction'!B$27)/(365*24))*'PFC Calculations'!$I$6*'Power Factor Correction'!B$25),0)),0)</f>
        <v>0</v>
      </c>
      <c r="C38" s="179">
        <f>IF(AND($A38&gt;='Power Factor Correction'!C$11,$A38&lt;='Power Factor Correction'!C$12),IF('Power Factor Correction'!#REF!&gt;0,('Power Factor Correction'!C$23*'PFC Calculations'!$I$3)-'PFC Calculations'!L38,IF('Power Factor Correction'!C$25*'Power Factor Correction'!C$26*'Power Factor Correction'!C$27&gt;0,((('Power Factor Correction'!C$26*'Power Factor Correction'!C$27)/(365*24))*'PFC Calculations'!$I$6*'Power Factor Correction'!C$25),0)),0)</f>
        <v>0</v>
      </c>
      <c r="D38" s="179">
        <f>IF(AND($A38&gt;='Power Factor Correction'!D$11,$A38&lt;='Power Factor Correction'!D$12),IF('Power Factor Correction'!#REF!&gt;0,('Power Factor Correction'!D$23*'PFC Calculations'!$I$3)-'PFC Calculations'!M38,IF('Power Factor Correction'!D$25*'Power Factor Correction'!D$26*'Power Factor Correction'!D$27&gt;0,((('Power Factor Correction'!D$26*'Power Factor Correction'!D$27)/(365*24))*'PFC Calculations'!$I$6*'Power Factor Correction'!D$25),0)),0)</f>
        <v>0</v>
      </c>
      <c r="E38" s="179">
        <f>IF(AND($A38&gt;='Power Factor Correction'!E$11,$A38&lt;='Power Factor Correction'!E$12),IF('Power Factor Correction'!#REF!&gt;0,('Power Factor Correction'!E$23*'PFC Calculations'!$I$3)-'PFC Calculations'!N38,IF('Power Factor Correction'!E$25*'Power Factor Correction'!E$26*'Power Factor Correction'!E$27&gt;0,((('Power Factor Correction'!E$26*'Power Factor Correction'!E$27)/(365*24))*'PFC Calculations'!$I$6*'Power Factor Correction'!E$25),0)),0)</f>
        <v>0</v>
      </c>
      <c r="F38" s="179">
        <f>IF(AND($A38&gt;='Power Factor Correction'!F$11,$A38&lt;='Power Factor Correction'!F$12),IF('Power Factor Correction'!#REF!&gt;0,('Power Factor Correction'!F$23*'PFC Calculations'!$I$3)-'PFC Calculations'!O38,IF('Power Factor Correction'!F$25*'Power Factor Correction'!F$26*'Power Factor Correction'!F$27&gt;0,((('Power Factor Correction'!F$26*'Power Factor Correction'!F$27)/(365*24))*'PFC Calculations'!$I$6*'Power Factor Correction'!F$25),0)),0)</f>
        <v>0</v>
      </c>
      <c r="G38" s="179">
        <f t="shared" si="1"/>
        <v>0</v>
      </c>
      <c r="K38" s="179">
        <f>IF(AND($A38&gt;='Power Factor Correction'!B$11,$A38&lt;='Power Factor Correction'!B$12),IF('Power Factor Correction'!B$31&gt;0,'Data Entry Electricity'!$F39*'PFC Calculations'!$I$3*(TAN(ACOS('Power Factor Correction'!B$31))),IF('Power Factor Correction'!B$46&gt;0,'Power Factor Correction'!B$46*'PFC Calculations'!$I$3,0)),0)</f>
        <v>0</v>
      </c>
      <c r="L38" s="179">
        <f>IF(AND($A38&gt;='Power Factor Correction'!C$11,$A38&lt;='Power Factor Correction'!C$12),IF('Power Factor Correction'!C$31&gt;0,'Data Entry Electricity'!$F39*'PFC Calculations'!$I$3*(TAN(ACOS('Power Factor Correction'!C$31))),IF('Power Factor Correction'!C$46&gt;0,'Power Factor Correction'!C$46*'PFC Calculations'!$I$3,0)),0)</f>
        <v>0</v>
      </c>
      <c r="M38" s="179">
        <f>IF(AND($A38&gt;='Power Factor Correction'!D$11,$A38&lt;='Power Factor Correction'!D$12),IF('Power Factor Correction'!D$31&gt;0,'Data Entry Electricity'!$F39*'PFC Calculations'!$I$3*(TAN(ACOS('Power Factor Correction'!D$31))),IF('Power Factor Correction'!D$46&gt;0,'Power Factor Correction'!D$46*'PFC Calculations'!$I$3,0)),0)</f>
        <v>0</v>
      </c>
      <c r="N38" s="179">
        <f>IF(AND($A38&gt;='Power Factor Correction'!E$11,$A38&lt;='Power Factor Correction'!E$12),IF('Power Factor Correction'!E$31&gt;0,'Data Entry Electricity'!$F39*'PFC Calculations'!$I$3*(TAN(ACOS('Power Factor Correction'!E$31))),IF('Power Factor Correction'!E$46&gt;0,'Power Factor Correction'!E$46*'PFC Calculations'!$I$3,0)),0)</f>
        <v>0</v>
      </c>
      <c r="O38" s="179">
        <f>IF(AND($A38&gt;='Power Factor Correction'!F$11,$A38&lt;='Power Factor Correction'!F$12),IF('Power Factor Correction'!F$31&gt;0,'Data Entry Electricity'!$F39*'PFC Calculations'!$I$3*(TAN(ACOS('Power Factor Correction'!F$31))),IF('Power Factor Correction'!F$46&gt;0,'Power Factor Correction'!F$46*'PFC Calculations'!$I$3,0)),0)</f>
        <v>0</v>
      </c>
      <c r="P38" s="179">
        <f t="shared" si="2"/>
        <v>0</v>
      </c>
    </row>
    <row r="39" spans="1:16">
      <c r="A39" s="179" t="s">
        <v>5</v>
      </c>
      <c r="B39" s="179">
        <f>IF(AND($A39&gt;='Power Factor Correction'!B$11,$A39&lt;='Power Factor Correction'!B$12),IF('Power Factor Correction'!B65&gt;0,('Power Factor Correction'!B$23*'PFC Calculations'!$I$3)-'PFC Calculations'!K39,IF('Power Factor Correction'!B$25*'Power Factor Correction'!B$26*'Power Factor Correction'!B$27&gt;0,((('Power Factor Correction'!B$26*'Power Factor Correction'!B$27)/(365*24))*'PFC Calculations'!$I$6*'Power Factor Correction'!B$25),0)),0)</f>
        <v>0</v>
      </c>
      <c r="C39" s="179">
        <f>IF(AND($A39&gt;='Power Factor Correction'!C$11,$A39&lt;='Power Factor Correction'!C$12),IF('Power Factor Correction'!C65&gt;0,('Power Factor Correction'!C$23*'PFC Calculations'!$I$3)-'PFC Calculations'!L39,IF('Power Factor Correction'!C$25*'Power Factor Correction'!C$26*'Power Factor Correction'!C$27&gt;0,((('Power Factor Correction'!C$26*'Power Factor Correction'!C$27)/(365*24))*'PFC Calculations'!$I$6*'Power Factor Correction'!C$25),0)),0)</f>
        <v>0</v>
      </c>
      <c r="D39" s="179">
        <f>IF(AND($A39&gt;='Power Factor Correction'!D$11,$A39&lt;='Power Factor Correction'!D$12),IF('Power Factor Correction'!D65&gt;0,('Power Factor Correction'!D$23*'PFC Calculations'!$I$3)-'PFC Calculations'!M39,IF('Power Factor Correction'!D$25*'Power Factor Correction'!D$26*'Power Factor Correction'!D$27&gt;0,((('Power Factor Correction'!D$26*'Power Factor Correction'!D$27)/(365*24))*'PFC Calculations'!$I$6*'Power Factor Correction'!D$25),0)),0)</f>
        <v>0</v>
      </c>
      <c r="E39" s="179">
        <f>IF(AND($A39&gt;='Power Factor Correction'!E$11,$A39&lt;='Power Factor Correction'!E$12),IF('Power Factor Correction'!E65&gt;0,('Power Factor Correction'!E$23*'PFC Calculations'!$I$3)-'PFC Calculations'!N39,IF('Power Factor Correction'!E$25*'Power Factor Correction'!E$26*'Power Factor Correction'!E$27&gt;0,((('Power Factor Correction'!E$26*'Power Factor Correction'!E$27)/(365*24))*'PFC Calculations'!$I$6*'Power Factor Correction'!E$25),0)),0)</f>
        <v>0</v>
      </c>
      <c r="F39" s="179">
        <f>IF(AND($A39&gt;='Power Factor Correction'!F$11,$A39&lt;='Power Factor Correction'!F$12),IF('Power Factor Correction'!F65&gt;0,('Power Factor Correction'!F$23*'PFC Calculations'!$I$3)-'PFC Calculations'!O39,IF('Power Factor Correction'!F$25*'Power Factor Correction'!F$26*'Power Factor Correction'!F$27&gt;0,((('Power Factor Correction'!F$26*'Power Factor Correction'!F$27)/(365*24))*'PFC Calculations'!$I$6*'Power Factor Correction'!F$25),0)),0)</f>
        <v>0</v>
      </c>
      <c r="G39" s="179">
        <f t="shared" si="1"/>
        <v>0</v>
      </c>
      <c r="K39" s="179">
        <f>IF(AND($A39&gt;='Power Factor Correction'!B$11,$A39&lt;='Power Factor Correction'!B$12),IF('Power Factor Correction'!B$31&gt;0,'Data Entry Electricity'!$F40*'PFC Calculations'!$I$3*(TAN(ACOS('Power Factor Correction'!B$31))),IF('Power Factor Correction'!B$46&gt;0,'Power Factor Correction'!B$46*'PFC Calculations'!$I$3,0)),0)</f>
        <v>0</v>
      </c>
      <c r="L39" s="179">
        <f>IF(AND($A39&gt;='Power Factor Correction'!C$11,$A39&lt;='Power Factor Correction'!C$12),IF('Power Factor Correction'!C$31&gt;0,'Data Entry Electricity'!$F40*'PFC Calculations'!$I$3*(TAN(ACOS('Power Factor Correction'!C$31))),IF('Power Factor Correction'!C$46&gt;0,'Power Factor Correction'!C$46*'PFC Calculations'!$I$3,0)),0)</f>
        <v>0</v>
      </c>
      <c r="M39" s="179">
        <f>IF(AND($A39&gt;='Power Factor Correction'!D$11,$A39&lt;='Power Factor Correction'!D$12),IF('Power Factor Correction'!D$31&gt;0,'Data Entry Electricity'!$F40*'PFC Calculations'!$I$3*(TAN(ACOS('Power Factor Correction'!D$31))),IF('Power Factor Correction'!D$46&gt;0,'Power Factor Correction'!D$46*'PFC Calculations'!$I$3,0)),0)</f>
        <v>0</v>
      </c>
      <c r="N39" s="179">
        <f>IF(AND($A39&gt;='Power Factor Correction'!E$11,$A39&lt;='Power Factor Correction'!E$12),IF('Power Factor Correction'!E$31&gt;0,'Data Entry Electricity'!$F40*'PFC Calculations'!$I$3*(TAN(ACOS('Power Factor Correction'!E$31))),IF('Power Factor Correction'!E$46&gt;0,'Power Factor Correction'!E$46*'PFC Calculations'!$I$3,0)),0)</f>
        <v>0</v>
      </c>
      <c r="O39" s="179">
        <f>IF(AND($A39&gt;='Power Factor Correction'!F$11,$A39&lt;='Power Factor Correction'!F$12),IF('Power Factor Correction'!F$31&gt;0,'Data Entry Electricity'!$F40*'PFC Calculations'!$I$3*(TAN(ACOS('Power Factor Correction'!F$31))),IF('Power Factor Correction'!F$46&gt;0,'Power Factor Correction'!F$46*'PFC Calculations'!$I$3,0)),0)</f>
        <v>0</v>
      </c>
      <c r="P39" s="179">
        <f t="shared" si="2"/>
        <v>0</v>
      </c>
    </row>
    <row r="40" spans="1:16">
      <c r="A40" s="179" t="s">
        <v>6</v>
      </c>
      <c r="B40" s="179">
        <f>IF(AND($A40&gt;='Power Factor Correction'!B$11,$A40&lt;='Power Factor Correction'!B$12),IF('Power Factor Correction'!B66&gt;0,('Power Factor Correction'!B$23*'PFC Calculations'!$I$3)-'PFC Calculations'!K40,IF('Power Factor Correction'!B$25*'Power Factor Correction'!B$26*'Power Factor Correction'!B$27&gt;0,((('Power Factor Correction'!B$26*'Power Factor Correction'!B$27)/(365*24))*'PFC Calculations'!$I$6*'Power Factor Correction'!B$25),0)),0)</f>
        <v>0</v>
      </c>
      <c r="C40" s="179">
        <f>IF(AND($A40&gt;='Power Factor Correction'!C$11,$A40&lt;='Power Factor Correction'!C$12),IF('Power Factor Correction'!C66&gt;0,('Power Factor Correction'!C$23*'PFC Calculations'!$I$3)-'PFC Calculations'!L40,IF('Power Factor Correction'!C$25*'Power Factor Correction'!C$26*'Power Factor Correction'!C$27&gt;0,((('Power Factor Correction'!C$26*'Power Factor Correction'!C$27)/(365*24))*'PFC Calculations'!$I$6*'Power Factor Correction'!C$25),0)),0)</f>
        <v>0</v>
      </c>
      <c r="D40" s="179">
        <f>IF(AND($A40&gt;='Power Factor Correction'!D$11,$A40&lt;='Power Factor Correction'!D$12),IF('Power Factor Correction'!D66&gt;0,('Power Factor Correction'!D$23*'PFC Calculations'!$I$3)-'PFC Calculations'!M40,IF('Power Factor Correction'!D$25*'Power Factor Correction'!D$26*'Power Factor Correction'!D$27&gt;0,((('Power Factor Correction'!D$26*'Power Factor Correction'!D$27)/(365*24))*'PFC Calculations'!$I$6*'Power Factor Correction'!D$25),0)),0)</f>
        <v>0</v>
      </c>
      <c r="E40" s="179">
        <f>IF(AND($A40&gt;='Power Factor Correction'!E$11,$A40&lt;='Power Factor Correction'!E$12),IF('Power Factor Correction'!E66&gt;0,('Power Factor Correction'!E$23*'PFC Calculations'!$I$3)-'PFC Calculations'!N40,IF('Power Factor Correction'!E$25*'Power Factor Correction'!E$26*'Power Factor Correction'!E$27&gt;0,((('Power Factor Correction'!E$26*'Power Factor Correction'!E$27)/(365*24))*'PFC Calculations'!$I$6*'Power Factor Correction'!E$25),0)),0)</f>
        <v>0</v>
      </c>
      <c r="F40" s="179">
        <f>IF(AND($A40&gt;='Power Factor Correction'!F$11,$A40&lt;='Power Factor Correction'!F$12),IF('Power Factor Correction'!F66&gt;0,('Power Factor Correction'!F$23*'PFC Calculations'!$I$3)-'PFC Calculations'!O40,IF('Power Factor Correction'!F$25*'Power Factor Correction'!F$26*'Power Factor Correction'!F$27&gt;0,((('Power Factor Correction'!F$26*'Power Factor Correction'!F$27)/(365*24))*'PFC Calculations'!$I$6*'Power Factor Correction'!F$25),0)),0)</f>
        <v>0</v>
      </c>
      <c r="G40" s="179">
        <f t="shared" si="1"/>
        <v>0</v>
      </c>
      <c r="K40" s="179">
        <f>IF(AND($A40&gt;='Power Factor Correction'!B$11,$A40&lt;='Power Factor Correction'!B$12),IF('Power Factor Correction'!B$31&gt;0,'Data Entry Electricity'!$F41*'PFC Calculations'!$I$3*(TAN(ACOS('Power Factor Correction'!B$31))),IF('Power Factor Correction'!B$46&gt;0,'Power Factor Correction'!B$46*'PFC Calculations'!$I$3,0)),0)</f>
        <v>0</v>
      </c>
      <c r="L40" s="179">
        <f>IF(AND($A40&gt;='Power Factor Correction'!C$11,$A40&lt;='Power Factor Correction'!C$12),IF('Power Factor Correction'!C$31&gt;0,'Data Entry Electricity'!$F41*'PFC Calculations'!$I$3*(TAN(ACOS('Power Factor Correction'!C$31))),IF('Power Factor Correction'!C$46&gt;0,'Power Factor Correction'!C$46*'PFC Calculations'!$I$3,0)),0)</f>
        <v>0</v>
      </c>
      <c r="M40" s="179">
        <f>IF(AND($A40&gt;='Power Factor Correction'!D$11,$A40&lt;='Power Factor Correction'!D$12),IF('Power Factor Correction'!D$31&gt;0,'Data Entry Electricity'!$F41*'PFC Calculations'!$I$3*(TAN(ACOS('Power Factor Correction'!D$31))),IF('Power Factor Correction'!D$46&gt;0,'Power Factor Correction'!D$46*'PFC Calculations'!$I$3,0)),0)</f>
        <v>0</v>
      </c>
      <c r="N40" s="179">
        <f>IF(AND($A40&gt;='Power Factor Correction'!E$11,$A40&lt;='Power Factor Correction'!E$12),IF('Power Factor Correction'!E$31&gt;0,'Data Entry Electricity'!$F41*'PFC Calculations'!$I$3*(TAN(ACOS('Power Factor Correction'!E$31))),IF('Power Factor Correction'!E$46&gt;0,'Power Factor Correction'!E$46*'PFC Calculations'!$I$3,0)),0)</f>
        <v>0</v>
      </c>
      <c r="O40" s="179">
        <f>IF(AND($A40&gt;='Power Factor Correction'!F$11,$A40&lt;='Power Factor Correction'!F$12),IF('Power Factor Correction'!F$31&gt;0,'Data Entry Electricity'!$F41*'PFC Calculations'!$I$3*(TAN(ACOS('Power Factor Correction'!F$31))),IF('Power Factor Correction'!F$46&gt;0,'Power Factor Correction'!F$46*'PFC Calculations'!$I$3,0)),0)</f>
        <v>0</v>
      </c>
      <c r="P40" s="179">
        <f t="shared" si="2"/>
        <v>0</v>
      </c>
    </row>
    <row r="41" spans="1:16">
      <c r="A41" s="179" t="s">
        <v>7</v>
      </c>
      <c r="B41" s="179">
        <f>IF(AND($A41&gt;='Power Factor Correction'!B$11,$A41&lt;='Power Factor Correction'!B$12),IF('Power Factor Correction'!#REF!&gt;0,('Power Factor Correction'!B$23*'PFC Calculations'!$I$3)-'PFC Calculations'!K41,IF('Power Factor Correction'!B$25*'Power Factor Correction'!B$26*'Power Factor Correction'!B$27&gt;0,((('Power Factor Correction'!B$26*'Power Factor Correction'!B$27)/(365*24))*'PFC Calculations'!$I$6*'Power Factor Correction'!B$25),0)),0)</f>
        <v>0</v>
      </c>
      <c r="C41" s="179">
        <f>IF(AND($A41&gt;='Power Factor Correction'!C$11,$A41&lt;='Power Factor Correction'!C$12),IF('Power Factor Correction'!#REF!&gt;0,('Power Factor Correction'!C$23*'PFC Calculations'!$I$3)-'PFC Calculations'!L41,IF('Power Factor Correction'!C$25*'Power Factor Correction'!C$26*'Power Factor Correction'!C$27&gt;0,((('Power Factor Correction'!C$26*'Power Factor Correction'!C$27)/(365*24))*'PFC Calculations'!$I$6*'Power Factor Correction'!C$25),0)),0)</f>
        <v>0</v>
      </c>
      <c r="D41" s="179">
        <f>IF(AND($A41&gt;='Power Factor Correction'!D$11,$A41&lt;='Power Factor Correction'!D$12),IF('Power Factor Correction'!#REF!&gt;0,('Power Factor Correction'!D$23*'PFC Calculations'!$I$3)-'PFC Calculations'!M41,IF('Power Factor Correction'!D$25*'Power Factor Correction'!D$26*'Power Factor Correction'!D$27&gt;0,((('Power Factor Correction'!D$26*'Power Factor Correction'!D$27)/(365*24))*'PFC Calculations'!$I$6*'Power Factor Correction'!D$25),0)),0)</f>
        <v>0</v>
      </c>
      <c r="E41" s="179">
        <f>IF(AND($A41&gt;='Power Factor Correction'!E$11,$A41&lt;='Power Factor Correction'!E$12),IF('Power Factor Correction'!#REF!&gt;0,('Power Factor Correction'!E$23*'PFC Calculations'!$I$3)-'PFC Calculations'!N41,IF('Power Factor Correction'!E$25*'Power Factor Correction'!E$26*'Power Factor Correction'!E$27&gt;0,((('Power Factor Correction'!E$26*'Power Factor Correction'!E$27)/(365*24))*'PFC Calculations'!$I$6*'Power Factor Correction'!E$25),0)),0)</f>
        <v>0</v>
      </c>
      <c r="F41" s="179">
        <f>IF(AND($A41&gt;='Power Factor Correction'!F$11,$A41&lt;='Power Factor Correction'!F$12),IF('Power Factor Correction'!#REF!&gt;0,('Power Factor Correction'!F$23*'PFC Calculations'!$I$3)-'PFC Calculations'!O41,IF('Power Factor Correction'!F$25*'Power Factor Correction'!F$26*'Power Factor Correction'!F$27&gt;0,((('Power Factor Correction'!F$26*'Power Factor Correction'!F$27)/(365*24))*'PFC Calculations'!$I$6*'Power Factor Correction'!F$25),0)),0)</f>
        <v>0</v>
      </c>
      <c r="G41" s="179">
        <f t="shared" si="1"/>
        <v>0</v>
      </c>
      <c r="K41" s="179">
        <f>IF(AND($A41&gt;='Power Factor Correction'!B$11,$A41&lt;='Power Factor Correction'!B$12),IF('Power Factor Correction'!B$31&gt;0,'Data Entry Electricity'!$F42*'PFC Calculations'!$I$3*(TAN(ACOS('Power Factor Correction'!B$31))),IF('Power Factor Correction'!B$46&gt;0,'Power Factor Correction'!B$46*'PFC Calculations'!$I$3,0)),0)</f>
        <v>0</v>
      </c>
      <c r="L41" s="179">
        <f>IF(AND($A41&gt;='Power Factor Correction'!C$11,$A41&lt;='Power Factor Correction'!C$12),IF('Power Factor Correction'!C$31&gt;0,'Data Entry Electricity'!$F42*'PFC Calculations'!$I$3*(TAN(ACOS('Power Factor Correction'!C$31))),IF('Power Factor Correction'!C$46&gt;0,'Power Factor Correction'!C$46*'PFC Calculations'!$I$3,0)),0)</f>
        <v>0</v>
      </c>
      <c r="M41" s="179">
        <f>IF(AND($A41&gt;='Power Factor Correction'!D$11,$A41&lt;='Power Factor Correction'!D$12),IF('Power Factor Correction'!D$31&gt;0,'Data Entry Electricity'!$F42*'PFC Calculations'!$I$3*(TAN(ACOS('Power Factor Correction'!D$31))),IF('Power Factor Correction'!D$46&gt;0,'Power Factor Correction'!D$46*'PFC Calculations'!$I$3,0)),0)</f>
        <v>0</v>
      </c>
      <c r="N41" s="179">
        <f>IF(AND($A41&gt;='Power Factor Correction'!E$11,$A41&lt;='Power Factor Correction'!E$12),IF('Power Factor Correction'!E$31&gt;0,'Data Entry Electricity'!$F42*'PFC Calculations'!$I$3*(TAN(ACOS('Power Factor Correction'!E$31))),IF('Power Factor Correction'!E$46&gt;0,'Power Factor Correction'!E$46*'PFC Calculations'!$I$3,0)),0)</f>
        <v>0</v>
      </c>
      <c r="O41" s="179">
        <f>IF(AND($A41&gt;='Power Factor Correction'!F$11,$A41&lt;='Power Factor Correction'!F$12),IF('Power Factor Correction'!F$31&gt;0,'Data Entry Electricity'!$F42*'PFC Calculations'!$I$3*(TAN(ACOS('Power Factor Correction'!F$31))),IF('Power Factor Correction'!F$46&gt;0,'Power Factor Correction'!F$46*'PFC Calculations'!$I$3,0)),0)</f>
        <v>0</v>
      </c>
      <c r="P41" s="179">
        <f t="shared" si="2"/>
        <v>0</v>
      </c>
    </row>
    <row r="42" spans="1:16">
      <c r="A42" s="179" t="s">
        <v>58</v>
      </c>
      <c r="B42" s="179">
        <f>IF(AND($A42&gt;='Power Factor Correction'!B$11,$A42&lt;='Power Factor Correction'!B$12),IF('Power Factor Correction'!B67&gt;0,('Power Factor Correction'!B$23*'PFC Calculations'!$I$3)-'PFC Calculations'!K42,IF('Power Factor Correction'!B$25*'Power Factor Correction'!B$26*'Power Factor Correction'!B$27&gt;0,((('Power Factor Correction'!B$26*'Power Factor Correction'!B$27)/(365*24))*'PFC Calculations'!$I$6*'Power Factor Correction'!B$25),0)),0)</f>
        <v>0</v>
      </c>
      <c r="C42" s="179">
        <f>IF(AND($A42&gt;='Power Factor Correction'!C$11,$A42&lt;='Power Factor Correction'!C$12),IF('Power Factor Correction'!C67&gt;0,('Power Factor Correction'!C$23*'PFC Calculations'!$I$3)-'PFC Calculations'!L42,IF('Power Factor Correction'!C$25*'Power Factor Correction'!C$26*'Power Factor Correction'!C$27&gt;0,((('Power Factor Correction'!C$26*'Power Factor Correction'!C$27)/(365*24))*'PFC Calculations'!$I$6*'Power Factor Correction'!C$25),0)),0)</f>
        <v>0</v>
      </c>
      <c r="D42" s="179">
        <f>IF(AND($A42&gt;='Power Factor Correction'!D$11,$A42&lt;='Power Factor Correction'!D$12),IF('Power Factor Correction'!D67&gt;0,('Power Factor Correction'!D$23*'PFC Calculations'!$I$3)-'PFC Calculations'!M42,IF('Power Factor Correction'!D$25*'Power Factor Correction'!D$26*'Power Factor Correction'!D$27&gt;0,((('Power Factor Correction'!D$26*'Power Factor Correction'!D$27)/(365*24))*'PFC Calculations'!$I$6*'Power Factor Correction'!D$25),0)),0)</f>
        <v>0</v>
      </c>
      <c r="E42" s="179">
        <f>IF(AND($A42&gt;='Power Factor Correction'!E$11,$A42&lt;='Power Factor Correction'!E$12),IF('Power Factor Correction'!E67&gt;0,('Power Factor Correction'!E$23*'PFC Calculations'!$I$3)-'PFC Calculations'!N42,IF('Power Factor Correction'!E$25*'Power Factor Correction'!E$26*'Power Factor Correction'!E$27&gt;0,((('Power Factor Correction'!E$26*'Power Factor Correction'!E$27)/(365*24))*'PFC Calculations'!$I$6*'Power Factor Correction'!E$25),0)),0)</f>
        <v>0</v>
      </c>
      <c r="F42" s="179">
        <f>IF(AND($A42&gt;='Power Factor Correction'!F$11,$A42&lt;='Power Factor Correction'!F$12),IF('Power Factor Correction'!F67&gt;0,('Power Factor Correction'!F$23*'PFC Calculations'!$I$3)-'PFC Calculations'!O42,IF('Power Factor Correction'!F$25*'Power Factor Correction'!F$26*'Power Factor Correction'!F$27&gt;0,((('Power Factor Correction'!F$26*'Power Factor Correction'!F$27)/(365*24))*'PFC Calculations'!$I$6*'Power Factor Correction'!F$25),0)),0)</f>
        <v>0</v>
      </c>
      <c r="G42" s="179">
        <f t="shared" si="1"/>
        <v>0</v>
      </c>
      <c r="K42" s="179">
        <f>IF(AND($A42&gt;='Power Factor Correction'!B$11,$A42&lt;='Power Factor Correction'!B$12),IF('Power Factor Correction'!B$31&gt;0,'Data Entry Electricity'!$F43*'PFC Calculations'!$I$3*(TAN(ACOS('Power Factor Correction'!B$31))),IF('Power Factor Correction'!B$46&gt;0,'Power Factor Correction'!B$46*'PFC Calculations'!$I$3,0)),0)</f>
        <v>0</v>
      </c>
      <c r="L42" s="179">
        <f>IF(AND($A42&gt;='Power Factor Correction'!C$11,$A42&lt;='Power Factor Correction'!C$12),IF('Power Factor Correction'!C$31&gt;0,'Data Entry Electricity'!$F43*'PFC Calculations'!$I$3*(TAN(ACOS('Power Factor Correction'!C$31))),IF('Power Factor Correction'!C$46&gt;0,'Power Factor Correction'!C$46*'PFC Calculations'!$I$3,0)),0)</f>
        <v>0</v>
      </c>
      <c r="M42" s="179">
        <f>IF(AND($A42&gt;='Power Factor Correction'!D$11,$A42&lt;='Power Factor Correction'!D$12),IF('Power Factor Correction'!D$31&gt;0,'Data Entry Electricity'!$F43*'PFC Calculations'!$I$3*(TAN(ACOS('Power Factor Correction'!D$31))),IF('Power Factor Correction'!D$46&gt;0,'Power Factor Correction'!D$46*'PFC Calculations'!$I$3,0)),0)</f>
        <v>0</v>
      </c>
      <c r="N42" s="179">
        <f>IF(AND($A42&gt;='Power Factor Correction'!E$11,$A42&lt;='Power Factor Correction'!E$12),IF('Power Factor Correction'!E$31&gt;0,'Data Entry Electricity'!$F43*'PFC Calculations'!$I$3*(TAN(ACOS('Power Factor Correction'!E$31))),IF('Power Factor Correction'!E$46&gt;0,'Power Factor Correction'!E$46*'PFC Calculations'!$I$3,0)),0)</f>
        <v>0</v>
      </c>
      <c r="O42" s="179">
        <f>IF(AND($A42&gt;='Power Factor Correction'!F$11,$A42&lt;='Power Factor Correction'!F$12),IF('Power Factor Correction'!F$31&gt;0,'Data Entry Electricity'!$F43*'PFC Calculations'!$I$3*(TAN(ACOS('Power Factor Correction'!F$31))),IF('Power Factor Correction'!F$46&gt;0,'Power Factor Correction'!F$46*'PFC Calculations'!$I$3,0)),0)</f>
        <v>0</v>
      </c>
      <c r="P42" s="179">
        <f t="shared" si="2"/>
        <v>0</v>
      </c>
    </row>
    <row r="43" spans="1:16">
      <c r="A43" s="179" t="s">
        <v>59</v>
      </c>
      <c r="B43" s="179">
        <f>IF(AND($A43&gt;='Power Factor Correction'!B$11,$A43&lt;='Power Factor Correction'!B$12),IF('Power Factor Correction'!B68&gt;0,('Power Factor Correction'!B$23*'PFC Calculations'!$I$3)-'PFC Calculations'!K43,IF('Power Factor Correction'!B$25*'Power Factor Correction'!B$26*'Power Factor Correction'!B$27&gt;0,((('Power Factor Correction'!B$26*'Power Factor Correction'!B$27)/(365*24))*'PFC Calculations'!$I$6*'Power Factor Correction'!B$25),0)),0)</f>
        <v>0</v>
      </c>
      <c r="C43" s="179">
        <f>IF(AND($A43&gt;='Power Factor Correction'!C$11,$A43&lt;='Power Factor Correction'!C$12),IF('Power Factor Correction'!C68&gt;0,('Power Factor Correction'!C$23*'PFC Calculations'!$I$3)-'PFC Calculations'!L43,IF('Power Factor Correction'!C$25*'Power Factor Correction'!C$26*'Power Factor Correction'!C$27&gt;0,((('Power Factor Correction'!C$26*'Power Factor Correction'!C$27)/(365*24))*'PFC Calculations'!$I$6*'Power Factor Correction'!C$25),0)),0)</f>
        <v>0</v>
      </c>
      <c r="D43" s="179">
        <f>IF(AND($A43&gt;='Power Factor Correction'!D$11,$A43&lt;='Power Factor Correction'!D$12),IF('Power Factor Correction'!D68&gt;0,('Power Factor Correction'!D$23*'PFC Calculations'!$I$3)-'PFC Calculations'!M43,IF('Power Factor Correction'!D$25*'Power Factor Correction'!D$26*'Power Factor Correction'!D$27&gt;0,((('Power Factor Correction'!D$26*'Power Factor Correction'!D$27)/(365*24))*'PFC Calculations'!$I$6*'Power Factor Correction'!D$25),0)),0)</f>
        <v>0</v>
      </c>
      <c r="E43" s="179">
        <f>IF(AND($A43&gt;='Power Factor Correction'!E$11,$A43&lt;='Power Factor Correction'!E$12),IF('Power Factor Correction'!E68&gt;0,('Power Factor Correction'!E$23*'PFC Calculations'!$I$3)-'PFC Calculations'!N43,IF('Power Factor Correction'!E$25*'Power Factor Correction'!E$26*'Power Factor Correction'!E$27&gt;0,((('Power Factor Correction'!E$26*'Power Factor Correction'!E$27)/(365*24))*'PFC Calculations'!$I$6*'Power Factor Correction'!E$25),0)),0)</f>
        <v>0</v>
      </c>
      <c r="F43" s="179">
        <f>IF(AND($A43&gt;='Power Factor Correction'!F$11,$A43&lt;='Power Factor Correction'!F$12),IF('Power Factor Correction'!F68&gt;0,('Power Factor Correction'!F$23*'PFC Calculations'!$I$3)-'PFC Calculations'!O43,IF('Power Factor Correction'!F$25*'Power Factor Correction'!F$26*'Power Factor Correction'!F$27&gt;0,((('Power Factor Correction'!F$26*'Power Factor Correction'!F$27)/(365*24))*'PFC Calculations'!$I$6*'Power Factor Correction'!F$25),0)),0)</f>
        <v>0</v>
      </c>
      <c r="G43" s="179">
        <f t="shared" si="1"/>
        <v>0</v>
      </c>
      <c r="K43" s="179">
        <f>IF(AND($A43&gt;='Power Factor Correction'!B$11,$A43&lt;='Power Factor Correction'!B$12),IF('Power Factor Correction'!B$31&gt;0,'Data Entry Electricity'!$F44*'PFC Calculations'!$I$3*(TAN(ACOS('Power Factor Correction'!B$31))),IF('Power Factor Correction'!B$46&gt;0,'Power Factor Correction'!B$46*'PFC Calculations'!$I$3,0)),0)</f>
        <v>0</v>
      </c>
      <c r="L43" s="179">
        <f>IF(AND($A43&gt;='Power Factor Correction'!C$11,$A43&lt;='Power Factor Correction'!C$12),IF('Power Factor Correction'!C$31&gt;0,'Data Entry Electricity'!$F44*'PFC Calculations'!$I$3*(TAN(ACOS('Power Factor Correction'!C$31))),IF('Power Factor Correction'!C$46&gt;0,'Power Factor Correction'!C$46*'PFC Calculations'!$I$3,0)),0)</f>
        <v>0</v>
      </c>
      <c r="M43" s="179">
        <f>IF(AND($A43&gt;='Power Factor Correction'!D$11,$A43&lt;='Power Factor Correction'!D$12),IF('Power Factor Correction'!D$31&gt;0,'Data Entry Electricity'!$F44*'PFC Calculations'!$I$3*(TAN(ACOS('Power Factor Correction'!D$31))),IF('Power Factor Correction'!D$46&gt;0,'Power Factor Correction'!D$46*'PFC Calculations'!$I$3,0)),0)</f>
        <v>0</v>
      </c>
      <c r="N43" s="179">
        <f>IF(AND($A43&gt;='Power Factor Correction'!E$11,$A43&lt;='Power Factor Correction'!E$12),IF('Power Factor Correction'!E$31&gt;0,'Data Entry Electricity'!$F44*'PFC Calculations'!$I$3*(TAN(ACOS('Power Factor Correction'!E$31))),IF('Power Factor Correction'!E$46&gt;0,'Power Factor Correction'!E$46*'PFC Calculations'!$I$3,0)),0)</f>
        <v>0</v>
      </c>
      <c r="O43" s="179">
        <f>IF(AND($A43&gt;='Power Factor Correction'!F$11,$A43&lt;='Power Factor Correction'!F$12),IF('Power Factor Correction'!F$31&gt;0,'Data Entry Electricity'!$F44*'PFC Calculations'!$I$3*(TAN(ACOS('Power Factor Correction'!F$31))),IF('Power Factor Correction'!F$46&gt;0,'Power Factor Correction'!F$46*'PFC Calculations'!$I$3,0)),0)</f>
        <v>0</v>
      </c>
      <c r="P43" s="179">
        <f t="shared" si="2"/>
        <v>0</v>
      </c>
    </row>
    <row r="44" spans="1:16">
      <c r="A44" s="179" t="s">
        <v>60</v>
      </c>
      <c r="B44" s="179">
        <f>IF(AND($A44&gt;='Power Factor Correction'!B$11,$A44&lt;='Power Factor Correction'!B$12),IF('Power Factor Correction'!B69&gt;0,('Power Factor Correction'!B$23*'PFC Calculations'!$I$3)-'PFC Calculations'!K44,IF('Power Factor Correction'!B$25*'Power Factor Correction'!B$26*'Power Factor Correction'!B$27&gt;0,((('Power Factor Correction'!B$26*'Power Factor Correction'!B$27)/(365*24))*'PFC Calculations'!$I$6*'Power Factor Correction'!B$25),0)),0)</f>
        <v>0</v>
      </c>
      <c r="C44" s="179">
        <f>IF(AND($A44&gt;='Power Factor Correction'!C$11,$A44&lt;='Power Factor Correction'!C$12),IF('Power Factor Correction'!C69&gt;0,('Power Factor Correction'!C$23*'PFC Calculations'!$I$3)-'PFC Calculations'!L44,IF('Power Factor Correction'!C$25*'Power Factor Correction'!C$26*'Power Factor Correction'!C$27&gt;0,((('Power Factor Correction'!C$26*'Power Factor Correction'!C$27)/(365*24))*'PFC Calculations'!$I$6*'Power Factor Correction'!C$25),0)),0)</f>
        <v>0</v>
      </c>
      <c r="D44" s="179">
        <f>IF(AND($A44&gt;='Power Factor Correction'!D$11,$A44&lt;='Power Factor Correction'!D$12),IF('Power Factor Correction'!D69&gt;0,('Power Factor Correction'!D$23*'PFC Calculations'!$I$3)-'PFC Calculations'!M44,IF('Power Factor Correction'!D$25*'Power Factor Correction'!D$26*'Power Factor Correction'!D$27&gt;0,((('Power Factor Correction'!D$26*'Power Factor Correction'!D$27)/(365*24))*'PFC Calculations'!$I$6*'Power Factor Correction'!D$25),0)),0)</f>
        <v>0</v>
      </c>
      <c r="E44" s="179">
        <f>IF(AND($A44&gt;='Power Factor Correction'!E$11,$A44&lt;='Power Factor Correction'!E$12),IF('Power Factor Correction'!E69&gt;0,('Power Factor Correction'!E$23*'PFC Calculations'!$I$3)-'PFC Calculations'!N44,IF('Power Factor Correction'!E$25*'Power Factor Correction'!E$26*'Power Factor Correction'!E$27&gt;0,((('Power Factor Correction'!E$26*'Power Factor Correction'!E$27)/(365*24))*'PFC Calculations'!$I$6*'Power Factor Correction'!E$25),0)),0)</f>
        <v>0</v>
      </c>
      <c r="F44" s="179">
        <f>IF(AND($A44&gt;='Power Factor Correction'!F$11,$A44&lt;='Power Factor Correction'!F$12),IF('Power Factor Correction'!F69&gt;0,('Power Factor Correction'!F$23*'PFC Calculations'!$I$3)-'PFC Calculations'!O44,IF('Power Factor Correction'!F$25*'Power Factor Correction'!F$26*'Power Factor Correction'!F$27&gt;0,((('Power Factor Correction'!F$26*'Power Factor Correction'!F$27)/(365*24))*'PFC Calculations'!$I$6*'Power Factor Correction'!F$25),0)),0)</f>
        <v>0</v>
      </c>
      <c r="G44" s="179">
        <f t="shared" si="1"/>
        <v>0</v>
      </c>
      <c r="K44" s="179">
        <f>IF(AND($A44&gt;='Power Factor Correction'!B$11,$A44&lt;='Power Factor Correction'!B$12),IF('Power Factor Correction'!B$31&gt;0,'Data Entry Electricity'!$F45*'PFC Calculations'!$I$3*(TAN(ACOS('Power Factor Correction'!B$31))),IF('Power Factor Correction'!B$46&gt;0,'Power Factor Correction'!B$46*'PFC Calculations'!$I$3,0)),0)</f>
        <v>0</v>
      </c>
      <c r="L44" s="179">
        <f>IF(AND($A44&gt;='Power Factor Correction'!C$11,$A44&lt;='Power Factor Correction'!C$12),IF('Power Factor Correction'!C$31&gt;0,'Data Entry Electricity'!$F45*'PFC Calculations'!$I$3*(TAN(ACOS('Power Factor Correction'!C$31))),IF('Power Factor Correction'!C$46&gt;0,'Power Factor Correction'!C$46*'PFC Calculations'!$I$3,0)),0)</f>
        <v>0</v>
      </c>
      <c r="M44" s="179">
        <f>IF(AND($A44&gt;='Power Factor Correction'!D$11,$A44&lt;='Power Factor Correction'!D$12),IF('Power Factor Correction'!D$31&gt;0,'Data Entry Electricity'!$F45*'PFC Calculations'!$I$3*(TAN(ACOS('Power Factor Correction'!D$31))),IF('Power Factor Correction'!D$46&gt;0,'Power Factor Correction'!D$46*'PFC Calculations'!$I$3,0)),0)</f>
        <v>0</v>
      </c>
      <c r="N44" s="179">
        <f>IF(AND($A44&gt;='Power Factor Correction'!E$11,$A44&lt;='Power Factor Correction'!E$12),IF('Power Factor Correction'!E$31&gt;0,'Data Entry Electricity'!$F45*'PFC Calculations'!$I$3*(TAN(ACOS('Power Factor Correction'!E$31))),IF('Power Factor Correction'!E$46&gt;0,'Power Factor Correction'!E$46*'PFC Calculations'!$I$3,0)),0)</f>
        <v>0</v>
      </c>
      <c r="O44" s="179">
        <f>IF(AND($A44&gt;='Power Factor Correction'!F$11,$A44&lt;='Power Factor Correction'!F$12),IF('Power Factor Correction'!F$31&gt;0,'Data Entry Electricity'!$F45*'PFC Calculations'!$I$3*(TAN(ACOS('Power Factor Correction'!F$31))),IF('Power Factor Correction'!F$46&gt;0,'Power Factor Correction'!F$46*'PFC Calculations'!$I$3,0)),0)</f>
        <v>0</v>
      </c>
      <c r="P44" s="179">
        <f t="shared" si="2"/>
        <v>0</v>
      </c>
    </row>
    <row r="45" spans="1:16">
      <c r="A45" s="179" t="s">
        <v>61</v>
      </c>
      <c r="B45" s="179">
        <f>IF(AND($A45&gt;='Power Factor Correction'!B$11,$A45&lt;='Power Factor Correction'!B$12),IF('Power Factor Correction'!B70&gt;0,('Power Factor Correction'!B$23*'PFC Calculations'!$I$3)-'PFC Calculations'!K45,IF('Power Factor Correction'!B$25*'Power Factor Correction'!B$26*'Power Factor Correction'!B$27&gt;0,((('Power Factor Correction'!B$26*'Power Factor Correction'!B$27)/(365*24))*'PFC Calculations'!$I$6*'Power Factor Correction'!B$25),0)),0)</f>
        <v>0</v>
      </c>
      <c r="C45" s="179">
        <f>IF(AND($A45&gt;='Power Factor Correction'!C$11,$A45&lt;='Power Factor Correction'!C$12),IF('Power Factor Correction'!C70&gt;0,('Power Factor Correction'!C$23*'PFC Calculations'!$I$3)-'PFC Calculations'!L45,IF('Power Factor Correction'!C$25*'Power Factor Correction'!C$26*'Power Factor Correction'!C$27&gt;0,((('Power Factor Correction'!C$26*'Power Factor Correction'!C$27)/(365*24))*'PFC Calculations'!$I$6*'Power Factor Correction'!C$25),0)),0)</f>
        <v>0</v>
      </c>
      <c r="D45" s="179">
        <f>IF(AND($A45&gt;='Power Factor Correction'!D$11,$A45&lt;='Power Factor Correction'!D$12),IF('Power Factor Correction'!D70&gt;0,('Power Factor Correction'!D$23*'PFC Calculations'!$I$3)-'PFC Calculations'!M45,IF('Power Factor Correction'!D$25*'Power Factor Correction'!D$26*'Power Factor Correction'!D$27&gt;0,((('Power Factor Correction'!D$26*'Power Factor Correction'!D$27)/(365*24))*'PFC Calculations'!$I$6*'Power Factor Correction'!D$25),0)),0)</f>
        <v>0</v>
      </c>
      <c r="E45" s="179">
        <f>IF(AND($A45&gt;='Power Factor Correction'!E$11,$A45&lt;='Power Factor Correction'!E$12),IF('Power Factor Correction'!E70&gt;0,('Power Factor Correction'!E$23*'PFC Calculations'!$I$3)-'PFC Calculations'!N45,IF('Power Factor Correction'!E$25*'Power Factor Correction'!E$26*'Power Factor Correction'!E$27&gt;0,((('Power Factor Correction'!E$26*'Power Factor Correction'!E$27)/(365*24))*'PFC Calculations'!$I$6*'Power Factor Correction'!E$25),0)),0)</f>
        <v>0</v>
      </c>
      <c r="F45" s="179">
        <f>IF(AND($A45&gt;='Power Factor Correction'!F$11,$A45&lt;='Power Factor Correction'!F$12),IF('Power Factor Correction'!F70&gt;0,('Power Factor Correction'!F$23*'PFC Calculations'!$I$3)-'PFC Calculations'!O45,IF('Power Factor Correction'!F$25*'Power Factor Correction'!F$26*'Power Factor Correction'!F$27&gt;0,((('Power Factor Correction'!F$26*'Power Factor Correction'!F$27)/(365*24))*'PFC Calculations'!$I$6*'Power Factor Correction'!F$25),0)),0)</f>
        <v>0</v>
      </c>
      <c r="G45" s="179">
        <f t="shared" si="1"/>
        <v>0</v>
      </c>
      <c r="K45" s="179">
        <f>IF(AND($A45&gt;='Power Factor Correction'!B$11,$A45&lt;='Power Factor Correction'!B$12),IF('Power Factor Correction'!B$31&gt;0,'Data Entry Electricity'!$F46*'PFC Calculations'!$I$3*(TAN(ACOS('Power Factor Correction'!B$31))),IF('Power Factor Correction'!B$46&gt;0,'Power Factor Correction'!B$46*'PFC Calculations'!$I$3,0)),0)</f>
        <v>0</v>
      </c>
      <c r="L45" s="179">
        <f>IF(AND($A45&gt;='Power Factor Correction'!C$11,$A45&lt;='Power Factor Correction'!C$12),IF('Power Factor Correction'!C$31&gt;0,'Data Entry Electricity'!$F46*'PFC Calculations'!$I$3*(TAN(ACOS('Power Factor Correction'!C$31))),IF('Power Factor Correction'!C$46&gt;0,'Power Factor Correction'!C$46*'PFC Calculations'!$I$3,0)),0)</f>
        <v>0</v>
      </c>
      <c r="M45" s="179">
        <f>IF(AND($A45&gt;='Power Factor Correction'!D$11,$A45&lt;='Power Factor Correction'!D$12),IF('Power Factor Correction'!D$31&gt;0,'Data Entry Electricity'!$F46*'PFC Calculations'!$I$3*(TAN(ACOS('Power Factor Correction'!D$31))),IF('Power Factor Correction'!D$46&gt;0,'Power Factor Correction'!D$46*'PFC Calculations'!$I$3,0)),0)</f>
        <v>0</v>
      </c>
      <c r="N45" s="179">
        <f>IF(AND($A45&gt;='Power Factor Correction'!E$11,$A45&lt;='Power Factor Correction'!E$12),IF('Power Factor Correction'!E$31&gt;0,'Data Entry Electricity'!$F46*'PFC Calculations'!$I$3*(TAN(ACOS('Power Factor Correction'!E$31))),IF('Power Factor Correction'!E$46&gt;0,'Power Factor Correction'!E$46*'PFC Calculations'!$I$3,0)),0)</f>
        <v>0</v>
      </c>
      <c r="O45" s="179">
        <f>IF(AND($A45&gt;='Power Factor Correction'!F$11,$A45&lt;='Power Factor Correction'!F$12),IF('Power Factor Correction'!F$31&gt;0,'Data Entry Electricity'!$F46*'PFC Calculations'!$I$3*(TAN(ACOS('Power Factor Correction'!F$31))),IF('Power Factor Correction'!F$46&gt;0,'Power Factor Correction'!F$46*'PFC Calculations'!$I$3,0)),0)</f>
        <v>0</v>
      </c>
      <c r="P45" s="179">
        <f t="shared" si="2"/>
        <v>0</v>
      </c>
    </row>
    <row r="46" spans="1:16">
      <c r="A46" s="179" t="s">
        <v>62</v>
      </c>
      <c r="B46" s="179">
        <f>IF(AND($A46&gt;='Power Factor Correction'!B$11,$A46&lt;='Power Factor Correction'!B$12),IF('Power Factor Correction'!B71&gt;0,('Power Factor Correction'!B$23*'PFC Calculations'!$I$3)-'PFC Calculations'!K46,IF('Power Factor Correction'!B$25*'Power Factor Correction'!B$26*'Power Factor Correction'!B$27&gt;0,((('Power Factor Correction'!B$26*'Power Factor Correction'!B$27)/(365*24))*'PFC Calculations'!$I$6*'Power Factor Correction'!B$25),0)),0)</f>
        <v>0</v>
      </c>
      <c r="C46" s="179">
        <f>IF(AND($A46&gt;='Power Factor Correction'!C$11,$A46&lt;='Power Factor Correction'!C$12),IF('Power Factor Correction'!C71&gt;0,('Power Factor Correction'!C$23*'PFC Calculations'!$I$3)-'PFC Calculations'!L46,IF('Power Factor Correction'!C$25*'Power Factor Correction'!C$26*'Power Factor Correction'!C$27&gt;0,((('Power Factor Correction'!C$26*'Power Factor Correction'!C$27)/(365*24))*'PFC Calculations'!$I$6*'Power Factor Correction'!C$25),0)),0)</f>
        <v>0</v>
      </c>
      <c r="D46" s="179">
        <f>IF(AND($A46&gt;='Power Factor Correction'!D$11,$A46&lt;='Power Factor Correction'!D$12),IF('Power Factor Correction'!D71&gt;0,('Power Factor Correction'!D$23*'PFC Calculations'!$I$3)-'PFC Calculations'!M46,IF('Power Factor Correction'!D$25*'Power Factor Correction'!D$26*'Power Factor Correction'!D$27&gt;0,((('Power Factor Correction'!D$26*'Power Factor Correction'!D$27)/(365*24))*'PFC Calculations'!$I$6*'Power Factor Correction'!D$25),0)),0)</f>
        <v>0</v>
      </c>
      <c r="E46" s="179">
        <f>IF(AND($A46&gt;='Power Factor Correction'!E$11,$A46&lt;='Power Factor Correction'!E$12),IF('Power Factor Correction'!E71&gt;0,('Power Factor Correction'!E$23*'PFC Calculations'!$I$3)-'PFC Calculations'!N46,IF('Power Factor Correction'!E$25*'Power Factor Correction'!E$26*'Power Factor Correction'!E$27&gt;0,((('Power Factor Correction'!E$26*'Power Factor Correction'!E$27)/(365*24))*'PFC Calculations'!$I$6*'Power Factor Correction'!E$25),0)),0)</f>
        <v>0</v>
      </c>
      <c r="F46" s="179">
        <f>IF(AND($A46&gt;='Power Factor Correction'!F$11,$A46&lt;='Power Factor Correction'!F$12),IF('Power Factor Correction'!F71&gt;0,('Power Factor Correction'!F$23*'PFC Calculations'!$I$3)-'PFC Calculations'!O46,IF('Power Factor Correction'!F$25*'Power Factor Correction'!F$26*'Power Factor Correction'!F$27&gt;0,((('Power Factor Correction'!F$26*'Power Factor Correction'!F$27)/(365*24))*'PFC Calculations'!$I$6*'Power Factor Correction'!F$25),0)),0)</f>
        <v>0</v>
      </c>
      <c r="G46" s="179">
        <f t="shared" si="1"/>
        <v>0</v>
      </c>
      <c r="K46" s="179">
        <f>IF(AND($A46&gt;='Power Factor Correction'!B$11,$A46&lt;='Power Factor Correction'!B$12),IF('Power Factor Correction'!B$31&gt;0,'Data Entry Electricity'!$F47*'PFC Calculations'!$I$3*(TAN(ACOS('Power Factor Correction'!B$31))),IF('Power Factor Correction'!B$46&gt;0,'Power Factor Correction'!B$46*'PFC Calculations'!$I$3,0)),0)</f>
        <v>0</v>
      </c>
      <c r="L46" s="179">
        <f>IF(AND($A46&gt;='Power Factor Correction'!C$11,$A46&lt;='Power Factor Correction'!C$12),IF('Power Factor Correction'!C$31&gt;0,'Data Entry Electricity'!$F47*'PFC Calculations'!$I$3*(TAN(ACOS('Power Factor Correction'!C$31))),IF('Power Factor Correction'!C$46&gt;0,'Power Factor Correction'!C$46*'PFC Calculations'!$I$3,0)),0)</f>
        <v>0</v>
      </c>
      <c r="M46" s="179">
        <f>IF(AND($A46&gt;='Power Factor Correction'!D$11,$A46&lt;='Power Factor Correction'!D$12),IF('Power Factor Correction'!D$31&gt;0,'Data Entry Electricity'!$F47*'PFC Calculations'!$I$3*(TAN(ACOS('Power Factor Correction'!D$31))),IF('Power Factor Correction'!D$46&gt;0,'Power Factor Correction'!D$46*'PFC Calculations'!$I$3,0)),0)</f>
        <v>0</v>
      </c>
      <c r="N46" s="179">
        <f>IF(AND($A46&gt;='Power Factor Correction'!E$11,$A46&lt;='Power Factor Correction'!E$12),IF('Power Factor Correction'!E$31&gt;0,'Data Entry Electricity'!$F47*'PFC Calculations'!$I$3*(TAN(ACOS('Power Factor Correction'!E$31))),IF('Power Factor Correction'!E$46&gt;0,'Power Factor Correction'!E$46*'PFC Calculations'!$I$3,0)),0)</f>
        <v>0</v>
      </c>
      <c r="O46" s="179">
        <f>IF(AND($A46&gt;='Power Factor Correction'!F$11,$A46&lt;='Power Factor Correction'!F$12),IF('Power Factor Correction'!F$31&gt;0,'Data Entry Electricity'!$F47*'PFC Calculations'!$I$3*(TAN(ACOS('Power Factor Correction'!F$31))),IF('Power Factor Correction'!F$46&gt;0,'Power Factor Correction'!F$46*'PFC Calculations'!$I$3,0)),0)</f>
        <v>0</v>
      </c>
      <c r="P46" s="179">
        <f t="shared" si="2"/>
        <v>0</v>
      </c>
    </row>
    <row r="47" spans="1:16">
      <c r="A47" s="179" t="s">
        <v>63</v>
      </c>
      <c r="B47" s="179">
        <f>IF(AND($A47&gt;='Power Factor Correction'!B$11,$A47&lt;='Power Factor Correction'!B$12),IF('Power Factor Correction'!B72&gt;0,('Power Factor Correction'!B$23*'PFC Calculations'!$I$3)-'PFC Calculations'!K47,IF('Power Factor Correction'!B$25*'Power Factor Correction'!B$26*'Power Factor Correction'!B$27&gt;0,((('Power Factor Correction'!B$26*'Power Factor Correction'!B$27)/(365*24))*'PFC Calculations'!$I$6*'Power Factor Correction'!B$25),0)),0)</f>
        <v>0</v>
      </c>
      <c r="C47" s="179">
        <f>IF(AND($A47&gt;='Power Factor Correction'!C$11,$A47&lt;='Power Factor Correction'!C$12),IF('Power Factor Correction'!C72&gt;0,('Power Factor Correction'!C$23*'PFC Calculations'!$I$3)-'PFC Calculations'!L47,IF('Power Factor Correction'!C$25*'Power Factor Correction'!C$26*'Power Factor Correction'!C$27&gt;0,((('Power Factor Correction'!C$26*'Power Factor Correction'!C$27)/(365*24))*'PFC Calculations'!$I$6*'Power Factor Correction'!C$25),0)),0)</f>
        <v>0</v>
      </c>
      <c r="D47" s="179">
        <f>IF(AND($A47&gt;='Power Factor Correction'!D$11,$A47&lt;='Power Factor Correction'!D$12),IF('Power Factor Correction'!D72&gt;0,('Power Factor Correction'!D$23*'PFC Calculations'!$I$3)-'PFC Calculations'!M47,IF('Power Factor Correction'!D$25*'Power Factor Correction'!D$26*'Power Factor Correction'!D$27&gt;0,((('Power Factor Correction'!D$26*'Power Factor Correction'!D$27)/(365*24))*'PFC Calculations'!$I$6*'Power Factor Correction'!D$25),0)),0)</f>
        <v>0</v>
      </c>
      <c r="E47" s="179">
        <f>IF(AND($A47&gt;='Power Factor Correction'!E$11,$A47&lt;='Power Factor Correction'!E$12),IF('Power Factor Correction'!E72&gt;0,('Power Factor Correction'!E$23*'PFC Calculations'!$I$3)-'PFC Calculations'!N47,IF('Power Factor Correction'!E$25*'Power Factor Correction'!E$26*'Power Factor Correction'!E$27&gt;0,((('Power Factor Correction'!E$26*'Power Factor Correction'!E$27)/(365*24))*'PFC Calculations'!$I$6*'Power Factor Correction'!E$25),0)),0)</f>
        <v>0</v>
      </c>
      <c r="F47" s="179">
        <f>IF(AND($A47&gt;='Power Factor Correction'!F$11,$A47&lt;='Power Factor Correction'!F$12),IF('Power Factor Correction'!F72&gt;0,('Power Factor Correction'!F$23*'PFC Calculations'!$I$3)-'PFC Calculations'!O47,IF('Power Factor Correction'!F$25*'Power Factor Correction'!F$26*'Power Factor Correction'!F$27&gt;0,((('Power Factor Correction'!F$26*'Power Factor Correction'!F$27)/(365*24))*'PFC Calculations'!$I$6*'Power Factor Correction'!F$25),0)),0)</f>
        <v>0</v>
      </c>
      <c r="G47" s="179">
        <f t="shared" si="1"/>
        <v>0</v>
      </c>
      <c r="K47" s="179">
        <f>IF(AND($A47&gt;='Power Factor Correction'!B$11,$A47&lt;='Power Factor Correction'!B$12),IF('Power Factor Correction'!B$31&gt;0,'Data Entry Electricity'!$F48*'PFC Calculations'!$I$3*(TAN(ACOS('Power Factor Correction'!B$31))),IF('Power Factor Correction'!B$46&gt;0,'Power Factor Correction'!B$46*'PFC Calculations'!$I$3,0)),0)</f>
        <v>0</v>
      </c>
      <c r="L47" s="179">
        <f>IF(AND($A47&gt;='Power Factor Correction'!C$11,$A47&lt;='Power Factor Correction'!C$12),IF('Power Factor Correction'!C$31&gt;0,'Data Entry Electricity'!$F48*'PFC Calculations'!$I$3*(TAN(ACOS('Power Factor Correction'!C$31))),IF('Power Factor Correction'!C$46&gt;0,'Power Factor Correction'!C$46*'PFC Calculations'!$I$3,0)),0)</f>
        <v>0</v>
      </c>
      <c r="M47" s="179">
        <f>IF(AND($A47&gt;='Power Factor Correction'!D$11,$A47&lt;='Power Factor Correction'!D$12),IF('Power Factor Correction'!D$31&gt;0,'Data Entry Electricity'!$F48*'PFC Calculations'!$I$3*(TAN(ACOS('Power Factor Correction'!D$31))),IF('Power Factor Correction'!D$46&gt;0,'Power Factor Correction'!D$46*'PFC Calculations'!$I$3,0)),0)</f>
        <v>0</v>
      </c>
      <c r="N47" s="179">
        <f>IF(AND($A47&gt;='Power Factor Correction'!E$11,$A47&lt;='Power Factor Correction'!E$12),IF('Power Factor Correction'!E$31&gt;0,'Data Entry Electricity'!$F48*'PFC Calculations'!$I$3*(TAN(ACOS('Power Factor Correction'!E$31))),IF('Power Factor Correction'!E$46&gt;0,'Power Factor Correction'!E$46*'PFC Calculations'!$I$3,0)),0)</f>
        <v>0</v>
      </c>
      <c r="O47" s="179">
        <f>IF(AND($A47&gt;='Power Factor Correction'!F$11,$A47&lt;='Power Factor Correction'!F$12),IF('Power Factor Correction'!F$31&gt;0,'Data Entry Electricity'!$F48*'PFC Calculations'!$I$3*(TAN(ACOS('Power Factor Correction'!F$31))),IF('Power Factor Correction'!F$46&gt;0,'Power Factor Correction'!F$46*'PFC Calculations'!$I$3,0)),0)</f>
        <v>0</v>
      </c>
      <c r="P47" s="179">
        <f t="shared" si="2"/>
        <v>0</v>
      </c>
    </row>
    <row r="48" spans="1:16">
      <c r="A48" s="179" t="s">
        <v>64</v>
      </c>
      <c r="B48" s="179">
        <f>IF(AND($A48&gt;='Power Factor Correction'!B$11,$A48&lt;='Power Factor Correction'!B$12),IF('Power Factor Correction'!B73&gt;0,('Power Factor Correction'!B$23*'PFC Calculations'!$I$3)-'PFC Calculations'!K48,IF('Power Factor Correction'!B$25*'Power Factor Correction'!B$26*'Power Factor Correction'!B$27&gt;0,((('Power Factor Correction'!B$26*'Power Factor Correction'!B$27)/(365*24))*'PFC Calculations'!$I$6*'Power Factor Correction'!B$25),0)),0)</f>
        <v>0</v>
      </c>
      <c r="C48" s="179">
        <f>IF(AND($A48&gt;='Power Factor Correction'!C$11,$A48&lt;='Power Factor Correction'!C$12),IF('Power Factor Correction'!C73&gt;0,('Power Factor Correction'!C$23*'PFC Calculations'!$I$3)-'PFC Calculations'!L48,IF('Power Factor Correction'!C$25*'Power Factor Correction'!C$26*'Power Factor Correction'!C$27&gt;0,((('Power Factor Correction'!C$26*'Power Factor Correction'!C$27)/(365*24))*'PFC Calculations'!$I$6*'Power Factor Correction'!C$25),0)),0)</f>
        <v>0</v>
      </c>
      <c r="D48" s="179">
        <f>IF(AND($A48&gt;='Power Factor Correction'!D$11,$A48&lt;='Power Factor Correction'!D$12),IF('Power Factor Correction'!D73&gt;0,('Power Factor Correction'!D$23*'PFC Calculations'!$I$3)-'PFC Calculations'!M48,IF('Power Factor Correction'!D$25*'Power Factor Correction'!D$26*'Power Factor Correction'!D$27&gt;0,((('Power Factor Correction'!D$26*'Power Factor Correction'!D$27)/(365*24))*'PFC Calculations'!$I$6*'Power Factor Correction'!D$25),0)),0)</f>
        <v>0</v>
      </c>
      <c r="E48" s="179">
        <f>IF(AND($A48&gt;='Power Factor Correction'!E$11,$A48&lt;='Power Factor Correction'!E$12),IF('Power Factor Correction'!E73&gt;0,('Power Factor Correction'!E$23*'PFC Calculations'!$I$3)-'PFC Calculations'!N48,IF('Power Factor Correction'!E$25*'Power Factor Correction'!E$26*'Power Factor Correction'!E$27&gt;0,((('Power Factor Correction'!E$26*'Power Factor Correction'!E$27)/(365*24))*'PFC Calculations'!$I$6*'Power Factor Correction'!E$25),0)),0)</f>
        <v>0</v>
      </c>
      <c r="F48" s="179">
        <f>IF(AND($A48&gt;='Power Factor Correction'!F$11,$A48&lt;='Power Factor Correction'!F$12),IF('Power Factor Correction'!F73&gt;0,('Power Factor Correction'!F$23*'PFC Calculations'!$I$3)-'PFC Calculations'!O48,IF('Power Factor Correction'!F$25*'Power Factor Correction'!F$26*'Power Factor Correction'!F$27&gt;0,((('Power Factor Correction'!F$26*'Power Factor Correction'!F$27)/(365*24))*'PFC Calculations'!$I$6*'Power Factor Correction'!F$25),0)),0)</f>
        <v>0</v>
      </c>
      <c r="G48" s="179">
        <f t="shared" si="1"/>
        <v>0</v>
      </c>
      <c r="K48" s="179">
        <f>IF(AND($A48&gt;='Power Factor Correction'!B$11,$A48&lt;='Power Factor Correction'!B$12),IF('Power Factor Correction'!B$31&gt;0,'Data Entry Electricity'!$F49*'PFC Calculations'!$I$3*(TAN(ACOS('Power Factor Correction'!B$31))),IF('Power Factor Correction'!B$46&gt;0,'Power Factor Correction'!B$46*'PFC Calculations'!$I$3,0)),0)</f>
        <v>0</v>
      </c>
      <c r="L48" s="179">
        <f>IF(AND($A48&gt;='Power Factor Correction'!C$11,$A48&lt;='Power Factor Correction'!C$12),IF('Power Factor Correction'!C$31&gt;0,'Data Entry Electricity'!$F49*'PFC Calculations'!$I$3*(TAN(ACOS('Power Factor Correction'!C$31))),IF('Power Factor Correction'!C$46&gt;0,'Power Factor Correction'!C$46*'PFC Calculations'!$I$3,0)),0)</f>
        <v>0</v>
      </c>
      <c r="M48" s="179">
        <f>IF(AND($A48&gt;='Power Factor Correction'!D$11,$A48&lt;='Power Factor Correction'!D$12),IF('Power Factor Correction'!D$31&gt;0,'Data Entry Electricity'!$F49*'PFC Calculations'!$I$3*(TAN(ACOS('Power Factor Correction'!D$31))),IF('Power Factor Correction'!D$46&gt;0,'Power Factor Correction'!D$46*'PFC Calculations'!$I$3,0)),0)</f>
        <v>0</v>
      </c>
      <c r="N48" s="179">
        <f>IF(AND($A48&gt;='Power Factor Correction'!E$11,$A48&lt;='Power Factor Correction'!E$12),IF('Power Factor Correction'!E$31&gt;0,'Data Entry Electricity'!$F49*'PFC Calculations'!$I$3*(TAN(ACOS('Power Factor Correction'!E$31))),IF('Power Factor Correction'!E$46&gt;0,'Power Factor Correction'!E$46*'PFC Calculations'!$I$3,0)),0)</f>
        <v>0</v>
      </c>
      <c r="O48" s="179">
        <f>IF(AND($A48&gt;='Power Factor Correction'!F$11,$A48&lt;='Power Factor Correction'!F$12),IF('Power Factor Correction'!F$31&gt;0,'Data Entry Electricity'!$F49*'PFC Calculations'!$I$3*(TAN(ACOS('Power Factor Correction'!F$31))),IF('Power Factor Correction'!F$46&gt;0,'Power Factor Correction'!F$46*'PFC Calculations'!$I$3,0)),0)</f>
        <v>0</v>
      </c>
      <c r="P48" s="179">
        <f t="shared" si="2"/>
        <v>0</v>
      </c>
    </row>
    <row r="49" spans="1:16">
      <c r="A49" s="179" t="s">
        <v>65</v>
      </c>
      <c r="B49" s="179">
        <f>IF(AND($A49&gt;='Power Factor Correction'!B$11,$A49&lt;='Power Factor Correction'!B$12),IF('Power Factor Correction'!B74&gt;0,('Power Factor Correction'!B$23*'PFC Calculations'!$I$3)-'PFC Calculations'!K49,IF('Power Factor Correction'!B$25*'Power Factor Correction'!B$26*'Power Factor Correction'!B$27&gt;0,((('Power Factor Correction'!B$26*'Power Factor Correction'!B$27)/(365*24))*'PFC Calculations'!$I$6*'Power Factor Correction'!B$25),0)),0)</f>
        <v>0</v>
      </c>
      <c r="C49" s="179">
        <f>IF(AND($A49&gt;='Power Factor Correction'!C$11,$A49&lt;='Power Factor Correction'!C$12),IF('Power Factor Correction'!C74&gt;0,('Power Factor Correction'!C$23*'PFC Calculations'!$I$3)-'PFC Calculations'!L49,IF('Power Factor Correction'!C$25*'Power Factor Correction'!C$26*'Power Factor Correction'!C$27&gt;0,((('Power Factor Correction'!C$26*'Power Factor Correction'!C$27)/(365*24))*'PFC Calculations'!$I$6*'Power Factor Correction'!C$25),0)),0)</f>
        <v>0</v>
      </c>
      <c r="D49" s="179">
        <f>IF(AND($A49&gt;='Power Factor Correction'!D$11,$A49&lt;='Power Factor Correction'!D$12),IF('Power Factor Correction'!D74&gt;0,('Power Factor Correction'!D$23*'PFC Calculations'!$I$3)-'PFC Calculations'!M49,IF('Power Factor Correction'!D$25*'Power Factor Correction'!D$26*'Power Factor Correction'!D$27&gt;0,((('Power Factor Correction'!D$26*'Power Factor Correction'!D$27)/(365*24))*'PFC Calculations'!$I$6*'Power Factor Correction'!D$25),0)),0)</f>
        <v>0</v>
      </c>
      <c r="E49" s="179">
        <f>IF(AND($A49&gt;='Power Factor Correction'!E$11,$A49&lt;='Power Factor Correction'!E$12),IF('Power Factor Correction'!E74&gt;0,('Power Factor Correction'!E$23*'PFC Calculations'!$I$3)-'PFC Calculations'!N49,IF('Power Factor Correction'!E$25*'Power Factor Correction'!E$26*'Power Factor Correction'!E$27&gt;0,((('Power Factor Correction'!E$26*'Power Factor Correction'!E$27)/(365*24))*'PFC Calculations'!$I$6*'Power Factor Correction'!E$25),0)),0)</f>
        <v>0</v>
      </c>
      <c r="F49" s="179">
        <f>IF(AND($A49&gt;='Power Factor Correction'!F$11,$A49&lt;='Power Factor Correction'!F$12),IF('Power Factor Correction'!F74&gt;0,('Power Factor Correction'!F$23*'PFC Calculations'!$I$3)-'PFC Calculations'!O49,IF('Power Factor Correction'!F$25*'Power Factor Correction'!F$26*'Power Factor Correction'!F$27&gt;0,((('Power Factor Correction'!F$26*'Power Factor Correction'!F$27)/(365*24))*'PFC Calculations'!$I$6*'Power Factor Correction'!F$25),0)),0)</f>
        <v>0</v>
      </c>
      <c r="G49" s="179">
        <f t="shared" si="1"/>
        <v>0</v>
      </c>
      <c r="K49" s="179">
        <f>IF(AND($A49&gt;='Power Factor Correction'!B$11,$A49&lt;='Power Factor Correction'!B$12),IF('Power Factor Correction'!B$31&gt;0,'Data Entry Electricity'!$F50*'PFC Calculations'!$I$3*(TAN(ACOS('Power Factor Correction'!B$31))),IF('Power Factor Correction'!B$46&gt;0,'Power Factor Correction'!B$46*'PFC Calculations'!$I$3,0)),0)</f>
        <v>0</v>
      </c>
      <c r="L49" s="179">
        <f>IF(AND($A49&gt;='Power Factor Correction'!C$11,$A49&lt;='Power Factor Correction'!C$12),IF('Power Factor Correction'!C$31&gt;0,'Data Entry Electricity'!$F50*'PFC Calculations'!$I$3*(TAN(ACOS('Power Factor Correction'!C$31))),IF('Power Factor Correction'!C$46&gt;0,'Power Factor Correction'!C$46*'PFC Calculations'!$I$3,0)),0)</f>
        <v>0</v>
      </c>
      <c r="M49" s="179">
        <f>IF(AND($A49&gt;='Power Factor Correction'!D$11,$A49&lt;='Power Factor Correction'!D$12),IF('Power Factor Correction'!D$31&gt;0,'Data Entry Electricity'!$F50*'PFC Calculations'!$I$3*(TAN(ACOS('Power Factor Correction'!D$31))),IF('Power Factor Correction'!D$46&gt;0,'Power Factor Correction'!D$46*'PFC Calculations'!$I$3,0)),0)</f>
        <v>0</v>
      </c>
      <c r="N49" s="179">
        <f>IF(AND($A49&gt;='Power Factor Correction'!E$11,$A49&lt;='Power Factor Correction'!E$12),IF('Power Factor Correction'!E$31&gt;0,'Data Entry Electricity'!$F50*'PFC Calculations'!$I$3*(TAN(ACOS('Power Factor Correction'!E$31))),IF('Power Factor Correction'!E$46&gt;0,'Power Factor Correction'!E$46*'PFC Calculations'!$I$3,0)),0)</f>
        <v>0</v>
      </c>
      <c r="O49" s="179">
        <f>IF(AND($A49&gt;='Power Factor Correction'!F$11,$A49&lt;='Power Factor Correction'!F$12),IF('Power Factor Correction'!F$31&gt;0,'Data Entry Electricity'!$F50*'PFC Calculations'!$I$3*(TAN(ACOS('Power Factor Correction'!F$31))),IF('Power Factor Correction'!F$46&gt;0,'Power Factor Correction'!F$46*'PFC Calculations'!$I$3,0)),0)</f>
        <v>0</v>
      </c>
      <c r="P49" s="179">
        <f t="shared" si="2"/>
        <v>0</v>
      </c>
    </row>
    <row r="50" spans="1:16">
      <c r="A50" s="179" t="s">
        <v>66</v>
      </c>
      <c r="B50" s="179">
        <f>IF(AND($A50&gt;='Power Factor Correction'!B$11,$A50&lt;='Power Factor Correction'!B$12),IF('Power Factor Correction'!B75&gt;0,('Power Factor Correction'!B$23*'PFC Calculations'!$I$3)-'PFC Calculations'!K50,IF('Power Factor Correction'!B$25*'Power Factor Correction'!B$26*'Power Factor Correction'!B$27&gt;0,((('Power Factor Correction'!B$26*'Power Factor Correction'!B$27)/(365*24))*'PFC Calculations'!$I$6*'Power Factor Correction'!B$25),0)),0)</f>
        <v>0</v>
      </c>
      <c r="C50" s="179">
        <f>IF(AND($A50&gt;='Power Factor Correction'!C$11,$A50&lt;='Power Factor Correction'!C$12),IF('Power Factor Correction'!C75&gt;0,('Power Factor Correction'!C$23*'PFC Calculations'!$I$3)-'PFC Calculations'!L50,IF('Power Factor Correction'!C$25*'Power Factor Correction'!C$26*'Power Factor Correction'!C$27&gt;0,((('Power Factor Correction'!C$26*'Power Factor Correction'!C$27)/(365*24))*'PFC Calculations'!$I$6*'Power Factor Correction'!C$25),0)),0)</f>
        <v>0</v>
      </c>
      <c r="D50" s="179">
        <f>IF(AND($A50&gt;='Power Factor Correction'!D$11,$A50&lt;='Power Factor Correction'!D$12),IF('Power Factor Correction'!D75&gt;0,('Power Factor Correction'!D$23*'PFC Calculations'!$I$3)-'PFC Calculations'!M50,IF('Power Factor Correction'!D$25*'Power Factor Correction'!D$26*'Power Factor Correction'!D$27&gt;0,((('Power Factor Correction'!D$26*'Power Factor Correction'!D$27)/(365*24))*'PFC Calculations'!$I$6*'Power Factor Correction'!D$25),0)),0)</f>
        <v>0</v>
      </c>
      <c r="E50" s="179">
        <f>IF(AND($A50&gt;='Power Factor Correction'!E$11,$A50&lt;='Power Factor Correction'!E$12),IF('Power Factor Correction'!E75&gt;0,('Power Factor Correction'!E$23*'PFC Calculations'!$I$3)-'PFC Calculations'!N50,IF('Power Factor Correction'!E$25*'Power Factor Correction'!E$26*'Power Factor Correction'!E$27&gt;0,((('Power Factor Correction'!E$26*'Power Factor Correction'!E$27)/(365*24))*'PFC Calculations'!$I$6*'Power Factor Correction'!E$25),0)),0)</f>
        <v>0</v>
      </c>
      <c r="F50" s="179">
        <f>IF(AND($A50&gt;='Power Factor Correction'!F$11,$A50&lt;='Power Factor Correction'!F$12),IF('Power Factor Correction'!F75&gt;0,('Power Factor Correction'!F$23*'PFC Calculations'!$I$3)-'PFC Calculations'!O50,IF('Power Factor Correction'!F$25*'Power Factor Correction'!F$26*'Power Factor Correction'!F$27&gt;0,((('Power Factor Correction'!F$26*'Power Factor Correction'!F$27)/(365*24))*'PFC Calculations'!$I$6*'Power Factor Correction'!F$25),0)),0)</f>
        <v>0</v>
      </c>
      <c r="G50" s="179">
        <f t="shared" si="1"/>
        <v>0</v>
      </c>
      <c r="K50" s="179">
        <f>IF(AND($A50&gt;='Power Factor Correction'!B$11,$A50&lt;='Power Factor Correction'!B$12),IF('Power Factor Correction'!B$31&gt;0,'Data Entry Electricity'!$F51*'PFC Calculations'!$I$3*(TAN(ACOS('Power Factor Correction'!B$31))),IF('Power Factor Correction'!B$46&gt;0,'Power Factor Correction'!B$46*'PFC Calculations'!$I$3,0)),0)</f>
        <v>0</v>
      </c>
      <c r="L50" s="179">
        <f>IF(AND($A50&gt;='Power Factor Correction'!C$11,$A50&lt;='Power Factor Correction'!C$12),IF('Power Factor Correction'!C$31&gt;0,'Data Entry Electricity'!$F51*'PFC Calculations'!$I$3*(TAN(ACOS('Power Factor Correction'!C$31))),IF('Power Factor Correction'!C$46&gt;0,'Power Factor Correction'!C$46*'PFC Calculations'!$I$3,0)),0)</f>
        <v>0</v>
      </c>
      <c r="M50" s="179">
        <f>IF(AND($A50&gt;='Power Factor Correction'!D$11,$A50&lt;='Power Factor Correction'!D$12),IF('Power Factor Correction'!D$31&gt;0,'Data Entry Electricity'!$F51*'PFC Calculations'!$I$3*(TAN(ACOS('Power Factor Correction'!D$31))),IF('Power Factor Correction'!D$46&gt;0,'Power Factor Correction'!D$46*'PFC Calculations'!$I$3,0)),0)</f>
        <v>0</v>
      </c>
      <c r="N50" s="179">
        <f>IF(AND($A50&gt;='Power Factor Correction'!E$11,$A50&lt;='Power Factor Correction'!E$12),IF('Power Factor Correction'!E$31&gt;0,'Data Entry Electricity'!$F51*'PFC Calculations'!$I$3*(TAN(ACOS('Power Factor Correction'!E$31))),IF('Power Factor Correction'!E$46&gt;0,'Power Factor Correction'!E$46*'PFC Calculations'!$I$3,0)),0)</f>
        <v>0</v>
      </c>
      <c r="O50" s="179">
        <f>IF(AND($A50&gt;='Power Factor Correction'!F$11,$A50&lt;='Power Factor Correction'!F$12),IF('Power Factor Correction'!F$31&gt;0,'Data Entry Electricity'!$F51*'PFC Calculations'!$I$3*(TAN(ACOS('Power Factor Correction'!F$31))),IF('Power Factor Correction'!F$46&gt;0,'Power Factor Correction'!F$46*'PFC Calculations'!$I$3,0)),0)</f>
        <v>0</v>
      </c>
      <c r="P50" s="179">
        <f t="shared" si="2"/>
        <v>0</v>
      </c>
    </row>
    <row r="51" spans="1:16">
      <c r="A51" s="179" t="s">
        <v>8</v>
      </c>
      <c r="B51" s="179">
        <f>IF(AND($A51&gt;='Power Factor Correction'!B$11,$A51&lt;='Power Factor Correction'!B$12),IF('Power Factor Correction'!B76&gt;0,('Power Factor Correction'!B$23*'PFC Calculations'!$I$3)-'PFC Calculations'!K51,IF('Power Factor Correction'!B$25*'Power Factor Correction'!B$26*'Power Factor Correction'!B$27&gt;0,((('Power Factor Correction'!B$26*'Power Factor Correction'!B$27)/(365*24))*'PFC Calculations'!$I$6*'Power Factor Correction'!B$25),0)),0)</f>
        <v>0</v>
      </c>
      <c r="C51" s="179">
        <f>IF(AND($A51&gt;='Power Factor Correction'!C$11,$A51&lt;='Power Factor Correction'!C$12),IF('Power Factor Correction'!C76&gt;0,('Power Factor Correction'!C$23*'PFC Calculations'!$I$3)-'PFC Calculations'!L51,IF('Power Factor Correction'!C$25*'Power Factor Correction'!C$26*'Power Factor Correction'!C$27&gt;0,((('Power Factor Correction'!C$26*'Power Factor Correction'!C$27)/(365*24))*'PFC Calculations'!$I$6*'Power Factor Correction'!C$25),0)),0)</f>
        <v>0</v>
      </c>
      <c r="D51" s="179">
        <f>IF(AND($A51&gt;='Power Factor Correction'!D$11,$A51&lt;='Power Factor Correction'!D$12),IF('Power Factor Correction'!D76&gt;0,('Power Factor Correction'!D$23*'PFC Calculations'!$I$3)-'PFC Calculations'!M51,IF('Power Factor Correction'!D$25*'Power Factor Correction'!D$26*'Power Factor Correction'!D$27&gt;0,((('Power Factor Correction'!D$26*'Power Factor Correction'!D$27)/(365*24))*'PFC Calculations'!$I$6*'Power Factor Correction'!D$25),0)),0)</f>
        <v>0</v>
      </c>
      <c r="E51" s="179">
        <f>IF(AND($A51&gt;='Power Factor Correction'!E$11,$A51&lt;='Power Factor Correction'!E$12),IF('Power Factor Correction'!E76&gt;0,('Power Factor Correction'!E$23*'PFC Calculations'!$I$3)-'PFC Calculations'!N51,IF('Power Factor Correction'!E$25*'Power Factor Correction'!E$26*'Power Factor Correction'!E$27&gt;0,((('Power Factor Correction'!E$26*'Power Factor Correction'!E$27)/(365*24))*'PFC Calculations'!$I$6*'Power Factor Correction'!E$25),0)),0)</f>
        <v>0</v>
      </c>
      <c r="F51" s="179">
        <f>IF(AND($A51&gt;='Power Factor Correction'!F$11,$A51&lt;='Power Factor Correction'!F$12),IF('Power Factor Correction'!F76&gt;0,('Power Factor Correction'!F$23*'PFC Calculations'!$I$3)-'PFC Calculations'!O51,IF('Power Factor Correction'!F$25*'Power Factor Correction'!F$26*'Power Factor Correction'!F$27&gt;0,((('Power Factor Correction'!F$26*'Power Factor Correction'!F$27)/(365*24))*'PFC Calculations'!$I$6*'Power Factor Correction'!F$25),0)),0)</f>
        <v>0</v>
      </c>
      <c r="G51" s="179">
        <f t="shared" si="1"/>
        <v>0</v>
      </c>
      <c r="K51" s="179">
        <f>IF(AND($A51&gt;='Power Factor Correction'!B$11,$A51&lt;='Power Factor Correction'!B$12),IF('Power Factor Correction'!B$31&gt;0,'Data Entry Electricity'!$F52*'PFC Calculations'!$I$3*(TAN(ACOS('Power Factor Correction'!B$31))),IF('Power Factor Correction'!B$46&gt;0,'Power Factor Correction'!B$46*'PFC Calculations'!$I$3,0)),0)</f>
        <v>0</v>
      </c>
      <c r="L51" s="179">
        <f>IF(AND($A51&gt;='Power Factor Correction'!C$11,$A51&lt;='Power Factor Correction'!C$12),IF('Power Factor Correction'!C$31&gt;0,'Data Entry Electricity'!$F52*'PFC Calculations'!$I$3*(TAN(ACOS('Power Factor Correction'!C$31))),IF('Power Factor Correction'!C$46&gt;0,'Power Factor Correction'!C$46*'PFC Calculations'!$I$3,0)),0)</f>
        <v>0</v>
      </c>
      <c r="M51" s="179">
        <f>IF(AND($A51&gt;='Power Factor Correction'!D$11,$A51&lt;='Power Factor Correction'!D$12),IF('Power Factor Correction'!D$31&gt;0,'Data Entry Electricity'!$F52*'PFC Calculations'!$I$3*(TAN(ACOS('Power Factor Correction'!D$31))),IF('Power Factor Correction'!D$46&gt;0,'Power Factor Correction'!D$46*'PFC Calculations'!$I$3,0)),0)</f>
        <v>0</v>
      </c>
      <c r="N51" s="179">
        <f>IF(AND($A51&gt;='Power Factor Correction'!E$11,$A51&lt;='Power Factor Correction'!E$12),IF('Power Factor Correction'!E$31&gt;0,'Data Entry Electricity'!$F52*'PFC Calculations'!$I$3*(TAN(ACOS('Power Factor Correction'!E$31))),IF('Power Factor Correction'!E$46&gt;0,'Power Factor Correction'!E$46*'PFC Calculations'!$I$3,0)),0)</f>
        <v>0</v>
      </c>
      <c r="O51" s="179">
        <f>IF(AND($A51&gt;='Power Factor Correction'!F$11,$A51&lt;='Power Factor Correction'!F$12),IF('Power Factor Correction'!F$31&gt;0,'Data Entry Electricity'!$F52*'PFC Calculations'!$I$3*(TAN(ACOS('Power Factor Correction'!F$31))),IF('Power Factor Correction'!F$46&gt;0,'Power Factor Correction'!F$46*'PFC Calculations'!$I$3,0)),0)</f>
        <v>0</v>
      </c>
      <c r="P51" s="179">
        <f t="shared" si="2"/>
        <v>0</v>
      </c>
    </row>
    <row r="52" spans="1:16">
      <c r="A52" s="179" t="s">
        <v>9</v>
      </c>
      <c r="B52" s="179">
        <f>IF(AND($A52&gt;='Power Factor Correction'!B$11,$A52&lt;='Power Factor Correction'!B$12),IF('Power Factor Correction'!B77&gt;0,('Power Factor Correction'!B$23*'PFC Calculations'!$I$3)-'PFC Calculations'!K52,IF('Power Factor Correction'!B$25*'Power Factor Correction'!B$26*'Power Factor Correction'!B$27&gt;0,((('Power Factor Correction'!B$26*'Power Factor Correction'!B$27)/(365*24))*'PFC Calculations'!$I$6*'Power Factor Correction'!B$25),0)),0)</f>
        <v>0</v>
      </c>
      <c r="C52" s="179">
        <f>IF(AND($A52&gt;='Power Factor Correction'!C$11,$A52&lt;='Power Factor Correction'!C$12),IF('Power Factor Correction'!C77&gt;0,('Power Factor Correction'!C$23*'PFC Calculations'!$I$3)-'PFC Calculations'!L52,IF('Power Factor Correction'!C$25*'Power Factor Correction'!C$26*'Power Factor Correction'!C$27&gt;0,((('Power Factor Correction'!C$26*'Power Factor Correction'!C$27)/(365*24))*'PFC Calculations'!$I$6*'Power Factor Correction'!C$25),0)),0)</f>
        <v>0</v>
      </c>
      <c r="D52" s="179">
        <f>IF(AND($A52&gt;='Power Factor Correction'!D$11,$A52&lt;='Power Factor Correction'!D$12),IF('Power Factor Correction'!D77&gt;0,('Power Factor Correction'!D$23*'PFC Calculations'!$I$3)-'PFC Calculations'!M52,IF('Power Factor Correction'!D$25*'Power Factor Correction'!D$26*'Power Factor Correction'!D$27&gt;0,((('Power Factor Correction'!D$26*'Power Factor Correction'!D$27)/(365*24))*'PFC Calculations'!$I$6*'Power Factor Correction'!D$25),0)),0)</f>
        <v>0</v>
      </c>
      <c r="E52" s="179">
        <f>IF(AND($A52&gt;='Power Factor Correction'!E$11,$A52&lt;='Power Factor Correction'!E$12),IF('Power Factor Correction'!E77&gt;0,('Power Factor Correction'!E$23*'PFC Calculations'!$I$3)-'PFC Calculations'!N52,IF('Power Factor Correction'!E$25*'Power Factor Correction'!E$26*'Power Factor Correction'!E$27&gt;0,((('Power Factor Correction'!E$26*'Power Factor Correction'!E$27)/(365*24))*'PFC Calculations'!$I$6*'Power Factor Correction'!E$25),0)),0)</f>
        <v>0</v>
      </c>
      <c r="F52" s="179">
        <f>IF(AND($A52&gt;='Power Factor Correction'!F$11,$A52&lt;='Power Factor Correction'!F$12),IF('Power Factor Correction'!F77&gt;0,('Power Factor Correction'!F$23*'PFC Calculations'!$I$3)-'PFC Calculations'!O52,IF('Power Factor Correction'!F$25*'Power Factor Correction'!F$26*'Power Factor Correction'!F$27&gt;0,((('Power Factor Correction'!F$26*'Power Factor Correction'!F$27)/(365*24))*'PFC Calculations'!$I$6*'Power Factor Correction'!F$25),0)),0)</f>
        <v>0</v>
      </c>
      <c r="G52" s="179">
        <f t="shared" si="1"/>
        <v>0</v>
      </c>
      <c r="K52" s="179">
        <f>IF(AND($A52&gt;='Power Factor Correction'!B$11,$A52&lt;='Power Factor Correction'!B$12),IF('Power Factor Correction'!B$31&gt;0,'Data Entry Electricity'!$F53*'PFC Calculations'!$I$3*(TAN(ACOS('Power Factor Correction'!B$31))),IF('Power Factor Correction'!B$46&gt;0,'Power Factor Correction'!B$46*'PFC Calculations'!$I$3,0)),0)</f>
        <v>0</v>
      </c>
      <c r="L52" s="179">
        <f>IF(AND($A52&gt;='Power Factor Correction'!C$11,$A52&lt;='Power Factor Correction'!C$12),IF('Power Factor Correction'!C$31&gt;0,'Data Entry Electricity'!$F53*'PFC Calculations'!$I$3*(TAN(ACOS('Power Factor Correction'!C$31))),IF('Power Factor Correction'!C$46&gt;0,'Power Factor Correction'!C$46*'PFC Calculations'!$I$3,0)),0)</f>
        <v>0</v>
      </c>
      <c r="M52" s="179">
        <f>IF(AND($A52&gt;='Power Factor Correction'!D$11,$A52&lt;='Power Factor Correction'!D$12),IF('Power Factor Correction'!D$31&gt;0,'Data Entry Electricity'!$F53*'PFC Calculations'!$I$3*(TAN(ACOS('Power Factor Correction'!D$31))),IF('Power Factor Correction'!D$46&gt;0,'Power Factor Correction'!D$46*'PFC Calculations'!$I$3,0)),0)</f>
        <v>0</v>
      </c>
      <c r="N52" s="179">
        <f>IF(AND($A52&gt;='Power Factor Correction'!E$11,$A52&lt;='Power Factor Correction'!E$12),IF('Power Factor Correction'!E$31&gt;0,'Data Entry Electricity'!$F53*'PFC Calculations'!$I$3*(TAN(ACOS('Power Factor Correction'!E$31))),IF('Power Factor Correction'!E$46&gt;0,'Power Factor Correction'!E$46*'PFC Calculations'!$I$3,0)),0)</f>
        <v>0</v>
      </c>
      <c r="O52" s="179">
        <f>IF(AND($A52&gt;='Power Factor Correction'!F$11,$A52&lt;='Power Factor Correction'!F$12),IF('Power Factor Correction'!F$31&gt;0,'Data Entry Electricity'!$F53*'PFC Calculations'!$I$3*(TAN(ACOS('Power Factor Correction'!F$31))),IF('Power Factor Correction'!F$46&gt;0,'Power Factor Correction'!F$46*'PFC Calculations'!$I$3,0)),0)</f>
        <v>0</v>
      </c>
      <c r="P52" s="179">
        <f t="shared" si="2"/>
        <v>0</v>
      </c>
    </row>
    <row r="53" spans="1:16">
      <c r="A53" s="179" t="s">
        <v>10</v>
      </c>
      <c r="B53" s="179">
        <f>IF(AND($A53&gt;='Power Factor Correction'!B$11,$A53&lt;='Power Factor Correction'!B$12),IF('Power Factor Correction'!B78&gt;0,('Power Factor Correction'!B$23*'PFC Calculations'!$I$3)-'PFC Calculations'!K53,IF('Power Factor Correction'!B$25*'Power Factor Correction'!B$26*'Power Factor Correction'!B$27&gt;0,((('Power Factor Correction'!B$26*'Power Factor Correction'!B$27)/(365*24))*'PFC Calculations'!$I$6*'Power Factor Correction'!B$25),0)),0)</f>
        <v>0</v>
      </c>
      <c r="C53" s="179">
        <f>IF(AND($A53&gt;='Power Factor Correction'!C$11,$A53&lt;='Power Factor Correction'!C$12),IF('Power Factor Correction'!C78&gt;0,('Power Factor Correction'!C$23*'PFC Calculations'!$I$3)-'PFC Calculations'!L53,IF('Power Factor Correction'!C$25*'Power Factor Correction'!C$26*'Power Factor Correction'!C$27&gt;0,((('Power Factor Correction'!C$26*'Power Factor Correction'!C$27)/(365*24))*'PFC Calculations'!$I$6*'Power Factor Correction'!C$25),0)),0)</f>
        <v>0</v>
      </c>
      <c r="D53" s="179">
        <f>IF(AND($A53&gt;='Power Factor Correction'!D$11,$A53&lt;='Power Factor Correction'!D$12),IF('Power Factor Correction'!D78&gt;0,('Power Factor Correction'!D$23*'PFC Calculations'!$I$3)-'PFC Calculations'!M53,IF('Power Factor Correction'!D$25*'Power Factor Correction'!D$26*'Power Factor Correction'!D$27&gt;0,((('Power Factor Correction'!D$26*'Power Factor Correction'!D$27)/(365*24))*'PFC Calculations'!$I$6*'Power Factor Correction'!D$25),0)),0)</f>
        <v>0</v>
      </c>
      <c r="E53" s="179">
        <f>IF(AND($A53&gt;='Power Factor Correction'!E$11,$A53&lt;='Power Factor Correction'!E$12),IF('Power Factor Correction'!E78&gt;0,('Power Factor Correction'!E$23*'PFC Calculations'!$I$3)-'PFC Calculations'!N53,IF('Power Factor Correction'!E$25*'Power Factor Correction'!E$26*'Power Factor Correction'!E$27&gt;0,((('Power Factor Correction'!E$26*'Power Factor Correction'!E$27)/(365*24))*'PFC Calculations'!$I$6*'Power Factor Correction'!E$25),0)),0)</f>
        <v>0</v>
      </c>
      <c r="F53" s="179">
        <f>IF(AND($A53&gt;='Power Factor Correction'!F$11,$A53&lt;='Power Factor Correction'!F$12),IF('Power Factor Correction'!F78&gt;0,('Power Factor Correction'!F$23*'PFC Calculations'!$I$3)-'PFC Calculations'!O53,IF('Power Factor Correction'!F$25*'Power Factor Correction'!F$26*'Power Factor Correction'!F$27&gt;0,((('Power Factor Correction'!F$26*'Power Factor Correction'!F$27)/(365*24))*'PFC Calculations'!$I$6*'Power Factor Correction'!F$25),0)),0)</f>
        <v>0</v>
      </c>
      <c r="G53" s="179">
        <f t="shared" si="1"/>
        <v>0</v>
      </c>
      <c r="K53" s="179">
        <f>IF(AND($A53&gt;='Power Factor Correction'!B$11,$A53&lt;='Power Factor Correction'!B$12),IF('Power Factor Correction'!B$31&gt;0,'Data Entry Electricity'!$F54*'PFC Calculations'!$I$3*(TAN(ACOS('Power Factor Correction'!B$31))),IF('Power Factor Correction'!B$46&gt;0,'Power Factor Correction'!B$46*'PFC Calculations'!$I$3,0)),0)</f>
        <v>0</v>
      </c>
      <c r="L53" s="179">
        <f>IF(AND($A53&gt;='Power Factor Correction'!C$11,$A53&lt;='Power Factor Correction'!C$12),IF('Power Factor Correction'!C$31&gt;0,'Data Entry Electricity'!$F54*'PFC Calculations'!$I$3*(TAN(ACOS('Power Factor Correction'!C$31))),IF('Power Factor Correction'!C$46&gt;0,'Power Factor Correction'!C$46*'PFC Calculations'!$I$3,0)),0)</f>
        <v>0</v>
      </c>
      <c r="M53" s="179">
        <f>IF(AND($A53&gt;='Power Factor Correction'!D$11,$A53&lt;='Power Factor Correction'!D$12),IF('Power Factor Correction'!D$31&gt;0,'Data Entry Electricity'!$F54*'PFC Calculations'!$I$3*(TAN(ACOS('Power Factor Correction'!D$31))),IF('Power Factor Correction'!D$46&gt;0,'Power Factor Correction'!D$46*'PFC Calculations'!$I$3,0)),0)</f>
        <v>0</v>
      </c>
      <c r="N53" s="179">
        <f>IF(AND($A53&gt;='Power Factor Correction'!E$11,$A53&lt;='Power Factor Correction'!E$12),IF('Power Factor Correction'!E$31&gt;0,'Data Entry Electricity'!$F54*'PFC Calculations'!$I$3*(TAN(ACOS('Power Factor Correction'!E$31))),IF('Power Factor Correction'!E$46&gt;0,'Power Factor Correction'!E$46*'PFC Calculations'!$I$3,0)),0)</f>
        <v>0</v>
      </c>
      <c r="O53" s="179">
        <f>IF(AND($A53&gt;='Power Factor Correction'!F$11,$A53&lt;='Power Factor Correction'!F$12),IF('Power Factor Correction'!F$31&gt;0,'Data Entry Electricity'!$F54*'PFC Calculations'!$I$3*(TAN(ACOS('Power Factor Correction'!F$31))),IF('Power Factor Correction'!F$46&gt;0,'Power Factor Correction'!F$46*'PFC Calculations'!$I$3,0)),0)</f>
        <v>0</v>
      </c>
      <c r="P53" s="179">
        <f t="shared" si="2"/>
        <v>0</v>
      </c>
    </row>
    <row r="54" spans="1:16">
      <c r="A54" s="179" t="s">
        <v>11</v>
      </c>
      <c r="B54" s="179">
        <f>IF(AND($A54&gt;='Power Factor Correction'!B$11,$A54&lt;='Power Factor Correction'!B$12),IF('Power Factor Correction'!B79&gt;0,('Power Factor Correction'!B$23*'PFC Calculations'!$I$3)-'PFC Calculations'!K54,IF('Power Factor Correction'!B$25*'Power Factor Correction'!B$26*'Power Factor Correction'!B$27&gt;0,((('Power Factor Correction'!B$26*'Power Factor Correction'!B$27)/(365*24))*'PFC Calculations'!$I$6*'Power Factor Correction'!B$25),0)),0)</f>
        <v>0</v>
      </c>
      <c r="C54" s="179">
        <f>IF(AND($A54&gt;='Power Factor Correction'!C$11,$A54&lt;='Power Factor Correction'!C$12),IF('Power Factor Correction'!C79&gt;0,('Power Factor Correction'!C$23*'PFC Calculations'!$I$3)-'PFC Calculations'!L54,IF('Power Factor Correction'!C$25*'Power Factor Correction'!C$26*'Power Factor Correction'!C$27&gt;0,((('Power Factor Correction'!C$26*'Power Factor Correction'!C$27)/(365*24))*'PFC Calculations'!$I$6*'Power Factor Correction'!C$25),0)),0)</f>
        <v>0</v>
      </c>
      <c r="D54" s="179">
        <f>IF(AND($A54&gt;='Power Factor Correction'!D$11,$A54&lt;='Power Factor Correction'!D$12),IF('Power Factor Correction'!D79&gt;0,('Power Factor Correction'!D$23*'PFC Calculations'!$I$3)-'PFC Calculations'!M54,IF('Power Factor Correction'!D$25*'Power Factor Correction'!D$26*'Power Factor Correction'!D$27&gt;0,((('Power Factor Correction'!D$26*'Power Factor Correction'!D$27)/(365*24))*'PFC Calculations'!$I$6*'Power Factor Correction'!D$25),0)),0)</f>
        <v>0</v>
      </c>
      <c r="E54" s="179">
        <f>IF(AND($A54&gt;='Power Factor Correction'!E$11,$A54&lt;='Power Factor Correction'!E$12),IF('Power Factor Correction'!E79&gt;0,('Power Factor Correction'!E$23*'PFC Calculations'!$I$3)-'PFC Calculations'!N54,IF('Power Factor Correction'!E$25*'Power Factor Correction'!E$26*'Power Factor Correction'!E$27&gt;0,((('Power Factor Correction'!E$26*'Power Factor Correction'!E$27)/(365*24))*'PFC Calculations'!$I$6*'Power Factor Correction'!E$25),0)),0)</f>
        <v>0</v>
      </c>
      <c r="F54" s="179">
        <f>IF(AND($A54&gt;='Power Factor Correction'!F$11,$A54&lt;='Power Factor Correction'!F$12),IF('Power Factor Correction'!F79&gt;0,('Power Factor Correction'!F$23*'PFC Calculations'!$I$3)-'PFC Calculations'!O54,IF('Power Factor Correction'!F$25*'Power Factor Correction'!F$26*'Power Factor Correction'!F$27&gt;0,((('Power Factor Correction'!F$26*'Power Factor Correction'!F$27)/(365*24))*'PFC Calculations'!$I$6*'Power Factor Correction'!F$25),0)),0)</f>
        <v>0</v>
      </c>
      <c r="G54" s="179">
        <f t="shared" si="1"/>
        <v>0</v>
      </c>
      <c r="K54" s="179">
        <f>IF(AND($A54&gt;='Power Factor Correction'!B$11,$A54&lt;='Power Factor Correction'!B$12),IF('Power Factor Correction'!B$31&gt;0,'Data Entry Electricity'!$F55*'PFC Calculations'!$I$3*(TAN(ACOS('Power Factor Correction'!B$31))),IF('Power Factor Correction'!B$46&gt;0,'Power Factor Correction'!B$46*'PFC Calculations'!$I$3,0)),0)</f>
        <v>0</v>
      </c>
      <c r="L54" s="179">
        <f>IF(AND($A54&gt;='Power Factor Correction'!C$11,$A54&lt;='Power Factor Correction'!C$12),IF('Power Factor Correction'!C$31&gt;0,'Data Entry Electricity'!$F55*'PFC Calculations'!$I$3*(TAN(ACOS('Power Factor Correction'!C$31))),IF('Power Factor Correction'!C$46&gt;0,'Power Factor Correction'!C$46*'PFC Calculations'!$I$3,0)),0)</f>
        <v>0</v>
      </c>
      <c r="M54" s="179">
        <f>IF(AND($A54&gt;='Power Factor Correction'!D$11,$A54&lt;='Power Factor Correction'!D$12),IF('Power Factor Correction'!D$31&gt;0,'Data Entry Electricity'!$F55*'PFC Calculations'!$I$3*(TAN(ACOS('Power Factor Correction'!D$31))),IF('Power Factor Correction'!D$46&gt;0,'Power Factor Correction'!D$46*'PFC Calculations'!$I$3,0)),0)</f>
        <v>0</v>
      </c>
      <c r="N54" s="179">
        <f>IF(AND($A54&gt;='Power Factor Correction'!E$11,$A54&lt;='Power Factor Correction'!E$12),IF('Power Factor Correction'!E$31&gt;0,'Data Entry Electricity'!$F55*'PFC Calculations'!$I$3*(TAN(ACOS('Power Factor Correction'!E$31))),IF('Power Factor Correction'!E$46&gt;0,'Power Factor Correction'!E$46*'PFC Calculations'!$I$3,0)),0)</f>
        <v>0</v>
      </c>
      <c r="O54" s="179">
        <f>IF(AND($A54&gt;='Power Factor Correction'!F$11,$A54&lt;='Power Factor Correction'!F$12),IF('Power Factor Correction'!F$31&gt;0,'Data Entry Electricity'!$F55*'PFC Calculations'!$I$3*(TAN(ACOS('Power Factor Correction'!F$31))),IF('Power Factor Correction'!F$46&gt;0,'Power Factor Correction'!F$46*'PFC Calculations'!$I$3,0)),0)</f>
        <v>0</v>
      </c>
      <c r="P54" s="179">
        <f t="shared" si="2"/>
        <v>0</v>
      </c>
    </row>
    <row r="55" spans="1:16">
      <c r="A55" s="179" t="s">
        <v>67</v>
      </c>
      <c r="B55" s="179">
        <f>IF(AND($A55&gt;='Power Factor Correction'!B$11,$A55&lt;='Power Factor Correction'!B$12),IF('Power Factor Correction'!B80&gt;0,('Power Factor Correction'!B$23*'PFC Calculations'!$I$3)-'PFC Calculations'!K55,IF('Power Factor Correction'!B$25*'Power Factor Correction'!B$26*'Power Factor Correction'!B$27&gt;0,((('Power Factor Correction'!B$26*'Power Factor Correction'!B$27)/(365*24))*'PFC Calculations'!$I$6*'Power Factor Correction'!B$25),0)),0)</f>
        <v>0</v>
      </c>
      <c r="C55" s="179">
        <f>IF(AND($A55&gt;='Power Factor Correction'!C$11,$A55&lt;='Power Factor Correction'!C$12),IF('Power Factor Correction'!C80&gt;0,('Power Factor Correction'!C$23*'PFC Calculations'!$I$3)-'PFC Calculations'!L55,IF('Power Factor Correction'!C$25*'Power Factor Correction'!C$26*'Power Factor Correction'!C$27&gt;0,((('Power Factor Correction'!C$26*'Power Factor Correction'!C$27)/(365*24))*'PFC Calculations'!$I$6*'Power Factor Correction'!C$25),0)),0)</f>
        <v>0</v>
      </c>
      <c r="D55" s="179">
        <f>IF(AND($A55&gt;='Power Factor Correction'!D$11,$A55&lt;='Power Factor Correction'!D$12),IF('Power Factor Correction'!D80&gt;0,('Power Factor Correction'!D$23*'PFC Calculations'!$I$3)-'PFC Calculations'!M55,IF('Power Factor Correction'!D$25*'Power Factor Correction'!D$26*'Power Factor Correction'!D$27&gt;0,((('Power Factor Correction'!D$26*'Power Factor Correction'!D$27)/(365*24))*'PFC Calculations'!$I$6*'Power Factor Correction'!D$25),0)),0)</f>
        <v>0</v>
      </c>
      <c r="E55" s="179">
        <f>IF(AND($A55&gt;='Power Factor Correction'!E$11,$A55&lt;='Power Factor Correction'!E$12),IF('Power Factor Correction'!E80&gt;0,('Power Factor Correction'!E$23*'PFC Calculations'!$I$3)-'PFC Calculations'!N55,IF('Power Factor Correction'!E$25*'Power Factor Correction'!E$26*'Power Factor Correction'!E$27&gt;0,((('Power Factor Correction'!E$26*'Power Factor Correction'!E$27)/(365*24))*'PFC Calculations'!$I$6*'Power Factor Correction'!E$25),0)),0)</f>
        <v>0</v>
      </c>
      <c r="F55" s="179">
        <f>IF(AND($A55&gt;='Power Factor Correction'!F$11,$A55&lt;='Power Factor Correction'!F$12),IF('Power Factor Correction'!F80&gt;0,('Power Factor Correction'!F$23*'PFC Calculations'!$I$3)-'PFC Calculations'!O55,IF('Power Factor Correction'!F$25*'Power Factor Correction'!F$26*'Power Factor Correction'!F$27&gt;0,((('Power Factor Correction'!F$26*'Power Factor Correction'!F$27)/(365*24))*'PFC Calculations'!$I$6*'Power Factor Correction'!F$25),0)),0)</f>
        <v>0</v>
      </c>
      <c r="G55" s="179">
        <f t="shared" si="1"/>
        <v>0</v>
      </c>
      <c r="K55" s="179">
        <f>IF(AND($A55&gt;='Power Factor Correction'!B$11,$A55&lt;='Power Factor Correction'!B$12),IF('Power Factor Correction'!B$31&gt;0,'Data Entry Electricity'!$F56*'PFC Calculations'!$I$3*(TAN(ACOS('Power Factor Correction'!B$31))),IF('Power Factor Correction'!B$46&gt;0,'Power Factor Correction'!B$46*'PFC Calculations'!$I$3,0)),0)</f>
        <v>0</v>
      </c>
      <c r="L55" s="179">
        <f>IF(AND($A55&gt;='Power Factor Correction'!C$11,$A55&lt;='Power Factor Correction'!C$12),IF('Power Factor Correction'!C$31&gt;0,'Data Entry Electricity'!$F56*'PFC Calculations'!$I$3*(TAN(ACOS('Power Factor Correction'!C$31))),IF('Power Factor Correction'!C$46&gt;0,'Power Factor Correction'!C$46*'PFC Calculations'!$I$3,0)),0)</f>
        <v>0</v>
      </c>
      <c r="M55" s="179">
        <f>IF(AND($A55&gt;='Power Factor Correction'!D$11,$A55&lt;='Power Factor Correction'!D$12),IF('Power Factor Correction'!D$31&gt;0,'Data Entry Electricity'!$F56*'PFC Calculations'!$I$3*(TAN(ACOS('Power Factor Correction'!D$31))),IF('Power Factor Correction'!D$46&gt;0,'Power Factor Correction'!D$46*'PFC Calculations'!$I$3,0)),0)</f>
        <v>0</v>
      </c>
      <c r="N55" s="179">
        <f>IF(AND($A55&gt;='Power Factor Correction'!E$11,$A55&lt;='Power Factor Correction'!E$12),IF('Power Factor Correction'!E$31&gt;0,'Data Entry Electricity'!$F56*'PFC Calculations'!$I$3*(TAN(ACOS('Power Factor Correction'!E$31))),IF('Power Factor Correction'!E$46&gt;0,'Power Factor Correction'!E$46*'PFC Calculations'!$I$3,0)),0)</f>
        <v>0</v>
      </c>
      <c r="O55" s="179">
        <f>IF(AND($A55&gt;='Power Factor Correction'!F$11,$A55&lt;='Power Factor Correction'!F$12),IF('Power Factor Correction'!F$31&gt;0,'Data Entry Electricity'!$F56*'PFC Calculations'!$I$3*(TAN(ACOS('Power Factor Correction'!F$31))),IF('Power Factor Correction'!F$46&gt;0,'Power Factor Correction'!F$46*'PFC Calculations'!$I$3,0)),0)</f>
        <v>0</v>
      </c>
      <c r="P55" s="179">
        <f t="shared" si="2"/>
        <v>0</v>
      </c>
    </row>
    <row r="56" spans="1:16">
      <c r="A56" s="179" t="s">
        <v>68</v>
      </c>
      <c r="B56" s="179">
        <f>IF(AND($A56&gt;='Power Factor Correction'!B$11,$A56&lt;='Power Factor Correction'!B$12),IF('Power Factor Correction'!B81&gt;0,('Power Factor Correction'!B$23*'PFC Calculations'!$I$3)-'PFC Calculations'!K56,IF('Power Factor Correction'!B$25*'Power Factor Correction'!B$26*'Power Factor Correction'!B$27&gt;0,((('Power Factor Correction'!B$26*'Power Factor Correction'!B$27)/(365*24))*'PFC Calculations'!$I$6*'Power Factor Correction'!B$25),0)),0)</f>
        <v>0</v>
      </c>
      <c r="C56" s="179">
        <f>IF(AND($A56&gt;='Power Factor Correction'!C$11,$A56&lt;='Power Factor Correction'!C$12),IF('Power Factor Correction'!C81&gt;0,('Power Factor Correction'!C$23*'PFC Calculations'!$I$3)-'PFC Calculations'!L56,IF('Power Factor Correction'!C$25*'Power Factor Correction'!C$26*'Power Factor Correction'!C$27&gt;0,((('Power Factor Correction'!C$26*'Power Factor Correction'!C$27)/(365*24))*'PFC Calculations'!$I$6*'Power Factor Correction'!C$25),0)),0)</f>
        <v>0</v>
      </c>
      <c r="D56" s="179">
        <f>IF(AND($A56&gt;='Power Factor Correction'!D$11,$A56&lt;='Power Factor Correction'!D$12),IF('Power Factor Correction'!D81&gt;0,('Power Factor Correction'!D$23*'PFC Calculations'!$I$3)-'PFC Calculations'!M56,IF('Power Factor Correction'!D$25*'Power Factor Correction'!D$26*'Power Factor Correction'!D$27&gt;0,((('Power Factor Correction'!D$26*'Power Factor Correction'!D$27)/(365*24))*'PFC Calculations'!$I$6*'Power Factor Correction'!D$25),0)),0)</f>
        <v>0</v>
      </c>
      <c r="E56" s="179">
        <f>IF(AND($A56&gt;='Power Factor Correction'!E$11,$A56&lt;='Power Factor Correction'!E$12),IF('Power Factor Correction'!E81&gt;0,('Power Factor Correction'!E$23*'PFC Calculations'!$I$3)-'PFC Calculations'!N56,IF('Power Factor Correction'!E$25*'Power Factor Correction'!E$26*'Power Factor Correction'!E$27&gt;0,((('Power Factor Correction'!E$26*'Power Factor Correction'!E$27)/(365*24))*'PFC Calculations'!$I$6*'Power Factor Correction'!E$25),0)),0)</f>
        <v>0</v>
      </c>
      <c r="F56" s="179">
        <f>IF(AND($A56&gt;='Power Factor Correction'!F$11,$A56&lt;='Power Factor Correction'!F$12),IF('Power Factor Correction'!F81&gt;0,('Power Factor Correction'!F$23*'PFC Calculations'!$I$3)-'PFC Calculations'!O56,IF('Power Factor Correction'!F$25*'Power Factor Correction'!F$26*'Power Factor Correction'!F$27&gt;0,((('Power Factor Correction'!F$26*'Power Factor Correction'!F$27)/(365*24))*'PFC Calculations'!$I$6*'Power Factor Correction'!F$25),0)),0)</f>
        <v>0</v>
      </c>
      <c r="G56" s="179">
        <f t="shared" si="1"/>
        <v>0</v>
      </c>
      <c r="K56" s="179">
        <f>IF(AND($A56&gt;='Power Factor Correction'!B$11,$A56&lt;='Power Factor Correction'!B$12),IF('Power Factor Correction'!B$31&gt;0,'Data Entry Electricity'!$F57*'PFC Calculations'!$I$3*(TAN(ACOS('Power Factor Correction'!B$31))),IF('Power Factor Correction'!B$46&gt;0,'Power Factor Correction'!B$46*'PFC Calculations'!$I$3,0)),0)</f>
        <v>0</v>
      </c>
      <c r="L56" s="179">
        <f>IF(AND($A56&gt;='Power Factor Correction'!C$11,$A56&lt;='Power Factor Correction'!C$12),IF('Power Factor Correction'!C$31&gt;0,'Data Entry Electricity'!$F57*'PFC Calculations'!$I$3*(TAN(ACOS('Power Factor Correction'!C$31))),IF('Power Factor Correction'!C$46&gt;0,'Power Factor Correction'!C$46*'PFC Calculations'!$I$3,0)),0)</f>
        <v>0</v>
      </c>
      <c r="M56" s="179">
        <f>IF(AND($A56&gt;='Power Factor Correction'!D$11,$A56&lt;='Power Factor Correction'!D$12),IF('Power Factor Correction'!D$31&gt;0,'Data Entry Electricity'!$F57*'PFC Calculations'!$I$3*(TAN(ACOS('Power Factor Correction'!D$31))),IF('Power Factor Correction'!D$46&gt;0,'Power Factor Correction'!D$46*'PFC Calculations'!$I$3,0)),0)</f>
        <v>0</v>
      </c>
      <c r="N56" s="179">
        <f>IF(AND($A56&gt;='Power Factor Correction'!E$11,$A56&lt;='Power Factor Correction'!E$12),IF('Power Factor Correction'!E$31&gt;0,'Data Entry Electricity'!$F57*'PFC Calculations'!$I$3*(TAN(ACOS('Power Factor Correction'!E$31))),IF('Power Factor Correction'!E$46&gt;0,'Power Factor Correction'!E$46*'PFC Calculations'!$I$3,0)),0)</f>
        <v>0</v>
      </c>
      <c r="O56" s="179">
        <f>IF(AND($A56&gt;='Power Factor Correction'!F$11,$A56&lt;='Power Factor Correction'!F$12),IF('Power Factor Correction'!F$31&gt;0,'Data Entry Electricity'!$F57*'PFC Calculations'!$I$3*(TAN(ACOS('Power Factor Correction'!F$31))),IF('Power Factor Correction'!F$46&gt;0,'Power Factor Correction'!F$46*'PFC Calculations'!$I$3,0)),0)</f>
        <v>0</v>
      </c>
      <c r="P56" s="179">
        <f t="shared" si="2"/>
        <v>0</v>
      </c>
    </row>
    <row r="57" spans="1:16">
      <c r="A57" s="179" t="s">
        <v>69</v>
      </c>
      <c r="B57" s="179">
        <f>IF(AND($A57&gt;='Power Factor Correction'!B$11,$A57&lt;='Power Factor Correction'!B$12),IF('Power Factor Correction'!B82&gt;0,('Power Factor Correction'!B$23*'PFC Calculations'!$I$3)-'PFC Calculations'!K57,IF('Power Factor Correction'!B$25*'Power Factor Correction'!B$26*'Power Factor Correction'!B$27&gt;0,((('Power Factor Correction'!B$26*'Power Factor Correction'!B$27)/(365*24))*'PFC Calculations'!$I$6*'Power Factor Correction'!B$25),0)),0)</f>
        <v>0</v>
      </c>
      <c r="C57" s="179">
        <f>IF(AND($A57&gt;='Power Factor Correction'!C$11,$A57&lt;='Power Factor Correction'!C$12),IF('Power Factor Correction'!C82&gt;0,('Power Factor Correction'!C$23*'PFC Calculations'!$I$3)-'PFC Calculations'!L57,IF('Power Factor Correction'!C$25*'Power Factor Correction'!C$26*'Power Factor Correction'!C$27&gt;0,((('Power Factor Correction'!C$26*'Power Factor Correction'!C$27)/(365*24))*'PFC Calculations'!$I$6*'Power Factor Correction'!C$25),0)),0)</f>
        <v>0</v>
      </c>
      <c r="D57" s="179">
        <f>IF(AND($A57&gt;='Power Factor Correction'!D$11,$A57&lt;='Power Factor Correction'!D$12),IF('Power Factor Correction'!D82&gt;0,('Power Factor Correction'!D$23*'PFC Calculations'!$I$3)-'PFC Calculations'!M57,IF('Power Factor Correction'!D$25*'Power Factor Correction'!D$26*'Power Factor Correction'!D$27&gt;0,((('Power Factor Correction'!D$26*'Power Factor Correction'!D$27)/(365*24))*'PFC Calculations'!$I$6*'Power Factor Correction'!D$25),0)),0)</f>
        <v>0</v>
      </c>
      <c r="E57" s="179">
        <f>IF(AND($A57&gt;='Power Factor Correction'!E$11,$A57&lt;='Power Factor Correction'!E$12),IF('Power Factor Correction'!E82&gt;0,('Power Factor Correction'!E$23*'PFC Calculations'!$I$3)-'PFC Calculations'!N57,IF('Power Factor Correction'!E$25*'Power Factor Correction'!E$26*'Power Factor Correction'!E$27&gt;0,((('Power Factor Correction'!E$26*'Power Factor Correction'!E$27)/(365*24))*'PFC Calculations'!$I$6*'Power Factor Correction'!E$25),0)),0)</f>
        <v>0</v>
      </c>
      <c r="F57" s="179">
        <f>IF(AND($A57&gt;='Power Factor Correction'!F$11,$A57&lt;='Power Factor Correction'!F$12),IF('Power Factor Correction'!F82&gt;0,('Power Factor Correction'!F$23*'PFC Calculations'!$I$3)-'PFC Calculations'!O57,IF('Power Factor Correction'!F$25*'Power Factor Correction'!F$26*'Power Factor Correction'!F$27&gt;0,((('Power Factor Correction'!F$26*'Power Factor Correction'!F$27)/(365*24))*'PFC Calculations'!$I$6*'Power Factor Correction'!F$25),0)),0)</f>
        <v>0</v>
      </c>
      <c r="G57" s="179">
        <f t="shared" si="1"/>
        <v>0</v>
      </c>
      <c r="K57" s="179">
        <f>IF(AND($A57&gt;='Power Factor Correction'!B$11,$A57&lt;='Power Factor Correction'!B$12),IF('Power Factor Correction'!B$31&gt;0,'Data Entry Electricity'!$F58*'PFC Calculations'!$I$3*(TAN(ACOS('Power Factor Correction'!B$31))),IF('Power Factor Correction'!B$46&gt;0,'Power Factor Correction'!B$46*'PFC Calculations'!$I$3,0)),0)</f>
        <v>0</v>
      </c>
      <c r="L57" s="179">
        <f>IF(AND($A57&gt;='Power Factor Correction'!C$11,$A57&lt;='Power Factor Correction'!C$12),IF('Power Factor Correction'!C$31&gt;0,'Data Entry Electricity'!$F58*'PFC Calculations'!$I$3*(TAN(ACOS('Power Factor Correction'!C$31))),IF('Power Factor Correction'!C$46&gt;0,'Power Factor Correction'!C$46*'PFC Calculations'!$I$3,0)),0)</f>
        <v>0</v>
      </c>
      <c r="M57" s="179">
        <f>IF(AND($A57&gt;='Power Factor Correction'!D$11,$A57&lt;='Power Factor Correction'!D$12),IF('Power Factor Correction'!D$31&gt;0,'Data Entry Electricity'!$F58*'PFC Calculations'!$I$3*(TAN(ACOS('Power Factor Correction'!D$31))),IF('Power Factor Correction'!D$46&gt;0,'Power Factor Correction'!D$46*'PFC Calculations'!$I$3,0)),0)</f>
        <v>0</v>
      </c>
      <c r="N57" s="179">
        <f>IF(AND($A57&gt;='Power Factor Correction'!E$11,$A57&lt;='Power Factor Correction'!E$12),IF('Power Factor Correction'!E$31&gt;0,'Data Entry Electricity'!$F58*'PFC Calculations'!$I$3*(TAN(ACOS('Power Factor Correction'!E$31))),IF('Power Factor Correction'!E$46&gt;0,'Power Factor Correction'!E$46*'PFC Calculations'!$I$3,0)),0)</f>
        <v>0</v>
      </c>
      <c r="O57" s="179">
        <f>IF(AND($A57&gt;='Power Factor Correction'!F$11,$A57&lt;='Power Factor Correction'!F$12),IF('Power Factor Correction'!F$31&gt;0,'Data Entry Electricity'!$F58*'PFC Calculations'!$I$3*(TAN(ACOS('Power Factor Correction'!F$31))),IF('Power Factor Correction'!F$46&gt;0,'Power Factor Correction'!F$46*'PFC Calculations'!$I$3,0)),0)</f>
        <v>0</v>
      </c>
      <c r="P57" s="179">
        <f t="shared" si="2"/>
        <v>0</v>
      </c>
    </row>
    <row r="58" spans="1:16">
      <c r="A58" s="179" t="s">
        <v>70</v>
      </c>
      <c r="B58" s="179">
        <f>IF(AND($A58&gt;='Power Factor Correction'!B$11,$A58&lt;='Power Factor Correction'!B$12),IF('Power Factor Correction'!B83&gt;0,('Power Factor Correction'!B$23*'PFC Calculations'!$I$3)-'PFC Calculations'!K58,IF('Power Factor Correction'!B$25*'Power Factor Correction'!B$26*'Power Factor Correction'!B$27&gt;0,((('Power Factor Correction'!B$26*'Power Factor Correction'!B$27)/(365*24))*'PFC Calculations'!$I$6*'Power Factor Correction'!B$25),0)),0)</f>
        <v>0</v>
      </c>
      <c r="C58" s="179">
        <f>IF(AND($A58&gt;='Power Factor Correction'!C$11,$A58&lt;='Power Factor Correction'!C$12),IF('Power Factor Correction'!C83&gt;0,('Power Factor Correction'!C$23*'PFC Calculations'!$I$3)-'PFC Calculations'!L58,IF('Power Factor Correction'!C$25*'Power Factor Correction'!C$26*'Power Factor Correction'!C$27&gt;0,((('Power Factor Correction'!C$26*'Power Factor Correction'!C$27)/(365*24))*'PFC Calculations'!$I$6*'Power Factor Correction'!C$25),0)),0)</f>
        <v>0</v>
      </c>
      <c r="D58" s="179">
        <f>IF(AND($A58&gt;='Power Factor Correction'!D$11,$A58&lt;='Power Factor Correction'!D$12),IF('Power Factor Correction'!D83&gt;0,('Power Factor Correction'!D$23*'PFC Calculations'!$I$3)-'PFC Calculations'!M58,IF('Power Factor Correction'!D$25*'Power Factor Correction'!D$26*'Power Factor Correction'!D$27&gt;0,((('Power Factor Correction'!D$26*'Power Factor Correction'!D$27)/(365*24))*'PFC Calculations'!$I$6*'Power Factor Correction'!D$25),0)),0)</f>
        <v>0</v>
      </c>
      <c r="E58" s="179">
        <f>IF(AND($A58&gt;='Power Factor Correction'!E$11,$A58&lt;='Power Factor Correction'!E$12),IF('Power Factor Correction'!E83&gt;0,('Power Factor Correction'!E$23*'PFC Calculations'!$I$3)-'PFC Calculations'!N58,IF('Power Factor Correction'!E$25*'Power Factor Correction'!E$26*'Power Factor Correction'!E$27&gt;0,((('Power Factor Correction'!E$26*'Power Factor Correction'!E$27)/(365*24))*'PFC Calculations'!$I$6*'Power Factor Correction'!E$25),0)),0)</f>
        <v>0</v>
      </c>
      <c r="F58" s="179">
        <f>IF(AND($A58&gt;='Power Factor Correction'!F$11,$A58&lt;='Power Factor Correction'!F$12),IF('Power Factor Correction'!F83&gt;0,('Power Factor Correction'!F$23*'PFC Calculations'!$I$3)-'PFC Calculations'!O58,IF('Power Factor Correction'!F$25*'Power Factor Correction'!F$26*'Power Factor Correction'!F$27&gt;0,((('Power Factor Correction'!F$26*'Power Factor Correction'!F$27)/(365*24))*'PFC Calculations'!$I$6*'Power Factor Correction'!F$25),0)),0)</f>
        <v>0</v>
      </c>
      <c r="G58" s="179">
        <f t="shared" si="1"/>
        <v>0</v>
      </c>
      <c r="K58" s="179">
        <f>IF(AND($A58&gt;='Power Factor Correction'!B$11,$A58&lt;='Power Factor Correction'!B$12),IF('Power Factor Correction'!B$31&gt;0,'Data Entry Electricity'!$F59*'PFC Calculations'!$I$3*(TAN(ACOS('Power Factor Correction'!B$31))),IF('Power Factor Correction'!B$46&gt;0,'Power Factor Correction'!B$46*'PFC Calculations'!$I$3,0)),0)</f>
        <v>0</v>
      </c>
      <c r="L58" s="179">
        <f>IF(AND($A58&gt;='Power Factor Correction'!C$11,$A58&lt;='Power Factor Correction'!C$12),IF('Power Factor Correction'!C$31&gt;0,'Data Entry Electricity'!$F59*'PFC Calculations'!$I$3*(TAN(ACOS('Power Factor Correction'!C$31))),IF('Power Factor Correction'!C$46&gt;0,'Power Factor Correction'!C$46*'PFC Calculations'!$I$3,0)),0)</f>
        <v>0</v>
      </c>
      <c r="M58" s="179">
        <f>IF(AND($A58&gt;='Power Factor Correction'!D$11,$A58&lt;='Power Factor Correction'!D$12),IF('Power Factor Correction'!D$31&gt;0,'Data Entry Electricity'!$F59*'PFC Calculations'!$I$3*(TAN(ACOS('Power Factor Correction'!D$31))),IF('Power Factor Correction'!D$46&gt;0,'Power Factor Correction'!D$46*'PFC Calculations'!$I$3,0)),0)</f>
        <v>0</v>
      </c>
      <c r="N58" s="179">
        <f>IF(AND($A58&gt;='Power Factor Correction'!E$11,$A58&lt;='Power Factor Correction'!E$12),IF('Power Factor Correction'!E$31&gt;0,'Data Entry Electricity'!$F59*'PFC Calculations'!$I$3*(TAN(ACOS('Power Factor Correction'!E$31))),IF('Power Factor Correction'!E$46&gt;0,'Power Factor Correction'!E$46*'PFC Calculations'!$I$3,0)),0)</f>
        <v>0</v>
      </c>
      <c r="O58" s="179">
        <f>IF(AND($A58&gt;='Power Factor Correction'!F$11,$A58&lt;='Power Factor Correction'!F$12),IF('Power Factor Correction'!F$31&gt;0,'Data Entry Electricity'!$F59*'PFC Calculations'!$I$3*(TAN(ACOS('Power Factor Correction'!F$31))),IF('Power Factor Correction'!F$46&gt;0,'Power Factor Correction'!F$46*'PFC Calculations'!$I$3,0)),0)</f>
        <v>0</v>
      </c>
      <c r="P58" s="179">
        <f t="shared" si="2"/>
        <v>0</v>
      </c>
    </row>
    <row r="59" spans="1:16">
      <c r="A59" s="179" t="s">
        <v>71</v>
      </c>
      <c r="B59" s="179">
        <f>IF(AND($A59&gt;='Power Factor Correction'!B$11,$A59&lt;='Power Factor Correction'!B$12),IF('Power Factor Correction'!B84&gt;0,('Power Factor Correction'!B$23*'PFC Calculations'!$I$3)-'PFC Calculations'!K59,IF('Power Factor Correction'!B$25*'Power Factor Correction'!B$26*'Power Factor Correction'!B$27&gt;0,((('Power Factor Correction'!B$26*'Power Factor Correction'!B$27)/(365*24))*'PFC Calculations'!$I$6*'Power Factor Correction'!B$25),0)),0)</f>
        <v>0</v>
      </c>
      <c r="C59" s="179">
        <f>IF(AND($A59&gt;='Power Factor Correction'!C$11,$A59&lt;='Power Factor Correction'!C$12),IF('Power Factor Correction'!C84&gt;0,('Power Factor Correction'!C$23*'PFC Calculations'!$I$3)-'PFC Calculations'!L59,IF('Power Factor Correction'!C$25*'Power Factor Correction'!C$26*'Power Factor Correction'!C$27&gt;0,((('Power Factor Correction'!C$26*'Power Factor Correction'!C$27)/(365*24))*'PFC Calculations'!$I$6*'Power Factor Correction'!C$25),0)),0)</f>
        <v>0</v>
      </c>
      <c r="D59" s="179">
        <f>IF(AND($A59&gt;='Power Factor Correction'!D$11,$A59&lt;='Power Factor Correction'!D$12),IF('Power Factor Correction'!D84&gt;0,('Power Factor Correction'!D$23*'PFC Calculations'!$I$3)-'PFC Calculations'!M59,IF('Power Factor Correction'!D$25*'Power Factor Correction'!D$26*'Power Factor Correction'!D$27&gt;0,((('Power Factor Correction'!D$26*'Power Factor Correction'!D$27)/(365*24))*'PFC Calculations'!$I$6*'Power Factor Correction'!D$25),0)),0)</f>
        <v>0</v>
      </c>
      <c r="E59" s="179">
        <f>IF(AND($A59&gt;='Power Factor Correction'!E$11,$A59&lt;='Power Factor Correction'!E$12),IF('Power Factor Correction'!E84&gt;0,('Power Factor Correction'!E$23*'PFC Calculations'!$I$3)-'PFC Calculations'!N59,IF('Power Factor Correction'!E$25*'Power Factor Correction'!E$26*'Power Factor Correction'!E$27&gt;0,((('Power Factor Correction'!E$26*'Power Factor Correction'!E$27)/(365*24))*'PFC Calculations'!$I$6*'Power Factor Correction'!E$25),0)),0)</f>
        <v>0</v>
      </c>
      <c r="F59" s="179">
        <f>IF(AND($A59&gt;='Power Factor Correction'!F$11,$A59&lt;='Power Factor Correction'!F$12),IF('Power Factor Correction'!F84&gt;0,('Power Factor Correction'!F$23*'PFC Calculations'!$I$3)-'PFC Calculations'!O59,IF('Power Factor Correction'!F$25*'Power Factor Correction'!F$26*'Power Factor Correction'!F$27&gt;0,((('Power Factor Correction'!F$26*'Power Factor Correction'!F$27)/(365*24))*'PFC Calculations'!$I$6*'Power Factor Correction'!F$25),0)),0)</f>
        <v>0</v>
      </c>
      <c r="G59" s="179">
        <f t="shared" si="1"/>
        <v>0</v>
      </c>
      <c r="K59" s="179">
        <f>IF(AND($A59&gt;='Power Factor Correction'!B$11,$A59&lt;='Power Factor Correction'!B$12),IF('Power Factor Correction'!B$31&gt;0,'Data Entry Electricity'!$F60*'PFC Calculations'!$I$3*(TAN(ACOS('Power Factor Correction'!B$31))),IF('Power Factor Correction'!B$46&gt;0,'Power Factor Correction'!B$46*'PFC Calculations'!$I$3,0)),0)</f>
        <v>0</v>
      </c>
      <c r="L59" s="179">
        <f>IF(AND($A59&gt;='Power Factor Correction'!C$11,$A59&lt;='Power Factor Correction'!C$12),IF('Power Factor Correction'!C$31&gt;0,'Data Entry Electricity'!$F60*'PFC Calculations'!$I$3*(TAN(ACOS('Power Factor Correction'!C$31))),IF('Power Factor Correction'!C$46&gt;0,'Power Factor Correction'!C$46*'PFC Calculations'!$I$3,0)),0)</f>
        <v>0</v>
      </c>
      <c r="M59" s="179">
        <f>IF(AND($A59&gt;='Power Factor Correction'!D$11,$A59&lt;='Power Factor Correction'!D$12),IF('Power Factor Correction'!D$31&gt;0,'Data Entry Electricity'!$F60*'PFC Calculations'!$I$3*(TAN(ACOS('Power Factor Correction'!D$31))),IF('Power Factor Correction'!D$46&gt;0,'Power Factor Correction'!D$46*'PFC Calculations'!$I$3,0)),0)</f>
        <v>0</v>
      </c>
      <c r="N59" s="179">
        <f>IF(AND($A59&gt;='Power Factor Correction'!E$11,$A59&lt;='Power Factor Correction'!E$12),IF('Power Factor Correction'!E$31&gt;0,'Data Entry Electricity'!$F60*'PFC Calculations'!$I$3*(TAN(ACOS('Power Factor Correction'!E$31))),IF('Power Factor Correction'!E$46&gt;0,'Power Factor Correction'!E$46*'PFC Calculations'!$I$3,0)),0)</f>
        <v>0</v>
      </c>
      <c r="O59" s="179">
        <f>IF(AND($A59&gt;='Power Factor Correction'!F$11,$A59&lt;='Power Factor Correction'!F$12),IF('Power Factor Correction'!F$31&gt;0,'Data Entry Electricity'!$F60*'PFC Calculations'!$I$3*(TAN(ACOS('Power Factor Correction'!F$31))),IF('Power Factor Correction'!F$46&gt;0,'Power Factor Correction'!F$46*'PFC Calculations'!$I$3,0)),0)</f>
        <v>0</v>
      </c>
      <c r="P59" s="179">
        <f t="shared" si="2"/>
        <v>0</v>
      </c>
    </row>
    <row r="60" spans="1:16">
      <c r="A60" s="179" t="s">
        <v>72</v>
      </c>
      <c r="B60" s="179">
        <f>IF(AND($A60&gt;='Power Factor Correction'!B$11,$A60&lt;='Power Factor Correction'!B$12),IF('Power Factor Correction'!B85&gt;0,('Power Factor Correction'!B$23*'PFC Calculations'!$I$3)-'PFC Calculations'!K60,IF('Power Factor Correction'!B$25*'Power Factor Correction'!B$26*'Power Factor Correction'!B$27&gt;0,((('Power Factor Correction'!B$26*'Power Factor Correction'!B$27)/(365*24))*'PFC Calculations'!$I$6*'Power Factor Correction'!B$25),0)),0)</f>
        <v>0</v>
      </c>
      <c r="C60" s="179">
        <f>IF(AND($A60&gt;='Power Factor Correction'!C$11,$A60&lt;='Power Factor Correction'!C$12),IF('Power Factor Correction'!C85&gt;0,('Power Factor Correction'!C$23*'PFC Calculations'!$I$3)-'PFC Calculations'!L60,IF('Power Factor Correction'!C$25*'Power Factor Correction'!C$26*'Power Factor Correction'!C$27&gt;0,((('Power Factor Correction'!C$26*'Power Factor Correction'!C$27)/(365*24))*'PFC Calculations'!$I$6*'Power Factor Correction'!C$25),0)),0)</f>
        <v>0</v>
      </c>
      <c r="D60" s="179">
        <f>IF(AND($A60&gt;='Power Factor Correction'!D$11,$A60&lt;='Power Factor Correction'!D$12),IF('Power Factor Correction'!D85&gt;0,('Power Factor Correction'!D$23*'PFC Calculations'!$I$3)-'PFC Calculations'!M60,IF('Power Factor Correction'!D$25*'Power Factor Correction'!D$26*'Power Factor Correction'!D$27&gt;0,((('Power Factor Correction'!D$26*'Power Factor Correction'!D$27)/(365*24))*'PFC Calculations'!$I$6*'Power Factor Correction'!D$25),0)),0)</f>
        <v>0</v>
      </c>
      <c r="E60" s="179">
        <f>IF(AND($A60&gt;='Power Factor Correction'!E$11,$A60&lt;='Power Factor Correction'!E$12),IF('Power Factor Correction'!E85&gt;0,('Power Factor Correction'!E$23*'PFC Calculations'!$I$3)-'PFC Calculations'!N60,IF('Power Factor Correction'!E$25*'Power Factor Correction'!E$26*'Power Factor Correction'!E$27&gt;0,((('Power Factor Correction'!E$26*'Power Factor Correction'!E$27)/(365*24))*'PFC Calculations'!$I$6*'Power Factor Correction'!E$25),0)),0)</f>
        <v>0</v>
      </c>
      <c r="F60" s="179">
        <f>IF(AND($A60&gt;='Power Factor Correction'!F$11,$A60&lt;='Power Factor Correction'!F$12),IF('Power Factor Correction'!F85&gt;0,('Power Factor Correction'!F$23*'PFC Calculations'!$I$3)-'PFC Calculations'!O60,IF('Power Factor Correction'!F$25*'Power Factor Correction'!F$26*'Power Factor Correction'!F$27&gt;0,((('Power Factor Correction'!F$26*'Power Factor Correction'!F$27)/(365*24))*'PFC Calculations'!$I$6*'Power Factor Correction'!F$25),0)),0)</f>
        <v>0</v>
      </c>
      <c r="G60" s="179">
        <f t="shared" si="1"/>
        <v>0</v>
      </c>
      <c r="K60" s="179">
        <f>IF(AND($A60&gt;='Power Factor Correction'!B$11,$A60&lt;='Power Factor Correction'!B$12),IF('Power Factor Correction'!B$31&gt;0,'Data Entry Electricity'!$F61*'PFC Calculations'!$I$3*(TAN(ACOS('Power Factor Correction'!B$31))),IF('Power Factor Correction'!B$46&gt;0,'Power Factor Correction'!B$46*'PFC Calculations'!$I$3,0)),0)</f>
        <v>0</v>
      </c>
      <c r="L60" s="179">
        <f>IF(AND($A60&gt;='Power Factor Correction'!C$11,$A60&lt;='Power Factor Correction'!C$12),IF('Power Factor Correction'!C$31&gt;0,'Data Entry Electricity'!$F61*'PFC Calculations'!$I$3*(TAN(ACOS('Power Factor Correction'!C$31))),IF('Power Factor Correction'!C$46&gt;0,'Power Factor Correction'!C$46*'PFC Calculations'!$I$3,0)),0)</f>
        <v>0</v>
      </c>
      <c r="M60" s="179">
        <f>IF(AND($A60&gt;='Power Factor Correction'!D$11,$A60&lt;='Power Factor Correction'!D$12),IF('Power Factor Correction'!D$31&gt;0,'Data Entry Electricity'!$F61*'PFC Calculations'!$I$3*(TAN(ACOS('Power Factor Correction'!D$31))),IF('Power Factor Correction'!D$46&gt;0,'Power Factor Correction'!D$46*'PFC Calculations'!$I$3,0)),0)</f>
        <v>0</v>
      </c>
      <c r="N60" s="179">
        <f>IF(AND($A60&gt;='Power Factor Correction'!E$11,$A60&lt;='Power Factor Correction'!E$12),IF('Power Factor Correction'!E$31&gt;0,'Data Entry Electricity'!$F61*'PFC Calculations'!$I$3*(TAN(ACOS('Power Factor Correction'!E$31))),IF('Power Factor Correction'!E$46&gt;0,'Power Factor Correction'!E$46*'PFC Calculations'!$I$3,0)),0)</f>
        <v>0</v>
      </c>
      <c r="O60" s="179">
        <f>IF(AND($A60&gt;='Power Factor Correction'!F$11,$A60&lt;='Power Factor Correction'!F$12),IF('Power Factor Correction'!F$31&gt;0,'Data Entry Electricity'!$F61*'PFC Calculations'!$I$3*(TAN(ACOS('Power Factor Correction'!F$31))),IF('Power Factor Correction'!F$46&gt;0,'Power Factor Correction'!F$46*'PFC Calculations'!$I$3,0)),0)</f>
        <v>0</v>
      </c>
      <c r="P60" s="179">
        <f t="shared" si="2"/>
        <v>0</v>
      </c>
    </row>
    <row r="61" spans="1:16">
      <c r="A61" s="179" t="s">
        <v>73</v>
      </c>
      <c r="B61" s="179">
        <f>IF(AND($A61&gt;='Power Factor Correction'!B$11,$A61&lt;='Power Factor Correction'!B$12),IF('Power Factor Correction'!B86&gt;0,('Power Factor Correction'!B$23*'PFC Calculations'!$I$3)-'PFC Calculations'!K61,IF('Power Factor Correction'!B$25*'Power Factor Correction'!B$26*'Power Factor Correction'!B$27&gt;0,((('Power Factor Correction'!B$26*'Power Factor Correction'!B$27)/(365*24))*'PFC Calculations'!$I$6*'Power Factor Correction'!B$25),0)),0)</f>
        <v>0</v>
      </c>
      <c r="C61" s="179">
        <f>IF(AND($A61&gt;='Power Factor Correction'!C$11,$A61&lt;='Power Factor Correction'!C$12),IF('Power Factor Correction'!C86&gt;0,('Power Factor Correction'!C$23*'PFC Calculations'!$I$3)-'PFC Calculations'!L61,IF('Power Factor Correction'!C$25*'Power Factor Correction'!C$26*'Power Factor Correction'!C$27&gt;0,((('Power Factor Correction'!C$26*'Power Factor Correction'!C$27)/(365*24))*'PFC Calculations'!$I$6*'Power Factor Correction'!C$25),0)),0)</f>
        <v>0</v>
      </c>
      <c r="D61" s="179">
        <f>IF(AND($A61&gt;='Power Factor Correction'!D$11,$A61&lt;='Power Factor Correction'!D$12),IF('Power Factor Correction'!D86&gt;0,('Power Factor Correction'!D$23*'PFC Calculations'!$I$3)-'PFC Calculations'!M61,IF('Power Factor Correction'!D$25*'Power Factor Correction'!D$26*'Power Factor Correction'!D$27&gt;0,((('Power Factor Correction'!D$26*'Power Factor Correction'!D$27)/(365*24))*'PFC Calculations'!$I$6*'Power Factor Correction'!D$25),0)),0)</f>
        <v>0</v>
      </c>
      <c r="E61" s="179">
        <f>IF(AND($A61&gt;='Power Factor Correction'!E$11,$A61&lt;='Power Factor Correction'!E$12),IF('Power Factor Correction'!E86&gt;0,('Power Factor Correction'!E$23*'PFC Calculations'!$I$3)-'PFC Calculations'!N61,IF('Power Factor Correction'!E$25*'Power Factor Correction'!E$26*'Power Factor Correction'!E$27&gt;0,((('Power Factor Correction'!E$26*'Power Factor Correction'!E$27)/(365*24))*'PFC Calculations'!$I$6*'Power Factor Correction'!E$25),0)),0)</f>
        <v>0</v>
      </c>
      <c r="F61" s="179">
        <f>IF(AND($A61&gt;='Power Factor Correction'!F$11,$A61&lt;='Power Factor Correction'!F$12),IF('Power Factor Correction'!F86&gt;0,('Power Factor Correction'!F$23*'PFC Calculations'!$I$3)-'PFC Calculations'!O61,IF('Power Factor Correction'!F$25*'Power Factor Correction'!F$26*'Power Factor Correction'!F$27&gt;0,((('Power Factor Correction'!F$26*'Power Factor Correction'!F$27)/(365*24))*'PFC Calculations'!$I$6*'Power Factor Correction'!F$25),0)),0)</f>
        <v>0</v>
      </c>
      <c r="G61" s="179">
        <f t="shared" si="1"/>
        <v>0</v>
      </c>
      <c r="K61" s="179">
        <f>IF(AND($A61&gt;='Power Factor Correction'!B$11,$A61&lt;='Power Factor Correction'!B$12),IF('Power Factor Correction'!B$31&gt;0,'Data Entry Electricity'!$F62*'PFC Calculations'!$I$3*(TAN(ACOS('Power Factor Correction'!B$31))),IF('Power Factor Correction'!B$46&gt;0,'Power Factor Correction'!B$46*'PFC Calculations'!$I$3,0)),0)</f>
        <v>0</v>
      </c>
      <c r="L61" s="179">
        <f>IF(AND($A61&gt;='Power Factor Correction'!C$11,$A61&lt;='Power Factor Correction'!C$12),IF('Power Factor Correction'!C$31&gt;0,'Data Entry Electricity'!$F62*'PFC Calculations'!$I$3*(TAN(ACOS('Power Factor Correction'!C$31))),IF('Power Factor Correction'!C$46&gt;0,'Power Factor Correction'!C$46*'PFC Calculations'!$I$3,0)),0)</f>
        <v>0</v>
      </c>
      <c r="M61" s="179">
        <f>IF(AND($A61&gt;='Power Factor Correction'!D$11,$A61&lt;='Power Factor Correction'!D$12),IF('Power Factor Correction'!D$31&gt;0,'Data Entry Electricity'!$F62*'PFC Calculations'!$I$3*(TAN(ACOS('Power Factor Correction'!D$31))),IF('Power Factor Correction'!D$46&gt;0,'Power Factor Correction'!D$46*'PFC Calculations'!$I$3,0)),0)</f>
        <v>0</v>
      </c>
      <c r="N61" s="179">
        <f>IF(AND($A61&gt;='Power Factor Correction'!E$11,$A61&lt;='Power Factor Correction'!E$12),IF('Power Factor Correction'!E$31&gt;0,'Data Entry Electricity'!$F62*'PFC Calculations'!$I$3*(TAN(ACOS('Power Factor Correction'!E$31))),IF('Power Factor Correction'!E$46&gt;0,'Power Factor Correction'!E$46*'PFC Calculations'!$I$3,0)),0)</f>
        <v>0</v>
      </c>
      <c r="O61" s="179">
        <f>IF(AND($A61&gt;='Power Factor Correction'!F$11,$A61&lt;='Power Factor Correction'!F$12),IF('Power Factor Correction'!F$31&gt;0,'Data Entry Electricity'!$F62*'PFC Calculations'!$I$3*(TAN(ACOS('Power Factor Correction'!F$31))),IF('Power Factor Correction'!F$46&gt;0,'Power Factor Correction'!F$46*'PFC Calculations'!$I$3,0)),0)</f>
        <v>0</v>
      </c>
      <c r="P61" s="179">
        <f t="shared" si="2"/>
        <v>0</v>
      </c>
    </row>
    <row r="62" spans="1:16">
      <c r="A62" s="179" t="s">
        <v>74</v>
      </c>
      <c r="B62" s="179">
        <f>IF(AND($A62&gt;='Power Factor Correction'!B$11,$A62&lt;='Power Factor Correction'!B$12),IF('Power Factor Correction'!B87&gt;0,('Power Factor Correction'!B$23*'PFC Calculations'!$I$3)-'PFC Calculations'!K62,IF('Power Factor Correction'!B$25*'Power Factor Correction'!B$26*'Power Factor Correction'!B$27&gt;0,((('Power Factor Correction'!B$26*'Power Factor Correction'!B$27)/(365*24))*'PFC Calculations'!$I$6*'Power Factor Correction'!B$25),0)),0)</f>
        <v>0</v>
      </c>
      <c r="C62" s="179">
        <f>IF(AND($A62&gt;='Power Factor Correction'!C$11,$A62&lt;='Power Factor Correction'!C$12),IF('Power Factor Correction'!C87&gt;0,('Power Factor Correction'!C$23*'PFC Calculations'!$I$3)-'PFC Calculations'!L62,IF('Power Factor Correction'!C$25*'Power Factor Correction'!C$26*'Power Factor Correction'!C$27&gt;0,((('Power Factor Correction'!C$26*'Power Factor Correction'!C$27)/(365*24))*'PFC Calculations'!$I$6*'Power Factor Correction'!C$25),0)),0)</f>
        <v>0</v>
      </c>
      <c r="D62" s="179">
        <f>IF(AND($A62&gt;='Power Factor Correction'!D$11,$A62&lt;='Power Factor Correction'!D$12),IF('Power Factor Correction'!D87&gt;0,('Power Factor Correction'!D$23*'PFC Calculations'!$I$3)-'PFC Calculations'!M62,IF('Power Factor Correction'!D$25*'Power Factor Correction'!D$26*'Power Factor Correction'!D$27&gt;0,((('Power Factor Correction'!D$26*'Power Factor Correction'!D$27)/(365*24))*'PFC Calculations'!$I$6*'Power Factor Correction'!D$25),0)),0)</f>
        <v>0</v>
      </c>
      <c r="E62" s="179">
        <f>IF(AND($A62&gt;='Power Factor Correction'!E$11,$A62&lt;='Power Factor Correction'!E$12),IF('Power Factor Correction'!E87&gt;0,('Power Factor Correction'!E$23*'PFC Calculations'!$I$3)-'PFC Calculations'!N62,IF('Power Factor Correction'!E$25*'Power Factor Correction'!E$26*'Power Factor Correction'!E$27&gt;0,((('Power Factor Correction'!E$26*'Power Factor Correction'!E$27)/(365*24))*'PFC Calculations'!$I$6*'Power Factor Correction'!E$25),0)),0)</f>
        <v>0</v>
      </c>
      <c r="F62" s="179">
        <f>IF(AND($A62&gt;='Power Factor Correction'!F$11,$A62&lt;='Power Factor Correction'!F$12),IF('Power Factor Correction'!F87&gt;0,('Power Factor Correction'!F$23*'PFC Calculations'!$I$3)-'PFC Calculations'!O62,IF('Power Factor Correction'!F$25*'Power Factor Correction'!F$26*'Power Factor Correction'!F$27&gt;0,((('Power Factor Correction'!F$26*'Power Factor Correction'!F$27)/(365*24))*'PFC Calculations'!$I$6*'Power Factor Correction'!F$25),0)),0)</f>
        <v>0</v>
      </c>
      <c r="G62" s="179">
        <f t="shared" si="1"/>
        <v>0</v>
      </c>
      <c r="K62" s="179">
        <f>IF(AND($A62&gt;='Power Factor Correction'!B$11,$A62&lt;='Power Factor Correction'!B$12),IF('Power Factor Correction'!B$31&gt;0,'Data Entry Electricity'!$F63*'PFC Calculations'!$I$3*(TAN(ACOS('Power Factor Correction'!B$31))),IF('Power Factor Correction'!B$46&gt;0,'Power Factor Correction'!B$46*'PFC Calculations'!$I$3,0)),0)</f>
        <v>0</v>
      </c>
      <c r="L62" s="179">
        <f>IF(AND($A62&gt;='Power Factor Correction'!C$11,$A62&lt;='Power Factor Correction'!C$12),IF('Power Factor Correction'!C$31&gt;0,'Data Entry Electricity'!$F63*'PFC Calculations'!$I$3*(TAN(ACOS('Power Factor Correction'!C$31))),IF('Power Factor Correction'!C$46&gt;0,'Power Factor Correction'!C$46*'PFC Calculations'!$I$3,0)),0)</f>
        <v>0</v>
      </c>
      <c r="M62" s="179">
        <f>IF(AND($A62&gt;='Power Factor Correction'!D$11,$A62&lt;='Power Factor Correction'!D$12),IF('Power Factor Correction'!D$31&gt;0,'Data Entry Electricity'!$F63*'PFC Calculations'!$I$3*(TAN(ACOS('Power Factor Correction'!D$31))),IF('Power Factor Correction'!D$46&gt;0,'Power Factor Correction'!D$46*'PFC Calculations'!$I$3,0)),0)</f>
        <v>0</v>
      </c>
      <c r="N62" s="179">
        <f>IF(AND($A62&gt;='Power Factor Correction'!E$11,$A62&lt;='Power Factor Correction'!E$12),IF('Power Factor Correction'!E$31&gt;0,'Data Entry Electricity'!$F63*'PFC Calculations'!$I$3*(TAN(ACOS('Power Factor Correction'!E$31))),IF('Power Factor Correction'!E$46&gt;0,'Power Factor Correction'!E$46*'PFC Calculations'!$I$3,0)),0)</f>
        <v>0</v>
      </c>
      <c r="O62" s="179">
        <f>IF(AND($A62&gt;='Power Factor Correction'!F$11,$A62&lt;='Power Factor Correction'!F$12),IF('Power Factor Correction'!F$31&gt;0,'Data Entry Electricity'!$F63*'PFC Calculations'!$I$3*(TAN(ACOS('Power Factor Correction'!F$31))),IF('Power Factor Correction'!F$46&gt;0,'Power Factor Correction'!F$46*'PFC Calculations'!$I$3,0)),0)</f>
        <v>0</v>
      </c>
      <c r="P62" s="179">
        <f t="shared" si="2"/>
        <v>0</v>
      </c>
    </row>
    <row r="63" spans="1:16">
      <c r="A63" s="179" t="s">
        <v>75</v>
      </c>
      <c r="B63" s="179">
        <f>IF(AND($A63&gt;='Power Factor Correction'!B$11,$A63&lt;='Power Factor Correction'!B$12),IF('Power Factor Correction'!B88&gt;0,('Power Factor Correction'!B$23*'PFC Calculations'!$I$3)-'PFC Calculations'!K63,IF('Power Factor Correction'!B$25*'Power Factor Correction'!B$26*'Power Factor Correction'!B$27&gt;0,((('Power Factor Correction'!B$26*'Power Factor Correction'!B$27)/(365*24))*'PFC Calculations'!$I$6*'Power Factor Correction'!B$25),0)),0)</f>
        <v>0</v>
      </c>
      <c r="C63" s="179">
        <f>IF(AND($A63&gt;='Power Factor Correction'!C$11,$A63&lt;='Power Factor Correction'!C$12),IF('Power Factor Correction'!C88&gt;0,('Power Factor Correction'!C$23*'PFC Calculations'!$I$3)-'PFC Calculations'!L63,IF('Power Factor Correction'!C$25*'Power Factor Correction'!C$26*'Power Factor Correction'!C$27&gt;0,((('Power Factor Correction'!C$26*'Power Factor Correction'!C$27)/(365*24))*'PFC Calculations'!$I$6*'Power Factor Correction'!C$25),0)),0)</f>
        <v>0</v>
      </c>
      <c r="D63" s="179">
        <f>IF(AND($A63&gt;='Power Factor Correction'!D$11,$A63&lt;='Power Factor Correction'!D$12),IF('Power Factor Correction'!D88&gt;0,('Power Factor Correction'!D$23*'PFC Calculations'!$I$3)-'PFC Calculations'!M63,IF('Power Factor Correction'!D$25*'Power Factor Correction'!D$26*'Power Factor Correction'!D$27&gt;0,((('Power Factor Correction'!D$26*'Power Factor Correction'!D$27)/(365*24))*'PFC Calculations'!$I$6*'Power Factor Correction'!D$25),0)),0)</f>
        <v>0</v>
      </c>
      <c r="E63" s="179">
        <f>IF(AND($A63&gt;='Power Factor Correction'!E$11,$A63&lt;='Power Factor Correction'!E$12),IF('Power Factor Correction'!E88&gt;0,('Power Factor Correction'!E$23*'PFC Calculations'!$I$3)-'PFC Calculations'!N63,IF('Power Factor Correction'!E$25*'Power Factor Correction'!E$26*'Power Factor Correction'!E$27&gt;0,((('Power Factor Correction'!E$26*'Power Factor Correction'!E$27)/(365*24))*'PFC Calculations'!$I$6*'Power Factor Correction'!E$25),0)),0)</f>
        <v>0</v>
      </c>
      <c r="F63" s="179">
        <f>IF(AND($A63&gt;='Power Factor Correction'!F$11,$A63&lt;='Power Factor Correction'!F$12),IF('Power Factor Correction'!F88&gt;0,('Power Factor Correction'!F$23*'PFC Calculations'!$I$3)-'PFC Calculations'!O63,IF('Power Factor Correction'!F$25*'Power Factor Correction'!F$26*'Power Factor Correction'!F$27&gt;0,((('Power Factor Correction'!F$26*'Power Factor Correction'!F$27)/(365*24))*'PFC Calculations'!$I$6*'Power Factor Correction'!F$25),0)),0)</f>
        <v>0</v>
      </c>
      <c r="G63" s="179">
        <f t="shared" si="1"/>
        <v>0</v>
      </c>
      <c r="K63" s="179">
        <f>IF(AND($A63&gt;='Power Factor Correction'!B$11,$A63&lt;='Power Factor Correction'!B$12),IF('Power Factor Correction'!B$31&gt;0,'Data Entry Electricity'!$F64*'PFC Calculations'!$I$3*(TAN(ACOS('Power Factor Correction'!B$31))),IF('Power Factor Correction'!B$46&gt;0,'Power Factor Correction'!B$46*'PFC Calculations'!$I$3,0)),0)</f>
        <v>0</v>
      </c>
      <c r="L63" s="179">
        <f>IF(AND($A63&gt;='Power Factor Correction'!C$11,$A63&lt;='Power Factor Correction'!C$12),IF('Power Factor Correction'!C$31&gt;0,'Data Entry Electricity'!$F64*'PFC Calculations'!$I$3*(TAN(ACOS('Power Factor Correction'!C$31))),IF('Power Factor Correction'!C$46&gt;0,'Power Factor Correction'!C$46*'PFC Calculations'!$I$3,0)),0)</f>
        <v>0</v>
      </c>
      <c r="M63" s="179">
        <f>IF(AND($A63&gt;='Power Factor Correction'!D$11,$A63&lt;='Power Factor Correction'!D$12),IF('Power Factor Correction'!D$31&gt;0,'Data Entry Electricity'!$F64*'PFC Calculations'!$I$3*(TAN(ACOS('Power Factor Correction'!D$31))),IF('Power Factor Correction'!D$46&gt;0,'Power Factor Correction'!D$46*'PFC Calculations'!$I$3,0)),0)</f>
        <v>0</v>
      </c>
      <c r="N63" s="179">
        <f>IF(AND($A63&gt;='Power Factor Correction'!E$11,$A63&lt;='Power Factor Correction'!E$12),IF('Power Factor Correction'!E$31&gt;0,'Data Entry Electricity'!$F64*'PFC Calculations'!$I$3*(TAN(ACOS('Power Factor Correction'!E$31))),IF('Power Factor Correction'!E$46&gt;0,'Power Factor Correction'!E$46*'PFC Calculations'!$I$3,0)),0)</f>
        <v>0</v>
      </c>
      <c r="O63" s="179">
        <f>IF(AND($A63&gt;='Power Factor Correction'!F$11,$A63&lt;='Power Factor Correction'!F$12),IF('Power Factor Correction'!F$31&gt;0,'Data Entry Electricity'!$F64*'PFC Calculations'!$I$3*(TAN(ACOS('Power Factor Correction'!F$31))),IF('Power Factor Correction'!F$46&gt;0,'Power Factor Correction'!F$46*'PFC Calculations'!$I$3,0)),0)</f>
        <v>0</v>
      </c>
      <c r="P63" s="179">
        <f t="shared" si="2"/>
        <v>0</v>
      </c>
    </row>
    <row r="64" spans="1:16">
      <c r="A64" s="179" t="s">
        <v>12</v>
      </c>
      <c r="B64" s="179">
        <f>IF(AND($A64&gt;='Power Factor Correction'!B$11,$A64&lt;='Power Factor Correction'!B$12),IF('Power Factor Correction'!B89&gt;0,('Power Factor Correction'!B$23*'PFC Calculations'!$I$3)-'PFC Calculations'!K64,IF('Power Factor Correction'!B$25*'Power Factor Correction'!B$26*'Power Factor Correction'!B$27&gt;0,((('Power Factor Correction'!B$26*'Power Factor Correction'!B$27)/(365*24))*'PFC Calculations'!$I$6*'Power Factor Correction'!B$25),0)),0)</f>
        <v>0</v>
      </c>
      <c r="C64" s="179">
        <f>IF(AND($A64&gt;='Power Factor Correction'!C$11,$A64&lt;='Power Factor Correction'!C$12),IF('Power Factor Correction'!C89&gt;0,('Power Factor Correction'!C$23*'PFC Calculations'!$I$3)-'PFC Calculations'!L64,IF('Power Factor Correction'!C$25*'Power Factor Correction'!C$26*'Power Factor Correction'!C$27&gt;0,((('Power Factor Correction'!C$26*'Power Factor Correction'!C$27)/(365*24))*'PFC Calculations'!$I$6*'Power Factor Correction'!C$25),0)),0)</f>
        <v>0</v>
      </c>
      <c r="D64" s="179">
        <f>IF(AND($A64&gt;='Power Factor Correction'!D$11,$A64&lt;='Power Factor Correction'!D$12),IF('Power Factor Correction'!D89&gt;0,('Power Factor Correction'!D$23*'PFC Calculations'!$I$3)-'PFC Calculations'!M64,IF('Power Factor Correction'!D$25*'Power Factor Correction'!D$26*'Power Factor Correction'!D$27&gt;0,((('Power Factor Correction'!D$26*'Power Factor Correction'!D$27)/(365*24))*'PFC Calculations'!$I$6*'Power Factor Correction'!D$25),0)),0)</f>
        <v>0</v>
      </c>
      <c r="E64" s="179">
        <f>IF(AND($A64&gt;='Power Factor Correction'!E$11,$A64&lt;='Power Factor Correction'!E$12),IF('Power Factor Correction'!E89&gt;0,('Power Factor Correction'!E$23*'PFC Calculations'!$I$3)-'PFC Calculations'!N64,IF('Power Factor Correction'!E$25*'Power Factor Correction'!E$26*'Power Factor Correction'!E$27&gt;0,((('Power Factor Correction'!E$26*'Power Factor Correction'!E$27)/(365*24))*'PFC Calculations'!$I$6*'Power Factor Correction'!E$25),0)),0)</f>
        <v>0</v>
      </c>
      <c r="F64" s="179">
        <f>IF(AND($A64&gt;='Power Factor Correction'!F$11,$A64&lt;='Power Factor Correction'!F$12),IF('Power Factor Correction'!F89&gt;0,('Power Factor Correction'!F$23*'PFC Calculations'!$I$3)-'PFC Calculations'!O64,IF('Power Factor Correction'!F$25*'Power Factor Correction'!F$26*'Power Factor Correction'!F$27&gt;0,((('Power Factor Correction'!F$26*'Power Factor Correction'!F$27)/(365*24))*'PFC Calculations'!$I$6*'Power Factor Correction'!F$25),0)),0)</f>
        <v>0</v>
      </c>
      <c r="G64" s="179">
        <f t="shared" si="1"/>
        <v>0</v>
      </c>
      <c r="K64" s="179">
        <f>IF(AND($A64&gt;='Power Factor Correction'!B$11,$A64&lt;='Power Factor Correction'!B$12),IF('Power Factor Correction'!B$31&gt;0,'Data Entry Electricity'!$F65*'PFC Calculations'!$I$3*(TAN(ACOS('Power Factor Correction'!B$31))),IF('Power Factor Correction'!B$46&gt;0,'Power Factor Correction'!B$46*'PFC Calculations'!$I$3,0)),0)</f>
        <v>0</v>
      </c>
      <c r="L64" s="179">
        <f>IF(AND($A64&gt;='Power Factor Correction'!C$11,$A64&lt;='Power Factor Correction'!C$12),IF('Power Factor Correction'!C$31&gt;0,'Data Entry Electricity'!$F65*'PFC Calculations'!$I$3*(TAN(ACOS('Power Factor Correction'!C$31))),IF('Power Factor Correction'!C$46&gt;0,'Power Factor Correction'!C$46*'PFC Calculations'!$I$3,0)),0)</f>
        <v>0</v>
      </c>
      <c r="M64" s="179">
        <f>IF(AND($A64&gt;='Power Factor Correction'!D$11,$A64&lt;='Power Factor Correction'!D$12),IF('Power Factor Correction'!D$31&gt;0,'Data Entry Electricity'!$F65*'PFC Calculations'!$I$3*(TAN(ACOS('Power Factor Correction'!D$31))),IF('Power Factor Correction'!D$46&gt;0,'Power Factor Correction'!D$46*'PFC Calculations'!$I$3,0)),0)</f>
        <v>0</v>
      </c>
      <c r="N64" s="179">
        <f>IF(AND($A64&gt;='Power Factor Correction'!E$11,$A64&lt;='Power Factor Correction'!E$12),IF('Power Factor Correction'!E$31&gt;0,'Data Entry Electricity'!$F65*'PFC Calculations'!$I$3*(TAN(ACOS('Power Factor Correction'!E$31))),IF('Power Factor Correction'!E$46&gt;0,'Power Factor Correction'!E$46*'PFC Calculations'!$I$3,0)),0)</f>
        <v>0</v>
      </c>
      <c r="O64" s="179">
        <f>IF(AND($A64&gt;='Power Factor Correction'!F$11,$A64&lt;='Power Factor Correction'!F$12),IF('Power Factor Correction'!F$31&gt;0,'Data Entry Electricity'!$F65*'PFC Calculations'!$I$3*(TAN(ACOS('Power Factor Correction'!F$31))),IF('Power Factor Correction'!F$46&gt;0,'Power Factor Correction'!F$46*'PFC Calculations'!$I$3,0)),0)</f>
        <v>0</v>
      </c>
      <c r="P64" s="179">
        <f t="shared" si="2"/>
        <v>0</v>
      </c>
    </row>
    <row r="65" spans="1:16">
      <c r="A65" s="179" t="s">
        <v>13</v>
      </c>
      <c r="B65" s="179">
        <f>IF(AND($A65&gt;='Power Factor Correction'!B$11,$A65&lt;='Power Factor Correction'!B$12),IF('Power Factor Correction'!B90&gt;0,('Power Factor Correction'!B$23*'PFC Calculations'!$I$3)-'PFC Calculations'!K65,IF('Power Factor Correction'!B$25*'Power Factor Correction'!B$26*'Power Factor Correction'!B$27&gt;0,((('Power Factor Correction'!B$26*'Power Factor Correction'!B$27)/(365*24))*'PFC Calculations'!$I$6*'Power Factor Correction'!B$25),0)),0)</f>
        <v>0</v>
      </c>
      <c r="C65" s="179">
        <f>IF(AND($A65&gt;='Power Factor Correction'!C$11,$A65&lt;='Power Factor Correction'!C$12),IF('Power Factor Correction'!C90&gt;0,('Power Factor Correction'!C$23*'PFC Calculations'!$I$3)-'PFC Calculations'!L65,IF('Power Factor Correction'!C$25*'Power Factor Correction'!C$26*'Power Factor Correction'!C$27&gt;0,((('Power Factor Correction'!C$26*'Power Factor Correction'!C$27)/(365*24))*'PFC Calculations'!$I$6*'Power Factor Correction'!C$25),0)),0)</f>
        <v>0</v>
      </c>
      <c r="D65" s="179">
        <f>IF(AND($A65&gt;='Power Factor Correction'!D$11,$A65&lt;='Power Factor Correction'!D$12),IF('Power Factor Correction'!D90&gt;0,('Power Factor Correction'!D$23*'PFC Calculations'!$I$3)-'PFC Calculations'!M65,IF('Power Factor Correction'!D$25*'Power Factor Correction'!D$26*'Power Factor Correction'!D$27&gt;0,((('Power Factor Correction'!D$26*'Power Factor Correction'!D$27)/(365*24))*'PFC Calculations'!$I$6*'Power Factor Correction'!D$25),0)),0)</f>
        <v>0</v>
      </c>
      <c r="E65" s="179">
        <f>IF(AND($A65&gt;='Power Factor Correction'!E$11,$A65&lt;='Power Factor Correction'!E$12),IF('Power Factor Correction'!E90&gt;0,('Power Factor Correction'!E$23*'PFC Calculations'!$I$3)-'PFC Calculations'!N65,IF('Power Factor Correction'!E$25*'Power Factor Correction'!E$26*'Power Factor Correction'!E$27&gt;0,((('Power Factor Correction'!E$26*'Power Factor Correction'!E$27)/(365*24))*'PFC Calculations'!$I$6*'Power Factor Correction'!E$25),0)),0)</f>
        <v>0</v>
      </c>
      <c r="F65" s="179">
        <f>IF(AND($A65&gt;='Power Factor Correction'!F$11,$A65&lt;='Power Factor Correction'!F$12),IF('Power Factor Correction'!F90&gt;0,('Power Factor Correction'!F$23*'PFC Calculations'!$I$3)-'PFC Calculations'!O65,IF('Power Factor Correction'!F$25*'Power Factor Correction'!F$26*'Power Factor Correction'!F$27&gt;0,((('Power Factor Correction'!F$26*'Power Factor Correction'!F$27)/(365*24))*'PFC Calculations'!$I$6*'Power Factor Correction'!F$25),0)),0)</f>
        <v>0</v>
      </c>
      <c r="G65" s="179">
        <f t="shared" si="1"/>
        <v>0</v>
      </c>
      <c r="K65" s="179">
        <f>IF(AND($A65&gt;='Power Factor Correction'!B$11,$A65&lt;='Power Factor Correction'!B$12),IF('Power Factor Correction'!B$31&gt;0,'Data Entry Electricity'!$F66*'PFC Calculations'!$I$3*(TAN(ACOS('Power Factor Correction'!B$31))),IF('Power Factor Correction'!B$46&gt;0,'Power Factor Correction'!B$46*'PFC Calculations'!$I$3,0)),0)</f>
        <v>0</v>
      </c>
      <c r="L65" s="179">
        <f>IF(AND($A65&gt;='Power Factor Correction'!C$11,$A65&lt;='Power Factor Correction'!C$12),IF('Power Factor Correction'!C$31&gt;0,'Data Entry Electricity'!$F66*'PFC Calculations'!$I$3*(TAN(ACOS('Power Factor Correction'!C$31))),IF('Power Factor Correction'!C$46&gt;0,'Power Factor Correction'!C$46*'PFC Calculations'!$I$3,0)),0)</f>
        <v>0</v>
      </c>
      <c r="M65" s="179">
        <f>IF(AND($A65&gt;='Power Factor Correction'!D$11,$A65&lt;='Power Factor Correction'!D$12),IF('Power Factor Correction'!D$31&gt;0,'Data Entry Electricity'!$F66*'PFC Calculations'!$I$3*(TAN(ACOS('Power Factor Correction'!D$31))),IF('Power Factor Correction'!D$46&gt;0,'Power Factor Correction'!D$46*'PFC Calculations'!$I$3,0)),0)</f>
        <v>0</v>
      </c>
      <c r="N65" s="179">
        <f>IF(AND($A65&gt;='Power Factor Correction'!E$11,$A65&lt;='Power Factor Correction'!E$12),IF('Power Factor Correction'!E$31&gt;0,'Data Entry Electricity'!$F66*'PFC Calculations'!$I$3*(TAN(ACOS('Power Factor Correction'!E$31))),IF('Power Factor Correction'!E$46&gt;0,'Power Factor Correction'!E$46*'PFC Calculations'!$I$3,0)),0)</f>
        <v>0</v>
      </c>
      <c r="O65" s="179">
        <f>IF(AND($A65&gt;='Power Factor Correction'!F$11,$A65&lt;='Power Factor Correction'!F$12),IF('Power Factor Correction'!F$31&gt;0,'Data Entry Electricity'!$F66*'PFC Calculations'!$I$3*(TAN(ACOS('Power Factor Correction'!F$31))),IF('Power Factor Correction'!F$46&gt;0,'Power Factor Correction'!F$46*'PFC Calculations'!$I$3,0)),0)</f>
        <v>0</v>
      </c>
      <c r="P65" s="179">
        <f t="shared" si="2"/>
        <v>0</v>
      </c>
    </row>
    <row r="66" spans="1:16">
      <c r="A66" s="179" t="s">
        <v>14</v>
      </c>
      <c r="B66" s="179">
        <f>IF(AND($A66&gt;='Power Factor Correction'!B$11,$A66&lt;='Power Factor Correction'!B$12),IF('Power Factor Correction'!B91&gt;0,('Power Factor Correction'!B$23*'PFC Calculations'!$I$3)-'PFC Calculations'!K66,IF('Power Factor Correction'!B$25*'Power Factor Correction'!B$26*'Power Factor Correction'!B$27&gt;0,((('Power Factor Correction'!B$26*'Power Factor Correction'!B$27)/(365*24))*'PFC Calculations'!$I$6*'Power Factor Correction'!B$25),0)),0)</f>
        <v>0</v>
      </c>
      <c r="C66" s="179">
        <f>IF(AND($A66&gt;='Power Factor Correction'!C$11,$A66&lt;='Power Factor Correction'!C$12),IF('Power Factor Correction'!C91&gt;0,('Power Factor Correction'!C$23*'PFC Calculations'!$I$3)-'PFC Calculations'!L66,IF('Power Factor Correction'!C$25*'Power Factor Correction'!C$26*'Power Factor Correction'!C$27&gt;0,((('Power Factor Correction'!C$26*'Power Factor Correction'!C$27)/(365*24))*'PFC Calculations'!$I$6*'Power Factor Correction'!C$25),0)),0)</f>
        <v>0</v>
      </c>
      <c r="D66" s="179">
        <f>IF(AND($A66&gt;='Power Factor Correction'!D$11,$A66&lt;='Power Factor Correction'!D$12),IF('Power Factor Correction'!D91&gt;0,('Power Factor Correction'!D$23*'PFC Calculations'!$I$3)-'PFC Calculations'!M66,IF('Power Factor Correction'!D$25*'Power Factor Correction'!D$26*'Power Factor Correction'!D$27&gt;0,((('Power Factor Correction'!D$26*'Power Factor Correction'!D$27)/(365*24))*'PFC Calculations'!$I$6*'Power Factor Correction'!D$25),0)),0)</f>
        <v>0</v>
      </c>
      <c r="E66" s="179">
        <f>IF(AND($A66&gt;='Power Factor Correction'!E$11,$A66&lt;='Power Factor Correction'!E$12),IF('Power Factor Correction'!E91&gt;0,('Power Factor Correction'!E$23*'PFC Calculations'!$I$3)-'PFC Calculations'!N66,IF('Power Factor Correction'!E$25*'Power Factor Correction'!E$26*'Power Factor Correction'!E$27&gt;0,((('Power Factor Correction'!E$26*'Power Factor Correction'!E$27)/(365*24))*'PFC Calculations'!$I$6*'Power Factor Correction'!E$25),0)),0)</f>
        <v>0</v>
      </c>
      <c r="F66" s="179">
        <f>IF(AND($A66&gt;='Power Factor Correction'!F$11,$A66&lt;='Power Factor Correction'!F$12),IF('Power Factor Correction'!F91&gt;0,('Power Factor Correction'!F$23*'PFC Calculations'!$I$3)-'PFC Calculations'!O66,IF('Power Factor Correction'!F$25*'Power Factor Correction'!F$26*'Power Factor Correction'!F$27&gt;0,((('Power Factor Correction'!F$26*'Power Factor Correction'!F$27)/(365*24))*'PFC Calculations'!$I$6*'Power Factor Correction'!F$25),0)),0)</f>
        <v>0</v>
      </c>
      <c r="G66" s="179">
        <f t="shared" si="1"/>
        <v>0</v>
      </c>
      <c r="K66" s="179">
        <f>IF(AND($A66&gt;='Power Factor Correction'!B$11,$A66&lt;='Power Factor Correction'!B$12),IF('Power Factor Correction'!B$31&gt;0,'Data Entry Electricity'!$F67*'PFC Calculations'!$I$3*(TAN(ACOS('Power Factor Correction'!B$31))),IF('Power Factor Correction'!B$46&gt;0,'Power Factor Correction'!B$46*'PFC Calculations'!$I$3,0)),0)</f>
        <v>0</v>
      </c>
      <c r="L66" s="179">
        <f>IF(AND($A66&gt;='Power Factor Correction'!C$11,$A66&lt;='Power Factor Correction'!C$12),IF('Power Factor Correction'!C$31&gt;0,'Data Entry Electricity'!$F67*'PFC Calculations'!$I$3*(TAN(ACOS('Power Factor Correction'!C$31))),IF('Power Factor Correction'!C$46&gt;0,'Power Factor Correction'!C$46*'PFC Calculations'!$I$3,0)),0)</f>
        <v>0</v>
      </c>
      <c r="M66" s="179">
        <f>IF(AND($A66&gt;='Power Factor Correction'!D$11,$A66&lt;='Power Factor Correction'!D$12),IF('Power Factor Correction'!D$31&gt;0,'Data Entry Electricity'!$F67*'PFC Calculations'!$I$3*(TAN(ACOS('Power Factor Correction'!D$31))),IF('Power Factor Correction'!D$46&gt;0,'Power Factor Correction'!D$46*'PFC Calculations'!$I$3,0)),0)</f>
        <v>0</v>
      </c>
      <c r="N66" s="179">
        <f>IF(AND($A66&gt;='Power Factor Correction'!E$11,$A66&lt;='Power Factor Correction'!E$12),IF('Power Factor Correction'!E$31&gt;0,'Data Entry Electricity'!$F67*'PFC Calculations'!$I$3*(TAN(ACOS('Power Factor Correction'!E$31))),IF('Power Factor Correction'!E$46&gt;0,'Power Factor Correction'!E$46*'PFC Calculations'!$I$3,0)),0)</f>
        <v>0</v>
      </c>
      <c r="O66" s="179">
        <f>IF(AND($A66&gt;='Power Factor Correction'!F$11,$A66&lt;='Power Factor Correction'!F$12),IF('Power Factor Correction'!F$31&gt;0,'Data Entry Electricity'!$F67*'PFC Calculations'!$I$3*(TAN(ACOS('Power Factor Correction'!F$31))),IF('Power Factor Correction'!F$46&gt;0,'Power Factor Correction'!F$46*'PFC Calculations'!$I$3,0)),0)</f>
        <v>0</v>
      </c>
      <c r="P66" s="179">
        <f t="shared" si="2"/>
        <v>0</v>
      </c>
    </row>
    <row r="67" spans="1:16">
      <c r="A67" s="179" t="s">
        <v>15</v>
      </c>
      <c r="B67" s="179">
        <f>IF(AND($A67&gt;='Power Factor Correction'!B$11,$A67&lt;='Power Factor Correction'!B$12),IF('Power Factor Correction'!B92&gt;0,('Power Factor Correction'!B$23*'PFC Calculations'!$I$3)-'PFC Calculations'!K67,IF('Power Factor Correction'!B$25*'Power Factor Correction'!B$26*'Power Factor Correction'!B$27&gt;0,((('Power Factor Correction'!B$26*'Power Factor Correction'!B$27)/(365*24))*'PFC Calculations'!$I$6*'Power Factor Correction'!B$25),0)),0)</f>
        <v>0</v>
      </c>
      <c r="C67" s="179">
        <f>IF(AND($A67&gt;='Power Factor Correction'!C$11,$A67&lt;='Power Factor Correction'!C$12),IF('Power Factor Correction'!C92&gt;0,('Power Factor Correction'!C$23*'PFC Calculations'!$I$3)-'PFC Calculations'!L67,IF('Power Factor Correction'!C$25*'Power Factor Correction'!C$26*'Power Factor Correction'!C$27&gt;0,((('Power Factor Correction'!C$26*'Power Factor Correction'!C$27)/(365*24))*'PFC Calculations'!$I$6*'Power Factor Correction'!C$25),0)),0)</f>
        <v>0</v>
      </c>
      <c r="D67" s="179">
        <f>IF(AND($A67&gt;='Power Factor Correction'!D$11,$A67&lt;='Power Factor Correction'!D$12),IF('Power Factor Correction'!D92&gt;0,('Power Factor Correction'!D$23*'PFC Calculations'!$I$3)-'PFC Calculations'!M67,IF('Power Factor Correction'!D$25*'Power Factor Correction'!D$26*'Power Factor Correction'!D$27&gt;0,((('Power Factor Correction'!D$26*'Power Factor Correction'!D$27)/(365*24))*'PFC Calculations'!$I$6*'Power Factor Correction'!D$25),0)),0)</f>
        <v>0</v>
      </c>
      <c r="E67" s="179">
        <f>IF(AND($A67&gt;='Power Factor Correction'!E$11,$A67&lt;='Power Factor Correction'!E$12),IF('Power Factor Correction'!E92&gt;0,('Power Factor Correction'!E$23*'PFC Calculations'!$I$3)-'PFC Calculations'!N67,IF('Power Factor Correction'!E$25*'Power Factor Correction'!E$26*'Power Factor Correction'!E$27&gt;0,((('Power Factor Correction'!E$26*'Power Factor Correction'!E$27)/(365*24))*'PFC Calculations'!$I$6*'Power Factor Correction'!E$25),0)),0)</f>
        <v>0</v>
      </c>
      <c r="F67" s="179">
        <f>IF(AND($A67&gt;='Power Factor Correction'!F$11,$A67&lt;='Power Factor Correction'!F$12),IF('Power Factor Correction'!F92&gt;0,('Power Factor Correction'!F$23*'PFC Calculations'!$I$3)-'PFC Calculations'!O67,IF('Power Factor Correction'!F$25*'Power Factor Correction'!F$26*'Power Factor Correction'!F$27&gt;0,((('Power Factor Correction'!F$26*'Power Factor Correction'!F$27)/(365*24))*'PFC Calculations'!$I$6*'Power Factor Correction'!F$25),0)),0)</f>
        <v>0</v>
      </c>
      <c r="G67" s="179">
        <f t="shared" si="1"/>
        <v>0</v>
      </c>
      <c r="K67" s="179">
        <f>IF(AND($A67&gt;='Power Factor Correction'!B$11,$A67&lt;='Power Factor Correction'!B$12),IF('Power Factor Correction'!B$31&gt;0,'Data Entry Electricity'!$F68*'PFC Calculations'!$I$3*(TAN(ACOS('Power Factor Correction'!B$31))),IF('Power Factor Correction'!B$46&gt;0,'Power Factor Correction'!B$46*'PFC Calculations'!$I$3,0)),0)</f>
        <v>0</v>
      </c>
      <c r="L67" s="179">
        <f>IF(AND($A67&gt;='Power Factor Correction'!C$11,$A67&lt;='Power Factor Correction'!C$12),IF('Power Factor Correction'!C$31&gt;0,'Data Entry Electricity'!$F68*'PFC Calculations'!$I$3*(TAN(ACOS('Power Factor Correction'!C$31))),IF('Power Factor Correction'!C$46&gt;0,'Power Factor Correction'!C$46*'PFC Calculations'!$I$3,0)),0)</f>
        <v>0</v>
      </c>
      <c r="M67" s="179">
        <f>IF(AND($A67&gt;='Power Factor Correction'!D$11,$A67&lt;='Power Factor Correction'!D$12),IF('Power Factor Correction'!D$31&gt;0,'Data Entry Electricity'!$F68*'PFC Calculations'!$I$3*(TAN(ACOS('Power Factor Correction'!D$31))),IF('Power Factor Correction'!D$46&gt;0,'Power Factor Correction'!D$46*'PFC Calculations'!$I$3,0)),0)</f>
        <v>0</v>
      </c>
      <c r="N67" s="179">
        <f>IF(AND($A67&gt;='Power Factor Correction'!E$11,$A67&lt;='Power Factor Correction'!E$12),IF('Power Factor Correction'!E$31&gt;0,'Data Entry Electricity'!$F68*'PFC Calculations'!$I$3*(TAN(ACOS('Power Factor Correction'!E$31))),IF('Power Factor Correction'!E$46&gt;0,'Power Factor Correction'!E$46*'PFC Calculations'!$I$3,0)),0)</f>
        <v>0</v>
      </c>
      <c r="O67" s="179">
        <f>IF(AND($A67&gt;='Power Factor Correction'!F$11,$A67&lt;='Power Factor Correction'!F$12),IF('Power Factor Correction'!F$31&gt;0,'Data Entry Electricity'!$F68*'PFC Calculations'!$I$3*(TAN(ACOS('Power Factor Correction'!F$31))),IF('Power Factor Correction'!F$46&gt;0,'Power Factor Correction'!F$46*'PFC Calculations'!$I$3,0)),0)</f>
        <v>0</v>
      </c>
      <c r="P67" s="179">
        <f t="shared" si="2"/>
        <v>0</v>
      </c>
    </row>
    <row r="68" spans="1:16">
      <c r="A68" s="179" t="s">
        <v>76</v>
      </c>
      <c r="B68" s="179">
        <f>IF(AND($A68&gt;='Power Factor Correction'!B$11,$A68&lt;='Power Factor Correction'!B$12),IF('Power Factor Correction'!B93&gt;0,('Power Factor Correction'!B$23*'PFC Calculations'!$I$3)-'PFC Calculations'!K68,IF('Power Factor Correction'!B$25*'Power Factor Correction'!B$26*'Power Factor Correction'!B$27&gt;0,((('Power Factor Correction'!B$26*'Power Factor Correction'!B$27)/(365*24))*'PFC Calculations'!$I$6*'Power Factor Correction'!B$25),0)),0)</f>
        <v>0</v>
      </c>
      <c r="C68" s="179">
        <f>IF(AND($A68&gt;='Power Factor Correction'!C$11,$A68&lt;='Power Factor Correction'!C$12),IF('Power Factor Correction'!C93&gt;0,('Power Factor Correction'!C$23*'PFC Calculations'!$I$3)-'PFC Calculations'!L68,IF('Power Factor Correction'!C$25*'Power Factor Correction'!C$26*'Power Factor Correction'!C$27&gt;0,((('Power Factor Correction'!C$26*'Power Factor Correction'!C$27)/(365*24))*'PFC Calculations'!$I$6*'Power Factor Correction'!C$25),0)),0)</f>
        <v>0</v>
      </c>
      <c r="D68" s="179">
        <f>IF(AND($A68&gt;='Power Factor Correction'!D$11,$A68&lt;='Power Factor Correction'!D$12),IF('Power Factor Correction'!D93&gt;0,('Power Factor Correction'!D$23*'PFC Calculations'!$I$3)-'PFC Calculations'!M68,IF('Power Factor Correction'!D$25*'Power Factor Correction'!D$26*'Power Factor Correction'!D$27&gt;0,((('Power Factor Correction'!D$26*'Power Factor Correction'!D$27)/(365*24))*'PFC Calculations'!$I$6*'Power Factor Correction'!D$25),0)),0)</f>
        <v>0</v>
      </c>
      <c r="E68" s="179">
        <f>IF(AND($A68&gt;='Power Factor Correction'!E$11,$A68&lt;='Power Factor Correction'!E$12),IF('Power Factor Correction'!E93&gt;0,('Power Factor Correction'!E$23*'PFC Calculations'!$I$3)-'PFC Calculations'!N68,IF('Power Factor Correction'!E$25*'Power Factor Correction'!E$26*'Power Factor Correction'!E$27&gt;0,((('Power Factor Correction'!E$26*'Power Factor Correction'!E$27)/(365*24))*'PFC Calculations'!$I$6*'Power Factor Correction'!E$25),0)),0)</f>
        <v>0</v>
      </c>
      <c r="F68" s="179">
        <f>IF(AND($A68&gt;='Power Factor Correction'!F$11,$A68&lt;='Power Factor Correction'!F$12),IF('Power Factor Correction'!F93&gt;0,('Power Factor Correction'!F$23*'PFC Calculations'!$I$3)-'PFC Calculations'!O68,IF('Power Factor Correction'!F$25*'Power Factor Correction'!F$26*'Power Factor Correction'!F$27&gt;0,((('Power Factor Correction'!F$26*'Power Factor Correction'!F$27)/(365*24))*'PFC Calculations'!$I$6*'Power Factor Correction'!F$25),0)),0)</f>
        <v>0</v>
      </c>
      <c r="G68" s="179">
        <f t="shared" ref="G68:G93" si="3">SUM(B68:F68)</f>
        <v>0</v>
      </c>
      <c r="K68" s="179">
        <f>IF(AND($A68&gt;='Power Factor Correction'!B$11,$A68&lt;='Power Factor Correction'!B$12),IF('Power Factor Correction'!B$31&gt;0,'Data Entry Electricity'!$F69*'PFC Calculations'!$I$3*(TAN(ACOS('Power Factor Correction'!B$31))),IF('Power Factor Correction'!B$46&gt;0,'Power Factor Correction'!B$46*'PFC Calculations'!$I$3,0)),0)</f>
        <v>0</v>
      </c>
      <c r="L68" s="179">
        <f>IF(AND($A68&gt;='Power Factor Correction'!C$11,$A68&lt;='Power Factor Correction'!C$12),IF('Power Factor Correction'!C$31&gt;0,'Data Entry Electricity'!$F69*'PFC Calculations'!$I$3*(TAN(ACOS('Power Factor Correction'!C$31))),IF('Power Factor Correction'!C$46&gt;0,'Power Factor Correction'!C$46*'PFC Calculations'!$I$3,0)),0)</f>
        <v>0</v>
      </c>
      <c r="M68" s="179">
        <f>IF(AND($A68&gt;='Power Factor Correction'!D$11,$A68&lt;='Power Factor Correction'!D$12),IF('Power Factor Correction'!D$31&gt;0,'Data Entry Electricity'!$F69*'PFC Calculations'!$I$3*(TAN(ACOS('Power Factor Correction'!D$31))),IF('Power Factor Correction'!D$46&gt;0,'Power Factor Correction'!D$46*'PFC Calculations'!$I$3,0)),0)</f>
        <v>0</v>
      </c>
      <c r="N68" s="179">
        <f>IF(AND($A68&gt;='Power Factor Correction'!E$11,$A68&lt;='Power Factor Correction'!E$12),IF('Power Factor Correction'!E$31&gt;0,'Data Entry Electricity'!$F69*'PFC Calculations'!$I$3*(TAN(ACOS('Power Factor Correction'!E$31))),IF('Power Factor Correction'!E$46&gt;0,'Power Factor Correction'!E$46*'PFC Calculations'!$I$3,0)),0)</f>
        <v>0</v>
      </c>
      <c r="O68" s="179">
        <f>IF(AND($A68&gt;='Power Factor Correction'!F$11,$A68&lt;='Power Factor Correction'!F$12),IF('Power Factor Correction'!F$31&gt;0,'Data Entry Electricity'!$F69*'PFC Calculations'!$I$3*(TAN(ACOS('Power Factor Correction'!F$31))),IF('Power Factor Correction'!F$46&gt;0,'Power Factor Correction'!F$46*'PFC Calculations'!$I$3,0)),0)</f>
        <v>0</v>
      </c>
      <c r="P68" s="179">
        <f t="shared" ref="P68:P93" si="4">SUM(K68:O68)</f>
        <v>0</v>
      </c>
    </row>
    <row r="69" spans="1:16">
      <c r="A69" s="179" t="s">
        <v>77</v>
      </c>
      <c r="B69" s="179">
        <f>IF(AND($A69&gt;='Power Factor Correction'!B$11,$A69&lt;='Power Factor Correction'!B$12),IF('Power Factor Correction'!B94&gt;0,('Power Factor Correction'!B$23*'PFC Calculations'!$I$3)-'PFC Calculations'!K69,IF('Power Factor Correction'!B$25*'Power Factor Correction'!B$26*'Power Factor Correction'!B$27&gt;0,((('Power Factor Correction'!B$26*'Power Factor Correction'!B$27)/(365*24))*'PFC Calculations'!$I$6*'Power Factor Correction'!B$25),0)),0)</f>
        <v>0</v>
      </c>
      <c r="C69" s="179">
        <f>IF(AND($A69&gt;='Power Factor Correction'!C$11,$A69&lt;='Power Factor Correction'!C$12),IF('Power Factor Correction'!C94&gt;0,('Power Factor Correction'!C$23*'PFC Calculations'!$I$3)-'PFC Calculations'!L69,IF('Power Factor Correction'!C$25*'Power Factor Correction'!C$26*'Power Factor Correction'!C$27&gt;0,((('Power Factor Correction'!C$26*'Power Factor Correction'!C$27)/(365*24))*'PFC Calculations'!$I$6*'Power Factor Correction'!C$25),0)),0)</f>
        <v>0</v>
      </c>
      <c r="D69" s="179">
        <f>IF(AND($A69&gt;='Power Factor Correction'!D$11,$A69&lt;='Power Factor Correction'!D$12),IF('Power Factor Correction'!D94&gt;0,('Power Factor Correction'!D$23*'PFC Calculations'!$I$3)-'PFC Calculations'!M69,IF('Power Factor Correction'!D$25*'Power Factor Correction'!D$26*'Power Factor Correction'!D$27&gt;0,((('Power Factor Correction'!D$26*'Power Factor Correction'!D$27)/(365*24))*'PFC Calculations'!$I$6*'Power Factor Correction'!D$25),0)),0)</f>
        <v>0</v>
      </c>
      <c r="E69" s="179">
        <f>IF(AND($A69&gt;='Power Factor Correction'!E$11,$A69&lt;='Power Factor Correction'!E$12),IF('Power Factor Correction'!E94&gt;0,('Power Factor Correction'!E$23*'PFC Calculations'!$I$3)-'PFC Calculations'!N69,IF('Power Factor Correction'!E$25*'Power Factor Correction'!E$26*'Power Factor Correction'!E$27&gt;0,((('Power Factor Correction'!E$26*'Power Factor Correction'!E$27)/(365*24))*'PFC Calculations'!$I$6*'Power Factor Correction'!E$25),0)),0)</f>
        <v>0</v>
      </c>
      <c r="F69" s="179">
        <f>IF(AND($A69&gt;='Power Factor Correction'!F$11,$A69&lt;='Power Factor Correction'!F$12),IF('Power Factor Correction'!F94&gt;0,('Power Factor Correction'!F$23*'PFC Calculations'!$I$3)-'PFC Calculations'!O69,IF('Power Factor Correction'!F$25*'Power Factor Correction'!F$26*'Power Factor Correction'!F$27&gt;0,((('Power Factor Correction'!F$26*'Power Factor Correction'!F$27)/(365*24))*'PFC Calculations'!$I$6*'Power Factor Correction'!F$25),0)),0)</f>
        <v>0</v>
      </c>
      <c r="G69" s="179">
        <f t="shared" si="3"/>
        <v>0</v>
      </c>
      <c r="K69" s="179">
        <f>IF(AND($A69&gt;='Power Factor Correction'!B$11,$A69&lt;='Power Factor Correction'!B$12),IF('Power Factor Correction'!B$31&gt;0,'Data Entry Electricity'!$F70*'PFC Calculations'!$I$3*(TAN(ACOS('Power Factor Correction'!B$31))),IF('Power Factor Correction'!B$46&gt;0,'Power Factor Correction'!B$46*'PFC Calculations'!$I$3,0)),0)</f>
        <v>0</v>
      </c>
      <c r="L69" s="179">
        <f>IF(AND($A69&gt;='Power Factor Correction'!C$11,$A69&lt;='Power Factor Correction'!C$12),IF('Power Factor Correction'!C$31&gt;0,'Data Entry Electricity'!$F70*'PFC Calculations'!$I$3*(TAN(ACOS('Power Factor Correction'!C$31))),IF('Power Factor Correction'!C$46&gt;0,'Power Factor Correction'!C$46*'PFC Calculations'!$I$3,0)),0)</f>
        <v>0</v>
      </c>
      <c r="M69" s="179">
        <f>IF(AND($A69&gt;='Power Factor Correction'!D$11,$A69&lt;='Power Factor Correction'!D$12),IF('Power Factor Correction'!D$31&gt;0,'Data Entry Electricity'!$F70*'PFC Calculations'!$I$3*(TAN(ACOS('Power Factor Correction'!D$31))),IF('Power Factor Correction'!D$46&gt;0,'Power Factor Correction'!D$46*'PFC Calculations'!$I$3,0)),0)</f>
        <v>0</v>
      </c>
      <c r="N69" s="179">
        <f>IF(AND($A69&gt;='Power Factor Correction'!E$11,$A69&lt;='Power Factor Correction'!E$12),IF('Power Factor Correction'!E$31&gt;0,'Data Entry Electricity'!$F70*'PFC Calculations'!$I$3*(TAN(ACOS('Power Factor Correction'!E$31))),IF('Power Factor Correction'!E$46&gt;0,'Power Factor Correction'!E$46*'PFC Calculations'!$I$3,0)),0)</f>
        <v>0</v>
      </c>
      <c r="O69" s="179">
        <f>IF(AND($A69&gt;='Power Factor Correction'!F$11,$A69&lt;='Power Factor Correction'!F$12),IF('Power Factor Correction'!F$31&gt;0,'Data Entry Electricity'!$F70*'PFC Calculations'!$I$3*(TAN(ACOS('Power Factor Correction'!F$31))),IF('Power Factor Correction'!F$46&gt;0,'Power Factor Correction'!F$46*'PFC Calculations'!$I$3,0)),0)</f>
        <v>0</v>
      </c>
      <c r="P69" s="179">
        <f t="shared" si="4"/>
        <v>0</v>
      </c>
    </row>
    <row r="70" spans="1:16">
      <c r="A70" s="179" t="s">
        <v>78</v>
      </c>
      <c r="B70" s="179">
        <f>IF(AND($A70&gt;='Power Factor Correction'!B$11,$A70&lt;='Power Factor Correction'!B$12),IF('Power Factor Correction'!B95&gt;0,('Power Factor Correction'!B$23*'PFC Calculations'!$I$3)-'PFC Calculations'!K70,IF('Power Factor Correction'!B$25*'Power Factor Correction'!B$26*'Power Factor Correction'!B$27&gt;0,((('Power Factor Correction'!B$26*'Power Factor Correction'!B$27)/(365*24))*'PFC Calculations'!$I$6*'Power Factor Correction'!B$25),0)),0)</f>
        <v>0</v>
      </c>
      <c r="C70" s="179">
        <f>IF(AND($A70&gt;='Power Factor Correction'!C$11,$A70&lt;='Power Factor Correction'!C$12),IF('Power Factor Correction'!C95&gt;0,('Power Factor Correction'!C$23*'PFC Calculations'!$I$3)-'PFC Calculations'!L70,IF('Power Factor Correction'!C$25*'Power Factor Correction'!C$26*'Power Factor Correction'!C$27&gt;0,((('Power Factor Correction'!C$26*'Power Factor Correction'!C$27)/(365*24))*'PFC Calculations'!$I$6*'Power Factor Correction'!C$25),0)),0)</f>
        <v>0</v>
      </c>
      <c r="D70" s="179">
        <f>IF(AND($A70&gt;='Power Factor Correction'!D$11,$A70&lt;='Power Factor Correction'!D$12),IF('Power Factor Correction'!D95&gt;0,('Power Factor Correction'!D$23*'PFC Calculations'!$I$3)-'PFC Calculations'!M70,IF('Power Factor Correction'!D$25*'Power Factor Correction'!D$26*'Power Factor Correction'!D$27&gt;0,((('Power Factor Correction'!D$26*'Power Factor Correction'!D$27)/(365*24))*'PFC Calculations'!$I$6*'Power Factor Correction'!D$25),0)),0)</f>
        <v>0</v>
      </c>
      <c r="E70" s="179">
        <f>IF(AND($A70&gt;='Power Factor Correction'!E$11,$A70&lt;='Power Factor Correction'!E$12),IF('Power Factor Correction'!E95&gt;0,('Power Factor Correction'!E$23*'PFC Calculations'!$I$3)-'PFC Calculations'!N70,IF('Power Factor Correction'!E$25*'Power Factor Correction'!E$26*'Power Factor Correction'!E$27&gt;0,((('Power Factor Correction'!E$26*'Power Factor Correction'!E$27)/(365*24))*'PFC Calculations'!$I$6*'Power Factor Correction'!E$25),0)),0)</f>
        <v>0</v>
      </c>
      <c r="F70" s="179">
        <f>IF(AND($A70&gt;='Power Factor Correction'!F$11,$A70&lt;='Power Factor Correction'!F$12),IF('Power Factor Correction'!F95&gt;0,('Power Factor Correction'!F$23*'PFC Calculations'!$I$3)-'PFC Calculations'!O70,IF('Power Factor Correction'!F$25*'Power Factor Correction'!F$26*'Power Factor Correction'!F$27&gt;0,((('Power Factor Correction'!F$26*'Power Factor Correction'!F$27)/(365*24))*'PFC Calculations'!$I$6*'Power Factor Correction'!F$25),0)),0)</f>
        <v>0</v>
      </c>
      <c r="G70" s="179">
        <f t="shared" si="3"/>
        <v>0</v>
      </c>
      <c r="K70" s="179">
        <f>IF(AND($A70&gt;='Power Factor Correction'!B$11,$A70&lt;='Power Factor Correction'!B$12),IF('Power Factor Correction'!B$31&gt;0,'Data Entry Electricity'!$F71*'PFC Calculations'!$I$3*(TAN(ACOS('Power Factor Correction'!B$31))),IF('Power Factor Correction'!B$46&gt;0,'Power Factor Correction'!B$46*'PFC Calculations'!$I$3,0)),0)</f>
        <v>0</v>
      </c>
      <c r="L70" s="179">
        <f>IF(AND($A70&gt;='Power Factor Correction'!C$11,$A70&lt;='Power Factor Correction'!C$12),IF('Power Factor Correction'!C$31&gt;0,'Data Entry Electricity'!$F71*'PFC Calculations'!$I$3*(TAN(ACOS('Power Factor Correction'!C$31))),IF('Power Factor Correction'!C$46&gt;0,'Power Factor Correction'!C$46*'PFC Calculations'!$I$3,0)),0)</f>
        <v>0</v>
      </c>
      <c r="M70" s="179">
        <f>IF(AND($A70&gt;='Power Factor Correction'!D$11,$A70&lt;='Power Factor Correction'!D$12),IF('Power Factor Correction'!D$31&gt;0,'Data Entry Electricity'!$F71*'PFC Calculations'!$I$3*(TAN(ACOS('Power Factor Correction'!D$31))),IF('Power Factor Correction'!D$46&gt;0,'Power Factor Correction'!D$46*'PFC Calculations'!$I$3,0)),0)</f>
        <v>0</v>
      </c>
      <c r="N70" s="179">
        <f>IF(AND($A70&gt;='Power Factor Correction'!E$11,$A70&lt;='Power Factor Correction'!E$12),IF('Power Factor Correction'!E$31&gt;0,'Data Entry Electricity'!$F71*'PFC Calculations'!$I$3*(TAN(ACOS('Power Factor Correction'!E$31))),IF('Power Factor Correction'!E$46&gt;0,'Power Factor Correction'!E$46*'PFC Calculations'!$I$3,0)),0)</f>
        <v>0</v>
      </c>
      <c r="O70" s="179">
        <f>IF(AND($A70&gt;='Power Factor Correction'!F$11,$A70&lt;='Power Factor Correction'!F$12),IF('Power Factor Correction'!F$31&gt;0,'Data Entry Electricity'!$F71*'PFC Calculations'!$I$3*(TAN(ACOS('Power Factor Correction'!F$31))),IF('Power Factor Correction'!F$46&gt;0,'Power Factor Correction'!F$46*'PFC Calculations'!$I$3,0)),0)</f>
        <v>0</v>
      </c>
      <c r="P70" s="179">
        <f t="shared" si="4"/>
        <v>0</v>
      </c>
    </row>
    <row r="71" spans="1:16">
      <c r="A71" s="179" t="s">
        <v>79</v>
      </c>
      <c r="B71" s="179">
        <f>IF(AND($A71&gt;='Power Factor Correction'!B$11,$A71&lt;='Power Factor Correction'!B$12),IF('Power Factor Correction'!B96&gt;0,('Power Factor Correction'!B$23*'PFC Calculations'!$I$3)-'PFC Calculations'!K71,IF('Power Factor Correction'!B$25*'Power Factor Correction'!B$26*'Power Factor Correction'!B$27&gt;0,((('Power Factor Correction'!B$26*'Power Factor Correction'!B$27)/(365*24))*'PFC Calculations'!$I$6*'Power Factor Correction'!B$25),0)),0)</f>
        <v>0</v>
      </c>
      <c r="C71" s="179">
        <f>IF(AND($A71&gt;='Power Factor Correction'!C$11,$A71&lt;='Power Factor Correction'!C$12),IF('Power Factor Correction'!C96&gt;0,('Power Factor Correction'!C$23*'PFC Calculations'!$I$3)-'PFC Calculations'!L71,IF('Power Factor Correction'!C$25*'Power Factor Correction'!C$26*'Power Factor Correction'!C$27&gt;0,((('Power Factor Correction'!C$26*'Power Factor Correction'!C$27)/(365*24))*'PFC Calculations'!$I$6*'Power Factor Correction'!C$25),0)),0)</f>
        <v>0</v>
      </c>
      <c r="D71" s="179">
        <f>IF(AND($A71&gt;='Power Factor Correction'!D$11,$A71&lt;='Power Factor Correction'!D$12),IF('Power Factor Correction'!D96&gt;0,('Power Factor Correction'!D$23*'PFC Calculations'!$I$3)-'PFC Calculations'!M71,IF('Power Factor Correction'!D$25*'Power Factor Correction'!D$26*'Power Factor Correction'!D$27&gt;0,((('Power Factor Correction'!D$26*'Power Factor Correction'!D$27)/(365*24))*'PFC Calculations'!$I$6*'Power Factor Correction'!D$25),0)),0)</f>
        <v>0</v>
      </c>
      <c r="E71" s="179">
        <f>IF(AND($A71&gt;='Power Factor Correction'!E$11,$A71&lt;='Power Factor Correction'!E$12),IF('Power Factor Correction'!E96&gt;0,('Power Factor Correction'!E$23*'PFC Calculations'!$I$3)-'PFC Calculations'!N71,IF('Power Factor Correction'!E$25*'Power Factor Correction'!E$26*'Power Factor Correction'!E$27&gt;0,((('Power Factor Correction'!E$26*'Power Factor Correction'!E$27)/(365*24))*'PFC Calculations'!$I$6*'Power Factor Correction'!E$25),0)),0)</f>
        <v>0</v>
      </c>
      <c r="F71" s="179">
        <f>IF(AND($A71&gt;='Power Factor Correction'!F$11,$A71&lt;='Power Factor Correction'!F$12),IF('Power Factor Correction'!F96&gt;0,('Power Factor Correction'!F$23*'PFC Calculations'!$I$3)-'PFC Calculations'!O71,IF('Power Factor Correction'!F$25*'Power Factor Correction'!F$26*'Power Factor Correction'!F$27&gt;0,((('Power Factor Correction'!F$26*'Power Factor Correction'!F$27)/(365*24))*'PFC Calculations'!$I$6*'Power Factor Correction'!F$25),0)),0)</f>
        <v>0</v>
      </c>
      <c r="G71" s="179">
        <f t="shared" si="3"/>
        <v>0</v>
      </c>
      <c r="K71" s="179">
        <f>IF(AND($A71&gt;='Power Factor Correction'!B$11,$A71&lt;='Power Factor Correction'!B$12),IF('Power Factor Correction'!B$31&gt;0,'Data Entry Electricity'!$F72*'PFC Calculations'!$I$3*(TAN(ACOS('Power Factor Correction'!B$31))),IF('Power Factor Correction'!B$46&gt;0,'Power Factor Correction'!B$46*'PFC Calculations'!$I$3,0)),0)</f>
        <v>0</v>
      </c>
      <c r="L71" s="179">
        <f>IF(AND($A71&gt;='Power Factor Correction'!C$11,$A71&lt;='Power Factor Correction'!C$12),IF('Power Factor Correction'!C$31&gt;0,'Data Entry Electricity'!$F72*'PFC Calculations'!$I$3*(TAN(ACOS('Power Factor Correction'!C$31))),IF('Power Factor Correction'!C$46&gt;0,'Power Factor Correction'!C$46*'PFC Calculations'!$I$3,0)),0)</f>
        <v>0</v>
      </c>
      <c r="M71" s="179">
        <f>IF(AND($A71&gt;='Power Factor Correction'!D$11,$A71&lt;='Power Factor Correction'!D$12),IF('Power Factor Correction'!D$31&gt;0,'Data Entry Electricity'!$F72*'PFC Calculations'!$I$3*(TAN(ACOS('Power Factor Correction'!D$31))),IF('Power Factor Correction'!D$46&gt;0,'Power Factor Correction'!D$46*'PFC Calculations'!$I$3,0)),0)</f>
        <v>0</v>
      </c>
      <c r="N71" s="179">
        <f>IF(AND($A71&gt;='Power Factor Correction'!E$11,$A71&lt;='Power Factor Correction'!E$12),IF('Power Factor Correction'!E$31&gt;0,'Data Entry Electricity'!$F72*'PFC Calculations'!$I$3*(TAN(ACOS('Power Factor Correction'!E$31))),IF('Power Factor Correction'!E$46&gt;0,'Power Factor Correction'!E$46*'PFC Calculations'!$I$3,0)),0)</f>
        <v>0</v>
      </c>
      <c r="O71" s="179">
        <f>IF(AND($A71&gt;='Power Factor Correction'!F$11,$A71&lt;='Power Factor Correction'!F$12),IF('Power Factor Correction'!F$31&gt;0,'Data Entry Electricity'!$F72*'PFC Calculations'!$I$3*(TAN(ACOS('Power Factor Correction'!F$31))),IF('Power Factor Correction'!F$46&gt;0,'Power Factor Correction'!F$46*'PFC Calculations'!$I$3,0)),0)</f>
        <v>0</v>
      </c>
      <c r="P71" s="179">
        <f t="shared" si="4"/>
        <v>0</v>
      </c>
    </row>
    <row r="72" spans="1:16">
      <c r="A72" s="179" t="s">
        <v>80</v>
      </c>
      <c r="B72" s="179">
        <f>IF(AND($A72&gt;='Power Factor Correction'!B$11,$A72&lt;='Power Factor Correction'!B$12),IF('Power Factor Correction'!B97&gt;0,('Power Factor Correction'!B$23*'PFC Calculations'!$I$3)-'PFC Calculations'!K72,IF('Power Factor Correction'!B$25*'Power Factor Correction'!B$26*'Power Factor Correction'!B$27&gt;0,((('Power Factor Correction'!B$26*'Power Factor Correction'!B$27)/(365*24))*'PFC Calculations'!$I$6*'Power Factor Correction'!B$25),0)),0)</f>
        <v>0</v>
      </c>
      <c r="C72" s="179">
        <f>IF(AND($A72&gt;='Power Factor Correction'!C$11,$A72&lt;='Power Factor Correction'!C$12),IF('Power Factor Correction'!C97&gt;0,('Power Factor Correction'!C$23*'PFC Calculations'!$I$3)-'PFC Calculations'!L72,IF('Power Factor Correction'!C$25*'Power Factor Correction'!C$26*'Power Factor Correction'!C$27&gt;0,((('Power Factor Correction'!C$26*'Power Factor Correction'!C$27)/(365*24))*'PFC Calculations'!$I$6*'Power Factor Correction'!C$25),0)),0)</f>
        <v>0</v>
      </c>
      <c r="D72" s="179">
        <f>IF(AND($A72&gt;='Power Factor Correction'!D$11,$A72&lt;='Power Factor Correction'!D$12),IF('Power Factor Correction'!D97&gt;0,('Power Factor Correction'!D$23*'PFC Calculations'!$I$3)-'PFC Calculations'!M72,IF('Power Factor Correction'!D$25*'Power Factor Correction'!D$26*'Power Factor Correction'!D$27&gt;0,((('Power Factor Correction'!D$26*'Power Factor Correction'!D$27)/(365*24))*'PFC Calculations'!$I$6*'Power Factor Correction'!D$25),0)),0)</f>
        <v>0</v>
      </c>
      <c r="E72" s="179">
        <f>IF(AND($A72&gt;='Power Factor Correction'!E$11,$A72&lt;='Power Factor Correction'!E$12),IF('Power Factor Correction'!E97&gt;0,('Power Factor Correction'!E$23*'PFC Calculations'!$I$3)-'PFC Calculations'!N72,IF('Power Factor Correction'!E$25*'Power Factor Correction'!E$26*'Power Factor Correction'!E$27&gt;0,((('Power Factor Correction'!E$26*'Power Factor Correction'!E$27)/(365*24))*'PFC Calculations'!$I$6*'Power Factor Correction'!E$25),0)),0)</f>
        <v>0</v>
      </c>
      <c r="F72" s="179">
        <f>IF(AND($A72&gt;='Power Factor Correction'!F$11,$A72&lt;='Power Factor Correction'!F$12),IF('Power Factor Correction'!F97&gt;0,('Power Factor Correction'!F$23*'PFC Calculations'!$I$3)-'PFC Calculations'!O72,IF('Power Factor Correction'!F$25*'Power Factor Correction'!F$26*'Power Factor Correction'!F$27&gt;0,((('Power Factor Correction'!F$26*'Power Factor Correction'!F$27)/(365*24))*'PFC Calculations'!$I$6*'Power Factor Correction'!F$25),0)),0)</f>
        <v>0</v>
      </c>
      <c r="G72" s="179">
        <f t="shared" si="3"/>
        <v>0</v>
      </c>
      <c r="K72" s="179">
        <f>IF(AND($A72&gt;='Power Factor Correction'!B$11,$A72&lt;='Power Factor Correction'!B$12),IF('Power Factor Correction'!B$31&gt;0,'Data Entry Electricity'!$F73*'PFC Calculations'!$I$3*(TAN(ACOS('Power Factor Correction'!B$31))),IF('Power Factor Correction'!B$46&gt;0,'Power Factor Correction'!B$46*'PFC Calculations'!$I$3,0)),0)</f>
        <v>0</v>
      </c>
      <c r="L72" s="179">
        <f>IF(AND($A72&gt;='Power Factor Correction'!C$11,$A72&lt;='Power Factor Correction'!C$12),IF('Power Factor Correction'!C$31&gt;0,'Data Entry Electricity'!$F73*'PFC Calculations'!$I$3*(TAN(ACOS('Power Factor Correction'!C$31))),IF('Power Factor Correction'!C$46&gt;0,'Power Factor Correction'!C$46*'PFC Calculations'!$I$3,0)),0)</f>
        <v>0</v>
      </c>
      <c r="M72" s="179">
        <f>IF(AND($A72&gt;='Power Factor Correction'!D$11,$A72&lt;='Power Factor Correction'!D$12),IF('Power Factor Correction'!D$31&gt;0,'Data Entry Electricity'!$F73*'PFC Calculations'!$I$3*(TAN(ACOS('Power Factor Correction'!D$31))),IF('Power Factor Correction'!D$46&gt;0,'Power Factor Correction'!D$46*'PFC Calculations'!$I$3,0)),0)</f>
        <v>0</v>
      </c>
      <c r="N72" s="179">
        <f>IF(AND($A72&gt;='Power Factor Correction'!E$11,$A72&lt;='Power Factor Correction'!E$12),IF('Power Factor Correction'!E$31&gt;0,'Data Entry Electricity'!$F73*'PFC Calculations'!$I$3*(TAN(ACOS('Power Factor Correction'!E$31))),IF('Power Factor Correction'!E$46&gt;0,'Power Factor Correction'!E$46*'PFC Calculations'!$I$3,0)),0)</f>
        <v>0</v>
      </c>
      <c r="O72" s="179">
        <f>IF(AND($A72&gt;='Power Factor Correction'!F$11,$A72&lt;='Power Factor Correction'!F$12),IF('Power Factor Correction'!F$31&gt;0,'Data Entry Electricity'!$F73*'PFC Calculations'!$I$3*(TAN(ACOS('Power Factor Correction'!F$31))),IF('Power Factor Correction'!F$46&gt;0,'Power Factor Correction'!F$46*'PFC Calculations'!$I$3,0)),0)</f>
        <v>0</v>
      </c>
      <c r="P72" s="179">
        <f t="shared" si="4"/>
        <v>0</v>
      </c>
    </row>
    <row r="73" spans="1:16">
      <c r="A73" s="179" t="s">
        <v>81</v>
      </c>
      <c r="B73" s="179">
        <f>IF(AND($A73&gt;='Power Factor Correction'!B$11,$A73&lt;='Power Factor Correction'!B$12),IF('Power Factor Correction'!B98&gt;0,('Power Factor Correction'!B$23*'PFC Calculations'!$I$3)-'PFC Calculations'!K73,IF('Power Factor Correction'!B$25*'Power Factor Correction'!B$26*'Power Factor Correction'!B$27&gt;0,((('Power Factor Correction'!B$26*'Power Factor Correction'!B$27)/(365*24))*'PFC Calculations'!$I$6*'Power Factor Correction'!B$25),0)),0)</f>
        <v>0</v>
      </c>
      <c r="C73" s="179">
        <f>IF(AND($A73&gt;='Power Factor Correction'!C$11,$A73&lt;='Power Factor Correction'!C$12),IF('Power Factor Correction'!C98&gt;0,('Power Factor Correction'!C$23*'PFC Calculations'!$I$3)-'PFC Calculations'!L73,IF('Power Factor Correction'!C$25*'Power Factor Correction'!C$26*'Power Factor Correction'!C$27&gt;0,((('Power Factor Correction'!C$26*'Power Factor Correction'!C$27)/(365*24))*'PFC Calculations'!$I$6*'Power Factor Correction'!C$25),0)),0)</f>
        <v>0</v>
      </c>
      <c r="D73" s="179">
        <f>IF(AND($A73&gt;='Power Factor Correction'!D$11,$A73&lt;='Power Factor Correction'!D$12),IF('Power Factor Correction'!D98&gt;0,('Power Factor Correction'!D$23*'PFC Calculations'!$I$3)-'PFC Calculations'!M73,IF('Power Factor Correction'!D$25*'Power Factor Correction'!D$26*'Power Factor Correction'!D$27&gt;0,((('Power Factor Correction'!D$26*'Power Factor Correction'!D$27)/(365*24))*'PFC Calculations'!$I$6*'Power Factor Correction'!D$25),0)),0)</f>
        <v>0</v>
      </c>
      <c r="E73" s="179">
        <f>IF(AND($A73&gt;='Power Factor Correction'!E$11,$A73&lt;='Power Factor Correction'!E$12),IF('Power Factor Correction'!E98&gt;0,('Power Factor Correction'!E$23*'PFC Calculations'!$I$3)-'PFC Calculations'!N73,IF('Power Factor Correction'!E$25*'Power Factor Correction'!E$26*'Power Factor Correction'!E$27&gt;0,((('Power Factor Correction'!E$26*'Power Factor Correction'!E$27)/(365*24))*'PFC Calculations'!$I$6*'Power Factor Correction'!E$25),0)),0)</f>
        <v>0</v>
      </c>
      <c r="F73" s="179">
        <f>IF(AND($A73&gt;='Power Factor Correction'!F$11,$A73&lt;='Power Factor Correction'!F$12),IF('Power Factor Correction'!F98&gt;0,('Power Factor Correction'!F$23*'PFC Calculations'!$I$3)-'PFC Calculations'!O73,IF('Power Factor Correction'!F$25*'Power Factor Correction'!F$26*'Power Factor Correction'!F$27&gt;0,((('Power Factor Correction'!F$26*'Power Factor Correction'!F$27)/(365*24))*'PFC Calculations'!$I$6*'Power Factor Correction'!F$25),0)),0)</f>
        <v>0</v>
      </c>
      <c r="G73" s="179">
        <f t="shared" si="3"/>
        <v>0</v>
      </c>
      <c r="K73" s="179">
        <f>IF(AND($A73&gt;='Power Factor Correction'!B$11,$A73&lt;='Power Factor Correction'!B$12),IF('Power Factor Correction'!B$31&gt;0,'Data Entry Electricity'!$F74*'PFC Calculations'!$I$3*(TAN(ACOS('Power Factor Correction'!B$31))),IF('Power Factor Correction'!B$46&gt;0,'Power Factor Correction'!B$46*'PFC Calculations'!$I$3,0)),0)</f>
        <v>0</v>
      </c>
      <c r="L73" s="179">
        <f>IF(AND($A73&gt;='Power Factor Correction'!C$11,$A73&lt;='Power Factor Correction'!C$12),IF('Power Factor Correction'!C$31&gt;0,'Data Entry Electricity'!$F74*'PFC Calculations'!$I$3*(TAN(ACOS('Power Factor Correction'!C$31))),IF('Power Factor Correction'!C$46&gt;0,'Power Factor Correction'!C$46*'PFC Calculations'!$I$3,0)),0)</f>
        <v>0</v>
      </c>
      <c r="M73" s="179">
        <f>IF(AND($A73&gt;='Power Factor Correction'!D$11,$A73&lt;='Power Factor Correction'!D$12),IF('Power Factor Correction'!D$31&gt;0,'Data Entry Electricity'!$F74*'PFC Calculations'!$I$3*(TAN(ACOS('Power Factor Correction'!D$31))),IF('Power Factor Correction'!D$46&gt;0,'Power Factor Correction'!D$46*'PFC Calculations'!$I$3,0)),0)</f>
        <v>0</v>
      </c>
      <c r="N73" s="179">
        <f>IF(AND($A73&gt;='Power Factor Correction'!E$11,$A73&lt;='Power Factor Correction'!E$12),IF('Power Factor Correction'!E$31&gt;0,'Data Entry Electricity'!$F74*'PFC Calculations'!$I$3*(TAN(ACOS('Power Factor Correction'!E$31))),IF('Power Factor Correction'!E$46&gt;0,'Power Factor Correction'!E$46*'PFC Calculations'!$I$3,0)),0)</f>
        <v>0</v>
      </c>
      <c r="O73" s="179">
        <f>IF(AND($A73&gt;='Power Factor Correction'!F$11,$A73&lt;='Power Factor Correction'!F$12),IF('Power Factor Correction'!F$31&gt;0,'Data Entry Electricity'!$F74*'PFC Calculations'!$I$3*(TAN(ACOS('Power Factor Correction'!F$31))),IF('Power Factor Correction'!F$46&gt;0,'Power Factor Correction'!F$46*'PFC Calculations'!$I$3,0)),0)</f>
        <v>0</v>
      </c>
      <c r="P73" s="179">
        <f t="shared" si="4"/>
        <v>0</v>
      </c>
    </row>
    <row r="74" spans="1:16">
      <c r="A74" s="179" t="s">
        <v>82</v>
      </c>
      <c r="B74" s="179">
        <f>IF(AND($A74&gt;='Power Factor Correction'!B$11,$A74&lt;='Power Factor Correction'!B$12),IF('Power Factor Correction'!B99&gt;0,('Power Factor Correction'!B$23*'PFC Calculations'!$I$3)-'PFC Calculations'!K74,IF('Power Factor Correction'!B$25*'Power Factor Correction'!B$26*'Power Factor Correction'!B$27&gt;0,((('Power Factor Correction'!B$26*'Power Factor Correction'!B$27)/(365*24))*'PFC Calculations'!$I$6*'Power Factor Correction'!B$25),0)),0)</f>
        <v>0</v>
      </c>
      <c r="C74" s="179">
        <f>IF(AND($A74&gt;='Power Factor Correction'!C$11,$A74&lt;='Power Factor Correction'!C$12),IF('Power Factor Correction'!C99&gt;0,('Power Factor Correction'!C$23*'PFC Calculations'!$I$3)-'PFC Calculations'!L74,IF('Power Factor Correction'!C$25*'Power Factor Correction'!C$26*'Power Factor Correction'!C$27&gt;0,((('Power Factor Correction'!C$26*'Power Factor Correction'!C$27)/(365*24))*'PFC Calculations'!$I$6*'Power Factor Correction'!C$25),0)),0)</f>
        <v>0</v>
      </c>
      <c r="D74" s="179">
        <f>IF(AND($A74&gt;='Power Factor Correction'!D$11,$A74&lt;='Power Factor Correction'!D$12),IF('Power Factor Correction'!D99&gt;0,('Power Factor Correction'!D$23*'PFC Calculations'!$I$3)-'PFC Calculations'!M74,IF('Power Factor Correction'!D$25*'Power Factor Correction'!D$26*'Power Factor Correction'!D$27&gt;0,((('Power Factor Correction'!D$26*'Power Factor Correction'!D$27)/(365*24))*'PFC Calculations'!$I$6*'Power Factor Correction'!D$25),0)),0)</f>
        <v>0</v>
      </c>
      <c r="E74" s="179">
        <f>IF(AND($A74&gt;='Power Factor Correction'!E$11,$A74&lt;='Power Factor Correction'!E$12),IF('Power Factor Correction'!E99&gt;0,('Power Factor Correction'!E$23*'PFC Calculations'!$I$3)-'PFC Calculations'!N74,IF('Power Factor Correction'!E$25*'Power Factor Correction'!E$26*'Power Factor Correction'!E$27&gt;0,((('Power Factor Correction'!E$26*'Power Factor Correction'!E$27)/(365*24))*'PFC Calculations'!$I$6*'Power Factor Correction'!E$25),0)),0)</f>
        <v>0</v>
      </c>
      <c r="F74" s="179">
        <f>IF(AND($A74&gt;='Power Factor Correction'!F$11,$A74&lt;='Power Factor Correction'!F$12),IF('Power Factor Correction'!F99&gt;0,('Power Factor Correction'!F$23*'PFC Calculations'!$I$3)-'PFC Calculations'!O74,IF('Power Factor Correction'!F$25*'Power Factor Correction'!F$26*'Power Factor Correction'!F$27&gt;0,((('Power Factor Correction'!F$26*'Power Factor Correction'!F$27)/(365*24))*'PFC Calculations'!$I$6*'Power Factor Correction'!F$25),0)),0)</f>
        <v>0</v>
      </c>
      <c r="G74" s="179">
        <f t="shared" si="3"/>
        <v>0</v>
      </c>
      <c r="K74" s="179">
        <f>IF(AND($A74&gt;='Power Factor Correction'!B$11,$A74&lt;='Power Factor Correction'!B$12),IF('Power Factor Correction'!B$31&gt;0,'Data Entry Electricity'!$F75*'PFC Calculations'!$I$3*(TAN(ACOS('Power Factor Correction'!B$31))),IF('Power Factor Correction'!B$46&gt;0,'Power Factor Correction'!B$46*'PFC Calculations'!$I$3,0)),0)</f>
        <v>0</v>
      </c>
      <c r="L74" s="179">
        <f>IF(AND($A74&gt;='Power Factor Correction'!C$11,$A74&lt;='Power Factor Correction'!C$12),IF('Power Factor Correction'!C$31&gt;0,'Data Entry Electricity'!$F75*'PFC Calculations'!$I$3*(TAN(ACOS('Power Factor Correction'!C$31))),IF('Power Factor Correction'!C$46&gt;0,'Power Factor Correction'!C$46*'PFC Calculations'!$I$3,0)),0)</f>
        <v>0</v>
      </c>
      <c r="M74" s="179">
        <f>IF(AND($A74&gt;='Power Factor Correction'!D$11,$A74&lt;='Power Factor Correction'!D$12),IF('Power Factor Correction'!D$31&gt;0,'Data Entry Electricity'!$F75*'PFC Calculations'!$I$3*(TAN(ACOS('Power Factor Correction'!D$31))),IF('Power Factor Correction'!D$46&gt;0,'Power Factor Correction'!D$46*'PFC Calculations'!$I$3,0)),0)</f>
        <v>0</v>
      </c>
      <c r="N74" s="179">
        <f>IF(AND($A74&gt;='Power Factor Correction'!E$11,$A74&lt;='Power Factor Correction'!E$12),IF('Power Factor Correction'!E$31&gt;0,'Data Entry Electricity'!$F75*'PFC Calculations'!$I$3*(TAN(ACOS('Power Factor Correction'!E$31))),IF('Power Factor Correction'!E$46&gt;0,'Power Factor Correction'!E$46*'PFC Calculations'!$I$3,0)),0)</f>
        <v>0</v>
      </c>
      <c r="O74" s="179">
        <f>IF(AND($A74&gt;='Power Factor Correction'!F$11,$A74&lt;='Power Factor Correction'!F$12),IF('Power Factor Correction'!F$31&gt;0,'Data Entry Electricity'!$F75*'PFC Calculations'!$I$3*(TAN(ACOS('Power Factor Correction'!F$31))),IF('Power Factor Correction'!F$46&gt;0,'Power Factor Correction'!F$46*'PFC Calculations'!$I$3,0)),0)</f>
        <v>0</v>
      </c>
      <c r="P74" s="179">
        <f t="shared" si="4"/>
        <v>0</v>
      </c>
    </row>
    <row r="75" spans="1:16">
      <c r="A75" s="179" t="s">
        <v>83</v>
      </c>
      <c r="B75" s="179">
        <f>IF(AND($A75&gt;='Power Factor Correction'!B$11,$A75&lt;='Power Factor Correction'!B$12),IF('Power Factor Correction'!B100&gt;0,('Power Factor Correction'!B$23*'PFC Calculations'!$I$3)-'PFC Calculations'!K75,IF('Power Factor Correction'!B$25*'Power Factor Correction'!B$26*'Power Factor Correction'!B$27&gt;0,((('Power Factor Correction'!B$26*'Power Factor Correction'!B$27)/(365*24))*'PFC Calculations'!$I$6*'Power Factor Correction'!B$25),0)),0)</f>
        <v>0</v>
      </c>
      <c r="C75" s="179">
        <f>IF(AND($A75&gt;='Power Factor Correction'!C$11,$A75&lt;='Power Factor Correction'!C$12),IF('Power Factor Correction'!C100&gt;0,('Power Factor Correction'!C$23*'PFC Calculations'!$I$3)-'PFC Calculations'!L75,IF('Power Factor Correction'!C$25*'Power Factor Correction'!C$26*'Power Factor Correction'!C$27&gt;0,((('Power Factor Correction'!C$26*'Power Factor Correction'!C$27)/(365*24))*'PFC Calculations'!$I$6*'Power Factor Correction'!C$25),0)),0)</f>
        <v>0</v>
      </c>
      <c r="D75" s="179">
        <f>IF(AND($A75&gt;='Power Factor Correction'!D$11,$A75&lt;='Power Factor Correction'!D$12),IF('Power Factor Correction'!D100&gt;0,('Power Factor Correction'!D$23*'PFC Calculations'!$I$3)-'PFC Calculations'!M75,IF('Power Factor Correction'!D$25*'Power Factor Correction'!D$26*'Power Factor Correction'!D$27&gt;0,((('Power Factor Correction'!D$26*'Power Factor Correction'!D$27)/(365*24))*'PFC Calculations'!$I$6*'Power Factor Correction'!D$25),0)),0)</f>
        <v>0</v>
      </c>
      <c r="E75" s="179">
        <f>IF(AND($A75&gt;='Power Factor Correction'!E$11,$A75&lt;='Power Factor Correction'!E$12),IF('Power Factor Correction'!E100&gt;0,('Power Factor Correction'!E$23*'PFC Calculations'!$I$3)-'PFC Calculations'!N75,IF('Power Factor Correction'!E$25*'Power Factor Correction'!E$26*'Power Factor Correction'!E$27&gt;0,((('Power Factor Correction'!E$26*'Power Factor Correction'!E$27)/(365*24))*'PFC Calculations'!$I$6*'Power Factor Correction'!E$25),0)),0)</f>
        <v>0</v>
      </c>
      <c r="F75" s="179">
        <f>IF(AND($A75&gt;='Power Factor Correction'!F$11,$A75&lt;='Power Factor Correction'!F$12),IF('Power Factor Correction'!F100&gt;0,('Power Factor Correction'!F$23*'PFC Calculations'!$I$3)-'PFC Calculations'!O75,IF('Power Factor Correction'!F$25*'Power Factor Correction'!F$26*'Power Factor Correction'!F$27&gt;0,((('Power Factor Correction'!F$26*'Power Factor Correction'!F$27)/(365*24))*'PFC Calculations'!$I$6*'Power Factor Correction'!F$25),0)),0)</f>
        <v>0</v>
      </c>
      <c r="G75" s="179">
        <f t="shared" si="3"/>
        <v>0</v>
      </c>
      <c r="K75" s="179">
        <f>IF(AND($A75&gt;='Power Factor Correction'!B$11,$A75&lt;='Power Factor Correction'!B$12),IF('Power Factor Correction'!B$31&gt;0,'Data Entry Electricity'!$F76*'PFC Calculations'!$I$3*(TAN(ACOS('Power Factor Correction'!B$31))),IF('Power Factor Correction'!B$46&gt;0,'Power Factor Correction'!B$46*'PFC Calculations'!$I$3,0)),0)</f>
        <v>0</v>
      </c>
      <c r="L75" s="179">
        <f>IF(AND($A75&gt;='Power Factor Correction'!C$11,$A75&lt;='Power Factor Correction'!C$12),IF('Power Factor Correction'!C$31&gt;0,'Data Entry Electricity'!$F76*'PFC Calculations'!$I$3*(TAN(ACOS('Power Factor Correction'!C$31))),IF('Power Factor Correction'!C$46&gt;0,'Power Factor Correction'!C$46*'PFC Calculations'!$I$3,0)),0)</f>
        <v>0</v>
      </c>
      <c r="M75" s="179">
        <f>IF(AND($A75&gt;='Power Factor Correction'!D$11,$A75&lt;='Power Factor Correction'!D$12),IF('Power Factor Correction'!D$31&gt;0,'Data Entry Electricity'!$F76*'PFC Calculations'!$I$3*(TAN(ACOS('Power Factor Correction'!D$31))),IF('Power Factor Correction'!D$46&gt;0,'Power Factor Correction'!D$46*'PFC Calculations'!$I$3,0)),0)</f>
        <v>0</v>
      </c>
      <c r="N75" s="179">
        <f>IF(AND($A75&gt;='Power Factor Correction'!E$11,$A75&lt;='Power Factor Correction'!E$12),IF('Power Factor Correction'!E$31&gt;0,'Data Entry Electricity'!$F76*'PFC Calculations'!$I$3*(TAN(ACOS('Power Factor Correction'!E$31))),IF('Power Factor Correction'!E$46&gt;0,'Power Factor Correction'!E$46*'PFC Calculations'!$I$3,0)),0)</f>
        <v>0</v>
      </c>
      <c r="O75" s="179">
        <f>IF(AND($A75&gt;='Power Factor Correction'!F$11,$A75&lt;='Power Factor Correction'!F$12),IF('Power Factor Correction'!F$31&gt;0,'Data Entry Electricity'!$F76*'PFC Calculations'!$I$3*(TAN(ACOS('Power Factor Correction'!F$31))),IF('Power Factor Correction'!F$46&gt;0,'Power Factor Correction'!F$46*'PFC Calculations'!$I$3,0)),0)</f>
        <v>0</v>
      </c>
      <c r="P75" s="179">
        <f t="shared" si="4"/>
        <v>0</v>
      </c>
    </row>
    <row r="76" spans="1:16">
      <c r="A76" s="179" t="s">
        <v>84</v>
      </c>
      <c r="B76" s="179">
        <f>IF(AND($A76&gt;='Power Factor Correction'!B$11,$A76&lt;='Power Factor Correction'!B$12),IF('Power Factor Correction'!B101&gt;0,('Power Factor Correction'!B$23*'PFC Calculations'!$I$3)-'PFC Calculations'!K76,IF('Power Factor Correction'!B$25*'Power Factor Correction'!B$26*'Power Factor Correction'!B$27&gt;0,((('Power Factor Correction'!B$26*'Power Factor Correction'!B$27)/(365*24))*'PFC Calculations'!$I$6*'Power Factor Correction'!B$25),0)),0)</f>
        <v>0</v>
      </c>
      <c r="C76" s="179">
        <f>IF(AND($A76&gt;='Power Factor Correction'!C$11,$A76&lt;='Power Factor Correction'!C$12),IF('Power Factor Correction'!C101&gt;0,('Power Factor Correction'!C$23*'PFC Calculations'!$I$3)-'PFC Calculations'!L76,IF('Power Factor Correction'!C$25*'Power Factor Correction'!C$26*'Power Factor Correction'!C$27&gt;0,((('Power Factor Correction'!C$26*'Power Factor Correction'!C$27)/(365*24))*'PFC Calculations'!$I$6*'Power Factor Correction'!C$25),0)),0)</f>
        <v>0</v>
      </c>
      <c r="D76" s="179">
        <f>IF(AND($A76&gt;='Power Factor Correction'!D$11,$A76&lt;='Power Factor Correction'!D$12),IF('Power Factor Correction'!D101&gt;0,('Power Factor Correction'!D$23*'PFC Calculations'!$I$3)-'PFC Calculations'!M76,IF('Power Factor Correction'!D$25*'Power Factor Correction'!D$26*'Power Factor Correction'!D$27&gt;0,((('Power Factor Correction'!D$26*'Power Factor Correction'!D$27)/(365*24))*'PFC Calculations'!$I$6*'Power Factor Correction'!D$25),0)),0)</f>
        <v>0</v>
      </c>
      <c r="E76" s="179">
        <f>IF(AND($A76&gt;='Power Factor Correction'!E$11,$A76&lt;='Power Factor Correction'!E$12),IF('Power Factor Correction'!E101&gt;0,('Power Factor Correction'!E$23*'PFC Calculations'!$I$3)-'PFC Calculations'!N76,IF('Power Factor Correction'!E$25*'Power Factor Correction'!E$26*'Power Factor Correction'!E$27&gt;0,((('Power Factor Correction'!E$26*'Power Factor Correction'!E$27)/(365*24))*'PFC Calculations'!$I$6*'Power Factor Correction'!E$25),0)),0)</f>
        <v>0</v>
      </c>
      <c r="F76" s="179">
        <f>IF(AND($A76&gt;='Power Factor Correction'!F$11,$A76&lt;='Power Factor Correction'!F$12),IF('Power Factor Correction'!F101&gt;0,('Power Factor Correction'!F$23*'PFC Calculations'!$I$3)-'PFC Calculations'!O76,IF('Power Factor Correction'!F$25*'Power Factor Correction'!F$26*'Power Factor Correction'!F$27&gt;0,((('Power Factor Correction'!F$26*'Power Factor Correction'!F$27)/(365*24))*'PFC Calculations'!$I$6*'Power Factor Correction'!F$25),0)),0)</f>
        <v>0</v>
      </c>
      <c r="G76" s="179">
        <f t="shared" si="3"/>
        <v>0</v>
      </c>
      <c r="K76" s="179">
        <f>IF(AND($A76&gt;='Power Factor Correction'!B$11,$A76&lt;='Power Factor Correction'!B$12),IF('Power Factor Correction'!B$31&gt;0,'Data Entry Electricity'!$F77*'PFC Calculations'!$I$3*(TAN(ACOS('Power Factor Correction'!B$31))),IF('Power Factor Correction'!B$46&gt;0,'Power Factor Correction'!B$46*'PFC Calculations'!$I$3,0)),0)</f>
        <v>0</v>
      </c>
      <c r="L76" s="179">
        <f>IF(AND($A76&gt;='Power Factor Correction'!C$11,$A76&lt;='Power Factor Correction'!C$12),IF('Power Factor Correction'!C$31&gt;0,'Data Entry Electricity'!$F77*'PFC Calculations'!$I$3*(TAN(ACOS('Power Factor Correction'!C$31))),IF('Power Factor Correction'!C$46&gt;0,'Power Factor Correction'!C$46*'PFC Calculations'!$I$3,0)),0)</f>
        <v>0</v>
      </c>
      <c r="M76" s="179">
        <f>IF(AND($A76&gt;='Power Factor Correction'!D$11,$A76&lt;='Power Factor Correction'!D$12),IF('Power Factor Correction'!D$31&gt;0,'Data Entry Electricity'!$F77*'PFC Calculations'!$I$3*(TAN(ACOS('Power Factor Correction'!D$31))),IF('Power Factor Correction'!D$46&gt;0,'Power Factor Correction'!D$46*'PFC Calculations'!$I$3,0)),0)</f>
        <v>0</v>
      </c>
      <c r="N76" s="179">
        <f>IF(AND($A76&gt;='Power Factor Correction'!E$11,$A76&lt;='Power Factor Correction'!E$12),IF('Power Factor Correction'!E$31&gt;0,'Data Entry Electricity'!$F77*'PFC Calculations'!$I$3*(TAN(ACOS('Power Factor Correction'!E$31))),IF('Power Factor Correction'!E$46&gt;0,'Power Factor Correction'!E$46*'PFC Calculations'!$I$3,0)),0)</f>
        <v>0</v>
      </c>
      <c r="O76" s="179">
        <f>IF(AND($A76&gt;='Power Factor Correction'!F$11,$A76&lt;='Power Factor Correction'!F$12),IF('Power Factor Correction'!F$31&gt;0,'Data Entry Electricity'!$F77*'PFC Calculations'!$I$3*(TAN(ACOS('Power Factor Correction'!F$31))),IF('Power Factor Correction'!F$46&gt;0,'Power Factor Correction'!F$46*'PFC Calculations'!$I$3,0)),0)</f>
        <v>0</v>
      </c>
      <c r="P76" s="179">
        <f t="shared" si="4"/>
        <v>0</v>
      </c>
    </row>
    <row r="77" spans="1:16">
      <c r="A77" s="179" t="s">
        <v>16</v>
      </c>
      <c r="B77" s="179">
        <f>IF(AND($A77&gt;='Power Factor Correction'!B$11,$A77&lt;='Power Factor Correction'!B$12),IF('Power Factor Correction'!B102&gt;0,('Power Factor Correction'!B$23*'PFC Calculations'!$I$3)-'PFC Calculations'!K77,IF('Power Factor Correction'!B$25*'Power Factor Correction'!B$26*'Power Factor Correction'!B$27&gt;0,((('Power Factor Correction'!B$26*'Power Factor Correction'!B$27)/(365*24))*'PFC Calculations'!$I$6*'Power Factor Correction'!B$25),0)),0)</f>
        <v>0</v>
      </c>
      <c r="C77" s="179">
        <f>IF(AND($A77&gt;='Power Factor Correction'!C$11,$A77&lt;='Power Factor Correction'!C$12),IF('Power Factor Correction'!C102&gt;0,('Power Factor Correction'!C$23*'PFC Calculations'!$I$3)-'PFC Calculations'!L77,IF('Power Factor Correction'!C$25*'Power Factor Correction'!C$26*'Power Factor Correction'!C$27&gt;0,((('Power Factor Correction'!C$26*'Power Factor Correction'!C$27)/(365*24))*'PFC Calculations'!$I$6*'Power Factor Correction'!C$25),0)),0)</f>
        <v>0</v>
      </c>
      <c r="D77" s="179">
        <f>IF(AND($A77&gt;='Power Factor Correction'!D$11,$A77&lt;='Power Factor Correction'!D$12),IF('Power Factor Correction'!D102&gt;0,('Power Factor Correction'!D$23*'PFC Calculations'!$I$3)-'PFC Calculations'!M77,IF('Power Factor Correction'!D$25*'Power Factor Correction'!D$26*'Power Factor Correction'!D$27&gt;0,((('Power Factor Correction'!D$26*'Power Factor Correction'!D$27)/(365*24))*'PFC Calculations'!$I$6*'Power Factor Correction'!D$25),0)),0)</f>
        <v>0</v>
      </c>
      <c r="E77" s="179">
        <f>IF(AND($A77&gt;='Power Factor Correction'!E$11,$A77&lt;='Power Factor Correction'!E$12),IF('Power Factor Correction'!E102&gt;0,('Power Factor Correction'!E$23*'PFC Calculations'!$I$3)-'PFC Calculations'!N77,IF('Power Factor Correction'!E$25*'Power Factor Correction'!E$26*'Power Factor Correction'!E$27&gt;0,((('Power Factor Correction'!E$26*'Power Factor Correction'!E$27)/(365*24))*'PFC Calculations'!$I$6*'Power Factor Correction'!E$25),0)),0)</f>
        <v>0</v>
      </c>
      <c r="F77" s="179">
        <f>IF(AND($A77&gt;='Power Factor Correction'!F$11,$A77&lt;='Power Factor Correction'!F$12),IF('Power Factor Correction'!F102&gt;0,('Power Factor Correction'!F$23*'PFC Calculations'!$I$3)-'PFC Calculations'!O77,IF('Power Factor Correction'!F$25*'Power Factor Correction'!F$26*'Power Factor Correction'!F$27&gt;0,((('Power Factor Correction'!F$26*'Power Factor Correction'!F$27)/(365*24))*'PFC Calculations'!$I$6*'Power Factor Correction'!F$25),0)),0)</f>
        <v>0</v>
      </c>
      <c r="G77" s="179">
        <f t="shared" si="3"/>
        <v>0</v>
      </c>
      <c r="K77" s="179">
        <f>IF(AND($A77&gt;='Power Factor Correction'!B$11,$A77&lt;='Power Factor Correction'!B$12),IF('Power Factor Correction'!B$31&gt;0,'Data Entry Electricity'!$F78*'PFC Calculations'!$I$3*(TAN(ACOS('Power Factor Correction'!B$31))),IF('Power Factor Correction'!B$46&gt;0,'Power Factor Correction'!B$46*'PFC Calculations'!$I$3,0)),0)</f>
        <v>0</v>
      </c>
      <c r="L77" s="179">
        <f>IF(AND($A77&gt;='Power Factor Correction'!C$11,$A77&lt;='Power Factor Correction'!C$12),IF('Power Factor Correction'!C$31&gt;0,'Data Entry Electricity'!$F78*'PFC Calculations'!$I$3*(TAN(ACOS('Power Factor Correction'!C$31))),IF('Power Factor Correction'!C$46&gt;0,'Power Factor Correction'!C$46*'PFC Calculations'!$I$3,0)),0)</f>
        <v>0</v>
      </c>
      <c r="M77" s="179">
        <f>IF(AND($A77&gt;='Power Factor Correction'!D$11,$A77&lt;='Power Factor Correction'!D$12),IF('Power Factor Correction'!D$31&gt;0,'Data Entry Electricity'!$F78*'PFC Calculations'!$I$3*(TAN(ACOS('Power Factor Correction'!D$31))),IF('Power Factor Correction'!D$46&gt;0,'Power Factor Correction'!D$46*'PFC Calculations'!$I$3,0)),0)</f>
        <v>0</v>
      </c>
      <c r="N77" s="179">
        <f>IF(AND($A77&gt;='Power Factor Correction'!E$11,$A77&lt;='Power Factor Correction'!E$12),IF('Power Factor Correction'!E$31&gt;0,'Data Entry Electricity'!$F78*'PFC Calculations'!$I$3*(TAN(ACOS('Power Factor Correction'!E$31))),IF('Power Factor Correction'!E$46&gt;0,'Power Factor Correction'!E$46*'PFC Calculations'!$I$3,0)),0)</f>
        <v>0</v>
      </c>
      <c r="O77" s="179">
        <f>IF(AND($A77&gt;='Power Factor Correction'!F$11,$A77&lt;='Power Factor Correction'!F$12),IF('Power Factor Correction'!F$31&gt;0,'Data Entry Electricity'!$F78*'PFC Calculations'!$I$3*(TAN(ACOS('Power Factor Correction'!F$31))),IF('Power Factor Correction'!F$46&gt;0,'Power Factor Correction'!F$46*'PFC Calculations'!$I$3,0)),0)</f>
        <v>0</v>
      </c>
      <c r="P77" s="179">
        <f t="shared" si="4"/>
        <v>0</v>
      </c>
    </row>
    <row r="78" spans="1:16">
      <c r="A78" s="179" t="s">
        <v>17</v>
      </c>
      <c r="B78" s="179">
        <f>IF(AND($A78&gt;='Power Factor Correction'!B$11,$A78&lt;='Power Factor Correction'!B$12),IF('Power Factor Correction'!B103&gt;0,('Power Factor Correction'!B$23*'PFC Calculations'!$I$3)-'PFC Calculations'!K78,IF('Power Factor Correction'!B$25*'Power Factor Correction'!B$26*'Power Factor Correction'!B$27&gt;0,((('Power Factor Correction'!B$26*'Power Factor Correction'!B$27)/(365*24))*'PFC Calculations'!$I$6*'Power Factor Correction'!B$25),0)),0)</f>
        <v>0</v>
      </c>
      <c r="C78" s="179">
        <f>IF(AND($A78&gt;='Power Factor Correction'!C$11,$A78&lt;='Power Factor Correction'!C$12),IF('Power Factor Correction'!C103&gt;0,('Power Factor Correction'!C$23*'PFC Calculations'!$I$3)-'PFC Calculations'!L78,IF('Power Factor Correction'!C$25*'Power Factor Correction'!C$26*'Power Factor Correction'!C$27&gt;0,((('Power Factor Correction'!C$26*'Power Factor Correction'!C$27)/(365*24))*'PFC Calculations'!$I$6*'Power Factor Correction'!C$25),0)),0)</f>
        <v>0</v>
      </c>
      <c r="D78" s="179">
        <f>IF(AND($A78&gt;='Power Factor Correction'!D$11,$A78&lt;='Power Factor Correction'!D$12),IF('Power Factor Correction'!D103&gt;0,('Power Factor Correction'!D$23*'PFC Calculations'!$I$3)-'PFC Calculations'!M78,IF('Power Factor Correction'!D$25*'Power Factor Correction'!D$26*'Power Factor Correction'!D$27&gt;0,((('Power Factor Correction'!D$26*'Power Factor Correction'!D$27)/(365*24))*'PFC Calculations'!$I$6*'Power Factor Correction'!D$25),0)),0)</f>
        <v>0</v>
      </c>
      <c r="E78" s="179">
        <f>IF(AND($A78&gt;='Power Factor Correction'!E$11,$A78&lt;='Power Factor Correction'!E$12),IF('Power Factor Correction'!E103&gt;0,('Power Factor Correction'!E$23*'PFC Calculations'!$I$3)-'PFC Calculations'!N78,IF('Power Factor Correction'!E$25*'Power Factor Correction'!E$26*'Power Factor Correction'!E$27&gt;0,((('Power Factor Correction'!E$26*'Power Factor Correction'!E$27)/(365*24))*'PFC Calculations'!$I$6*'Power Factor Correction'!E$25),0)),0)</f>
        <v>0</v>
      </c>
      <c r="F78" s="179">
        <f>IF(AND($A78&gt;='Power Factor Correction'!F$11,$A78&lt;='Power Factor Correction'!F$12),IF('Power Factor Correction'!F103&gt;0,('Power Factor Correction'!F$23*'PFC Calculations'!$I$3)-'PFC Calculations'!O78,IF('Power Factor Correction'!F$25*'Power Factor Correction'!F$26*'Power Factor Correction'!F$27&gt;0,((('Power Factor Correction'!F$26*'Power Factor Correction'!F$27)/(365*24))*'PFC Calculations'!$I$6*'Power Factor Correction'!F$25),0)),0)</f>
        <v>0</v>
      </c>
      <c r="G78" s="179">
        <f t="shared" si="3"/>
        <v>0</v>
      </c>
      <c r="K78" s="179">
        <f>IF(AND($A78&gt;='Power Factor Correction'!B$11,$A78&lt;='Power Factor Correction'!B$12),IF('Power Factor Correction'!B$31&gt;0,'Data Entry Electricity'!$F79*'PFC Calculations'!$I$3*(TAN(ACOS('Power Factor Correction'!B$31))),IF('Power Factor Correction'!B$46&gt;0,'Power Factor Correction'!B$46*'PFC Calculations'!$I$3,0)),0)</f>
        <v>0</v>
      </c>
      <c r="L78" s="179">
        <f>IF(AND($A78&gt;='Power Factor Correction'!C$11,$A78&lt;='Power Factor Correction'!C$12),IF('Power Factor Correction'!C$31&gt;0,'Data Entry Electricity'!$F79*'PFC Calculations'!$I$3*(TAN(ACOS('Power Factor Correction'!C$31))),IF('Power Factor Correction'!C$46&gt;0,'Power Factor Correction'!C$46*'PFC Calculations'!$I$3,0)),0)</f>
        <v>0</v>
      </c>
      <c r="M78" s="179">
        <f>IF(AND($A78&gt;='Power Factor Correction'!D$11,$A78&lt;='Power Factor Correction'!D$12),IF('Power Factor Correction'!D$31&gt;0,'Data Entry Electricity'!$F79*'PFC Calculations'!$I$3*(TAN(ACOS('Power Factor Correction'!D$31))),IF('Power Factor Correction'!D$46&gt;0,'Power Factor Correction'!D$46*'PFC Calculations'!$I$3,0)),0)</f>
        <v>0</v>
      </c>
      <c r="N78" s="179">
        <f>IF(AND($A78&gt;='Power Factor Correction'!E$11,$A78&lt;='Power Factor Correction'!E$12),IF('Power Factor Correction'!E$31&gt;0,'Data Entry Electricity'!$F79*'PFC Calculations'!$I$3*(TAN(ACOS('Power Factor Correction'!E$31))),IF('Power Factor Correction'!E$46&gt;0,'Power Factor Correction'!E$46*'PFC Calculations'!$I$3,0)),0)</f>
        <v>0</v>
      </c>
      <c r="O78" s="179">
        <f>IF(AND($A78&gt;='Power Factor Correction'!F$11,$A78&lt;='Power Factor Correction'!F$12),IF('Power Factor Correction'!F$31&gt;0,'Data Entry Electricity'!$F79*'PFC Calculations'!$I$3*(TAN(ACOS('Power Factor Correction'!F$31))),IF('Power Factor Correction'!F$46&gt;0,'Power Factor Correction'!F$46*'PFC Calculations'!$I$3,0)),0)</f>
        <v>0</v>
      </c>
      <c r="P78" s="179">
        <f t="shared" si="4"/>
        <v>0</v>
      </c>
    </row>
    <row r="79" spans="1:16">
      <c r="A79" s="179" t="s">
        <v>18</v>
      </c>
      <c r="B79" s="179">
        <f>IF(AND($A79&gt;='Power Factor Correction'!B$11,$A79&lt;='Power Factor Correction'!B$12),IF('Power Factor Correction'!B104&gt;0,('Power Factor Correction'!B$23*'PFC Calculations'!$I$3)-'PFC Calculations'!K79,IF('Power Factor Correction'!B$25*'Power Factor Correction'!B$26*'Power Factor Correction'!B$27&gt;0,((('Power Factor Correction'!B$26*'Power Factor Correction'!B$27)/(365*24))*'PFC Calculations'!$I$6*'Power Factor Correction'!B$25),0)),0)</f>
        <v>0</v>
      </c>
      <c r="C79" s="179">
        <f>IF(AND($A79&gt;='Power Factor Correction'!C$11,$A79&lt;='Power Factor Correction'!C$12),IF('Power Factor Correction'!C104&gt;0,('Power Factor Correction'!C$23*'PFC Calculations'!$I$3)-'PFC Calculations'!L79,IF('Power Factor Correction'!C$25*'Power Factor Correction'!C$26*'Power Factor Correction'!C$27&gt;0,((('Power Factor Correction'!C$26*'Power Factor Correction'!C$27)/(365*24))*'PFC Calculations'!$I$6*'Power Factor Correction'!C$25),0)),0)</f>
        <v>0</v>
      </c>
      <c r="D79" s="179">
        <f>IF(AND($A79&gt;='Power Factor Correction'!D$11,$A79&lt;='Power Factor Correction'!D$12),IF('Power Factor Correction'!D104&gt;0,('Power Factor Correction'!D$23*'PFC Calculations'!$I$3)-'PFC Calculations'!M79,IF('Power Factor Correction'!D$25*'Power Factor Correction'!D$26*'Power Factor Correction'!D$27&gt;0,((('Power Factor Correction'!D$26*'Power Factor Correction'!D$27)/(365*24))*'PFC Calculations'!$I$6*'Power Factor Correction'!D$25),0)),0)</f>
        <v>0</v>
      </c>
      <c r="E79" s="179">
        <f>IF(AND($A79&gt;='Power Factor Correction'!E$11,$A79&lt;='Power Factor Correction'!E$12),IF('Power Factor Correction'!E104&gt;0,('Power Factor Correction'!E$23*'PFC Calculations'!$I$3)-'PFC Calculations'!N79,IF('Power Factor Correction'!E$25*'Power Factor Correction'!E$26*'Power Factor Correction'!E$27&gt;0,((('Power Factor Correction'!E$26*'Power Factor Correction'!E$27)/(365*24))*'PFC Calculations'!$I$6*'Power Factor Correction'!E$25),0)),0)</f>
        <v>0</v>
      </c>
      <c r="F79" s="179">
        <f>IF(AND($A79&gt;='Power Factor Correction'!F$11,$A79&lt;='Power Factor Correction'!F$12),IF('Power Factor Correction'!F104&gt;0,('Power Factor Correction'!F$23*'PFC Calculations'!$I$3)-'PFC Calculations'!O79,IF('Power Factor Correction'!F$25*'Power Factor Correction'!F$26*'Power Factor Correction'!F$27&gt;0,((('Power Factor Correction'!F$26*'Power Factor Correction'!F$27)/(365*24))*'PFC Calculations'!$I$6*'Power Factor Correction'!F$25),0)),0)</f>
        <v>0</v>
      </c>
      <c r="G79" s="179">
        <f t="shared" si="3"/>
        <v>0</v>
      </c>
      <c r="K79" s="179">
        <f>IF(AND($A79&gt;='Power Factor Correction'!B$11,$A79&lt;='Power Factor Correction'!B$12),IF('Power Factor Correction'!B$31&gt;0,'Data Entry Electricity'!$F80*'PFC Calculations'!$I$3*(TAN(ACOS('Power Factor Correction'!B$31))),IF('Power Factor Correction'!B$46&gt;0,'Power Factor Correction'!B$46*'PFC Calculations'!$I$3,0)),0)</f>
        <v>0</v>
      </c>
      <c r="L79" s="179">
        <f>IF(AND($A79&gt;='Power Factor Correction'!C$11,$A79&lt;='Power Factor Correction'!C$12),IF('Power Factor Correction'!C$31&gt;0,'Data Entry Electricity'!$F80*'PFC Calculations'!$I$3*(TAN(ACOS('Power Factor Correction'!C$31))),IF('Power Factor Correction'!C$46&gt;0,'Power Factor Correction'!C$46*'PFC Calculations'!$I$3,0)),0)</f>
        <v>0</v>
      </c>
      <c r="M79" s="179">
        <f>IF(AND($A79&gt;='Power Factor Correction'!D$11,$A79&lt;='Power Factor Correction'!D$12),IF('Power Factor Correction'!D$31&gt;0,'Data Entry Electricity'!$F80*'PFC Calculations'!$I$3*(TAN(ACOS('Power Factor Correction'!D$31))),IF('Power Factor Correction'!D$46&gt;0,'Power Factor Correction'!D$46*'PFC Calculations'!$I$3,0)),0)</f>
        <v>0</v>
      </c>
      <c r="N79" s="179">
        <f>IF(AND($A79&gt;='Power Factor Correction'!E$11,$A79&lt;='Power Factor Correction'!E$12),IF('Power Factor Correction'!E$31&gt;0,'Data Entry Electricity'!$F80*'PFC Calculations'!$I$3*(TAN(ACOS('Power Factor Correction'!E$31))),IF('Power Factor Correction'!E$46&gt;0,'Power Factor Correction'!E$46*'PFC Calculations'!$I$3,0)),0)</f>
        <v>0</v>
      </c>
      <c r="O79" s="179">
        <f>IF(AND($A79&gt;='Power Factor Correction'!F$11,$A79&lt;='Power Factor Correction'!F$12),IF('Power Factor Correction'!F$31&gt;0,'Data Entry Electricity'!$F80*'PFC Calculations'!$I$3*(TAN(ACOS('Power Factor Correction'!F$31))),IF('Power Factor Correction'!F$46&gt;0,'Power Factor Correction'!F$46*'PFC Calculations'!$I$3,0)),0)</f>
        <v>0</v>
      </c>
      <c r="P79" s="179">
        <f t="shared" si="4"/>
        <v>0</v>
      </c>
    </row>
    <row r="80" spans="1:16">
      <c r="A80" s="179" t="s">
        <v>19</v>
      </c>
      <c r="B80" s="179">
        <f>IF(AND($A80&gt;='Power Factor Correction'!B$11,$A80&lt;='Power Factor Correction'!B$12),IF('Power Factor Correction'!B105&gt;0,('Power Factor Correction'!B$23*'PFC Calculations'!$I$3)-'PFC Calculations'!K80,IF('Power Factor Correction'!B$25*'Power Factor Correction'!B$26*'Power Factor Correction'!B$27&gt;0,((('Power Factor Correction'!B$26*'Power Factor Correction'!B$27)/(365*24))*'PFC Calculations'!$I$6*'Power Factor Correction'!B$25),0)),0)</f>
        <v>0</v>
      </c>
      <c r="C80" s="179">
        <f>IF(AND($A80&gt;='Power Factor Correction'!C$11,$A80&lt;='Power Factor Correction'!C$12),IF('Power Factor Correction'!C105&gt;0,('Power Factor Correction'!C$23*'PFC Calculations'!$I$3)-'PFC Calculations'!L80,IF('Power Factor Correction'!C$25*'Power Factor Correction'!C$26*'Power Factor Correction'!C$27&gt;0,((('Power Factor Correction'!C$26*'Power Factor Correction'!C$27)/(365*24))*'PFC Calculations'!$I$6*'Power Factor Correction'!C$25),0)),0)</f>
        <v>0</v>
      </c>
      <c r="D80" s="179">
        <f>IF(AND($A80&gt;='Power Factor Correction'!D$11,$A80&lt;='Power Factor Correction'!D$12),IF('Power Factor Correction'!D105&gt;0,('Power Factor Correction'!D$23*'PFC Calculations'!$I$3)-'PFC Calculations'!M80,IF('Power Factor Correction'!D$25*'Power Factor Correction'!D$26*'Power Factor Correction'!D$27&gt;0,((('Power Factor Correction'!D$26*'Power Factor Correction'!D$27)/(365*24))*'PFC Calculations'!$I$6*'Power Factor Correction'!D$25),0)),0)</f>
        <v>0</v>
      </c>
      <c r="E80" s="179">
        <f>IF(AND($A80&gt;='Power Factor Correction'!E$11,$A80&lt;='Power Factor Correction'!E$12),IF('Power Factor Correction'!E105&gt;0,('Power Factor Correction'!E$23*'PFC Calculations'!$I$3)-'PFC Calculations'!N80,IF('Power Factor Correction'!E$25*'Power Factor Correction'!E$26*'Power Factor Correction'!E$27&gt;0,((('Power Factor Correction'!E$26*'Power Factor Correction'!E$27)/(365*24))*'PFC Calculations'!$I$6*'Power Factor Correction'!E$25),0)),0)</f>
        <v>0</v>
      </c>
      <c r="F80" s="179">
        <f>IF(AND($A80&gt;='Power Factor Correction'!F$11,$A80&lt;='Power Factor Correction'!F$12),IF('Power Factor Correction'!F105&gt;0,('Power Factor Correction'!F$23*'PFC Calculations'!$I$3)-'PFC Calculations'!O80,IF('Power Factor Correction'!F$25*'Power Factor Correction'!F$26*'Power Factor Correction'!F$27&gt;0,((('Power Factor Correction'!F$26*'Power Factor Correction'!F$27)/(365*24))*'PFC Calculations'!$I$6*'Power Factor Correction'!F$25),0)),0)</f>
        <v>0</v>
      </c>
      <c r="G80" s="179">
        <f t="shared" si="3"/>
        <v>0</v>
      </c>
      <c r="K80" s="179">
        <f>IF(AND($A80&gt;='Power Factor Correction'!B$11,$A80&lt;='Power Factor Correction'!B$12),IF('Power Factor Correction'!B$31&gt;0,'Data Entry Electricity'!$F81*'PFC Calculations'!$I$3*(TAN(ACOS('Power Factor Correction'!B$31))),IF('Power Factor Correction'!B$46&gt;0,'Power Factor Correction'!B$46*'PFC Calculations'!$I$3,0)),0)</f>
        <v>0</v>
      </c>
      <c r="L80" s="179">
        <f>IF(AND($A80&gt;='Power Factor Correction'!C$11,$A80&lt;='Power Factor Correction'!C$12),IF('Power Factor Correction'!C$31&gt;0,'Data Entry Electricity'!$F81*'PFC Calculations'!$I$3*(TAN(ACOS('Power Factor Correction'!C$31))),IF('Power Factor Correction'!C$46&gt;0,'Power Factor Correction'!C$46*'PFC Calculations'!$I$3,0)),0)</f>
        <v>0</v>
      </c>
      <c r="M80" s="179">
        <f>IF(AND($A80&gt;='Power Factor Correction'!D$11,$A80&lt;='Power Factor Correction'!D$12),IF('Power Factor Correction'!D$31&gt;0,'Data Entry Electricity'!$F81*'PFC Calculations'!$I$3*(TAN(ACOS('Power Factor Correction'!D$31))),IF('Power Factor Correction'!D$46&gt;0,'Power Factor Correction'!D$46*'PFC Calculations'!$I$3,0)),0)</f>
        <v>0</v>
      </c>
      <c r="N80" s="179">
        <f>IF(AND($A80&gt;='Power Factor Correction'!E$11,$A80&lt;='Power Factor Correction'!E$12),IF('Power Factor Correction'!E$31&gt;0,'Data Entry Electricity'!$F81*'PFC Calculations'!$I$3*(TAN(ACOS('Power Factor Correction'!E$31))),IF('Power Factor Correction'!E$46&gt;0,'Power Factor Correction'!E$46*'PFC Calculations'!$I$3,0)),0)</f>
        <v>0</v>
      </c>
      <c r="O80" s="179">
        <f>IF(AND($A80&gt;='Power Factor Correction'!F$11,$A80&lt;='Power Factor Correction'!F$12),IF('Power Factor Correction'!F$31&gt;0,'Data Entry Electricity'!$F81*'PFC Calculations'!$I$3*(TAN(ACOS('Power Factor Correction'!F$31))),IF('Power Factor Correction'!F$46&gt;0,'Power Factor Correction'!F$46*'PFC Calculations'!$I$3,0)),0)</f>
        <v>0</v>
      </c>
      <c r="P80" s="179">
        <f t="shared" si="4"/>
        <v>0</v>
      </c>
    </row>
    <row r="81" spans="1:16">
      <c r="A81" s="179" t="s">
        <v>85</v>
      </c>
      <c r="B81" s="179">
        <f>IF(AND($A81&gt;='Power Factor Correction'!B$11,$A81&lt;='Power Factor Correction'!B$12),IF('Power Factor Correction'!B106&gt;0,('Power Factor Correction'!B$23*'PFC Calculations'!$I$3)-'PFC Calculations'!K81,IF('Power Factor Correction'!B$25*'Power Factor Correction'!B$26*'Power Factor Correction'!B$27&gt;0,((('Power Factor Correction'!B$26*'Power Factor Correction'!B$27)/(365*24))*'PFC Calculations'!$I$6*'Power Factor Correction'!B$25),0)),0)</f>
        <v>0</v>
      </c>
      <c r="C81" s="179">
        <f>IF(AND($A81&gt;='Power Factor Correction'!C$11,$A81&lt;='Power Factor Correction'!C$12),IF('Power Factor Correction'!C106&gt;0,('Power Factor Correction'!C$23*'PFC Calculations'!$I$3)-'PFC Calculations'!L81,IF('Power Factor Correction'!C$25*'Power Factor Correction'!C$26*'Power Factor Correction'!C$27&gt;0,((('Power Factor Correction'!C$26*'Power Factor Correction'!C$27)/(365*24))*'PFC Calculations'!$I$6*'Power Factor Correction'!C$25),0)),0)</f>
        <v>0</v>
      </c>
      <c r="D81" s="179">
        <f>IF(AND($A81&gt;='Power Factor Correction'!D$11,$A81&lt;='Power Factor Correction'!D$12),IF('Power Factor Correction'!D106&gt;0,('Power Factor Correction'!D$23*'PFC Calculations'!$I$3)-'PFC Calculations'!M81,IF('Power Factor Correction'!D$25*'Power Factor Correction'!D$26*'Power Factor Correction'!D$27&gt;0,((('Power Factor Correction'!D$26*'Power Factor Correction'!D$27)/(365*24))*'PFC Calculations'!$I$6*'Power Factor Correction'!D$25),0)),0)</f>
        <v>0</v>
      </c>
      <c r="E81" s="179">
        <f>IF(AND($A81&gt;='Power Factor Correction'!E$11,$A81&lt;='Power Factor Correction'!E$12),IF('Power Factor Correction'!E106&gt;0,('Power Factor Correction'!E$23*'PFC Calculations'!$I$3)-'PFC Calculations'!N81,IF('Power Factor Correction'!E$25*'Power Factor Correction'!E$26*'Power Factor Correction'!E$27&gt;0,((('Power Factor Correction'!E$26*'Power Factor Correction'!E$27)/(365*24))*'PFC Calculations'!$I$6*'Power Factor Correction'!E$25),0)),0)</f>
        <v>0</v>
      </c>
      <c r="F81" s="179">
        <f>IF(AND($A81&gt;='Power Factor Correction'!F$11,$A81&lt;='Power Factor Correction'!F$12),IF('Power Factor Correction'!F106&gt;0,('Power Factor Correction'!F$23*'PFC Calculations'!$I$3)-'PFC Calculations'!O81,IF('Power Factor Correction'!F$25*'Power Factor Correction'!F$26*'Power Factor Correction'!F$27&gt;0,((('Power Factor Correction'!F$26*'Power Factor Correction'!F$27)/(365*24))*'PFC Calculations'!$I$6*'Power Factor Correction'!F$25),0)),0)</f>
        <v>0</v>
      </c>
      <c r="G81" s="179">
        <f t="shared" si="3"/>
        <v>0</v>
      </c>
      <c r="K81" s="179">
        <f>IF(AND($A81&gt;='Power Factor Correction'!B$11,$A81&lt;='Power Factor Correction'!B$12),IF('Power Factor Correction'!B$31&gt;0,'Data Entry Electricity'!$F82*'PFC Calculations'!$I$3*(TAN(ACOS('Power Factor Correction'!B$31))),IF('Power Factor Correction'!B$46&gt;0,'Power Factor Correction'!B$46*'PFC Calculations'!$I$3,0)),0)</f>
        <v>0</v>
      </c>
      <c r="L81" s="179">
        <f>IF(AND($A81&gt;='Power Factor Correction'!C$11,$A81&lt;='Power Factor Correction'!C$12),IF('Power Factor Correction'!C$31&gt;0,'Data Entry Electricity'!$F82*'PFC Calculations'!$I$3*(TAN(ACOS('Power Factor Correction'!C$31))),IF('Power Factor Correction'!C$46&gt;0,'Power Factor Correction'!C$46*'PFC Calculations'!$I$3,0)),0)</f>
        <v>0</v>
      </c>
      <c r="M81" s="179">
        <f>IF(AND($A81&gt;='Power Factor Correction'!D$11,$A81&lt;='Power Factor Correction'!D$12),IF('Power Factor Correction'!D$31&gt;0,'Data Entry Electricity'!$F82*'PFC Calculations'!$I$3*(TAN(ACOS('Power Factor Correction'!D$31))),IF('Power Factor Correction'!D$46&gt;0,'Power Factor Correction'!D$46*'PFC Calculations'!$I$3,0)),0)</f>
        <v>0</v>
      </c>
      <c r="N81" s="179">
        <f>IF(AND($A81&gt;='Power Factor Correction'!E$11,$A81&lt;='Power Factor Correction'!E$12),IF('Power Factor Correction'!E$31&gt;0,'Data Entry Electricity'!$F82*'PFC Calculations'!$I$3*(TAN(ACOS('Power Factor Correction'!E$31))),IF('Power Factor Correction'!E$46&gt;0,'Power Factor Correction'!E$46*'PFC Calculations'!$I$3,0)),0)</f>
        <v>0</v>
      </c>
      <c r="O81" s="179">
        <f>IF(AND($A81&gt;='Power Factor Correction'!F$11,$A81&lt;='Power Factor Correction'!F$12),IF('Power Factor Correction'!F$31&gt;0,'Data Entry Electricity'!$F82*'PFC Calculations'!$I$3*(TAN(ACOS('Power Factor Correction'!F$31))),IF('Power Factor Correction'!F$46&gt;0,'Power Factor Correction'!F$46*'PFC Calculations'!$I$3,0)),0)</f>
        <v>0</v>
      </c>
      <c r="P81" s="179">
        <f t="shared" si="4"/>
        <v>0</v>
      </c>
    </row>
    <row r="82" spans="1:16">
      <c r="A82" s="179" t="s">
        <v>86</v>
      </c>
      <c r="B82" s="179">
        <f>IF(AND($A82&gt;='Power Factor Correction'!B$11,$A82&lt;='Power Factor Correction'!B$12),IF('Power Factor Correction'!B107&gt;0,('Power Factor Correction'!B$23*'PFC Calculations'!$I$3)-'PFC Calculations'!K82,IF('Power Factor Correction'!B$25*'Power Factor Correction'!B$26*'Power Factor Correction'!B$27&gt;0,((('Power Factor Correction'!B$26*'Power Factor Correction'!B$27)/(365*24))*'PFC Calculations'!$I$6*'Power Factor Correction'!B$25),0)),0)</f>
        <v>0</v>
      </c>
      <c r="C82" s="179">
        <f>IF(AND($A82&gt;='Power Factor Correction'!C$11,$A82&lt;='Power Factor Correction'!C$12),IF('Power Factor Correction'!C107&gt;0,('Power Factor Correction'!C$23*'PFC Calculations'!$I$3)-'PFC Calculations'!L82,IF('Power Factor Correction'!C$25*'Power Factor Correction'!C$26*'Power Factor Correction'!C$27&gt;0,((('Power Factor Correction'!C$26*'Power Factor Correction'!C$27)/(365*24))*'PFC Calculations'!$I$6*'Power Factor Correction'!C$25),0)),0)</f>
        <v>0</v>
      </c>
      <c r="D82" s="179">
        <f>IF(AND($A82&gt;='Power Factor Correction'!D$11,$A82&lt;='Power Factor Correction'!D$12),IF('Power Factor Correction'!D107&gt;0,('Power Factor Correction'!D$23*'PFC Calculations'!$I$3)-'PFC Calculations'!M82,IF('Power Factor Correction'!D$25*'Power Factor Correction'!D$26*'Power Factor Correction'!D$27&gt;0,((('Power Factor Correction'!D$26*'Power Factor Correction'!D$27)/(365*24))*'PFC Calculations'!$I$6*'Power Factor Correction'!D$25),0)),0)</f>
        <v>0</v>
      </c>
      <c r="E82" s="179">
        <f>IF(AND($A82&gt;='Power Factor Correction'!E$11,$A82&lt;='Power Factor Correction'!E$12),IF('Power Factor Correction'!E107&gt;0,('Power Factor Correction'!E$23*'PFC Calculations'!$I$3)-'PFC Calculations'!N82,IF('Power Factor Correction'!E$25*'Power Factor Correction'!E$26*'Power Factor Correction'!E$27&gt;0,((('Power Factor Correction'!E$26*'Power Factor Correction'!E$27)/(365*24))*'PFC Calculations'!$I$6*'Power Factor Correction'!E$25),0)),0)</f>
        <v>0</v>
      </c>
      <c r="F82" s="179">
        <f>IF(AND($A82&gt;='Power Factor Correction'!F$11,$A82&lt;='Power Factor Correction'!F$12),IF('Power Factor Correction'!F107&gt;0,('Power Factor Correction'!F$23*'PFC Calculations'!$I$3)-'PFC Calculations'!O82,IF('Power Factor Correction'!F$25*'Power Factor Correction'!F$26*'Power Factor Correction'!F$27&gt;0,((('Power Factor Correction'!F$26*'Power Factor Correction'!F$27)/(365*24))*'PFC Calculations'!$I$6*'Power Factor Correction'!F$25),0)),0)</f>
        <v>0</v>
      </c>
      <c r="G82" s="179">
        <f t="shared" si="3"/>
        <v>0</v>
      </c>
      <c r="K82" s="179">
        <f>IF(AND($A82&gt;='Power Factor Correction'!B$11,$A82&lt;='Power Factor Correction'!B$12),IF('Power Factor Correction'!B$31&gt;0,'Data Entry Electricity'!$F83*'PFC Calculations'!$I$3*(TAN(ACOS('Power Factor Correction'!B$31))),IF('Power Factor Correction'!B$46&gt;0,'Power Factor Correction'!B$46*'PFC Calculations'!$I$3,0)),0)</f>
        <v>0</v>
      </c>
      <c r="L82" s="179">
        <f>IF(AND($A82&gt;='Power Factor Correction'!C$11,$A82&lt;='Power Factor Correction'!C$12),IF('Power Factor Correction'!C$31&gt;0,'Data Entry Electricity'!$F83*'PFC Calculations'!$I$3*(TAN(ACOS('Power Factor Correction'!C$31))),IF('Power Factor Correction'!C$46&gt;0,'Power Factor Correction'!C$46*'PFC Calculations'!$I$3,0)),0)</f>
        <v>0</v>
      </c>
      <c r="M82" s="179">
        <f>IF(AND($A82&gt;='Power Factor Correction'!D$11,$A82&lt;='Power Factor Correction'!D$12),IF('Power Factor Correction'!D$31&gt;0,'Data Entry Electricity'!$F83*'PFC Calculations'!$I$3*(TAN(ACOS('Power Factor Correction'!D$31))),IF('Power Factor Correction'!D$46&gt;0,'Power Factor Correction'!D$46*'PFC Calculations'!$I$3,0)),0)</f>
        <v>0</v>
      </c>
      <c r="N82" s="179">
        <f>IF(AND($A82&gt;='Power Factor Correction'!E$11,$A82&lt;='Power Factor Correction'!E$12),IF('Power Factor Correction'!E$31&gt;0,'Data Entry Electricity'!$F83*'PFC Calculations'!$I$3*(TAN(ACOS('Power Factor Correction'!E$31))),IF('Power Factor Correction'!E$46&gt;0,'Power Factor Correction'!E$46*'PFC Calculations'!$I$3,0)),0)</f>
        <v>0</v>
      </c>
      <c r="O82" s="179">
        <f>IF(AND($A82&gt;='Power Factor Correction'!F$11,$A82&lt;='Power Factor Correction'!F$12),IF('Power Factor Correction'!F$31&gt;0,'Data Entry Electricity'!$F83*'PFC Calculations'!$I$3*(TAN(ACOS('Power Factor Correction'!F$31))),IF('Power Factor Correction'!F$46&gt;0,'Power Factor Correction'!F$46*'PFC Calculations'!$I$3,0)),0)</f>
        <v>0</v>
      </c>
      <c r="P82" s="179">
        <f t="shared" si="4"/>
        <v>0</v>
      </c>
    </row>
    <row r="83" spans="1:16">
      <c r="A83" s="179" t="s">
        <v>87</v>
      </c>
      <c r="B83" s="179">
        <f>IF(AND($A83&gt;='Power Factor Correction'!B$11,$A83&lt;='Power Factor Correction'!B$12),IF('Power Factor Correction'!B108&gt;0,('Power Factor Correction'!B$23*'PFC Calculations'!$I$3)-'PFC Calculations'!K83,IF('Power Factor Correction'!B$25*'Power Factor Correction'!B$26*'Power Factor Correction'!B$27&gt;0,((('Power Factor Correction'!B$26*'Power Factor Correction'!B$27)/(365*24))*'PFC Calculations'!$I$6*'Power Factor Correction'!B$25),0)),0)</f>
        <v>0</v>
      </c>
      <c r="C83" s="179">
        <f>IF(AND($A83&gt;='Power Factor Correction'!C$11,$A83&lt;='Power Factor Correction'!C$12),IF('Power Factor Correction'!C108&gt;0,('Power Factor Correction'!C$23*'PFC Calculations'!$I$3)-'PFC Calculations'!L83,IF('Power Factor Correction'!C$25*'Power Factor Correction'!C$26*'Power Factor Correction'!C$27&gt;0,((('Power Factor Correction'!C$26*'Power Factor Correction'!C$27)/(365*24))*'PFC Calculations'!$I$6*'Power Factor Correction'!C$25),0)),0)</f>
        <v>0</v>
      </c>
      <c r="D83" s="179">
        <f>IF(AND($A83&gt;='Power Factor Correction'!D$11,$A83&lt;='Power Factor Correction'!D$12),IF('Power Factor Correction'!D108&gt;0,('Power Factor Correction'!D$23*'PFC Calculations'!$I$3)-'PFC Calculations'!M83,IF('Power Factor Correction'!D$25*'Power Factor Correction'!D$26*'Power Factor Correction'!D$27&gt;0,((('Power Factor Correction'!D$26*'Power Factor Correction'!D$27)/(365*24))*'PFC Calculations'!$I$6*'Power Factor Correction'!D$25),0)),0)</f>
        <v>0</v>
      </c>
      <c r="E83" s="179">
        <f>IF(AND($A83&gt;='Power Factor Correction'!E$11,$A83&lt;='Power Factor Correction'!E$12),IF('Power Factor Correction'!E108&gt;0,('Power Factor Correction'!E$23*'PFC Calculations'!$I$3)-'PFC Calculations'!N83,IF('Power Factor Correction'!E$25*'Power Factor Correction'!E$26*'Power Factor Correction'!E$27&gt;0,((('Power Factor Correction'!E$26*'Power Factor Correction'!E$27)/(365*24))*'PFC Calculations'!$I$6*'Power Factor Correction'!E$25),0)),0)</f>
        <v>0</v>
      </c>
      <c r="F83" s="179">
        <f>IF(AND($A83&gt;='Power Factor Correction'!F$11,$A83&lt;='Power Factor Correction'!F$12),IF('Power Factor Correction'!F108&gt;0,('Power Factor Correction'!F$23*'PFC Calculations'!$I$3)-'PFC Calculations'!O83,IF('Power Factor Correction'!F$25*'Power Factor Correction'!F$26*'Power Factor Correction'!F$27&gt;0,((('Power Factor Correction'!F$26*'Power Factor Correction'!F$27)/(365*24))*'PFC Calculations'!$I$6*'Power Factor Correction'!F$25),0)),0)</f>
        <v>0</v>
      </c>
      <c r="G83" s="179">
        <f t="shared" si="3"/>
        <v>0</v>
      </c>
      <c r="K83" s="179">
        <f>IF(AND($A83&gt;='Power Factor Correction'!B$11,$A83&lt;='Power Factor Correction'!B$12),IF('Power Factor Correction'!B$31&gt;0,'Data Entry Electricity'!$F84*'PFC Calculations'!$I$3*(TAN(ACOS('Power Factor Correction'!B$31))),IF('Power Factor Correction'!B$46&gt;0,'Power Factor Correction'!B$46*'PFC Calculations'!$I$3,0)),0)</f>
        <v>0</v>
      </c>
      <c r="L83" s="179">
        <f>IF(AND($A83&gt;='Power Factor Correction'!C$11,$A83&lt;='Power Factor Correction'!C$12),IF('Power Factor Correction'!C$31&gt;0,'Data Entry Electricity'!$F84*'PFC Calculations'!$I$3*(TAN(ACOS('Power Factor Correction'!C$31))),IF('Power Factor Correction'!C$46&gt;0,'Power Factor Correction'!C$46*'PFC Calculations'!$I$3,0)),0)</f>
        <v>0</v>
      </c>
      <c r="M83" s="179">
        <f>IF(AND($A83&gt;='Power Factor Correction'!D$11,$A83&lt;='Power Factor Correction'!D$12),IF('Power Factor Correction'!D$31&gt;0,'Data Entry Electricity'!$F84*'PFC Calculations'!$I$3*(TAN(ACOS('Power Factor Correction'!D$31))),IF('Power Factor Correction'!D$46&gt;0,'Power Factor Correction'!D$46*'PFC Calculations'!$I$3,0)),0)</f>
        <v>0</v>
      </c>
      <c r="N83" s="179">
        <f>IF(AND($A83&gt;='Power Factor Correction'!E$11,$A83&lt;='Power Factor Correction'!E$12),IF('Power Factor Correction'!E$31&gt;0,'Data Entry Electricity'!$F84*'PFC Calculations'!$I$3*(TAN(ACOS('Power Factor Correction'!E$31))),IF('Power Factor Correction'!E$46&gt;0,'Power Factor Correction'!E$46*'PFC Calculations'!$I$3,0)),0)</f>
        <v>0</v>
      </c>
      <c r="O83" s="179">
        <f>IF(AND($A83&gt;='Power Factor Correction'!F$11,$A83&lt;='Power Factor Correction'!F$12),IF('Power Factor Correction'!F$31&gt;0,'Data Entry Electricity'!$F84*'PFC Calculations'!$I$3*(TAN(ACOS('Power Factor Correction'!F$31))),IF('Power Factor Correction'!F$46&gt;0,'Power Factor Correction'!F$46*'PFC Calculations'!$I$3,0)),0)</f>
        <v>0</v>
      </c>
      <c r="P83" s="179">
        <f t="shared" si="4"/>
        <v>0</v>
      </c>
    </row>
    <row r="84" spans="1:16">
      <c r="A84" s="179" t="s">
        <v>88</v>
      </c>
      <c r="B84" s="179">
        <f>IF(AND($A84&gt;='Power Factor Correction'!B$11,$A84&lt;='Power Factor Correction'!B$12),IF('Power Factor Correction'!B109&gt;0,('Power Factor Correction'!B$23*'PFC Calculations'!$I$3)-'PFC Calculations'!K84,IF('Power Factor Correction'!B$25*'Power Factor Correction'!B$26*'Power Factor Correction'!B$27&gt;0,((('Power Factor Correction'!B$26*'Power Factor Correction'!B$27)/(365*24))*'PFC Calculations'!$I$6*'Power Factor Correction'!B$25),0)),0)</f>
        <v>0</v>
      </c>
      <c r="C84" s="179">
        <f>IF(AND($A84&gt;='Power Factor Correction'!C$11,$A84&lt;='Power Factor Correction'!C$12),IF('Power Factor Correction'!C109&gt;0,('Power Factor Correction'!C$23*'PFC Calculations'!$I$3)-'PFC Calculations'!L84,IF('Power Factor Correction'!C$25*'Power Factor Correction'!C$26*'Power Factor Correction'!C$27&gt;0,((('Power Factor Correction'!C$26*'Power Factor Correction'!C$27)/(365*24))*'PFC Calculations'!$I$6*'Power Factor Correction'!C$25),0)),0)</f>
        <v>0</v>
      </c>
      <c r="D84" s="179">
        <f>IF(AND($A84&gt;='Power Factor Correction'!D$11,$A84&lt;='Power Factor Correction'!D$12),IF('Power Factor Correction'!D109&gt;0,('Power Factor Correction'!D$23*'PFC Calculations'!$I$3)-'PFC Calculations'!M84,IF('Power Factor Correction'!D$25*'Power Factor Correction'!D$26*'Power Factor Correction'!D$27&gt;0,((('Power Factor Correction'!D$26*'Power Factor Correction'!D$27)/(365*24))*'PFC Calculations'!$I$6*'Power Factor Correction'!D$25),0)),0)</f>
        <v>0</v>
      </c>
      <c r="E84" s="179">
        <f>IF(AND($A84&gt;='Power Factor Correction'!E$11,$A84&lt;='Power Factor Correction'!E$12),IF('Power Factor Correction'!E109&gt;0,('Power Factor Correction'!E$23*'PFC Calculations'!$I$3)-'PFC Calculations'!N84,IF('Power Factor Correction'!E$25*'Power Factor Correction'!E$26*'Power Factor Correction'!E$27&gt;0,((('Power Factor Correction'!E$26*'Power Factor Correction'!E$27)/(365*24))*'PFC Calculations'!$I$6*'Power Factor Correction'!E$25),0)),0)</f>
        <v>0</v>
      </c>
      <c r="F84" s="179">
        <f>IF(AND($A84&gt;='Power Factor Correction'!F$11,$A84&lt;='Power Factor Correction'!F$12),IF('Power Factor Correction'!F109&gt;0,('Power Factor Correction'!F$23*'PFC Calculations'!$I$3)-'PFC Calculations'!O84,IF('Power Factor Correction'!F$25*'Power Factor Correction'!F$26*'Power Factor Correction'!F$27&gt;0,((('Power Factor Correction'!F$26*'Power Factor Correction'!F$27)/(365*24))*'PFC Calculations'!$I$6*'Power Factor Correction'!F$25),0)),0)</f>
        <v>0</v>
      </c>
      <c r="G84" s="179">
        <f t="shared" si="3"/>
        <v>0</v>
      </c>
      <c r="K84" s="179">
        <f>IF(AND($A84&gt;='Power Factor Correction'!B$11,$A84&lt;='Power Factor Correction'!B$12),IF('Power Factor Correction'!B$31&gt;0,'Data Entry Electricity'!$F85*'PFC Calculations'!$I$3*(TAN(ACOS('Power Factor Correction'!B$31))),IF('Power Factor Correction'!B$46&gt;0,'Power Factor Correction'!B$46*'PFC Calculations'!$I$3,0)),0)</f>
        <v>0</v>
      </c>
      <c r="L84" s="179">
        <f>IF(AND($A84&gt;='Power Factor Correction'!C$11,$A84&lt;='Power Factor Correction'!C$12),IF('Power Factor Correction'!C$31&gt;0,'Data Entry Electricity'!$F85*'PFC Calculations'!$I$3*(TAN(ACOS('Power Factor Correction'!C$31))),IF('Power Factor Correction'!C$46&gt;0,'Power Factor Correction'!C$46*'PFC Calculations'!$I$3,0)),0)</f>
        <v>0</v>
      </c>
      <c r="M84" s="179">
        <f>IF(AND($A84&gt;='Power Factor Correction'!D$11,$A84&lt;='Power Factor Correction'!D$12),IF('Power Factor Correction'!D$31&gt;0,'Data Entry Electricity'!$F85*'PFC Calculations'!$I$3*(TAN(ACOS('Power Factor Correction'!D$31))),IF('Power Factor Correction'!D$46&gt;0,'Power Factor Correction'!D$46*'PFC Calculations'!$I$3,0)),0)</f>
        <v>0</v>
      </c>
      <c r="N84" s="179">
        <f>IF(AND($A84&gt;='Power Factor Correction'!E$11,$A84&lt;='Power Factor Correction'!E$12),IF('Power Factor Correction'!E$31&gt;0,'Data Entry Electricity'!$F85*'PFC Calculations'!$I$3*(TAN(ACOS('Power Factor Correction'!E$31))),IF('Power Factor Correction'!E$46&gt;0,'Power Factor Correction'!E$46*'PFC Calculations'!$I$3,0)),0)</f>
        <v>0</v>
      </c>
      <c r="O84" s="179">
        <f>IF(AND($A84&gt;='Power Factor Correction'!F$11,$A84&lt;='Power Factor Correction'!F$12),IF('Power Factor Correction'!F$31&gt;0,'Data Entry Electricity'!$F85*'PFC Calculations'!$I$3*(TAN(ACOS('Power Factor Correction'!F$31))),IF('Power Factor Correction'!F$46&gt;0,'Power Factor Correction'!F$46*'PFC Calculations'!$I$3,0)),0)</f>
        <v>0</v>
      </c>
      <c r="P84" s="179">
        <f t="shared" si="4"/>
        <v>0</v>
      </c>
    </row>
    <row r="85" spans="1:16">
      <c r="A85" s="179" t="s">
        <v>89</v>
      </c>
      <c r="B85" s="179">
        <f>IF(AND($A85&gt;='Power Factor Correction'!B$11,$A85&lt;='Power Factor Correction'!B$12),IF('Power Factor Correction'!B110&gt;0,('Power Factor Correction'!B$23*'PFC Calculations'!$I$3)-'PFC Calculations'!K85,IF('Power Factor Correction'!B$25*'Power Factor Correction'!B$26*'Power Factor Correction'!B$27&gt;0,((('Power Factor Correction'!B$26*'Power Factor Correction'!B$27)/(365*24))*'PFC Calculations'!$I$6*'Power Factor Correction'!B$25),0)),0)</f>
        <v>0</v>
      </c>
      <c r="C85" s="179">
        <f>IF(AND($A85&gt;='Power Factor Correction'!C$11,$A85&lt;='Power Factor Correction'!C$12),IF('Power Factor Correction'!C110&gt;0,('Power Factor Correction'!C$23*'PFC Calculations'!$I$3)-'PFC Calculations'!L85,IF('Power Factor Correction'!C$25*'Power Factor Correction'!C$26*'Power Factor Correction'!C$27&gt;0,((('Power Factor Correction'!C$26*'Power Factor Correction'!C$27)/(365*24))*'PFC Calculations'!$I$6*'Power Factor Correction'!C$25),0)),0)</f>
        <v>0</v>
      </c>
      <c r="D85" s="179">
        <f>IF(AND($A85&gt;='Power Factor Correction'!D$11,$A85&lt;='Power Factor Correction'!D$12),IF('Power Factor Correction'!D110&gt;0,('Power Factor Correction'!D$23*'PFC Calculations'!$I$3)-'PFC Calculations'!M85,IF('Power Factor Correction'!D$25*'Power Factor Correction'!D$26*'Power Factor Correction'!D$27&gt;0,((('Power Factor Correction'!D$26*'Power Factor Correction'!D$27)/(365*24))*'PFC Calculations'!$I$6*'Power Factor Correction'!D$25),0)),0)</f>
        <v>0</v>
      </c>
      <c r="E85" s="179">
        <f>IF(AND($A85&gt;='Power Factor Correction'!E$11,$A85&lt;='Power Factor Correction'!E$12),IF('Power Factor Correction'!E110&gt;0,('Power Factor Correction'!E$23*'PFC Calculations'!$I$3)-'PFC Calculations'!N85,IF('Power Factor Correction'!E$25*'Power Factor Correction'!E$26*'Power Factor Correction'!E$27&gt;0,((('Power Factor Correction'!E$26*'Power Factor Correction'!E$27)/(365*24))*'PFC Calculations'!$I$6*'Power Factor Correction'!E$25),0)),0)</f>
        <v>0</v>
      </c>
      <c r="F85" s="179">
        <f>IF(AND($A85&gt;='Power Factor Correction'!F$11,$A85&lt;='Power Factor Correction'!F$12),IF('Power Factor Correction'!F110&gt;0,('Power Factor Correction'!F$23*'PFC Calculations'!$I$3)-'PFC Calculations'!O85,IF('Power Factor Correction'!F$25*'Power Factor Correction'!F$26*'Power Factor Correction'!F$27&gt;0,((('Power Factor Correction'!F$26*'Power Factor Correction'!F$27)/(365*24))*'PFC Calculations'!$I$6*'Power Factor Correction'!F$25),0)),0)</f>
        <v>0</v>
      </c>
      <c r="G85" s="179">
        <f t="shared" si="3"/>
        <v>0</v>
      </c>
      <c r="K85" s="179">
        <f>IF(AND($A85&gt;='Power Factor Correction'!B$11,$A85&lt;='Power Factor Correction'!B$12),IF('Power Factor Correction'!B$31&gt;0,'Data Entry Electricity'!$F86*'PFC Calculations'!$I$3*(TAN(ACOS('Power Factor Correction'!B$31))),IF('Power Factor Correction'!B$46&gt;0,'Power Factor Correction'!B$46*'PFC Calculations'!$I$3,0)),0)</f>
        <v>0</v>
      </c>
      <c r="L85" s="179">
        <f>IF(AND($A85&gt;='Power Factor Correction'!C$11,$A85&lt;='Power Factor Correction'!C$12),IF('Power Factor Correction'!C$31&gt;0,'Data Entry Electricity'!$F86*'PFC Calculations'!$I$3*(TAN(ACOS('Power Factor Correction'!C$31))),IF('Power Factor Correction'!C$46&gt;0,'Power Factor Correction'!C$46*'PFC Calculations'!$I$3,0)),0)</f>
        <v>0</v>
      </c>
      <c r="M85" s="179">
        <f>IF(AND($A85&gt;='Power Factor Correction'!D$11,$A85&lt;='Power Factor Correction'!D$12),IF('Power Factor Correction'!D$31&gt;0,'Data Entry Electricity'!$F86*'PFC Calculations'!$I$3*(TAN(ACOS('Power Factor Correction'!D$31))),IF('Power Factor Correction'!D$46&gt;0,'Power Factor Correction'!D$46*'PFC Calculations'!$I$3,0)),0)</f>
        <v>0</v>
      </c>
      <c r="N85" s="179">
        <f>IF(AND($A85&gt;='Power Factor Correction'!E$11,$A85&lt;='Power Factor Correction'!E$12),IF('Power Factor Correction'!E$31&gt;0,'Data Entry Electricity'!$F86*'PFC Calculations'!$I$3*(TAN(ACOS('Power Factor Correction'!E$31))),IF('Power Factor Correction'!E$46&gt;0,'Power Factor Correction'!E$46*'PFC Calculations'!$I$3,0)),0)</f>
        <v>0</v>
      </c>
      <c r="O85" s="179">
        <f>IF(AND($A85&gt;='Power Factor Correction'!F$11,$A85&lt;='Power Factor Correction'!F$12),IF('Power Factor Correction'!F$31&gt;0,'Data Entry Electricity'!$F86*'PFC Calculations'!$I$3*(TAN(ACOS('Power Factor Correction'!F$31))),IF('Power Factor Correction'!F$46&gt;0,'Power Factor Correction'!F$46*'PFC Calculations'!$I$3,0)),0)</f>
        <v>0</v>
      </c>
      <c r="P85" s="179">
        <f t="shared" si="4"/>
        <v>0</v>
      </c>
    </row>
    <row r="86" spans="1:16">
      <c r="A86" s="179" t="s">
        <v>90</v>
      </c>
      <c r="B86" s="179">
        <f>IF(AND($A86&gt;='Power Factor Correction'!B$11,$A86&lt;='Power Factor Correction'!B$12),IF('Power Factor Correction'!B111&gt;0,('Power Factor Correction'!B$23*'PFC Calculations'!$I$3)-'PFC Calculations'!K86,IF('Power Factor Correction'!B$25*'Power Factor Correction'!B$26*'Power Factor Correction'!B$27&gt;0,((('Power Factor Correction'!B$26*'Power Factor Correction'!B$27)/(365*24))*'PFC Calculations'!$I$6*'Power Factor Correction'!B$25),0)),0)</f>
        <v>0</v>
      </c>
      <c r="C86" s="179">
        <f>IF(AND($A86&gt;='Power Factor Correction'!C$11,$A86&lt;='Power Factor Correction'!C$12),IF('Power Factor Correction'!C111&gt;0,('Power Factor Correction'!C$23*'PFC Calculations'!$I$3)-'PFC Calculations'!L86,IF('Power Factor Correction'!C$25*'Power Factor Correction'!C$26*'Power Factor Correction'!C$27&gt;0,((('Power Factor Correction'!C$26*'Power Factor Correction'!C$27)/(365*24))*'PFC Calculations'!$I$6*'Power Factor Correction'!C$25),0)),0)</f>
        <v>0</v>
      </c>
      <c r="D86" s="179">
        <f>IF(AND($A86&gt;='Power Factor Correction'!D$11,$A86&lt;='Power Factor Correction'!D$12),IF('Power Factor Correction'!D111&gt;0,('Power Factor Correction'!D$23*'PFC Calculations'!$I$3)-'PFC Calculations'!M86,IF('Power Factor Correction'!D$25*'Power Factor Correction'!D$26*'Power Factor Correction'!D$27&gt;0,((('Power Factor Correction'!D$26*'Power Factor Correction'!D$27)/(365*24))*'PFC Calculations'!$I$6*'Power Factor Correction'!D$25),0)),0)</f>
        <v>0</v>
      </c>
      <c r="E86" s="179">
        <f>IF(AND($A86&gt;='Power Factor Correction'!E$11,$A86&lt;='Power Factor Correction'!E$12),IF('Power Factor Correction'!E111&gt;0,('Power Factor Correction'!E$23*'PFC Calculations'!$I$3)-'PFC Calculations'!N86,IF('Power Factor Correction'!E$25*'Power Factor Correction'!E$26*'Power Factor Correction'!E$27&gt;0,((('Power Factor Correction'!E$26*'Power Factor Correction'!E$27)/(365*24))*'PFC Calculations'!$I$6*'Power Factor Correction'!E$25),0)),0)</f>
        <v>0</v>
      </c>
      <c r="F86" s="179">
        <f>IF(AND($A86&gt;='Power Factor Correction'!F$11,$A86&lt;='Power Factor Correction'!F$12),IF('Power Factor Correction'!F111&gt;0,('Power Factor Correction'!F$23*'PFC Calculations'!$I$3)-'PFC Calculations'!O86,IF('Power Factor Correction'!F$25*'Power Factor Correction'!F$26*'Power Factor Correction'!F$27&gt;0,((('Power Factor Correction'!F$26*'Power Factor Correction'!F$27)/(365*24))*'PFC Calculations'!$I$6*'Power Factor Correction'!F$25),0)),0)</f>
        <v>0</v>
      </c>
      <c r="G86" s="179">
        <f t="shared" si="3"/>
        <v>0</v>
      </c>
      <c r="K86" s="179">
        <f>IF(AND($A86&gt;='Power Factor Correction'!B$11,$A86&lt;='Power Factor Correction'!B$12),IF('Power Factor Correction'!B$31&gt;0,'Data Entry Electricity'!$F87*'PFC Calculations'!$I$3*(TAN(ACOS('Power Factor Correction'!B$31))),IF('Power Factor Correction'!B$46&gt;0,'Power Factor Correction'!B$46*'PFC Calculations'!$I$3,0)),0)</f>
        <v>0</v>
      </c>
      <c r="L86" s="179">
        <f>IF(AND($A86&gt;='Power Factor Correction'!C$11,$A86&lt;='Power Factor Correction'!C$12),IF('Power Factor Correction'!C$31&gt;0,'Data Entry Electricity'!$F87*'PFC Calculations'!$I$3*(TAN(ACOS('Power Factor Correction'!C$31))),IF('Power Factor Correction'!C$46&gt;0,'Power Factor Correction'!C$46*'PFC Calculations'!$I$3,0)),0)</f>
        <v>0</v>
      </c>
      <c r="M86" s="179">
        <f>IF(AND($A86&gt;='Power Factor Correction'!D$11,$A86&lt;='Power Factor Correction'!D$12),IF('Power Factor Correction'!D$31&gt;0,'Data Entry Electricity'!$F87*'PFC Calculations'!$I$3*(TAN(ACOS('Power Factor Correction'!D$31))),IF('Power Factor Correction'!D$46&gt;0,'Power Factor Correction'!D$46*'PFC Calculations'!$I$3,0)),0)</f>
        <v>0</v>
      </c>
      <c r="N86" s="179">
        <f>IF(AND($A86&gt;='Power Factor Correction'!E$11,$A86&lt;='Power Factor Correction'!E$12),IF('Power Factor Correction'!E$31&gt;0,'Data Entry Electricity'!$F87*'PFC Calculations'!$I$3*(TAN(ACOS('Power Factor Correction'!E$31))),IF('Power Factor Correction'!E$46&gt;0,'Power Factor Correction'!E$46*'PFC Calculations'!$I$3,0)),0)</f>
        <v>0</v>
      </c>
      <c r="O86" s="179">
        <f>IF(AND($A86&gt;='Power Factor Correction'!F$11,$A86&lt;='Power Factor Correction'!F$12),IF('Power Factor Correction'!F$31&gt;0,'Data Entry Electricity'!$F87*'PFC Calculations'!$I$3*(TAN(ACOS('Power Factor Correction'!F$31))),IF('Power Factor Correction'!F$46&gt;0,'Power Factor Correction'!F$46*'PFC Calculations'!$I$3,0)),0)</f>
        <v>0</v>
      </c>
      <c r="P86" s="179">
        <f t="shared" si="4"/>
        <v>0</v>
      </c>
    </row>
    <row r="87" spans="1:16">
      <c r="A87" s="179" t="s">
        <v>91</v>
      </c>
      <c r="B87" s="179">
        <f>IF(AND($A87&gt;='Power Factor Correction'!B$11,$A87&lt;='Power Factor Correction'!B$12),IF('Power Factor Correction'!B112&gt;0,('Power Factor Correction'!B$23*'PFC Calculations'!$I$3)-'PFC Calculations'!K87,IF('Power Factor Correction'!B$25*'Power Factor Correction'!B$26*'Power Factor Correction'!B$27&gt;0,((('Power Factor Correction'!B$26*'Power Factor Correction'!B$27)/(365*24))*'PFC Calculations'!$I$6*'Power Factor Correction'!B$25),0)),0)</f>
        <v>0</v>
      </c>
      <c r="C87" s="179">
        <f>IF(AND($A87&gt;='Power Factor Correction'!C$11,$A87&lt;='Power Factor Correction'!C$12),IF('Power Factor Correction'!C112&gt;0,('Power Factor Correction'!C$23*'PFC Calculations'!$I$3)-'PFC Calculations'!L87,IF('Power Factor Correction'!C$25*'Power Factor Correction'!C$26*'Power Factor Correction'!C$27&gt;0,((('Power Factor Correction'!C$26*'Power Factor Correction'!C$27)/(365*24))*'PFC Calculations'!$I$6*'Power Factor Correction'!C$25),0)),0)</f>
        <v>0</v>
      </c>
      <c r="D87" s="179">
        <f>IF(AND($A87&gt;='Power Factor Correction'!D$11,$A87&lt;='Power Factor Correction'!D$12),IF('Power Factor Correction'!D112&gt;0,('Power Factor Correction'!D$23*'PFC Calculations'!$I$3)-'PFC Calculations'!M87,IF('Power Factor Correction'!D$25*'Power Factor Correction'!D$26*'Power Factor Correction'!D$27&gt;0,((('Power Factor Correction'!D$26*'Power Factor Correction'!D$27)/(365*24))*'PFC Calculations'!$I$6*'Power Factor Correction'!D$25),0)),0)</f>
        <v>0</v>
      </c>
      <c r="E87" s="179">
        <f>IF(AND($A87&gt;='Power Factor Correction'!E$11,$A87&lt;='Power Factor Correction'!E$12),IF('Power Factor Correction'!E112&gt;0,('Power Factor Correction'!E$23*'PFC Calculations'!$I$3)-'PFC Calculations'!N87,IF('Power Factor Correction'!E$25*'Power Factor Correction'!E$26*'Power Factor Correction'!E$27&gt;0,((('Power Factor Correction'!E$26*'Power Factor Correction'!E$27)/(365*24))*'PFC Calculations'!$I$6*'Power Factor Correction'!E$25),0)),0)</f>
        <v>0</v>
      </c>
      <c r="F87" s="179">
        <f>IF(AND($A87&gt;='Power Factor Correction'!F$11,$A87&lt;='Power Factor Correction'!F$12),IF('Power Factor Correction'!F112&gt;0,('Power Factor Correction'!F$23*'PFC Calculations'!$I$3)-'PFC Calculations'!O87,IF('Power Factor Correction'!F$25*'Power Factor Correction'!F$26*'Power Factor Correction'!F$27&gt;0,((('Power Factor Correction'!F$26*'Power Factor Correction'!F$27)/(365*24))*'PFC Calculations'!$I$6*'Power Factor Correction'!F$25),0)),0)</f>
        <v>0</v>
      </c>
      <c r="G87" s="179">
        <f t="shared" si="3"/>
        <v>0</v>
      </c>
      <c r="K87" s="179">
        <f>IF(AND($A87&gt;='Power Factor Correction'!B$11,$A87&lt;='Power Factor Correction'!B$12),IF('Power Factor Correction'!B$31&gt;0,'Data Entry Electricity'!$F88*'PFC Calculations'!$I$3*(TAN(ACOS('Power Factor Correction'!B$31))),IF('Power Factor Correction'!B$46&gt;0,'Power Factor Correction'!B$46*'PFC Calculations'!$I$3,0)),0)</f>
        <v>0</v>
      </c>
      <c r="L87" s="179">
        <f>IF(AND($A87&gt;='Power Factor Correction'!C$11,$A87&lt;='Power Factor Correction'!C$12),IF('Power Factor Correction'!C$31&gt;0,'Data Entry Electricity'!$F88*'PFC Calculations'!$I$3*(TAN(ACOS('Power Factor Correction'!C$31))),IF('Power Factor Correction'!C$46&gt;0,'Power Factor Correction'!C$46*'PFC Calculations'!$I$3,0)),0)</f>
        <v>0</v>
      </c>
      <c r="M87" s="179">
        <f>IF(AND($A87&gt;='Power Factor Correction'!D$11,$A87&lt;='Power Factor Correction'!D$12),IF('Power Factor Correction'!D$31&gt;0,'Data Entry Electricity'!$F88*'PFC Calculations'!$I$3*(TAN(ACOS('Power Factor Correction'!D$31))),IF('Power Factor Correction'!D$46&gt;0,'Power Factor Correction'!D$46*'PFC Calculations'!$I$3,0)),0)</f>
        <v>0</v>
      </c>
      <c r="N87" s="179">
        <f>IF(AND($A87&gt;='Power Factor Correction'!E$11,$A87&lt;='Power Factor Correction'!E$12),IF('Power Factor Correction'!E$31&gt;0,'Data Entry Electricity'!$F88*'PFC Calculations'!$I$3*(TAN(ACOS('Power Factor Correction'!E$31))),IF('Power Factor Correction'!E$46&gt;0,'Power Factor Correction'!E$46*'PFC Calculations'!$I$3,0)),0)</f>
        <v>0</v>
      </c>
      <c r="O87" s="179">
        <f>IF(AND($A87&gt;='Power Factor Correction'!F$11,$A87&lt;='Power Factor Correction'!F$12),IF('Power Factor Correction'!F$31&gt;0,'Data Entry Electricity'!$F88*'PFC Calculations'!$I$3*(TAN(ACOS('Power Factor Correction'!F$31))),IF('Power Factor Correction'!F$46&gt;0,'Power Factor Correction'!F$46*'PFC Calculations'!$I$3,0)),0)</f>
        <v>0</v>
      </c>
      <c r="P87" s="179">
        <f t="shared" si="4"/>
        <v>0</v>
      </c>
    </row>
    <row r="88" spans="1:16">
      <c r="A88" s="179" t="s">
        <v>92</v>
      </c>
      <c r="B88" s="179">
        <f>IF(AND($A88&gt;='Power Factor Correction'!B$11,$A88&lt;='Power Factor Correction'!B$12),IF('Power Factor Correction'!B113&gt;0,('Power Factor Correction'!B$23*'PFC Calculations'!$I$3)-'PFC Calculations'!K88,IF('Power Factor Correction'!B$25*'Power Factor Correction'!B$26*'Power Factor Correction'!B$27&gt;0,((('Power Factor Correction'!B$26*'Power Factor Correction'!B$27)/(365*24))*'PFC Calculations'!$I$6*'Power Factor Correction'!B$25),0)),0)</f>
        <v>0</v>
      </c>
      <c r="C88" s="179">
        <f>IF(AND($A88&gt;='Power Factor Correction'!C$11,$A88&lt;='Power Factor Correction'!C$12),IF('Power Factor Correction'!C113&gt;0,('Power Factor Correction'!C$23*'PFC Calculations'!$I$3)-'PFC Calculations'!L88,IF('Power Factor Correction'!C$25*'Power Factor Correction'!C$26*'Power Factor Correction'!C$27&gt;0,((('Power Factor Correction'!C$26*'Power Factor Correction'!C$27)/(365*24))*'PFC Calculations'!$I$6*'Power Factor Correction'!C$25),0)),0)</f>
        <v>0</v>
      </c>
      <c r="D88" s="179">
        <f>IF(AND($A88&gt;='Power Factor Correction'!D$11,$A88&lt;='Power Factor Correction'!D$12),IF('Power Factor Correction'!D113&gt;0,('Power Factor Correction'!D$23*'PFC Calculations'!$I$3)-'PFC Calculations'!M88,IF('Power Factor Correction'!D$25*'Power Factor Correction'!D$26*'Power Factor Correction'!D$27&gt;0,((('Power Factor Correction'!D$26*'Power Factor Correction'!D$27)/(365*24))*'PFC Calculations'!$I$6*'Power Factor Correction'!D$25),0)),0)</f>
        <v>0</v>
      </c>
      <c r="E88" s="179">
        <f>IF(AND($A88&gt;='Power Factor Correction'!E$11,$A88&lt;='Power Factor Correction'!E$12),IF('Power Factor Correction'!E113&gt;0,('Power Factor Correction'!E$23*'PFC Calculations'!$I$3)-'PFC Calculations'!N88,IF('Power Factor Correction'!E$25*'Power Factor Correction'!E$26*'Power Factor Correction'!E$27&gt;0,((('Power Factor Correction'!E$26*'Power Factor Correction'!E$27)/(365*24))*'PFC Calculations'!$I$6*'Power Factor Correction'!E$25),0)),0)</f>
        <v>0</v>
      </c>
      <c r="F88" s="179">
        <f>IF(AND($A88&gt;='Power Factor Correction'!F$11,$A88&lt;='Power Factor Correction'!F$12),IF('Power Factor Correction'!F113&gt;0,('Power Factor Correction'!F$23*'PFC Calculations'!$I$3)-'PFC Calculations'!O88,IF('Power Factor Correction'!F$25*'Power Factor Correction'!F$26*'Power Factor Correction'!F$27&gt;0,((('Power Factor Correction'!F$26*'Power Factor Correction'!F$27)/(365*24))*'PFC Calculations'!$I$6*'Power Factor Correction'!F$25),0)),0)</f>
        <v>0</v>
      </c>
      <c r="G88" s="179">
        <f t="shared" si="3"/>
        <v>0</v>
      </c>
      <c r="K88" s="179">
        <f>IF(AND($A88&gt;='Power Factor Correction'!B$11,$A88&lt;='Power Factor Correction'!B$12),IF('Power Factor Correction'!B$31&gt;0,'Data Entry Electricity'!$F89*'PFC Calculations'!$I$3*(TAN(ACOS('Power Factor Correction'!B$31))),IF('Power Factor Correction'!B$46&gt;0,'Power Factor Correction'!B$46*'PFC Calculations'!$I$3,0)),0)</f>
        <v>0</v>
      </c>
      <c r="L88" s="179">
        <f>IF(AND($A88&gt;='Power Factor Correction'!C$11,$A88&lt;='Power Factor Correction'!C$12),IF('Power Factor Correction'!C$31&gt;0,'Data Entry Electricity'!$F89*'PFC Calculations'!$I$3*(TAN(ACOS('Power Factor Correction'!C$31))),IF('Power Factor Correction'!C$46&gt;0,'Power Factor Correction'!C$46*'PFC Calculations'!$I$3,0)),0)</f>
        <v>0</v>
      </c>
      <c r="M88" s="179">
        <f>IF(AND($A88&gt;='Power Factor Correction'!D$11,$A88&lt;='Power Factor Correction'!D$12),IF('Power Factor Correction'!D$31&gt;0,'Data Entry Electricity'!$F89*'PFC Calculations'!$I$3*(TAN(ACOS('Power Factor Correction'!D$31))),IF('Power Factor Correction'!D$46&gt;0,'Power Factor Correction'!D$46*'PFC Calculations'!$I$3,0)),0)</f>
        <v>0</v>
      </c>
      <c r="N88" s="179">
        <f>IF(AND($A88&gt;='Power Factor Correction'!E$11,$A88&lt;='Power Factor Correction'!E$12),IF('Power Factor Correction'!E$31&gt;0,'Data Entry Electricity'!$F89*'PFC Calculations'!$I$3*(TAN(ACOS('Power Factor Correction'!E$31))),IF('Power Factor Correction'!E$46&gt;0,'Power Factor Correction'!E$46*'PFC Calculations'!$I$3,0)),0)</f>
        <v>0</v>
      </c>
      <c r="O88" s="179">
        <f>IF(AND($A88&gt;='Power Factor Correction'!F$11,$A88&lt;='Power Factor Correction'!F$12),IF('Power Factor Correction'!F$31&gt;0,'Data Entry Electricity'!$F89*'PFC Calculations'!$I$3*(TAN(ACOS('Power Factor Correction'!F$31))),IF('Power Factor Correction'!F$46&gt;0,'Power Factor Correction'!F$46*'PFC Calculations'!$I$3,0)),0)</f>
        <v>0</v>
      </c>
      <c r="P88" s="179">
        <f t="shared" si="4"/>
        <v>0</v>
      </c>
    </row>
    <row r="89" spans="1:16">
      <c r="A89" s="179" t="s">
        <v>93</v>
      </c>
      <c r="B89" s="179">
        <f>IF(AND($A89&gt;='Power Factor Correction'!B$11,$A89&lt;='Power Factor Correction'!B$12),IF('Power Factor Correction'!B114&gt;0,('Power Factor Correction'!B$23*'PFC Calculations'!$I$3)-'PFC Calculations'!K89,IF('Power Factor Correction'!B$25*'Power Factor Correction'!B$26*'Power Factor Correction'!B$27&gt;0,((('Power Factor Correction'!B$26*'Power Factor Correction'!B$27)/(365*24))*'PFC Calculations'!$I$6*'Power Factor Correction'!B$25),0)),0)</f>
        <v>0</v>
      </c>
      <c r="C89" s="179">
        <f>IF(AND($A89&gt;='Power Factor Correction'!C$11,$A89&lt;='Power Factor Correction'!C$12),IF('Power Factor Correction'!C114&gt;0,('Power Factor Correction'!C$23*'PFC Calculations'!$I$3)-'PFC Calculations'!L89,IF('Power Factor Correction'!C$25*'Power Factor Correction'!C$26*'Power Factor Correction'!C$27&gt;0,((('Power Factor Correction'!C$26*'Power Factor Correction'!C$27)/(365*24))*'PFC Calculations'!$I$6*'Power Factor Correction'!C$25),0)),0)</f>
        <v>0</v>
      </c>
      <c r="D89" s="179">
        <f>IF(AND($A89&gt;='Power Factor Correction'!D$11,$A89&lt;='Power Factor Correction'!D$12),IF('Power Factor Correction'!D114&gt;0,('Power Factor Correction'!D$23*'PFC Calculations'!$I$3)-'PFC Calculations'!M89,IF('Power Factor Correction'!D$25*'Power Factor Correction'!D$26*'Power Factor Correction'!D$27&gt;0,((('Power Factor Correction'!D$26*'Power Factor Correction'!D$27)/(365*24))*'PFC Calculations'!$I$6*'Power Factor Correction'!D$25),0)),0)</f>
        <v>0</v>
      </c>
      <c r="E89" s="179">
        <f>IF(AND($A89&gt;='Power Factor Correction'!E$11,$A89&lt;='Power Factor Correction'!E$12),IF('Power Factor Correction'!E114&gt;0,('Power Factor Correction'!E$23*'PFC Calculations'!$I$3)-'PFC Calculations'!N89,IF('Power Factor Correction'!E$25*'Power Factor Correction'!E$26*'Power Factor Correction'!E$27&gt;0,((('Power Factor Correction'!E$26*'Power Factor Correction'!E$27)/(365*24))*'PFC Calculations'!$I$6*'Power Factor Correction'!E$25),0)),0)</f>
        <v>0</v>
      </c>
      <c r="F89" s="179">
        <f>IF(AND($A89&gt;='Power Factor Correction'!F$11,$A89&lt;='Power Factor Correction'!F$12),IF('Power Factor Correction'!F114&gt;0,('Power Factor Correction'!F$23*'PFC Calculations'!$I$3)-'PFC Calculations'!O89,IF('Power Factor Correction'!F$25*'Power Factor Correction'!F$26*'Power Factor Correction'!F$27&gt;0,((('Power Factor Correction'!F$26*'Power Factor Correction'!F$27)/(365*24))*'PFC Calculations'!$I$6*'Power Factor Correction'!F$25),0)),0)</f>
        <v>0</v>
      </c>
      <c r="G89" s="179">
        <f t="shared" si="3"/>
        <v>0</v>
      </c>
      <c r="K89" s="179">
        <f>IF(AND($A89&gt;='Power Factor Correction'!B$11,$A89&lt;='Power Factor Correction'!B$12),IF('Power Factor Correction'!B$31&gt;0,'Data Entry Electricity'!$F90*'PFC Calculations'!$I$3*(TAN(ACOS('Power Factor Correction'!B$31))),IF('Power Factor Correction'!B$46&gt;0,'Power Factor Correction'!B$46*'PFC Calculations'!$I$3,0)),0)</f>
        <v>0</v>
      </c>
      <c r="L89" s="179">
        <f>IF(AND($A89&gt;='Power Factor Correction'!C$11,$A89&lt;='Power Factor Correction'!C$12),IF('Power Factor Correction'!C$31&gt;0,'Data Entry Electricity'!$F90*'PFC Calculations'!$I$3*(TAN(ACOS('Power Factor Correction'!C$31))),IF('Power Factor Correction'!C$46&gt;0,'Power Factor Correction'!C$46*'PFC Calculations'!$I$3,0)),0)</f>
        <v>0</v>
      </c>
      <c r="M89" s="179">
        <f>IF(AND($A89&gt;='Power Factor Correction'!D$11,$A89&lt;='Power Factor Correction'!D$12),IF('Power Factor Correction'!D$31&gt;0,'Data Entry Electricity'!$F90*'PFC Calculations'!$I$3*(TAN(ACOS('Power Factor Correction'!D$31))),IF('Power Factor Correction'!D$46&gt;0,'Power Factor Correction'!D$46*'PFC Calculations'!$I$3,0)),0)</f>
        <v>0</v>
      </c>
      <c r="N89" s="179">
        <f>IF(AND($A89&gt;='Power Factor Correction'!E$11,$A89&lt;='Power Factor Correction'!E$12),IF('Power Factor Correction'!E$31&gt;0,'Data Entry Electricity'!$F90*'PFC Calculations'!$I$3*(TAN(ACOS('Power Factor Correction'!E$31))),IF('Power Factor Correction'!E$46&gt;0,'Power Factor Correction'!E$46*'PFC Calculations'!$I$3,0)),0)</f>
        <v>0</v>
      </c>
      <c r="O89" s="179">
        <f>IF(AND($A89&gt;='Power Factor Correction'!F$11,$A89&lt;='Power Factor Correction'!F$12),IF('Power Factor Correction'!F$31&gt;0,'Data Entry Electricity'!$F90*'PFC Calculations'!$I$3*(TAN(ACOS('Power Factor Correction'!F$31))),IF('Power Factor Correction'!F$46&gt;0,'Power Factor Correction'!F$46*'PFC Calculations'!$I$3,0)),0)</f>
        <v>0</v>
      </c>
      <c r="P89" s="179">
        <f t="shared" si="4"/>
        <v>0</v>
      </c>
    </row>
    <row r="90" spans="1:16">
      <c r="A90" s="179" t="s">
        <v>20</v>
      </c>
      <c r="B90" s="179">
        <f>IF(AND($A90&gt;='Power Factor Correction'!B$11,$A90&lt;='Power Factor Correction'!B$12),IF('Power Factor Correction'!B115&gt;0,('Power Factor Correction'!B$23*'PFC Calculations'!$I$3)-'PFC Calculations'!K90,IF('Power Factor Correction'!B$25*'Power Factor Correction'!B$26*'Power Factor Correction'!B$27&gt;0,((('Power Factor Correction'!B$26*'Power Factor Correction'!B$27)/(365*24))*'PFC Calculations'!$I$6*'Power Factor Correction'!B$25),0)),0)</f>
        <v>0</v>
      </c>
      <c r="C90" s="179">
        <f>IF(AND($A90&gt;='Power Factor Correction'!C$11,$A90&lt;='Power Factor Correction'!C$12),IF('Power Factor Correction'!C115&gt;0,('Power Factor Correction'!C$23*'PFC Calculations'!$I$3)-'PFC Calculations'!L90,IF('Power Factor Correction'!C$25*'Power Factor Correction'!C$26*'Power Factor Correction'!C$27&gt;0,((('Power Factor Correction'!C$26*'Power Factor Correction'!C$27)/(365*24))*'PFC Calculations'!$I$6*'Power Factor Correction'!C$25),0)),0)</f>
        <v>0</v>
      </c>
      <c r="D90" s="179">
        <f>IF(AND($A90&gt;='Power Factor Correction'!D$11,$A90&lt;='Power Factor Correction'!D$12),IF('Power Factor Correction'!D115&gt;0,('Power Factor Correction'!D$23*'PFC Calculations'!$I$3)-'PFC Calculations'!M90,IF('Power Factor Correction'!D$25*'Power Factor Correction'!D$26*'Power Factor Correction'!D$27&gt;0,((('Power Factor Correction'!D$26*'Power Factor Correction'!D$27)/(365*24))*'PFC Calculations'!$I$6*'Power Factor Correction'!D$25),0)),0)</f>
        <v>0</v>
      </c>
      <c r="E90" s="179">
        <f>IF(AND($A90&gt;='Power Factor Correction'!E$11,$A90&lt;='Power Factor Correction'!E$12),IF('Power Factor Correction'!E115&gt;0,('Power Factor Correction'!E$23*'PFC Calculations'!$I$3)-'PFC Calculations'!N90,IF('Power Factor Correction'!E$25*'Power Factor Correction'!E$26*'Power Factor Correction'!E$27&gt;0,((('Power Factor Correction'!E$26*'Power Factor Correction'!E$27)/(365*24))*'PFC Calculations'!$I$6*'Power Factor Correction'!E$25),0)),0)</f>
        <v>0</v>
      </c>
      <c r="F90" s="179">
        <f>IF(AND($A90&gt;='Power Factor Correction'!F$11,$A90&lt;='Power Factor Correction'!F$12),IF('Power Factor Correction'!F115&gt;0,('Power Factor Correction'!F$23*'PFC Calculations'!$I$3)-'PFC Calculations'!O90,IF('Power Factor Correction'!F$25*'Power Factor Correction'!F$26*'Power Factor Correction'!F$27&gt;0,((('Power Factor Correction'!F$26*'Power Factor Correction'!F$27)/(365*24))*'PFC Calculations'!$I$6*'Power Factor Correction'!F$25),0)),0)</f>
        <v>0</v>
      </c>
      <c r="G90" s="179">
        <f t="shared" si="3"/>
        <v>0</v>
      </c>
      <c r="K90" s="179">
        <f>IF(AND($A90&gt;='Power Factor Correction'!B$11,$A90&lt;='Power Factor Correction'!B$12),IF('Power Factor Correction'!B$31&gt;0,'Data Entry Electricity'!$F91*'PFC Calculations'!$I$3*(TAN(ACOS('Power Factor Correction'!B$31))),IF('Power Factor Correction'!B$46&gt;0,'Power Factor Correction'!B$46*'PFC Calculations'!$I$3,0)),0)</f>
        <v>0</v>
      </c>
      <c r="L90" s="179">
        <f>IF(AND($A90&gt;='Power Factor Correction'!C$11,$A90&lt;='Power Factor Correction'!C$12),IF('Power Factor Correction'!C$31&gt;0,'Data Entry Electricity'!$F91*'PFC Calculations'!$I$3*(TAN(ACOS('Power Factor Correction'!C$31))),IF('Power Factor Correction'!C$46&gt;0,'Power Factor Correction'!C$46*'PFC Calculations'!$I$3,0)),0)</f>
        <v>0</v>
      </c>
      <c r="M90" s="179">
        <f>IF(AND($A90&gt;='Power Factor Correction'!D$11,$A90&lt;='Power Factor Correction'!D$12),IF('Power Factor Correction'!D$31&gt;0,'Data Entry Electricity'!$F91*'PFC Calculations'!$I$3*(TAN(ACOS('Power Factor Correction'!D$31))),IF('Power Factor Correction'!D$46&gt;0,'Power Factor Correction'!D$46*'PFC Calculations'!$I$3,0)),0)</f>
        <v>0</v>
      </c>
      <c r="N90" s="179">
        <f>IF(AND($A90&gt;='Power Factor Correction'!E$11,$A90&lt;='Power Factor Correction'!E$12),IF('Power Factor Correction'!E$31&gt;0,'Data Entry Electricity'!$F91*'PFC Calculations'!$I$3*(TAN(ACOS('Power Factor Correction'!E$31))),IF('Power Factor Correction'!E$46&gt;0,'Power Factor Correction'!E$46*'PFC Calculations'!$I$3,0)),0)</f>
        <v>0</v>
      </c>
      <c r="O90" s="179">
        <f>IF(AND($A90&gt;='Power Factor Correction'!F$11,$A90&lt;='Power Factor Correction'!F$12),IF('Power Factor Correction'!F$31&gt;0,'Data Entry Electricity'!$F91*'PFC Calculations'!$I$3*(TAN(ACOS('Power Factor Correction'!F$31))),IF('Power Factor Correction'!F$46&gt;0,'Power Factor Correction'!F$46*'PFC Calculations'!$I$3,0)),0)</f>
        <v>0</v>
      </c>
      <c r="P90" s="179">
        <f t="shared" si="4"/>
        <v>0</v>
      </c>
    </row>
    <row r="91" spans="1:16">
      <c r="A91" s="179" t="s">
        <v>21</v>
      </c>
      <c r="B91" s="179">
        <f>IF(AND($A91&gt;='Power Factor Correction'!B$11,$A91&lt;='Power Factor Correction'!B$12),IF('Power Factor Correction'!B116&gt;0,('Power Factor Correction'!B$23*'PFC Calculations'!$I$3)-'PFC Calculations'!K91,IF('Power Factor Correction'!B$25*'Power Factor Correction'!B$26*'Power Factor Correction'!B$27&gt;0,((('Power Factor Correction'!B$26*'Power Factor Correction'!B$27)/(365*24))*'PFC Calculations'!$I$6*'Power Factor Correction'!B$25),0)),0)</f>
        <v>0</v>
      </c>
      <c r="C91" s="179">
        <f>IF(AND($A91&gt;='Power Factor Correction'!C$11,$A91&lt;='Power Factor Correction'!C$12),IF('Power Factor Correction'!C116&gt;0,('Power Factor Correction'!C$23*'PFC Calculations'!$I$3)-'PFC Calculations'!L91,IF('Power Factor Correction'!C$25*'Power Factor Correction'!C$26*'Power Factor Correction'!C$27&gt;0,((('Power Factor Correction'!C$26*'Power Factor Correction'!C$27)/(365*24))*'PFC Calculations'!$I$6*'Power Factor Correction'!C$25),0)),0)</f>
        <v>0</v>
      </c>
      <c r="D91" s="179">
        <f>IF(AND($A91&gt;='Power Factor Correction'!D$11,$A91&lt;='Power Factor Correction'!D$12),IF('Power Factor Correction'!D116&gt;0,('Power Factor Correction'!D$23*'PFC Calculations'!$I$3)-'PFC Calculations'!M91,IF('Power Factor Correction'!D$25*'Power Factor Correction'!D$26*'Power Factor Correction'!D$27&gt;0,((('Power Factor Correction'!D$26*'Power Factor Correction'!D$27)/(365*24))*'PFC Calculations'!$I$6*'Power Factor Correction'!D$25),0)),0)</f>
        <v>0</v>
      </c>
      <c r="E91" s="179">
        <f>IF(AND($A91&gt;='Power Factor Correction'!E$11,$A91&lt;='Power Factor Correction'!E$12),IF('Power Factor Correction'!E116&gt;0,('Power Factor Correction'!E$23*'PFC Calculations'!$I$3)-'PFC Calculations'!N91,IF('Power Factor Correction'!E$25*'Power Factor Correction'!E$26*'Power Factor Correction'!E$27&gt;0,((('Power Factor Correction'!E$26*'Power Factor Correction'!E$27)/(365*24))*'PFC Calculations'!$I$6*'Power Factor Correction'!E$25),0)),0)</f>
        <v>0</v>
      </c>
      <c r="F91" s="179">
        <f>IF(AND($A91&gt;='Power Factor Correction'!F$11,$A91&lt;='Power Factor Correction'!F$12),IF('Power Factor Correction'!F116&gt;0,('Power Factor Correction'!F$23*'PFC Calculations'!$I$3)-'PFC Calculations'!O91,IF('Power Factor Correction'!F$25*'Power Factor Correction'!F$26*'Power Factor Correction'!F$27&gt;0,((('Power Factor Correction'!F$26*'Power Factor Correction'!F$27)/(365*24))*'PFC Calculations'!$I$6*'Power Factor Correction'!F$25),0)),0)</f>
        <v>0</v>
      </c>
      <c r="G91" s="179">
        <f t="shared" si="3"/>
        <v>0</v>
      </c>
      <c r="K91" s="179">
        <f>IF(AND($A91&gt;='Power Factor Correction'!B$11,$A91&lt;='Power Factor Correction'!B$12),IF('Power Factor Correction'!B$31&gt;0,'Data Entry Electricity'!$F92*'PFC Calculations'!$I$3*(TAN(ACOS('Power Factor Correction'!B$31))),IF('Power Factor Correction'!B$46&gt;0,'Power Factor Correction'!B$46*'PFC Calculations'!$I$3,0)),0)</f>
        <v>0</v>
      </c>
      <c r="L91" s="179">
        <f>IF(AND($A91&gt;='Power Factor Correction'!C$11,$A91&lt;='Power Factor Correction'!C$12),IF('Power Factor Correction'!C$31&gt;0,'Data Entry Electricity'!$F92*'PFC Calculations'!$I$3*(TAN(ACOS('Power Factor Correction'!C$31))),IF('Power Factor Correction'!C$46&gt;0,'Power Factor Correction'!C$46*'PFC Calculations'!$I$3,0)),0)</f>
        <v>0</v>
      </c>
      <c r="M91" s="179">
        <f>IF(AND($A91&gt;='Power Factor Correction'!D$11,$A91&lt;='Power Factor Correction'!D$12),IF('Power Factor Correction'!D$31&gt;0,'Data Entry Electricity'!$F92*'PFC Calculations'!$I$3*(TAN(ACOS('Power Factor Correction'!D$31))),IF('Power Factor Correction'!D$46&gt;0,'Power Factor Correction'!D$46*'PFC Calculations'!$I$3,0)),0)</f>
        <v>0</v>
      </c>
      <c r="N91" s="179">
        <f>IF(AND($A91&gt;='Power Factor Correction'!E$11,$A91&lt;='Power Factor Correction'!E$12),IF('Power Factor Correction'!E$31&gt;0,'Data Entry Electricity'!$F92*'PFC Calculations'!$I$3*(TAN(ACOS('Power Factor Correction'!E$31))),IF('Power Factor Correction'!E$46&gt;0,'Power Factor Correction'!E$46*'PFC Calculations'!$I$3,0)),0)</f>
        <v>0</v>
      </c>
      <c r="O91" s="179">
        <f>IF(AND($A91&gt;='Power Factor Correction'!F$11,$A91&lt;='Power Factor Correction'!F$12),IF('Power Factor Correction'!F$31&gt;0,'Data Entry Electricity'!$F92*'PFC Calculations'!$I$3*(TAN(ACOS('Power Factor Correction'!F$31))),IF('Power Factor Correction'!F$46&gt;0,'Power Factor Correction'!F$46*'PFC Calculations'!$I$3,0)),0)</f>
        <v>0</v>
      </c>
      <c r="P91" s="179">
        <f t="shared" si="4"/>
        <v>0</v>
      </c>
    </row>
    <row r="92" spans="1:16">
      <c r="A92" s="179" t="s">
        <v>22</v>
      </c>
      <c r="B92" s="179">
        <f>IF(AND($A92&gt;='Power Factor Correction'!B$11,$A92&lt;='Power Factor Correction'!B$12),IF('Power Factor Correction'!B117&gt;0,('Power Factor Correction'!B$23*'PFC Calculations'!$I$3)-'PFC Calculations'!K92,IF('Power Factor Correction'!B$25*'Power Factor Correction'!B$26*'Power Factor Correction'!B$27&gt;0,((('Power Factor Correction'!B$26*'Power Factor Correction'!B$27)/(365*24))*'PFC Calculations'!$I$6*'Power Factor Correction'!B$25),0)),0)</f>
        <v>0</v>
      </c>
      <c r="C92" s="179">
        <f>IF(AND($A92&gt;='Power Factor Correction'!C$11,$A92&lt;='Power Factor Correction'!C$12),IF('Power Factor Correction'!C117&gt;0,('Power Factor Correction'!C$23*'PFC Calculations'!$I$3)-'PFC Calculations'!L92,IF('Power Factor Correction'!C$25*'Power Factor Correction'!C$26*'Power Factor Correction'!C$27&gt;0,((('Power Factor Correction'!C$26*'Power Factor Correction'!C$27)/(365*24))*'PFC Calculations'!$I$6*'Power Factor Correction'!C$25),0)),0)</f>
        <v>0</v>
      </c>
      <c r="D92" s="179">
        <f>IF(AND($A92&gt;='Power Factor Correction'!D$11,$A92&lt;='Power Factor Correction'!D$12),IF('Power Factor Correction'!D117&gt;0,('Power Factor Correction'!D$23*'PFC Calculations'!$I$3)-'PFC Calculations'!M92,IF('Power Factor Correction'!D$25*'Power Factor Correction'!D$26*'Power Factor Correction'!D$27&gt;0,((('Power Factor Correction'!D$26*'Power Factor Correction'!D$27)/(365*24))*'PFC Calculations'!$I$6*'Power Factor Correction'!D$25),0)),0)</f>
        <v>0</v>
      </c>
      <c r="E92" s="179">
        <f>IF(AND($A92&gt;='Power Factor Correction'!E$11,$A92&lt;='Power Factor Correction'!E$12),IF('Power Factor Correction'!E117&gt;0,('Power Factor Correction'!E$23*'PFC Calculations'!$I$3)-'PFC Calculations'!N92,IF('Power Factor Correction'!E$25*'Power Factor Correction'!E$26*'Power Factor Correction'!E$27&gt;0,((('Power Factor Correction'!E$26*'Power Factor Correction'!E$27)/(365*24))*'PFC Calculations'!$I$6*'Power Factor Correction'!E$25),0)),0)</f>
        <v>0</v>
      </c>
      <c r="F92" s="179">
        <f>IF(AND($A92&gt;='Power Factor Correction'!F$11,$A92&lt;='Power Factor Correction'!F$12),IF('Power Factor Correction'!F117&gt;0,('Power Factor Correction'!F$23*'PFC Calculations'!$I$3)-'PFC Calculations'!O92,IF('Power Factor Correction'!F$25*'Power Factor Correction'!F$26*'Power Factor Correction'!F$27&gt;0,((('Power Factor Correction'!F$26*'Power Factor Correction'!F$27)/(365*24))*'PFC Calculations'!$I$6*'Power Factor Correction'!F$25),0)),0)</f>
        <v>0</v>
      </c>
      <c r="G92" s="179">
        <f t="shared" si="3"/>
        <v>0</v>
      </c>
      <c r="K92" s="179">
        <f>IF(AND($A92&gt;='Power Factor Correction'!B$11,$A92&lt;='Power Factor Correction'!B$12),IF('Power Factor Correction'!B$31&gt;0,'Data Entry Electricity'!$F93*'PFC Calculations'!$I$3*(TAN(ACOS('Power Factor Correction'!B$31))),IF('Power Factor Correction'!B$46&gt;0,'Power Factor Correction'!B$46*'PFC Calculations'!$I$3,0)),0)</f>
        <v>0</v>
      </c>
      <c r="L92" s="179">
        <f>IF(AND($A92&gt;='Power Factor Correction'!C$11,$A92&lt;='Power Factor Correction'!C$12),IF('Power Factor Correction'!C$31&gt;0,'Data Entry Electricity'!$F93*'PFC Calculations'!$I$3*(TAN(ACOS('Power Factor Correction'!C$31))),IF('Power Factor Correction'!C$46&gt;0,'Power Factor Correction'!C$46*'PFC Calculations'!$I$3,0)),0)</f>
        <v>0</v>
      </c>
      <c r="M92" s="179">
        <f>IF(AND($A92&gt;='Power Factor Correction'!D$11,$A92&lt;='Power Factor Correction'!D$12),IF('Power Factor Correction'!D$31&gt;0,'Data Entry Electricity'!$F93*'PFC Calculations'!$I$3*(TAN(ACOS('Power Factor Correction'!D$31))),IF('Power Factor Correction'!D$46&gt;0,'Power Factor Correction'!D$46*'PFC Calculations'!$I$3,0)),0)</f>
        <v>0</v>
      </c>
      <c r="N92" s="179">
        <f>IF(AND($A92&gt;='Power Factor Correction'!E$11,$A92&lt;='Power Factor Correction'!E$12),IF('Power Factor Correction'!E$31&gt;0,'Data Entry Electricity'!$F93*'PFC Calculations'!$I$3*(TAN(ACOS('Power Factor Correction'!E$31))),IF('Power Factor Correction'!E$46&gt;0,'Power Factor Correction'!E$46*'PFC Calculations'!$I$3,0)),0)</f>
        <v>0</v>
      </c>
      <c r="O92" s="179">
        <f>IF(AND($A92&gt;='Power Factor Correction'!F$11,$A92&lt;='Power Factor Correction'!F$12),IF('Power Factor Correction'!F$31&gt;0,'Data Entry Electricity'!$F93*'PFC Calculations'!$I$3*(TAN(ACOS('Power Factor Correction'!F$31))),IF('Power Factor Correction'!F$46&gt;0,'Power Factor Correction'!F$46*'PFC Calculations'!$I$3,0)),0)</f>
        <v>0</v>
      </c>
      <c r="P92" s="179">
        <f t="shared" si="4"/>
        <v>0</v>
      </c>
    </row>
    <row r="93" spans="1:16">
      <c r="A93" s="179" t="s">
        <v>23</v>
      </c>
      <c r="B93" s="179">
        <f>IF(AND($A93&gt;='Power Factor Correction'!B$11,$A93&lt;='Power Factor Correction'!B$12),IF('Power Factor Correction'!B118&gt;0,('Power Factor Correction'!B$23*'PFC Calculations'!$I$3)-'PFC Calculations'!K93,IF('Power Factor Correction'!B$25*'Power Factor Correction'!B$26*'Power Factor Correction'!B$27&gt;0,((('Power Factor Correction'!B$26*'Power Factor Correction'!B$27)/(365*24))*'PFC Calculations'!$I$6*'Power Factor Correction'!B$25),0)),0)</f>
        <v>0</v>
      </c>
      <c r="C93" s="179">
        <f>IF(AND($A93&gt;='Power Factor Correction'!C$11,$A93&lt;='Power Factor Correction'!C$12),IF('Power Factor Correction'!C118&gt;0,('Power Factor Correction'!C$23*'PFC Calculations'!$I$3)-'PFC Calculations'!L93,IF('Power Factor Correction'!C$25*'Power Factor Correction'!C$26*'Power Factor Correction'!C$27&gt;0,((('Power Factor Correction'!C$26*'Power Factor Correction'!C$27)/(365*24))*'PFC Calculations'!$I$6*'Power Factor Correction'!C$25),0)),0)</f>
        <v>0</v>
      </c>
      <c r="D93" s="179">
        <f>IF(AND($A93&gt;='Power Factor Correction'!D$11,$A93&lt;='Power Factor Correction'!D$12),IF('Power Factor Correction'!D118&gt;0,('Power Factor Correction'!D$23*'PFC Calculations'!$I$3)-'PFC Calculations'!M93,IF('Power Factor Correction'!D$25*'Power Factor Correction'!D$26*'Power Factor Correction'!D$27&gt;0,((('Power Factor Correction'!D$26*'Power Factor Correction'!D$27)/(365*24))*'PFC Calculations'!$I$6*'Power Factor Correction'!D$25),0)),0)</f>
        <v>0</v>
      </c>
      <c r="E93" s="179">
        <f>IF(AND($A93&gt;='Power Factor Correction'!E$11,$A93&lt;='Power Factor Correction'!E$12),IF('Power Factor Correction'!E118&gt;0,('Power Factor Correction'!E$23*'PFC Calculations'!$I$3)-'PFC Calculations'!N93,IF('Power Factor Correction'!E$25*'Power Factor Correction'!E$26*'Power Factor Correction'!E$27&gt;0,((('Power Factor Correction'!E$26*'Power Factor Correction'!E$27)/(365*24))*'PFC Calculations'!$I$6*'Power Factor Correction'!E$25),0)),0)</f>
        <v>0</v>
      </c>
      <c r="F93" s="179">
        <f>IF(AND($A93&gt;='Power Factor Correction'!F$11,$A93&lt;='Power Factor Correction'!F$12),IF('Power Factor Correction'!F118&gt;0,('Power Factor Correction'!F$23*'PFC Calculations'!$I$3)-'PFC Calculations'!O93,IF('Power Factor Correction'!F$25*'Power Factor Correction'!F$26*'Power Factor Correction'!F$27&gt;0,((('Power Factor Correction'!F$26*'Power Factor Correction'!F$27)/(365*24))*'PFC Calculations'!$I$6*'Power Factor Correction'!F$25),0)),0)</f>
        <v>0</v>
      </c>
      <c r="G93" s="179">
        <f t="shared" si="3"/>
        <v>0</v>
      </c>
      <c r="K93" s="179">
        <f>IF(AND($A93&gt;='Power Factor Correction'!B$11,$A93&lt;='Power Factor Correction'!B$12),IF('Power Factor Correction'!B$31&gt;0,'Data Entry Electricity'!$F94*'PFC Calculations'!$I$3*(TAN(ACOS('Power Factor Correction'!B$31))),IF('Power Factor Correction'!B$46&gt;0,'Power Factor Correction'!B$46*'PFC Calculations'!$I$3,0)),0)</f>
        <v>0</v>
      </c>
      <c r="L93" s="179">
        <f>IF(AND($A93&gt;='Power Factor Correction'!C$11,$A93&lt;='Power Factor Correction'!C$12),IF('Power Factor Correction'!C$31&gt;0,'Data Entry Electricity'!$F94*'PFC Calculations'!$I$3*(TAN(ACOS('Power Factor Correction'!C$31))),IF('Power Factor Correction'!C$46&gt;0,'Power Factor Correction'!C$46*'PFC Calculations'!$I$3,0)),0)</f>
        <v>0</v>
      </c>
      <c r="M93" s="179">
        <f>IF(AND($A93&gt;='Power Factor Correction'!D$11,$A93&lt;='Power Factor Correction'!D$12),IF('Power Factor Correction'!D$31&gt;0,'Data Entry Electricity'!$F94*'PFC Calculations'!$I$3*(TAN(ACOS('Power Factor Correction'!D$31))),IF('Power Factor Correction'!D$46&gt;0,'Power Factor Correction'!D$46*'PFC Calculations'!$I$3,0)),0)</f>
        <v>0</v>
      </c>
      <c r="N93" s="179">
        <f>IF(AND($A93&gt;='Power Factor Correction'!E$11,$A93&lt;='Power Factor Correction'!E$12),IF('Power Factor Correction'!E$31&gt;0,'Data Entry Electricity'!$F94*'PFC Calculations'!$I$3*(TAN(ACOS('Power Factor Correction'!E$31))),IF('Power Factor Correction'!E$46&gt;0,'Power Factor Correction'!E$46*'PFC Calculations'!$I$3,0)),0)</f>
        <v>0</v>
      </c>
      <c r="O93" s="179">
        <f>IF(AND($A93&gt;='Power Factor Correction'!F$11,$A93&lt;='Power Factor Correction'!F$12),IF('Power Factor Correction'!F$31&gt;0,'Data Entry Electricity'!$F94*'PFC Calculations'!$I$3*(TAN(ACOS('Power Factor Correction'!F$31))),IF('Power Factor Correction'!F$46&gt;0,'Power Factor Correction'!F$46*'PFC Calculations'!$I$3,0)),0)</f>
        <v>0</v>
      </c>
      <c r="P93" s="179">
        <f t="shared" si="4"/>
        <v>0</v>
      </c>
    </row>
    <row r="94" spans="1:16" s="179" customFormat="1">
      <c r="A94" s="179" t="s">
        <v>974</v>
      </c>
      <c r="B94" s="179">
        <f>IF(AND($A94&gt;='Power Factor Correction'!B$11,$A94&lt;='Power Factor Correction'!B$12),IF('Power Factor Correction'!B119&gt;0,('Power Factor Correction'!B$23*'PFC Calculations'!$I$3)-'PFC Calculations'!K94,IF('Power Factor Correction'!B$25*'Power Factor Correction'!B$26*'Power Factor Correction'!B$27&gt;0,((('Power Factor Correction'!B$26*'Power Factor Correction'!B$27)/(365*24))*'PFC Calculations'!$I$6*'Power Factor Correction'!B$25),0)),0)</f>
        <v>0</v>
      </c>
      <c r="C94" s="179">
        <f>IF(AND($A94&gt;='Power Factor Correction'!C$11,$A94&lt;='Power Factor Correction'!C$12),IF('Power Factor Correction'!C119&gt;0,('Power Factor Correction'!C$23*'PFC Calculations'!$I$3)-'PFC Calculations'!L94,IF('Power Factor Correction'!C$25*'Power Factor Correction'!C$26*'Power Factor Correction'!C$27&gt;0,((('Power Factor Correction'!C$26*'Power Factor Correction'!C$27)/(365*24))*'PFC Calculations'!$I$6*'Power Factor Correction'!C$25),0)),0)</f>
        <v>0</v>
      </c>
      <c r="D94" s="179">
        <f>IF(AND($A94&gt;='Power Factor Correction'!D$11,$A94&lt;='Power Factor Correction'!D$12),IF('Power Factor Correction'!D119&gt;0,('Power Factor Correction'!D$23*'PFC Calculations'!$I$3)-'PFC Calculations'!M94,IF('Power Factor Correction'!D$25*'Power Factor Correction'!D$26*'Power Factor Correction'!D$27&gt;0,((('Power Factor Correction'!D$26*'Power Factor Correction'!D$27)/(365*24))*'PFC Calculations'!$I$6*'Power Factor Correction'!D$25),0)),0)</f>
        <v>0</v>
      </c>
      <c r="E94" s="179">
        <f>IF(AND($A94&gt;='Power Factor Correction'!E$11,$A94&lt;='Power Factor Correction'!E$12),IF('Power Factor Correction'!E119&gt;0,('Power Factor Correction'!E$23*'PFC Calculations'!$I$3)-'PFC Calculations'!N94,IF('Power Factor Correction'!E$25*'Power Factor Correction'!E$26*'Power Factor Correction'!E$27&gt;0,((('Power Factor Correction'!E$26*'Power Factor Correction'!E$27)/(365*24))*'PFC Calculations'!$I$6*'Power Factor Correction'!E$25),0)),0)</f>
        <v>0</v>
      </c>
      <c r="F94" s="179">
        <f>IF(AND($A94&gt;='Power Factor Correction'!F$11,$A94&lt;='Power Factor Correction'!F$12),IF('Power Factor Correction'!F119&gt;0,('Power Factor Correction'!F$23*'PFC Calculations'!$I$3)-'PFC Calculations'!O94,IF('Power Factor Correction'!F$25*'Power Factor Correction'!F$26*'Power Factor Correction'!F$27&gt;0,((('Power Factor Correction'!F$26*'Power Factor Correction'!F$27)/(365*24))*'PFC Calculations'!$I$6*'Power Factor Correction'!F$25),0)),0)</f>
        <v>0</v>
      </c>
      <c r="G94" s="179">
        <f t="shared" ref="G94:G119" si="5">SUM(B94:F94)</f>
        <v>0</v>
      </c>
      <c r="K94" s="179">
        <f>IF(AND($A94&gt;='Power Factor Correction'!B$11,$A94&lt;='Power Factor Correction'!B$12),IF('Power Factor Correction'!B$31&gt;0,'Data Entry Electricity'!$F121*'PFC Calculations'!$I$3*(TAN(ACOS('Power Factor Correction'!B$31))),IF('Power Factor Correction'!B$46&gt;0,'Power Factor Correction'!B$46*'PFC Calculations'!$I$3,0)),0)</f>
        <v>0</v>
      </c>
      <c r="L94" s="179">
        <f>IF(AND($A94&gt;='Power Factor Correction'!C$11,$A94&lt;='Power Factor Correction'!C$12),IF('Power Factor Correction'!C$31&gt;0,'Data Entry Electricity'!$F121*'PFC Calculations'!$I$3*(TAN(ACOS('Power Factor Correction'!C$31))),IF('Power Factor Correction'!C$46&gt;0,'Power Factor Correction'!C$46*'PFC Calculations'!$I$3,0)),0)</f>
        <v>0</v>
      </c>
      <c r="M94" s="179">
        <f>IF(AND($A94&gt;='Power Factor Correction'!D$11,$A94&lt;='Power Factor Correction'!D$12),IF('Power Factor Correction'!D$31&gt;0,'Data Entry Electricity'!$F121*'PFC Calculations'!$I$3*(TAN(ACOS('Power Factor Correction'!D$31))),IF('Power Factor Correction'!D$46&gt;0,'Power Factor Correction'!D$46*'PFC Calculations'!$I$3,0)),0)</f>
        <v>0</v>
      </c>
      <c r="N94" s="179">
        <f>IF(AND($A94&gt;='Power Factor Correction'!E$11,$A94&lt;='Power Factor Correction'!E$12),IF('Power Factor Correction'!E$31&gt;0,'Data Entry Electricity'!$F121*'PFC Calculations'!$I$3*(TAN(ACOS('Power Factor Correction'!E$31))),IF('Power Factor Correction'!E$46&gt;0,'Power Factor Correction'!E$46*'PFC Calculations'!$I$3,0)),0)</f>
        <v>0</v>
      </c>
      <c r="O94" s="179">
        <f>IF(AND($A94&gt;='Power Factor Correction'!F$11,$A94&lt;='Power Factor Correction'!F$12),IF('Power Factor Correction'!F$31&gt;0,'Data Entry Electricity'!$F121*'PFC Calculations'!$I$3*(TAN(ACOS('Power Factor Correction'!F$31))),IF('Power Factor Correction'!F$46&gt;0,'Power Factor Correction'!F$46*'PFC Calculations'!$I$3,0)),0)</f>
        <v>0</v>
      </c>
      <c r="P94" s="179">
        <f t="shared" ref="P94:P119" si="6">SUM(K94:O94)</f>
        <v>0</v>
      </c>
    </row>
    <row r="95" spans="1:16" s="179" customFormat="1">
      <c r="A95" s="179" t="s">
        <v>975</v>
      </c>
      <c r="B95" s="179">
        <f>IF(AND($A95&gt;='Power Factor Correction'!B$11,$A95&lt;='Power Factor Correction'!B$12),IF('Power Factor Correction'!B120&gt;0,('Power Factor Correction'!B$23*'PFC Calculations'!$I$3)-'PFC Calculations'!K95,IF('Power Factor Correction'!B$25*'Power Factor Correction'!B$26*'Power Factor Correction'!B$27&gt;0,((('Power Factor Correction'!B$26*'Power Factor Correction'!B$27)/(365*24))*'PFC Calculations'!$I$6*'Power Factor Correction'!B$25),0)),0)</f>
        <v>0</v>
      </c>
      <c r="C95" s="179">
        <f>IF(AND($A95&gt;='Power Factor Correction'!C$11,$A95&lt;='Power Factor Correction'!C$12),IF('Power Factor Correction'!C120&gt;0,('Power Factor Correction'!C$23*'PFC Calculations'!$I$3)-'PFC Calculations'!L95,IF('Power Factor Correction'!C$25*'Power Factor Correction'!C$26*'Power Factor Correction'!C$27&gt;0,((('Power Factor Correction'!C$26*'Power Factor Correction'!C$27)/(365*24))*'PFC Calculations'!$I$6*'Power Factor Correction'!C$25),0)),0)</f>
        <v>0</v>
      </c>
      <c r="D95" s="179">
        <f>IF(AND($A95&gt;='Power Factor Correction'!D$11,$A95&lt;='Power Factor Correction'!D$12),IF('Power Factor Correction'!D120&gt;0,('Power Factor Correction'!D$23*'PFC Calculations'!$I$3)-'PFC Calculations'!M95,IF('Power Factor Correction'!D$25*'Power Factor Correction'!D$26*'Power Factor Correction'!D$27&gt;0,((('Power Factor Correction'!D$26*'Power Factor Correction'!D$27)/(365*24))*'PFC Calculations'!$I$6*'Power Factor Correction'!D$25),0)),0)</f>
        <v>0</v>
      </c>
      <c r="E95" s="179">
        <f>IF(AND($A95&gt;='Power Factor Correction'!E$11,$A95&lt;='Power Factor Correction'!E$12),IF('Power Factor Correction'!E120&gt;0,('Power Factor Correction'!E$23*'PFC Calculations'!$I$3)-'PFC Calculations'!N95,IF('Power Factor Correction'!E$25*'Power Factor Correction'!E$26*'Power Factor Correction'!E$27&gt;0,((('Power Factor Correction'!E$26*'Power Factor Correction'!E$27)/(365*24))*'PFC Calculations'!$I$6*'Power Factor Correction'!E$25),0)),0)</f>
        <v>0</v>
      </c>
      <c r="F95" s="179">
        <f>IF(AND($A95&gt;='Power Factor Correction'!F$11,$A95&lt;='Power Factor Correction'!F$12),IF('Power Factor Correction'!F120&gt;0,('Power Factor Correction'!F$23*'PFC Calculations'!$I$3)-'PFC Calculations'!O95,IF('Power Factor Correction'!F$25*'Power Factor Correction'!F$26*'Power Factor Correction'!F$27&gt;0,((('Power Factor Correction'!F$26*'Power Factor Correction'!F$27)/(365*24))*'PFC Calculations'!$I$6*'Power Factor Correction'!F$25),0)),0)</f>
        <v>0</v>
      </c>
      <c r="G95" s="179">
        <f t="shared" si="5"/>
        <v>0</v>
      </c>
      <c r="K95" s="179">
        <f>IF(AND($A95&gt;='Power Factor Correction'!B$11,$A95&lt;='Power Factor Correction'!B$12),IF('Power Factor Correction'!B$31&gt;0,'Data Entry Electricity'!$F122*'PFC Calculations'!$I$3*(TAN(ACOS('Power Factor Correction'!B$31))),IF('Power Factor Correction'!B$46&gt;0,'Power Factor Correction'!B$46*'PFC Calculations'!$I$3,0)),0)</f>
        <v>0</v>
      </c>
      <c r="L95" s="179">
        <f>IF(AND($A95&gt;='Power Factor Correction'!C$11,$A95&lt;='Power Factor Correction'!C$12),IF('Power Factor Correction'!C$31&gt;0,'Data Entry Electricity'!$F122*'PFC Calculations'!$I$3*(TAN(ACOS('Power Factor Correction'!C$31))),IF('Power Factor Correction'!C$46&gt;0,'Power Factor Correction'!C$46*'PFC Calculations'!$I$3,0)),0)</f>
        <v>0</v>
      </c>
      <c r="M95" s="179">
        <f>IF(AND($A95&gt;='Power Factor Correction'!D$11,$A95&lt;='Power Factor Correction'!D$12),IF('Power Factor Correction'!D$31&gt;0,'Data Entry Electricity'!$F122*'PFC Calculations'!$I$3*(TAN(ACOS('Power Factor Correction'!D$31))),IF('Power Factor Correction'!D$46&gt;0,'Power Factor Correction'!D$46*'PFC Calculations'!$I$3,0)),0)</f>
        <v>0</v>
      </c>
      <c r="N95" s="179">
        <f>IF(AND($A95&gt;='Power Factor Correction'!E$11,$A95&lt;='Power Factor Correction'!E$12),IF('Power Factor Correction'!E$31&gt;0,'Data Entry Electricity'!$F122*'PFC Calculations'!$I$3*(TAN(ACOS('Power Factor Correction'!E$31))),IF('Power Factor Correction'!E$46&gt;0,'Power Factor Correction'!E$46*'PFC Calculations'!$I$3,0)),0)</f>
        <v>0</v>
      </c>
      <c r="O95" s="179">
        <f>IF(AND($A95&gt;='Power Factor Correction'!F$11,$A95&lt;='Power Factor Correction'!F$12),IF('Power Factor Correction'!F$31&gt;0,'Data Entry Electricity'!$F122*'PFC Calculations'!$I$3*(TAN(ACOS('Power Factor Correction'!F$31))),IF('Power Factor Correction'!F$46&gt;0,'Power Factor Correction'!F$46*'PFC Calculations'!$I$3,0)),0)</f>
        <v>0</v>
      </c>
      <c r="P95" s="179">
        <f t="shared" si="6"/>
        <v>0</v>
      </c>
    </row>
    <row r="96" spans="1:16" s="179" customFormat="1">
      <c r="A96" s="179" t="s">
        <v>976</v>
      </c>
      <c r="B96" s="179">
        <f>IF(AND($A96&gt;='Power Factor Correction'!B$11,$A96&lt;='Power Factor Correction'!B$12),IF('Power Factor Correction'!B121&gt;0,('Power Factor Correction'!B$23*'PFC Calculations'!$I$3)-'PFC Calculations'!K96,IF('Power Factor Correction'!B$25*'Power Factor Correction'!B$26*'Power Factor Correction'!B$27&gt;0,((('Power Factor Correction'!B$26*'Power Factor Correction'!B$27)/(365*24))*'PFC Calculations'!$I$6*'Power Factor Correction'!B$25),0)),0)</f>
        <v>0</v>
      </c>
      <c r="C96" s="179">
        <f>IF(AND($A96&gt;='Power Factor Correction'!C$11,$A96&lt;='Power Factor Correction'!C$12),IF('Power Factor Correction'!C121&gt;0,('Power Factor Correction'!C$23*'PFC Calculations'!$I$3)-'PFC Calculations'!L96,IF('Power Factor Correction'!C$25*'Power Factor Correction'!C$26*'Power Factor Correction'!C$27&gt;0,((('Power Factor Correction'!C$26*'Power Factor Correction'!C$27)/(365*24))*'PFC Calculations'!$I$6*'Power Factor Correction'!C$25),0)),0)</f>
        <v>0</v>
      </c>
      <c r="D96" s="179">
        <f>IF(AND($A96&gt;='Power Factor Correction'!D$11,$A96&lt;='Power Factor Correction'!D$12),IF('Power Factor Correction'!D121&gt;0,('Power Factor Correction'!D$23*'PFC Calculations'!$I$3)-'PFC Calculations'!M96,IF('Power Factor Correction'!D$25*'Power Factor Correction'!D$26*'Power Factor Correction'!D$27&gt;0,((('Power Factor Correction'!D$26*'Power Factor Correction'!D$27)/(365*24))*'PFC Calculations'!$I$6*'Power Factor Correction'!D$25),0)),0)</f>
        <v>0</v>
      </c>
      <c r="E96" s="179">
        <f>IF(AND($A96&gt;='Power Factor Correction'!E$11,$A96&lt;='Power Factor Correction'!E$12),IF('Power Factor Correction'!E121&gt;0,('Power Factor Correction'!E$23*'PFC Calculations'!$I$3)-'PFC Calculations'!N96,IF('Power Factor Correction'!E$25*'Power Factor Correction'!E$26*'Power Factor Correction'!E$27&gt;0,((('Power Factor Correction'!E$26*'Power Factor Correction'!E$27)/(365*24))*'PFC Calculations'!$I$6*'Power Factor Correction'!E$25),0)),0)</f>
        <v>0</v>
      </c>
      <c r="F96" s="179">
        <f>IF(AND($A96&gt;='Power Factor Correction'!F$11,$A96&lt;='Power Factor Correction'!F$12),IF('Power Factor Correction'!F121&gt;0,('Power Factor Correction'!F$23*'PFC Calculations'!$I$3)-'PFC Calculations'!O96,IF('Power Factor Correction'!F$25*'Power Factor Correction'!F$26*'Power Factor Correction'!F$27&gt;0,((('Power Factor Correction'!F$26*'Power Factor Correction'!F$27)/(365*24))*'PFC Calculations'!$I$6*'Power Factor Correction'!F$25),0)),0)</f>
        <v>0</v>
      </c>
      <c r="G96" s="179">
        <f t="shared" si="5"/>
        <v>0</v>
      </c>
      <c r="K96" s="179">
        <f>IF(AND($A96&gt;='Power Factor Correction'!B$11,$A96&lt;='Power Factor Correction'!B$12),IF('Power Factor Correction'!B$31&gt;0,'Data Entry Electricity'!$F123*'PFC Calculations'!$I$3*(TAN(ACOS('Power Factor Correction'!B$31))),IF('Power Factor Correction'!B$46&gt;0,'Power Factor Correction'!B$46*'PFC Calculations'!$I$3,0)),0)</f>
        <v>0</v>
      </c>
      <c r="L96" s="179">
        <f>IF(AND($A96&gt;='Power Factor Correction'!C$11,$A96&lt;='Power Factor Correction'!C$12),IF('Power Factor Correction'!C$31&gt;0,'Data Entry Electricity'!$F123*'PFC Calculations'!$I$3*(TAN(ACOS('Power Factor Correction'!C$31))),IF('Power Factor Correction'!C$46&gt;0,'Power Factor Correction'!C$46*'PFC Calculations'!$I$3,0)),0)</f>
        <v>0</v>
      </c>
      <c r="M96" s="179">
        <f>IF(AND($A96&gt;='Power Factor Correction'!D$11,$A96&lt;='Power Factor Correction'!D$12),IF('Power Factor Correction'!D$31&gt;0,'Data Entry Electricity'!$F123*'PFC Calculations'!$I$3*(TAN(ACOS('Power Factor Correction'!D$31))),IF('Power Factor Correction'!D$46&gt;0,'Power Factor Correction'!D$46*'PFC Calculations'!$I$3,0)),0)</f>
        <v>0</v>
      </c>
      <c r="N96" s="179">
        <f>IF(AND($A96&gt;='Power Factor Correction'!E$11,$A96&lt;='Power Factor Correction'!E$12),IF('Power Factor Correction'!E$31&gt;0,'Data Entry Electricity'!$F123*'PFC Calculations'!$I$3*(TAN(ACOS('Power Factor Correction'!E$31))),IF('Power Factor Correction'!E$46&gt;0,'Power Factor Correction'!E$46*'PFC Calculations'!$I$3,0)),0)</f>
        <v>0</v>
      </c>
      <c r="O96" s="179">
        <f>IF(AND($A96&gt;='Power Factor Correction'!F$11,$A96&lt;='Power Factor Correction'!F$12),IF('Power Factor Correction'!F$31&gt;0,'Data Entry Electricity'!$F123*'PFC Calculations'!$I$3*(TAN(ACOS('Power Factor Correction'!F$31))),IF('Power Factor Correction'!F$46&gt;0,'Power Factor Correction'!F$46*'PFC Calculations'!$I$3,0)),0)</f>
        <v>0</v>
      </c>
      <c r="P96" s="179">
        <f t="shared" si="6"/>
        <v>0</v>
      </c>
    </row>
    <row r="97" spans="1:16" s="179" customFormat="1">
      <c r="A97" s="179" t="s">
        <v>977</v>
      </c>
      <c r="B97" s="179">
        <f>IF(AND($A97&gt;='Power Factor Correction'!B$11,$A97&lt;='Power Factor Correction'!B$12),IF('Power Factor Correction'!B122&gt;0,('Power Factor Correction'!B$23*'PFC Calculations'!$I$3)-'PFC Calculations'!K97,IF('Power Factor Correction'!B$25*'Power Factor Correction'!B$26*'Power Factor Correction'!B$27&gt;0,((('Power Factor Correction'!B$26*'Power Factor Correction'!B$27)/(365*24))*'PFC Calculations'!$I$6*'Power Factor Correction'!B$25),0)),0)</f>
        <v>0</v>
      </c>
      <c r="C97" s="179">
        <f>IF(AND($A97&gt;='Power Factor Correction'!C$11,$A97&lt;='Power Factor Correction'!C$12),IF('Power Factor Correction'!C122&gt;0,('Power Factor Correction'!C$23*'PFC Calculations'!$I$3)-'PFC Calculations'!L97,IF('Power Factor Correction'!C$25*'Power Factor Correction'!C$26*'Power Factor Correction'!C$27&gt;0,((('Power Factor Correction'!C$26*'Power Factor Correction'!C$27)/(365*24))*'PFC Calculations'!$I$6*'Power Factor Correction'!C$25),0)),0)</f>
        <v>0</v>
      </c>
      <c r="D97" s="179">
        <f>IF(AND($A97&gt;='Power Factor Correction'!D$11,$A97&lt;='Power Factor Correction'!D$12),IF('Power Factor Correction'!D122&gt;0,('Power Factor Correction'!D$23*'PFC Calculations'!$I$3)-'PFC Calculations'!M97,IF('Power Factor Correction'!D$25*'Power Factor Correction'!D$26*'Power Factor Correction'!D$27&gt;0,((('Power Factor Correction'!D$26*'Power Factor Correction'!D$27)/(365*24))*'PFC Calculations'!$I$6*'Power Factor Correction'!D$25),0)),0)</f>
        <v>0</v>
      </c>
      <c r="E97" s="179">
        <f>IF(AND($A97&gt;='Power Factor Correction'!E$11,$A97&lt;='Power Factor Correction'!E$12),IF('Power Factor Correction'!E122&gt;0,('Power Factor Correction'!E$23*'PFC Calculations'!$I$3)-'PFC Calculations'!N97,IF('Power Factor Correction'!E$25*'Power Factor Correction'!E$26*'Power Factor Correction'!E$27&gt;0,((('Power Factor Correction'!E$26*'Power Factor Correction'!E$27)/(365*24))*'PFC Calculations'!$I$6*'Power Factor Correction'!E$25),0)),0)</f>
        <v>0</v>
      </c>
      <c r="F97" s="179">
        <f>IF(AND($A97&gt;='Power Factor Correction'!F$11,$A97&lt;='Power Factor Correction'!F$12),IF('Power Factor Correction'!F122&gt;0,('Power Factor Correction'!F$23*'PFC Calculations'!$I$3)-'PFC Calculations'!O97,IF('Power Factor Correction'!F$25*'Power Factor Correction'!F$26*'Power Factor Correction'!F$27&gt;0,((('Power Factor Correction'!F$26*'Power Factor Correction'!F$27)/(365*24))*'PFC Calculations'!$I$6*'Power Factor Correction'!F$25),0)),0)</f>
        <v>0</v>
      </c>
      <c r="G97" s="179">
        <f t="shared" si="5"/>
        <v>0</v>
      </c>
      <c r="K97" s="179">
        <f>IF(AND($A97&gt;='Power Factor Correction'!B$11,$A97&lt;='Power Factor Correction'!B$12),IF('Power Factor Correction'!B$31&gt;0,'Data Entry Electricity'!$F124*'PFC Calculations'!$I$3*(TAN(ACOS('Power Factor Correction'!B$31))),IF('Power Factor Correction'!B$46&gt;0,'Power Factor Correction'!B$46*'PFC Calculations'!$I$3,0)),0)</f>
        <v>0</v>
      </c>
      <c r="L97" s="179">
        <f>IF(AND($A97&gt;='Power Factor Correction'!C$11,$A97&lt;='Power Factor Correction'!C$12),IF('Power Factor Correction'!C$31&gt;0,'Data Entry Electricity'!$F124*'PFC Calculations'!$I$3*(TAN(ACOS('Power Factor Correction'!C$31))),IF('Power Factor Correction'!C$46&gt;0,'Power Factor Correction'!C$46*'PFC Calculations'!$I$3,0)),0)</f>
        <v>0</v>
      </c>
      <c r="M97" s="179">
        <f>IF(AND($A97&gt;='Power Factor Correction'!D$11,$A97&lt;='Power Factor Correction'!D$12),IF('Power Factor Correction'!D$31&gt;0,'Data Entry Electricity'!$F124*'PFC Calculations'!$I$3*(TAN(ACOS('Power Factor Correction'!D$31))),IF('Power Factor Correction'!D$46&gt;0,'Power Factor Correction'!D$46*'PFC Calculations'!$I$3,0)),0)</f>
        <v>0</v>
      </c>
      <c r="N97" s="179">
        <f>IF(AND($A97&gt;='Power Factor Correction'!E$11,$A97&lt;='Power Factor Correction'!E$12),IF('Power Factor Correction'!E$31&gt;0,'Data Entry Electricity'!$F124*'PFC Calculations'!$I$3*(TAN(ACOS('Power Factor Correction'!E$31))),IF('Power Factor Correction'!E$46&gt;0,'Power Factor Correction'!E$46*'PFC Calculations'!$I$3,0)),0)</f>
        <v>0</v>
      </c>
      <c r="O97" s="179">
        <f>IF(AND($A97&gt;='Power Factor Correction'!F$11,$A97&lt;='Power Factor Correction'!F$12),IF('Power Factor Correction'!F$31&gt;0,'Data Entry Electricity'!$F124*'PFC Calculations'!$I$3*(TAN(ACOS('Power Factor Correction'!F$31))),IF('Power Factor Correction'!F$46&gt;0,'Power Factor Correction'!F$46*'PFC Calculations'!$I$3,0)),0)</f>
        <v>0</v>
      </c>
      <c r="P97" s="179">
        <f t="shared" si="6"/>
        <v>0</v>
      </c>
    </row>
    <row r="98" spans="1:16" s="179" customFormat="1">
      <c r="A98" s="179" t="s">
        <v>978</v>
      </c>
      <c r="B98" s="179">
        <f>IF(AND($A98&gt;='Power Factor Correction'!B$11,$A98&lt;='Power Factor Correction'!B$12),IF('Power Factor Correction'!B123&gt;0,('Power Factor Correction'!B$23*'PFC Calculations'!$I$3)-'PFC Calculations'!K98,IF('Power Factor Correction'!B$25*'Power Factor Correction'!B$26*'Power Factor Correction'!B$27&gt;0,((('Power Factor Correction'!B$26*'Power Factor Correction'!B$27)/(365*24))*'PFC Calculations'!$I$6*'Power Factor Correction'!B$25),0)),0)</f>
        <v>0</v>
      </c>
      <c r="C98" s="179">
        <f>IF(AND($A98&gt;='Power Factor Correction'!C$11,$A98&lt;='Power Factor Correction'!C$12),IF('Power Factor Correction'!C123&gt;0,('Power Factor Correction'!C$23*'PFC Calculations'!$I$3)-'PFC Calculations'!L98,IF('Power Factor Correction'!C$25*'Power Factor Correction'!C$26*'Power Factor Correction'!C$27&gt;0,((('Power Factor Correction'!C$26*'Power Factor Correction'!C$27)/(365*24))*'PFC Calculations'!$I$6*'Power Factor Correction'!C$25),0)),0)</f>
        <v>0</v>
      </c>
      <c r="D98" s="179">
        <f>IF(AND($A98&gt;='Power Factor Correction'!D$11,$A98&lt;='Power Factor Correction'!D$12),IF('Power Factor Correction'!D123&gt;0,('Power Factor Correction'!D$23*'PFC Calculations'!$I$3)-'PFC Calculations'!M98,IF('Power Factor Correction'!D$25*'Power Factor Correction'!D$26*'Power Factor Correction'!D$27&gt;0,((('Power Factor Correction'!D$26*'Power Factor Correction'!D$27)/(365*24))*'PFC Calculations'!$I$6*'Power Factor Correction'!D$25),0)),0)</f>
        <v>0</v>
      </c>
      <c r="E98" s="179">
        <f>IF(AND($A98&gt;='Power Factor Correction'!E$11,$A98&lt;='Power Factor Correction'!E$12),IF('Power Factor Correction'!E123&gt;0,('Power Factor Correction'!E$23*'PFC Calculations'!$I$3)-'PFC Calculations'!N98,IF('Power Factor Correction'!E$25*'Power Factor Correction'!E$26*'Power Factor Correction'!E$27&gt;0,((('Power Factor Correction'!E$26*'Power Factor Correction'!E$27)/(365*24))*'PFC Calculations'!$I$6*'Power Factor Correction'!E$25),0)),0)</f>
        <v>0</v>
      </c>
      <c r="F98" s="179">
        <f>IF(AND($A98&gt;='Power Factor Correction'!F$11,$A98&lt;='Power Factor Correction'!F$12),IF('Power Factor Correction'!F123&gt;0,('Power Factor Correction'!F$23*'PFC Calculations'!$I$3)-'PFC Calculations'!O98,IF('Power Factor Correction'!F$25*'Power Factor Correction'!F$26*'Power Factor Correction'!F$27&gt;0,((('Power Factor Correction'!F$26*'Power Factor Correction'!F$27)/(365*24))*'PFC Calculations'!$I$6*'Power Factor Correction'!F$25),0)),0)</f>
        <v>0</v>
      </c>
      <c r="G98" s="179">
        <f t="shared" si="5"/>
        <v>0</v>
      </c>
      <c r="K98" s="179">
        <f>IF(AND($A98&gt;='Power Factor Correction'!B$11,$A98&lt;='Power Factor Correction'!B$12),IF('Power Factor Correction'!B$31&gt;0,'Data Entry Electricity'!$F125*'PFC Calculations'!$I$3*(TAN(ACOS('Power Factor Correction'!B$31))),IF('Power Factor Correction'!B$46&gt;0,'Power Factor Correction'!B$46*'PFC Calculations'!$I$3,0)),0)</f>
        <v>0</v>
      </c>
      <c r="L98" s="179">
        <f>IF(AND($A98&gt;='Power Factor Correction'!C$11,$A98&lt;='Power Factor Correction'!C$12),IF('Power Factor Correction'!C$31&gt;0,'Data Entry Electricity'!$F125*'PFC Calculations'!$I$3*(TAN(ACOS('Power Factor Correction'!C$31))),IF('Power Factor Correction'!C$46&gt;0,'Power Factor Correction'!C$46*'PFC Calculations'!$I$3,0)),0)</f>
        <v>0</v>
      </c>
      <c r="M98" s="179">
        <f>IF(AND($A98&gt;='Power Factor Correction'!D$11,$A98&lt;='Power Factor Correction'!D$12),IF('Power Factor Correction'!D$31&gt;0,'Data Entry Electricity'!$F125*'PFC Calculations'!$I$3*(TAN(ACOS('Power Factor Correction'!D$31))),IF('Power Factor Correction'!D$46&gt;0,'Power Factor Correction'!D$46*'PFC Calculations'!$I$3,0)),0)</f>
        <v>0</v>
      </c>
      <c r="N98" s="179">
        <f>IF(AND($A98&gt;='Power Factor Correction'!E$11,$A98&lt;='Power Factor Correction'!E$12),IF('Power Factor Correction'!E$31&gt;0,'Data Entry Electricity'!$F125*'PFC Calculations'!$I$3*(TAN(ACOS('Power Factor Correction'!E$31))),IF('Power Factor Correction'!E$46&gt;0,'Power Factor Correction'!E$46*'PFC Calculations'!$I$3,0)),0)</f>
        <v>0</v>
      </c>
      <c r="O98" s="179">
        <f>IF(AND($A98&gt;='Power Factor Correction'!F$11,$A98&lt;='Power Factor Correction'!F$12),IF('Power Factor Correction'!F$31&gt;0,'Data Entry Electricity'!$F125*'PFC Calculations'!$I$3*(TAN(ACOS('Power Factor Correction'!F$31))),IF('Power Factor Correction'!F$46&gt;0,'Power Factor Correction'!F$46*'PFC Calculations'!$I$3,0)),0)</f>
        <v>0</v>
      </c>
      <c r="P98" s="179">
        <f t="shared" si="6"/>
        <v>0</v>
      </c>
    </row>
    <row r="99" spans="1:16" s="179" customFormat="1">
      <c r="A99" s="179" t="s">
        <v>979</v>
      </c>
      <c r="B99" s="179">
        <f>IF(AND($A99&gt;='Power Factor Correction'!B$11,$A99&lt;='Power Factor Correction'!B$12),IF('Power Factor Correction'!B124&gt;0,('Power Factor Correction'!B$23*'PFC Calculations'!$I$3)-'PFC Calculations'!K99,IF('Power Factor Correction'!B$25*'Power Factor Correction'!B$26*'Power Factor Correction'!B$27&gt;0,((('Power Factor Correction'!B$26*'Power Factor Correction'!B$27)/(365*24))*'PFC Calculations'!$I$6*'Power Factor Correction'!B$25),0)),0)</f>
        <v>0</v>
      </c>
      <c r="C99" s="179">
        <f>IF(AND($A99&gt;='Power Factor Correction'!C$11,$A99&lt;='Power Factor Correction'!C$12),IF('Power Factor Correction'!C124&gt;0,('Power Factor Correction'!C$23*'PFC Calculations'!$I$3)-'PFC Calculations'!L99,IF('Power Factor Correction'!C$25*'Power Factor Correction'!C$26*'Power Factor Correction'!C$27&gt;0,((('Power Factor Correction'!C$26*'Power Factor Correction'!C$27)/(365*24))*'PFC Calculations'!$I$6*'Power Factor Correction'!C$25),0)),0)</f>
        <v>0</v>
      </c>
      <c r="D99" s="179">
        <f>IF(AND($A99&gt;='Power Factor Correction'!D$11,$A99&lt;='Power Factor Correction'!D$12),IF('Power Factor Correction'!D124&gt;0,('Power Factor Correction'!D$23*'PFC Calculations'!$I$3)-'PFC Calculations'!M99,IF('Power Factor Correction'!D$25*'Power Factor Correction'!D$26*'Power Factor Correction'!D$27&gt;0,((('Power Factor Correction'!D$26*'Power Factor Correction'!D$27)/(365*24))*'PFC Calculations'!$I$6*'Power Factor Correction'!D$25),0)),0)</f>
        <v>0</v>
      </c>
      <c r="E99" s="179">
        <f>IF(AND($A99&gt;='Power Factor Correction'!E$11,$A99&lt;='Power Factor Correction'!E$12),IF('Power Factor Correction'!E124&gt;0,('Power Factor Correction'!E$23*'PFC Calculations'!$I$3)-'PFC Calculations'!N99,IF('Power Factor Correction'!E$25*'Power Factor Correction'!E$26*'Power Factor Correction'!E$27&gt;0,((('Power Factor Correction'!E$26*'Power Factor Correction'!E$27)/(365*24))*'PFC Calculations'!$I$6*'Power Factor Correction'!E$25),0)),0)</f>
        <v>0</v>
      </c>
      <c r="F99" s="179">
        <f>IF(AND($A99&gt;='Power Factor Correction'!F$11,$A99&lt;='Power Factor Correction'!F$12),IF('Power Factor Correction'!F124&gt;0,('Power Factor Correction'!F$23*'PFC Calculations'!$I$3)-'PFC Calculations'!O99,IF('Power Factor Correction'!F$25*'Power Factor Correction'!F$26*'Power Factor Correction'!F$27&gt;0,((('Power Factor Correction'!F$26*'Power Factor Correction'!F$27)/(365*24))*'PFC Calculations'!$I$6*'Power Factor Correction'!F$25),0)),0)</f>
        <v>0</v>
      </c>
      <c r="G99" s="179">
        <f t="shared" si="5"/>
        <v>0</v>
      </c>
      <c r="K99" s="179">
        <f>IF(AND($A99&gt;='Power Factor Correction'!B$11,$A99&lt;='Power Factor Correction'!B$12),IF('Power Factor Correction'!B$31&gt;0,'Data Entry Electricity'!$F126*'PFC Calculations'!$I$3*(TAN(ACOS('Power Factor Correction'!B$31))),IF('Power Factor Correction'!B$46&gt;0,'Power Factor Correction'!B$46*'PFC Calculations'!$I$3,0)),0)</f>
        <v>0</v>
      </c>
      <c r="L99" s="179">
        <f>IF(AND($A99&gt;='Power Factor Correction'!C$11,$A99&lt;='Power Factor Correction'!C$12),IF('Power Factor Correction'!C$31&gt;0,'Data Entry Electricity'!$F126*'PFC Calculations'!$I$3*(TAN(ACOS('Power Factor Correction'!C$31))),IF('Power Factor Correction'!C$46&gt;0,'Power Factor Correction'!C$46*'PFC Calculations'!$I$3,0)),0)</f>
        <v>0</v>
      </c>
      <c r="M99" s="179">
        <f>IF(AND($A99&gt;='Power Factor Correction'!D$11,$A99&lt;='Power Factor Correction'!D$12),IF('Power Factor Correction'!D$31&gt;0,'Data Entry Electricity'!$F126*'PFC Calculations'!$I$3*(TAN(ACOS('Power Factor Correction'!D$31))),IF('Power Factor Correction'!D$46&gt;0,'Power Factor Correction'!D$46*'PFC Calculations'!$I$3,0)),0)</f>
        <v>0</v>
      </c>
      <c r="N99" s="179">
        <f>IF(AND($A99&gt;='Power Factor Correction'!E$11,$A99&lt;='Power Factor Correction'!E$12),IF('Power Factor Correction'!E$31&gt;0,'Data Entry Electricity'!$F126*'PFC Calculations'!$I$3*(TAN(ACOS('Power Factor Correction'!E$31))),IF('Power Factor Correction'!E$46&gt;0,'Power Factor Correction'!E$46*'PFC Calculations'!$I$3,0)),0)</f>
        <v>0</v>
      </c>
      <c r="O99" s="179">
        <f>IF(AND($A99&gt;='Power Factor Correction'!F$11,$A99&lt;='Power Factor Correction'!F$12),IF('Power Factor Correction'!F$31&gt;0,'Data Entry Electricity'!$F126*'PFC Calculations'!$I$3*(TAN(ACOS('Power Factor Correction'!F$31))),IF('Power Factor Correction'!F$46&gt;0,'Power Factor Correction'!F$46*'PFC Calculations'!$I$3,0)),0)</f>
        <v>0</v>
      </c>
      <c r="P99" s="179">
        <f t="shared" si="6"/>
        <v>0</v>
      </c>
    </row>
    <row r="100" spans="1:16" s="179" customFormat="1">
      <c r="A100" s="179" t="s">
        <v>980</v>
      </c>
      <c r="B100" s="179">
        <f>IF(AND($A100&gt;='Power Factor Correction'!B$11,$A100&lt;='Power Factor Correction'!B$12),IF('Power Factor Correction'!B125&gt;0,('Power Factor Correction'!B$23*'PFC Calculations'!$I$3)-'PFC Calculations'!K100,IF('Power Factor Correction'!B$25*'Power Factor Correction'!B$26*'Power Factor Correction'!B$27&gt;0,((('Power Factor Correction'!B$26*'Power Factor Correction'!B$27)/(365*24))*'PFC Calculations'!$I$6*'Power Factor Correction'!B$25),0)),0)</f>
        <v>0</v>
      </c>
      <c r="C100" s="179">
        <f>IF(AND($A100&gt;='Power Factor Correction'!C$11,$A100&lt;='Power Factor Correction'!C$12),IF('Power Factor Correction'!C125&gt;0,('Power Factor Correction'!C$23*'PFC Calculations'!$I$3)-'PFC Calculations'!L100,IF('Power Factor Correction'!C$25*'Power Factor Correction'!C$26*'Power Factor Correction'!C$27&gt;0,((('Power Factor Correction'!C$26*'Power Factor Correction'!C$27)/(365*24))*'PFC Calculations'!$I$6*'Power Factor Correction'!C$25),0)),0)</f>
        <v>0</v>
      </c>
      <c r="D100" s="179">
        <f>IF(AND($A100&gt;='Power Factor Correction'!D$11,$A100&lt;='Power Factor Correction'!D$12),IF('Power Factor Correction'!D125&gt;0,('Power Factor Correction'!D$23*'PFC Calculations'!$I$3)-'PFC Calculations'!M100,IF('Power Factor Correction'!D$25*'Power Factor Correction'!D$26*'Power Factor Correction'!D$27&gt;0,((('Power Factor Correction'!D$26*'Power Factor Correction'!D$27)/(365*24))*'PFC Calculations'!$I$6*'Power Factor Correction'!D$25),0)),0)</f>
        <v>0</v>
      </c>
      <c r="E100" s="179">
        <f>IF(AND($A100&gt;='Power Factor Correction'!E$11,$A100&lt;='Power Factor Correction'!E$12),IF('Power Factor Correction'!E125&gt;0,('Power Factor Correction'!E$23*'PFC Calculations'!$I$3)-'PFC Calculations'!N100,IF('Power Factor Correction'!E$25*'Power Factor Correction'!E$26*'Power Factor Correction'!E$27&gt;0,((('Power Factor Correction'!E$26*'Power Factor Correction'!E$27)/(365*24))*'PFC Calculations'!$I$6*'Power Factor Correction'!E$25),0)),0)</f>
        <v>0</v>
      </c>
      <c r="F100" s="179">
        <f>IF(AND($A100&gt;='Power Factor Correction'!F$11,$A100&lt;='Power Factor Correction'!F$12),IF('Power Factor Correction'!F125&gt;0,('Power Factor Correction'!F$23*'PFC Calculations'!$I$3)-'PFC Calculations'!O100,IF('Power Factor Correction'!F$25*'Power Factor Correction'!F$26*'Power Factor Correction'!F$27&gt;0,((('Power Factor Correction'!F$26*'Power Factor Correction'!F$27)/(365*24))*'PFC Calculations'!$I$6*'Power Factor Correction'!F$25),0)),0)</f>
        <v>0</v>
      </c>
      <c r="G100" s="179">
        <f t="shared" si="5"/>
        <v>0</v>
      </c>
      <c r="K100" s="179">
        <f>IF(AND($A100&gt;='Power Factor Correction'!B$11,$A100&lt;='Power Factor Correction'!B$12),IF('Power Factor Correction'!B$31&gt;0,'Data Entry Electricity'!$F127*'PFC Calculations'!$I$3*(TAN(ACOS('Power Factor Correction'!B$31))),IF('Power Factor Correction'!B$46&gt;0,'Power Factor Correction'!B$46*'PFC Calculations'!$I$3,0)),0)</f>
        <v>0</v>
      </c>
      <c r="L100" s="179">
        <f>IF(AND($A100&gt;='Power Factor Correction'!C$11,$A100&lt;='Power Factor Correction'!C$12),IF('Power Factor Correction'!C$31&gt;0,'Data Entry Electricity'!$F127*'PFC Calculations'!$I$3*(TAN(ACOS('Power Factor Correction'!C$31))),IF('Power Factor Correction'!C$46&gt;0,'Power Factor Correction'!C$46*'PFC Calculations'!$I$3,0)),0)</f>
        <v>0</v>
      </c>
      <c r="M100" s="179">
        <f>IF(AND($A100&gt;='Power Factor Correction'!D$11,$A100&lt;='Power Factor Correction'!D$12),IF('Power Factor Correction'!D$31&gt;0,'Data Entry Electricity'!$F127*'PFC Calculations'!$I$3*(TAN(ACOS('Power Factor Correction'!D$31))),IF('Power Factor Correction'!D$46&gt;0,'Power Factor Correction'!D$46*'PFC Calculations'!$I$3,0)),0)</f>
        <v>0</v>
      </c>
      <c r="N100" s="179">
        <f>IF(AND($A100&gt;='Power Factor Correction'!E$11,$A100&lt;='Power Factor Correction'!E$12),IF('Power Factor Correction'!E$31&gt;0,'Data Entry Electricity'!$F127*'PFC Calculations'!$I$3*(TAN(ACOS('Power Factor Correction'!E$31))),IF('Power Factor Correction'!E$46&gt;0,'Power Factor Correction'!E$46*'PFC Calculations'!$I$3,0)),0)</f>
        <v>0</v>
      </c>
      <c r="O100" s="179">
        <f>IF(AND($A100&gt;='Power Factor Correction'!F$11,$A100&lt;='Power Factor Correction'!F$12),IF('Power Factor Correction'!F$31&gt;0,'Data Entry Electricity'!$F127*'PFC Calculations'!$I$3*(TAN(ACOS('Power Factor Correction'!F$31))),IF('Power Factor Correction'!F$46&gt;0,'Power Factor Correction'!F$46*'PFC Calculations'!$I$3,0)),0)</f>
        <v>0</v>
      </c>
      <c r="P100" s="179">
        <f t="shared" si="6"/>
        <v>0</v>
      </c>
    </row>
    <row r="101" spans="1:16" s="179" customFormat="1">
      <c r="A101" s="179" t="s">
        <v>981</v>
      </c>
      <c r="B101" s="179">
        <f>IF(AND($A101&gt;='Power Factor Correction'!B$11,$A101&lt;='Power Factor Correction'!B$12),IF('Power Factor Correction'!B126&gt;0,('Power Factor Correction'!B$23*'PFC Calculations'!$I$3)-'PFC Calculations'!K101,IF('Power Factor Correction'!B$25*'Power Factor Correction'!B$26*'Power Factor Correction'!B$27&gt;0,((('Power Factor Correction'!B$26*'Power Factor Correction'!B$27)/(365*24))*'PFC Calculations'!$I$6*'Power Factor Correction'!B$25),0)),0)</f>
        <v>0</v>
      </c>
      <c r="C101" s="179">
        <f>IF(AND($A101&gt;='Power Factor Correction'!C$11,$A101&lt;='Power Factor Correction'!C$12),IF('Power Factor Correction'!C126&gt;0,('Power Factor Correction'!C$23*'PFC Calculations'!$I$3)-'PFC Calculations'!L101,IF('Power Factor Correction'!C$25*'Power Factor Correction'!C$26*'Power Factor Correction'!C$27&gt;0,((('Power Factor Correction'!C$26*'Power Factor Correction'!C$27)/(365*24))*'PFC Calculations'!$I$6*'Power Factor Correction'!C$25),0)),0)</f>
        <v>0</v>
      </c>
      <c r="D101" s="179">
        <f>IF(AND($A101&gt;='Power Factor Correction'!D$11,$A101&lt;='Power Factor Correction'!D$12),IF('Power Factor Correction'!D126&gt;0,('Power Factor Correction'!D$23*'PFC Calculations'!$I$3)-'PFC Calculations'!M101,IF('Power Factor Correction'!D$25*'Power Factor Correction'!D$26*'Power Factor Correction'!D$27&gt;0,((('Power Factor Correction'!D$26*'Power Factor Correction'!D$27)/(365*24))*'PFC Calculations'!$I$6*'Power Factor Correction'!D$25),0)),0)</f>
        <v>0</v>
      </c>
      <c r="E101" s="179">
        <f>IF(AND($A101&gt;='Power Factor Correction'!E$11,$A101&lt;='Power Factor Correction'!E$12),IF('Power Factor Correction'!E126&gt;0,('Power Factor Correction'!E$23*'PFC Calculations'!$I$3)-'PFC Calculations'!N101,IF('Power Factor Correction'!E$25*'Power Factor Correction'!E$26*'Power Factor Correction'!E$27&gt;0,((('Power Factor Correction'!E$26*'Power Factor Correction'!E$27)/(365*24))*'PFC Calculations'!$I$6*'Power Factor Correction'!E$25),0)),0)</f>
        <v>0</v>
      </c>
      <c r="F101" s="179">
        <f>IF(AND($A101&gt;='Power Factor Correction'!F$11,$A101&lt;='Power Factor Correction'!F$12),IF('Power Factor Correction'!F126&gt;0,('Power Factor Correction'!F$23*'PFC Calculations'!$I$3)-'PFC Calculations'!O101,IF('Power Factor Correction'!F$25*'Power Factor Correction'!F$26*'Power Factor Correction'!F$27&gt;0,((('Power Factor Correction'!F$26*'Power Factor Correction'!F$27)/(365*24))*'PFC Calculations'!$I$6*'Power Factor Correction'!F$25),0)),0)</f>
        <v>0</v>
      </c>
      <c r="G101" s="179">
        <f t="shared" si="5"/>
        <v>0</v>
      </c>
      <c r="K101" s="179">
        <f>IF(AND($A101&gt;='Power Factor Correction'!B$11,$A101&lt;='Power Factor Correction'!B$12),IF('Power Factor Correction'!B$31&gt;0,'Data Entry Electricity'!$F128*'PFC Calculations'!$I$3*(TAN(ACOS('Power Factor Correction'!B$31))),IF('Power Factor Correction'!B$46&gt;0,'Power Factor Correction'!B$46*'PFC Calculations'!$I$3,0)),0)</f>
        <v>0</v>
      </c>
      <c r="L101" s="179">
        <f>IF(AND($A101&gt;='Power Factor Correction'!C$11,$A101&lt;='Power Factor Correction'!C$12),IF('Power Factor Correction'!C$31&gt;0,'Data Entry Electricity'!$F128*'PFC Calculations'!$I$3*(TAN(ACOS('Power Factor Correction'!C$31))),IF('Power Factor Correction'!C$46&gt;0,'Power Factor Correction'!C$46*'PFC Calculations'!$I$3,0)),0)</f>
        <v>0</v>
      </c>
      <c r="M101" s="179">
        <f>IF(AND($A101&gt;='Power Factor Correction'!D$11,$A101&lt;='Power Factor Correction'!D$12),IF('Power Factor Correction'!D$31&gt;0,'Data Entry Electricity'!$F128*'PFC Calculations'!$I$3*(TAN(ACOS('Power Factor Correction'!D$31))),IF('Power Factor Correction'!D$46&gt;0,'Power Factor Correction'!D$46*'PFC Calculations'!$I$3,0)),0)</f>
        <v>0</v>
      </c>
      <c r="N101" s="179">
        <f>IF(AND($A101&gt;='Power Factor Correction'!E$11,$A101&lt;='Power Factor Correction'!E$12),IF('Power Factor Correction'!E$31&gt;0,'Data Entry Electricity'!$F128*'PFC Calculations'!$I$3*(TAN(ACOS('Power Factor Correction'!E$31))),IF('Power Factor Correction'!E$46&gt;0,'Power Factor Correction'!E$46*'PFC Calculations'!$I$3,0)),0)</f>
        <v>0</v>
      </c>
      <c r="O101" s="179">
        <f>IF(AND($A101&gt;='Power Factor Correction'!F$11,$A101&lt;='Power Factor Correction'!F$12),IF('Power Factor Correction'!F$31&gt;0,'Data Entry Electricity'!$F128*'PFC Calculations'!$I$3*(TAN(ACOS('Power Factor Correction'!F$31))),IF('Power Factor Correction'!F$46&gt;0,'Power Factor Correction'!F$46*'PFC Calculations'!$I$3,0)),0)</f>
        <v>0</v>
      </c>
      <c r="P101" s="179">
        <f t="shared" si="6"/>
        <v>0</v>
      </c>
    </row>
    <row r="102" spans="1:16" s="179" customFormat="1">
      <c r="A102" s="179" t="s">
        <v>982</v>
      </c>
      <c r="B102" s="179">
        <f>IF(AND($A102&gt;='Power Factor Correction'!B$11,$A102&lt;='Power Factor Correction'!B$12),IF('Power Factor Correction'!B127&gt;0,('Power Factor Correction'!B$23*'PFC Calculations'!$I$3)-'PFC Calculations'!K102,IF('Power Factor Correction'!B$25*'Power Factor Correction'!B$26*'Power Factor Correction'!B$27&gt;0,((('Power Factor Correction'!B$26*'Power Factor Correction'!B$27)/(365*24))*'PFC Calculations'!$I$6*'Power Factor Correction'!B$25),0)),0)</f>
        <v>0</v>
      </c>
      <c r="C102" s="179">
        <f>IF(AND($A102&gt;='Power Factor Correction'!C$11,$A102&lt;='Power Factor Correction'!C$12),IF('Power Factor Correction'!C127&gt;0,('Power Factor Correction'!C$23*'PFC Calculations'!$I$3)-'PFC Calculations'!L102,IF('Power Factor Correction'!C$25*'Power Factor Correction'!C$26*'Power Factor Correction'!C$27&gt;0,((('Power Factor Correction'!C$26*'Power Factor Correction'!C$27)/(365*24))*'PFC Calculations'!$I$6*'Power Factor Correction'!C$25),0)),0)</f>
        <v>0</v>
      </c>
      <c r="D102" s="179">
        <f>IF(AND($A102&gt;='Power Factor Correction'!D$11,$A102&lt;='Power Factor Correction'!D$12),IF('Power Factor Correction'!D127&gt;0,('Power Factor Correction'!D$23*'PFC Calculations'!$I$3)-'PFC Calculations'!M102,IF('Power Factor Correction'!D$25*'Power Factor Correction'!D$26*'Power Factor Correction'!D$27&gt;0,((('Power Factor Correction'!D$26*'Power Factor Correction'!D$27)/(365*24))*'PFC Calculations'!$I$6*'Power Factor Correction'!D$25),0)),0)</f>
        <v>0</v>
      </c>
      <c r="E102" s="179">
        <f>IF(AND($A102&gt;='Power Factor Correction'!E$11,$A102&lt;='Power Factor Correction'!E$12),IF('Power Factor Correction'!E127&gt;0,('Power Factor Correction'!E$23*'PFC Calculations'!$I$3)-'PFC Calculations'!N102,IF('Power Factor Correction'!E$25*'Power Factor Correction'!E$26*'Power Factor Correction'!E$27&gt;0,((('Power Factor Correction'!E$26*'Power Factor Correction'!E$27)/(365*24))*'PFC Calculations'!$I$6*'Power Factor Correction'!E$25),0)),0)</f>
        <v>0</v>
      </c>
      <c r="F102" s="179">
        <f>IF(AND($A102&gt;='Power Factor Correction'!F$11,$A102&lt;='Power Factor Correction'!F$12),IF('Power Factor Correction'!F127&gt;0,('Power Factor Correction'!F$23*'PFC Calculations'!$I$3)-'PFC Calculations'!O102,IF('Power Factor Correction'!F$25*'Power Factor Correction'!F$26*'Power Factor Correction'!F$27&gt;0,((('Power Factor Correction'!F$26*'Power Factor Correction'!F$27)/(365*24))*'PFC Calculations'!$I$6*'Power Factor Correction'!F$25),0)),0)</f>
        <v>0</v>
      </c>
      <c r="G102" s="179">
        <f t="shared" si="5"/>
        <v>0</v>
      </c>
      <c r="K102" s="179">
        <f>IF(AND($A102&gt;='Power Factor Correction'!B$11,$A102&lt;='Power Factor Correction'!B$12),IF('Power Factor Correction'!B$31&gt;0,'Data Entry Electricity'!$F129*'PFC Calculations'!$I$3*(TAN(ACOS('Power Factor Correction'!B$31))),IF('Power Factor Correction'!B$46&gt;0,'Power Factor Correction'!B$46*'PFC Calculations'!$I$3,0)),0)</f>
        <v>0</v>
      </c>
      <c r="L102" s="179">
        <f>IF(AND($A102&gt;='Power Factor Correction'!C$11,$A102&lt;='Power Factor Correction'!C$12),IF('Power Factor Correction'!C$31&gt;0,'Data Entry Electricity'!$F129*'PFC Calculations'!$I$3*(TAN(ACOS('Power Factor Correction'!C$31))),IF('Power Factor Correction'!C$46&gt;0,'Power Factor Correction'!C$46*'PFC Calculations'!$I$3,0)),0)</f>
        <v>0</v>
      </c>
      <c r="M102" s="179">
        <f>IF(AND($A102&gt;='Power Factor Correction'!D$11,$A102&lt;='Power Factor Correction'!D$12),IF('Power Factor Correction'!D$31&gt;0,'Data Entry Electricity'!$F129*'PFC Calculations'!$I$3*(TAN(ACOS('Power Factor Correction'!D$31))),IF('Power Factor Correction'!D$46&gt;0,'Power Factor Correction'!D$46*'PFC Calculations'!$I$3,0)),0)</f>
        <v>0</v>
      </c>
      <c r="N102" s="179">
        <f>IF(AND($A102&gt;='Power Factor Correction'!E$11,$A102&lt;='Power Factor Correction'!E$12),IF('Power Factor Correction'!E$31&gt;0,'Data Entry Electricity'!$F129*'PFC Calculations'!$I$3*(TAN(ACOS('Power Factor Correction'!E$31))),IF('Power Factor Correction'!E$46&gt;0,'Power Factor Correction'!E$46*'PFC Calculations'!$I$3,0)),0)</f>
        <v>0</v>
      </c>
      <c r="O102" s="179">
        <f>IF(AND($A102&gt;='Power Factor Correction'!F$11,$A102&lt;='Power Factor Correction'!F$12),IF('Power Factor Correction'!F$31&gt;0,'Data Entry Electricity'!$F129*'PFC Calculations'!$I$3*(TAN(ACOS('Power Factor Correction'!F$31))),IF('Power Factor Correction'!F$46&gt;0,'Power Factor Correction'!F$46*'PFC Calculations'!$I$3,0)),0)</f>
        <v>0</v>
      </c>
      <c r="P102" s="179">
        <f t="shared" si="6"/>
        <v>0</v>
      </c>
    </row>
    <row r="103" spans="1:16" s="179" customFormat="1">
      <c r="A103" s="179" t="s">
        <v>983</v>
      </c>
      <c r="B103" s="179">
        <f>IF(AND($A103&gt;='Power Factor Correction'!B$11,$A103&lt;='Power Factor Correction'!B$12),IF('Power Factor Correction'!B128&gt;0,('Power Factor Correction'!B$23*'PFC Calculations'!$I$3)-'PFC Calculations'!K103,IF('Power Factor Correction'!B$25*'Power Factor Correction'!B$26*'Power Factor Correction'!B$27&gt;0,((('Power Factor Correction'!B$26*'Power Factor Correction'!B$27)/(365*24))*'PFC Calculations'!$I$6*'Power Factor Correction'!B$25),0)),0)</f>
        <v>0</v>
      </c>
      <c r="C103" s="179">
        <f>IF(AND($A103&gt;='Power Factor Correction'!C$11,$A103&lt;='Power Factor Correction'!C$12),IF('Power Factor Correction'!C128&gt;0,('Power Factor Correction'!C$23*'PFC Calculations'!$I$3)-'PFC Calculations'!L103,IF('Power Factor Correction'!C$25*'Power Factor Correction'!C$26*'Power Factor Correction'!C$27&gt;0,((('Power Factor Correction'!C$26*'Power Factor Correction'!C$27)/(365*24))*'PFC Calculations'!$I$6*'Power Factor Correction'!C$25),0)),0)</f>
        <v>0</v>
      </c>
      <c r="D103" s="179">
        <f>IF(AND($A103&gt;='Power Factor Correction'!D$11,$A103&lt;='Power Factor Correction'!D$12),IF('Power Factor Correction'!D128&gt;0,('Power Factor Correction'!D$23*'PFC Calculations'!$I$3)-'PFC Calculations'!M103,IF('Power Factor Correction'!D$25*'Power Factor Correction'!D$26*'Power Factor Correction'!D$27&gt;0,((('Power Factor Correction'!D$26*'Power Factor Correction'!D$27)/(365*24))*'PFC Calculations'!$I$6*'Power Factor Correction'!D$25),0)),0)</f>
        <v>0</v>
      </c>
      <c r="E103" s="179">
        <f>IF(AND($A103&gt;='Power Factor Correction'!E$11,$A103&lt;='Power Factor Correction'!E$12),IF('Power Factor Correction'!E128&gt;0,('Power Factor Correction'!E$23*'PFC Calculations'!$I$3)-'PFC Calculations'!N103,IF('Power Factor Correction'!E$25*'Power Factor Correction'!E$26*'Power Factor Correction'!E$27&gt;0,((('Power Factor Correction'!E$26*'Power Factor Correction'!E$27)/(365*24))*'PFC Calculations'!$I$6*'Power Factor Correction'!E$25),0)),0)</f>
        <v>0</v>
      </c>
      <c r="F103" s="179">
        <f>IF(AND($A103&gt;='Power Factor Correction'!F$11,$A103&lt;='Power Factor Correction'!F$12),IF('Power Factor Correction'!F128&gt;0,('Power Factor Correction'!F$23*'PFC Calculations'!$I$3)-'PFC Calculations'!O103,IF('Power Factor Correction'!F$25*'Power Factor Correction'!F$26*'Power Factor Correction'!F$27&gt;0,((('Power Factor Correction'!F$26*'Power Factor Correction'!F$27)/(365*24))*'PFC Calculations'!$I$6*'Power Factor Correction'!F$25),0)),0)</f>
        <v>0</v>
      </c>
      <c r="G103" s="179">
        <f t="shared" si="5"/>
        <v>0</v>
      </c>
      <c r="K103" s="179">
        <f>IF(AND($A103&gt;='Power Factor Correction'!B$11,$A103&lt;='Power Factor Correction'!B$12),IF('Power Factor Correction'!B$31&gt;0,'Data Entry Electricity'!$F130*'PFC Calculations'!$I$3*(TAN(ACOS('Power Factor Correction'!B$31))),IF('Power Factor Correction'!B$46&gt;0,'Power Factor Correction'!B$46*'PFC Calculations'!$I$3,0)),0)</f>
        <v>0</v>
      </c>
      <c r="L103" s="179">
        <f>IF(AND($A103&gt;='Power Factor Correction'!C$11,$A103&lt;='Power Factor Correction'!C$12),IF('Power Factor Correction'!C$31&gt;0,'Data Entry Electricity'!$F130*'PFC Calculations'!$I$3*(TAN(ACOS('Power Factor Correction'!C$31))),IF('Power Factor Correction'!C$46&gt;0,'Power Factor Correction'!C$46*'PFC Calculations'!$I$3,0)),0)</f>
        <v>0</v>
      </c>
      <c r="M103" s="179">
        <f>IF(AND($A103&gt;='Power Factor Correction'!D$11,$A103&lt;='Power Factor Correction'!D$12),IF('Power Factor Correction'!D$31&gt;0,'Data Entry Electricity'!$F130*'PFC Calculations'!$I$3*(TAN(ACOS('Power Factor Correction'!D$31))),IF('Power Factor Correction'!D$46&gt;0,'Power Factor Correction'!D$46*'PFC Calculations'!$I$3,0)),0)</f>
        <v>0</v>
      </c>
      <c r="N103" s="179">
        <f>IF(AND($A103&gt;='Power Factor Correction'!E$11,$A103&lt;='Power Factor Correction'!E$12),IF('Power Factor Correction'!E$31&gt;0,'Data Entry Electricity'!$F130*'PFC Calculations'!$I$3*(TAN(ACOS('Power Factor Correction'!E$31))),IF('Power Factor Correction'!E$46&gt;0,'Power Factor Correction'!E$46*'PFC Calculations'!$I$3,0)),0)</f>
        <v>0</v>
      </c>
      <c r="O103" s="179">
        <f>IF(AND($A103&gt;='Power Factor Correction'!F$11,$A103&lt;='Power Factor Correction'!F$12),IF('Power Factor Correction'!F$31&gt;0,'Data Entry Electricity'!$F130*'PFC Calculations'!$I$3*(TAN(ACOS('Power Factor Correction'!F$31))),IF('Power Factor Correction'!F$46&gt;0,'Power Factor Correction'!F$46*'PFC Calculations'!$I$3,0)),0)</f>
        <v>0</v>
      </c>
      <c r="P103" s="179">
        <f t="shared" si="6"/>
        <v>0</v>
      </c>
    </row>
    <row r="104" spans="1:16" s="179" customFormat="1">
      <c r="A104" s="179" t="s">
        <v>984</v>
      </c>
      <c r="B104" s="179">
        <f>IF(AND($A104&gt;='Power Factor Correction'!B$11,$A104&lt;='Power Factor Correction'!B$12),IF('Power Factor Correction'!B129&gt;0,('Power Factor Correction'!B$23*'PFC Calculations'!$I$3)-'PFC Calculations'!K104,IF('Power Factor Correction'!B$25*'Power Factor Correction'!B$26*'Power Factor Correction'!B$27&gt;0,((('Power Factor Correction'!B$26*'Power Factor Correction'!B$27)/(365*24))*'PFC Calculations'!$I$6*'Power Factor Correction'!B$25),0)),0)</f>
        <v>0</v>
      </c>
      <c r="C104" s="179">
        <f>IF(AND($A104&gt;='Power Factor Correction'!C$11,$A104&lt;='Power Factor Correction'!C$12),IF('Power Factor Correction'!C129&gt;0,('Power Factor Correction'!C$23*'PFC Calculations'!$I$3)-'PFC Calculations'!L104,IF('Power Factor Correction'!C$25*'Power Factor Correction'!C$26*'Power Factor Correction'!C$27&gt;0,((('Power Factor Correction'!C$26*'Power Factor Correction'!C$27)/(365*24))*'PFC Calculations'!$I$6*'Power Factor Correction'!C$25),0)),0)</f>
        <v>0</v>
      </c>
      <c r="D104" s="179">
        <f>IF(AND($A104&gt;='Power Factor Correction'!D$11,$A104&lt;='Power Factor Correction'!D$12),IF('Power Factor Correction'!D129&gt;0,('Power Factor Correction'!D$23*'PFC Calculations'!$I$3)-'PFC Calculations'!M104,IF('Power Factor Correction'!D$25*'Power Factor Correction'!D$26*'Power Factor Correction'!D$27&gt;0,((('Power Factor Correction'!D$26*'Power Factor Correction'!D$27)/(365*24))*'PFC Calculations'!$I$6*'Power Factor Correction'!D$25),0)),0)</f>
        <v>0</v>
      </c>
      <c r="E104" s="179">
        <f>IF(AND($A104&gt;='Power Factor Correction'!E$11,$A104&lt;='Power Factor Correction'!E$12),IF('Power Factor Correction'!E129&gt;0,('Power Factor Correction'!E$23*'PFC Calculations'!$I$3)-'PFC Calculations'!N104,IF('Power Factor Correction'!E$25*'Power Factor Correction'!E$26*'Power Factor Correction'!E$27&gt;0,((('Power Factor Correction'!E$26*'Power Factor Correction'!E$27)/(365*24))*'PFC Calculations'!$I$6*'Power Factor Correction'!E$25),0)),0)</f>
        <v>0</v>
      </c>
      <c r="F104" s="179">
        <f>IF(AND($A104&gt;='Power Factor Correction'!F$11,$A104&lt;='Power Factor Correction'!F$12),IF('Power Factor Correction'!F129&gt;0,('Power Factor Correction'!F$23*'PFC Calculations'!$I$3)-'PFC Calculations'!O104,IF('Power Factor Correction'!F$25*'Power Factor Correction'!F$26*'Power Factor Correction'!F$27&gt;0,((('Power Factor Correction'!F$26*'Power Factor Correction'!F$27)/(365*24))*'PFC Calculations'!$I$6*'Power Factor Correction'!F$25),0)),0)</f>
        <v>0</v>
      </c>
      <c r="G104" s="179">
        <f t="shared" si="5"/>
        <v>0</v>
      </c>
      <c r="K104" s="179">
        <f>IF(AND($A104&gt;='Power Factor Correction'!B$11,$A104&lt;='Power Factor Correction'!B$12),IF('Power Factor Correction'!B$31&gt;0,'Data Entry Electricity'!$F131*'PFC Calculations'!$I$3*(TAN(ACOS('Power Factor Correction'!B$31))),IF('Power Factor Correction'!B$46&gt;0,'Power Factor Correction'!B$46*'PFC Calculations'!$I$3,0)),0)</f>
        <v>0</v>
      </c>
      <c r="L104" s="179">
        <f>IF(AND($A104&gt;='Power Factor Correction'!C$11,$A104&lt;='Power Factor Correction'!C$12),IF('Power Factor Correction'!C$31&gt;0,'Data Entry Electricity'!$F131*'PFC Calculations'!$I$3*(TAN(ACOS('Power Factor Correction'!C$31))),IF('Power Factor Correction'!C$46&gt;0,'Power Factor Correction'!C$46*'PFC Calculations'!$I$3,0)),0)</f>
        <v>0</v>
      </c>
      <c r="M104" s="179">
        <f>IF(AND($A104&gt;='Power Factor Correction'!D$11,$A104&lt;='Power Factor Correction'!D$12),IF('Power Factor Correction'!D$31&gt;0,'Data Entry Electricity'!$F131*'PFC Calculations'!$I$3*(TAN(ACOS('Power Factor Correction'!D$31))),IF('Power Factor Correction'!D$46&gt;0,'Power Factor Correction'!D$46*'PFC Calculations'!$I$3,0)),0)</f>
        <v>0</v>
      </c>
      <c r="N104" s="179">
        <f>IF(AND($A104&gt;='Power Factor Correction'!E$11,$A104&lt;='Power Factor Correction'!E$12),IF('Power Factor Correction'!E$31&gt;0,'Data Entry Electricity'!$F131*'PFC Calculations'!$I$3*(TAN(ACOS('Power Factor Correction'!E$31))),IF('Power Factor Correction'!E$46&gt;0,'Power Factor Correction'!E$46*'PFC Calculations'!$I$3,0)),0)</f>
        <v>0</v>
      </c>
      <c r="O104" s="179">
        <f>IF(AND($A104&gt;='Power Factor Correction'!F$11,$A104&lt;='Power Factor Correction'!F$12),IF('Power Factor Correction'!F$31&gt;0,'Data Entry Electricity'!$F131*'PFC Calculations'!$I$3*(TAN(ACOS('Power Factor Correction'!F$31))),IF('Power Factor Correction'!F$46&gt;0,'Power Factor Correction'!F$46*'PFC Calculations'!$I$3,0)),0)</f>
        <v>0</v>
      </c>
      <c r="P104" s="179">
        <f t="shared" si="6"/>
        <v>0</v>
      </c>
    </row>
    <row r="105" spans="1:16" s="179" customFormat="1">
      <c r="A105" s="179" t="s">
        <v>985</v>
      </c>
      <c r="B105" s="179">
        <f>IF(AND($A105&gt;='Power Factor Correction'!B$11,$A105&lt;='Power Factor Correction'!B$12),IF('Power Factor Correction'!B130&gt;0,('Power Factor Correction'!B$23*'PFC Calculations'!$I$3)-'PFC Calculations'!K105,IF('Power Factor Correction'!B$25*'Power Factor Correction'!B$26*'Power Factor Correction'!B$27&gt;0,((('Power Factor Correction'!B$26*'Power Factor Correction'!B$27)/(365*24))*'PFC Calculations'!$I$6*'Power Factor Correction'!B$25),0)),0)</f>
        <v>0</v>
      </c>
      <c r="C105" s="179">
        <f>IF(AND($A105&gt;='Power Factor Correction'!C$11,$A105&lt;='Power Factor Correction'!C$12),IF('Power Factor Correction'!C130&gt;0,('Power Factor Correction'!C$23*'PFC Calculations'!$I$3)-'PFC Calculations'!L105,IF('Power Factor Correction'!C$25*'Power Factor Correction'!C$26*'Power Factor Correction'!C$27&gt;0,((('Power Factor Correction'!C$26*'Power Factor Correction'!C$27)/(365*24))*'PFC Calculations'!$I$6*'Power Factor Correction'!C$25),0)),0)</f>
        <v>0</v>
      </c>
      <c r="D105" s="179">
        <f>IF(AND($A105&gt;='Power Factor Correction'!D$11,$A105&lt;='Power Factor Correction'!D$12),IF('Power Factor Correction'!D130&gt;0,('Power Factor Correction'!D$23*'PFC Calculations'!$I$3)-'PFC Calculations'!M105,IF('Power Factor Correction'!D$25*'Power Factor Correction'!D$26*'Power Factor Correction'!D$27&gt;0,((('Power Factor Correction'!D$26*'Power Factor Correction'!D$27)/(365*24))*'PFC Calculations'!$I$6*'Power Factor Correction'!D$25),0)),0)</f>
        <v>0</v>
      </c>
      <c r="E105" s="179">
        <f>IF(AND($A105&gt;='Power Factor Correction'!E$11,$A105&lt;='Power Factor Correction'!E$12),IF('Power Factor Correction'!E130&gt;0,('Power Factor Correction'!E$23*'PFC Calculations'!$I$3)-'PFC Calculations'!N105,IF('Power Factor Correction'!E$25*'Power Factor Correction'!E$26*'Power Factor Correction'!E$27&gt;0,((('Power Factor Correction'!E$26*'Power Factor Correction'!E$27)/(365*24))*'PFC Calculations'!$I$6*'Power Factor Correction'!E$25),0)),0)</f>
        <v>0</v>
      </c>
      <c r="F105" s="179">
        <f>IF(AND($A105&gt;='Power Factor Correction'!F$11,$A105&lt;='Power Factor Correction'!F$12),IF('Power Factor Correction'!F130&gt;0,('Power Factor Correction'!F$23*'PFC Calculations'!$I$3)-'PFC Calculations'!O105,IF('Power Factor Correction'!F$25*'Power Factor Correction'!F$26*'Power Factor Correction'!F$27&gt;0,((('Power Factor Correction'!F$26*'Power Factor Correction'!F$27)/(365*24))*'PFC Calculations'!$I$6*'Power Factor Correction'!F$25),0)),0)</f>
        <v>0</v>
      </c>
      <c r="G105" s="179">
        <f t="shared" si="5"/>
        <v>0</v>
      </c>
      <c r="K105" s="179">
        <f>IF(AND($A105&gt;='Power Factor Correction'!B$11,$A105&lt;='Power Factor Correction'!B$12),IF('Power Factor Correction'!B$31&gt;0,'Data Entry Electricity'!$F132*'PFC Calculations'!$I$3*(TAN(ACOS('Power Factor Correction'!B$31))),IF('Power Factor Correction'!B$46&gt;0,'Power Factor Correction'!B$46*'PFC Calculations'!$I$3,0)),0)</f>
        <v>0</v>
      </c>
      <c r="L105" s="179">
        <f>IF(AND($A105&gt;='Power Factor Correction'!C$11,$A105&lt;='Power Factor Correction'!C$12),IF('Power Factor Correction'!C$31&gt;0,'Data Entry Electricity'!$F132*'PFC Calculations'!$I$3*(TAN(ACOS('Power Factor Correction'!C$31))),IF('Power Factor Correction'!C$46&gt;0,'Power Factor Correction'!C$46*'PFC Calculations'!$I$3,0)),0)</f>
        <v>0</v>
      </c>
      <c r="M105" s="179">
        <f>IF(AND($A105&gt;='Power Factor Correction'!D$11,$A105&lt;='Power Factor Correction'!D$12),IF('Power Factor Correction'!D$31&gt;0,'Data Entry Electricity'!$F132*'PFC Calculations'!$I$3*(TAN(ACOS('Power Factor Correction'!D$31))),IF('Power Factor Correction'!D$46&gt;0,'Power Factor Correction'!D$46*'PFC Calculations'!$I$3,0)),0)</f>
        <v>0</v>
      </c>
      <c r="N105" s="179">
        <f>IF(AND($A105&gt;='Power Factor Correction'!E$11,$A105&lt;='Power Factor Correction'!E$12),IF('Power Factor Correction'!E$31&gt;0,'Data Entry Electricity'!$F132*'PFC Calculations'!$I$3*(TAN(ACOS('Power Factor Correction'!E$31))),IF('Power Factor Correction'!E$46&gt;0,'Power Factor Correction'!E$46*'PFC Calculations'!$I$3,0)),0)</f>
        <v>0</v>
      </c>
      <c r="O105" s="179">
        <f>IF(AND($A105&gt;='Power Factor Correction'!F$11,$A105&lt;='Power Factor Correction'!F$12),IF('Power Factor Correction'!F$31&gt;0,'Data Entry Electricity'!$F132*'PFC Calculations'!$I$3*(TAN(ACOS('Power Factor Correction'!F$31))),IF('Power Factor Correction'!F$46&gt;0,'Power Factor Correction'!F$46*'PFC Calculations'!$I$3,0)),0)</f>
        <v>0</v>
      </c>
      <c r="P105" s="179">
        <f t="shared" si="6"/>
        <v>0</v>
      </c>
    </row>
    <row r="106" spans="1:16" s="179" customFormat="1">
      <c r="A106" s="179" t="s">
        <v>986</v>
      </c>
      <c r="B106" s="179">
        <f>IF(AND($A106&gt;='Power Factor Correction'!B$11,$A106&lt;='Power Factor Correction'!B$12),IF('Power Factor Correction'!B131&gt;0,('Power Factor Correction'!B$23*'PFC Calculations'!$I$3)-'PFC Calculations'!K106,IF('Power Factor Correction'!B$25*'Power Factor Correction'!B$26*'Power Factor Correction'!B$27&gt;0,((('Power Factor Correction'!B$26*'Power Factor Correction'!B$27)/(365*24))*'PFC Calculations'!$I$6*'Power Factor Correction'!B$25),0)),0)</f>
        <v>0</v>
      </c>
      <c r="C106" s="179">
        <f>IF(AND($A106&gt;='Power Factor Correction'!C$11,$A106&lt;='Power Factor Correction'!C$12),IF('Power Factor Correction'!C131&gt;0,('Power Factor Correction'!C$23*'PFC Calculations'!$I$3)-'PFC Calculations'!L106,IF('Power Factor Correction'!C$25*'Power Factor Correction'!C$26*'Power Factor Correction'!C$27&gt;0,((('Power Factor Correction'!C$26*'Power Factor Correction'!C$27)/(365*24))*'PFC Calculations'!$I$6*'Power Factor Correction'!C$25),0)),0)</f>
        <v>0</v>
      </c>
      <c r="D106" s="179">
        <f>IF(AND($A106&gt;='Power Factor Correction'!D$11,$A106&lt;='Power Factor Correction'!D$12),IF('Power Factor Correction'!D131&gt;0,('Power Factor Correction'!D$23*'PFC Calculations'!$I$3)-'PFC Calculations'!M106,IF('Power Factor Correction'!D$25*'Power Factor Correction'!D$26*'Power Factor Correction'!D$27&gt;0,((('Power Factor Correction'!D$26*'Power Factor Correction'!D$27)/(365*24))*'PFC Calculations'!$I$6*'Power Factor Correction'!D$25),0)),0)</f>
        <v>0</v>
      </c>
      <c r="E106" s="179">
        <f>IF(AND($A106&gt;='Power Factor Correction'!E$11,$A106&lt;='Power Factor Correction'!E$12),IF('Power Factor Correction'!E131&gt;0,('Power Factor Correction'!E$23*'PFC Calculations'!$I$3)-'PFC Calculations'!N106,IF('Power Factor Correction'!E$25*'Power Factor Correction'!E$26*'Power Factor Correction'!E$27&gt;0,((('Power Factor Correction'!E$26*'Power Factor Correction'!E$27)/(365*24))*'PFC Calculations'!$I$6*'Power Factor Correction'!E$25),0)),0)</f>
        <v>0</v>
      </c>
      <c r="F106" s="179">
        <f>IF(AND($A106&gt;='Power Factor Correction'!F$11,$A106&lt;='Power Factor Correction'!F$12),IF('Power Factor Correction'!F131&gt;0,('Power Factor Correction'!F$23*'PFC Calculations'!$I$3)-'PFC Calculations'!O106,IF('Power Factor Correction'!F$25*'Power Factor Correction'!F$26*'Power Factor Correction'!F$27&gt;0,((('Power Factor Correction'!F$26*'Power Factor Correction'!F$27)/(365*24))*'PFC Calculations'!$I$6*'Power Factor Correction'!F$25),0)),0)</f>
        <v>0</v>
      </c>
      <c r="G106" s="179">
        <f t="shared" si="5"/>
        <v>0</v>
      </c>
      <c r="K106" s="179">
        <f>IF(AND($A106&gt;='Power Factor Correction'!B$11,$A106&lt;='Power Factor Correction'!B$12),IF('Power Factor Correction'!B$31&gt;0,'Data Entry Electricity'!$F133*'PFC Calculations'!$I$3*(TAN(ACOS('Power Factor Correction'!B$31))),IF('Power Factor Correction'!B$46&gt;0,'Power Factor Correction'!B$46*'PFC Calculations'!$I$3,0)),0)</f>
        <v>0</v>
      </c>
      <c r="L106" s="179">
        <f>IF(AND($A106&gt;='Power Factor Correction'!C$11,$A106&lt;='Power Factor Correction'!C$12),IF('Power Factor Correction'!C$31&gt;0,'Data Entry Electricity'!$F133*'PFC Calculations'!$I$3*(TAN(ACOS('Power Factor Correction'!C$31))),IF('Power Factor Correction'!C$46&gt;0,'Power Factor Correction'!C$46*'PFC Calculations'!$I$3,0)),0)</f>
        <v>0</v>
      </c>
      <c r="M106" s="179">
        <f>IF(AND($A106&gt;='Power Factor Correction'!D$11,$A106&lt;='Power Factor Correction'!D$12),IF('Power Factor Correction'!D$31&gt;0,'Data Entry Electricity'!$F133*'PFC Calculations'!$I$3*(TAN(ACOS('Power Factor Correction'!D$31))),IF('Power Factor Correction'!D$46&gt;0,'Power Factor Correction'!D$46*'PFC Calculations'!$I$3,0)),0)</f>
        <v>0</v>
      </c>
      <c r="N106" s="179">
        <f>IF(AND($A106&gt;='Power Factor Correction'!E$11,$A106&lt;='Power Factor Correction'!E$12),IF('Power Factor Correction'!E$31&gt;0,'Data Entry Electricity'!$F133*'PFC Calculations'!$I$3*(TAN(ACOS('Power Factor Correction'!E$31))),IF('Power Factor Correction'!E$46&gt;0,'Power Factor Correction'!E$46*'PFC Calculations'!$I$3,0)),0)</f>
        <v>0</v>
      </c>
      <c r="O106" s="179">
        <f>IF(AND($A106&gt;='Power Factor Correction'!F$11,$A106&lt;='Power Factor Correction'!F$12),IF('Power Factor Correction'!F$31&gt;0,'Data Entry Electricity'!$F133*'PFC Calculations'!$I$3*(TAN(ACOS('Power Factor Correction'!F$31))),IF('Power Factor Correction'!F$46&gt;0,'Power Factor Correction'!F$46*'PFC Calculations'!$I$3,0)),0)</f>
        <v>0</v>
      </c>
      <c r="P106" s="179">
        <f t="shared" si="6"/>
        <v>0</v>
      </c>
    </row>
    <row r="107" spans="1:16" s="179" customFormat="1">
      <c r="A107" s="179" t="s">
        <v>987</v>
      </c>
      <c r="B107" s="179">
        <f>IF(AND($A107&gt;='Power Factor Correction'!B$11,$A107&lt;='Power Factor Correction'!B$12),IF('Power Factor Correction'!B132&gt;0,('Power Factor Correction'!B$23*'PFC Calculations'!$I$3)-'PFC Calculations'!K107,IF('Power Factor Correction'!B$25*'Power Factor Correction'!B$26*'Power Factor Correction'!B$27&gt;0,((('Power Factor Correction'!B$26*'Power Factor Correction'!B$27)/(365*24))*'PFC Calculations'!$I$6*'Power Factor Correction'!B$25),0)),0)</f>
        <v>0</v>
      </c>
      <c r="C107" s="179">
        <f>IF(AND($A107&gt;='Power Factor Correction'!C$11,$A107&lt;='Power Factor Correction'!C$12),IF('Power Factor Correction'!C132&gt;0,('Power Factor Correction'!C$23*'PFC Calculations'!$I$3)-'PFC Calculations'!L107,IF('Power Factor Correction'!C$25*'Power Factor Correction'!C$26*'Power Factor Correction'!C$27&gt;0,((('Power Factor Correction'!C$26*'Power Factor Correction'!C$27)/(365*24))*'PFC Calculations'!$I$6*'Power Factor Correction'!C$25),0)),0)</f>
        <v>0</v>
      </c>
      <c r="D107" s="179">
        <f>IF(AND($A107&gt;='Power Factor Correction'!D$11,$A107&lt;='Power Factor Correction'!D$12),IF('Power Factor Correction'!D132&gt;0,('Power Factor Correction'!D$23*'PFC Calculations'!$I$3)-'PFC Calculations'!M107,IF('Power Factor Correction'!D$25*'Power Factor Correction'!D$26*'Power Factor Correction'!D$27&gt;0,((('Power Factor Correction'!D$26*'Power Factor Correction'!D$27)/(365*24))*'PFC Calculations'!$I$6*'Power Factor Correction'!D$25),0)),0)</f>
        <v>0</v>
      </c>
      <c r="E107" s="179">
        <f>IF(AND($A107&gt;='Power Factor Correction'!E$11,$A107&lt;='Power Factor Correction'!E$12),IF('Power Factor Correction'!E132&gt;0,('Power Factor Correction'!E$23*'PFC Calculations'!$I$3)-'PFC Calculations'!N107,IF('Power Factor Correction'!E$25*'Power Factor Correction'!E$26*'Power Factor Correction'!E$27&gt;0,((('Power Factor Correction'!E$26*'Power Factor Correction'!E$27)/(365*24))*'PFC Calculations'!$I$6*'Power Factor Correction'!E$25),0)),0)</f>
        <v>0</v>
      </c>
      <c r="F107" s="179">
        <f>IF(AND($A107&gt;='Power Factor Correction'!F$11,$A107&lt;='Power Factor Correction'!F$12),IF('Power Factor Correction'!F132&gt;0,('Power Factor Correction'!F$23*'PFC Calculations'!$I$3)-'PFC Calculations'!O107,IF('Power Factor Correction'!F$25*'Power Factor Correction'!F$26*'Power Factor Correction'!F$27&gt;0,((('Power Factor Correction'!F$26*'Power Factor Correction'!F$27)/(365*24))*'PFC Calculations'!$I$6*'Power Factor Correction'!F$25),0)),0)</f>
        <v>0</v>
      </c>
      <c r="G107" s="179">
        <f t="shared" si="5"/>
        <v>0</v>
      </c>
      <c r="K107" s="179">
        <f>IF(AND($A107&gt;='Power Factor Correction'!B$11,$A107&lt;='Power Factor Correction'!B$12),IF('Power Factor Correction'!B$31&gt;0,'Data Entry Electricity'!$F134*'PFC Calculations'!$I$3*(TAN(ACOS('Power Factor Correction'!B$31))),IF('Power Factor Correction'!B$46&gt;0,'Power Factor Correction'!B$46*'PFC Calculations'!$I$3,0)),0)</f>
        <v>0</v>
      </c>
      <c r="L107" s="179">
        <f>IF(AND($A107&gt;='Power Factor Correction'!C$11,$A107&lt;='Power Factor Correction'!C$12),IF('Power Factor Correction'!C$31&gt;0,'Data Entry Electricity'!$F134*'PFC Calculations'!$I$3*(TAN(ACOS('Power Factor Correction'!C$31))),IF('Power Factor Correction'!C$46&gt;0,'Power Factor Correction'!C$46*'PFC Calculations'!$I$3,0)),0)</f>
        <v>0</v>
      </c>
      <c r="M107" s="179">
        <f>IF(AND($A107&gt;='Power Factor Correction'!D$11,$A107&lt;='Power Factor Correction'!D$12),IF('Power Factor Correction'!D$31&gt;0,'Data Entry Electricity'!$F134*'PFC Calculations'!$I$3*(TAN(ACOS('Power Factor Correction'!D$31))),IF('Power Factor Correction'!D$46&gt;0,'Power Factor Correction'!D$46*'PFC Calculations'!$I$3,0)),0)</f>
        <v>0</v>
      </c>
      <c r="N107" s="179">
        <f>IF(AND($A107&gt;='Power Factor Correction'!E$11,$A107&lt;='Power Factor Correction'!E$12),IF('Power Factor Correction'!E$31&gt;0,'Data Entry Electricity'!$F134*'PFC Calculations'!$I$3*(TAN(ACOS('Power Factor Correction'!E$31))),IF('Power Factor Correction'!E$46&gt;0,'Power Factor Correction'!E$46*'PFC Calculations'!$I$3,0)),0)</f>
        <v>0</v>
      </c>
      <c r="O107" s="179">
        <f>IF(AND($A107&gt;='Power Factor Correction'!F$11,$A107&lt;='Power Factor Correction'!F$12),IF('Power Factor Correction'!F$31&gt;0,'Data Entry Electricity'!$F134*'PFC Calculations'!$I$3*(TAN(ACOS('Power Factor Correction'!F$31))),IF('Power Factor Correction'!F$46&gt;0,'Power Factor Correction'!F$46*'PFC Calculations'!$I$3,0)),0)</f>
        <v>0</v>
      </c>
      <c r="P107" s="179">
        <f t="shared" si="6"/>
        <v>0</v>
      </c>
    </row>
    <row r="108" spans="1:16" s="179" customFormat="1">
      <c r="A108" s="179" t="s">
        <v>988</v>
      </c>
      <c r="B108" s="179">
        <f>IF(AND($A108&gt;='Power Factor Correction'!B$11,$A108&lt;='Power Factor Correction'!B$12),IF('Power Factor Correction'!B133&gt;0,('Power Factor Correction'!B$23*'PFC Calculations'!$I$3)-'PFC Calculations'!K108,IF('Power Factor Correction'!B$25*'Power Factor Correction'!B$26*'Power Factor Correction'!B$27&gt;0,((('Power Factor Correction'!B$26*'Power Factor Correction'!B$27)/(365*24))*'PFC Calculations'!$I$6*'Power Factor Correction'!B$25),0)),0)</f>
        <v>0</v>
      </c>
      <c r="C108" s="179">
        <f>IF(AND($A108&gt;='Power Factor Correction'!C$11,$A108&lt;='Power Factor Correction'!C$12),IF('Power Factor Correction'!C133&gt;0,('Power Factor Correction'!C$23*'PFC Calculations'!$I$3)-'PFC Calculations'!L108,IF('Power Factor Correction'!C$25*'Power Factor Correction'!C$26*'Power Factor Correction'!C$27&gt;0,((('Power Factor Correction'!C$26*'Power Factor Correction'!C$27)/(365*24))*'PFC Calculations'!$I$6*'Power Factor Correction'!C$25),0)),0)</f>
        <v>0</v>
      </c>
      <c r="D108" s="179">
        <f>IF(AND($A108&gt;='Power Factor Correction'!D$11,$A108&lt;='Power Factor Correction'!D$12),IF('Power Factor Correction'!D133&gt;0,('Power Factor Correction'!D$23*'PFC Calculations'!$I$3)-'PFC Calculations'!M108,IF('Power Factor Correction'!D$25*'Power Factor Correction'!D$26*'Power Factor Correction'!D$27&gt;0,((('Power Factor Correction'!D$26*'Power Factor Correction'!D$27)/(365*24))*'PFC Calculations'!$I$6*'Power Factor Correction'!D$25),0)),0)</f>
        <v>0</v>
      </c>
      <c r="E108" s="179">
        <f>IF(AND($A108&gt;='Power Factor Correction'!E$11,$A108&lt;='Power Factor Correction'!E$12),IF('Power Factor Correction'!E133&gt;0,('Power Factor Correction'!E$23*'PFC Calculations'!$I$3)-'PFC Calculations'!N108,IF('Power Factor Correction'!E$25*'Power Factor Correction'!E$26*'Power Factor Correction'!E$27&gt;0,((('Power Factor Correction'!E$26*'Power Factor Correction'!E$27)/(365*24))*'PFC Calculations'!$I$6*'Power Factor Correction'!E$25),0)),0)</f>
        <v>0</v>
      </c>
      <c r="F108" s="179">
        <f>IF(AND($A108&gt;='Power Factor Correction'!F$11,$A108&lt;='Power Factor Correction'!F$12),IF('Power Factor Correction'!F133&gt;0,('Power Factor Correction'!F$23*'PFC Calculations'!$I$3)-'PFC Calculations'!O108,IF('Power Factor Correction'!F$25*'Power Factor Correction'!F$26*'Power Factor Correction'!F$27&gt;0,((('Power Factor Correction'!F$26*'Power Factor Correction'!F$27)/(365*24))*'PFC Calculations'!$I$6*'Power Factor Correction'!F$25),0)),0)</f>
        <v>0</v>
      </c>
      <c r="G108" s="179">
        <f t="shared" si="5"/>
        <v>0</v>
      </c>
      <c r="K108" s="179">
        <f>IF(AND($A108&gt;='Power Factor Correction'!B$11,$A108&lt;='Power Factor Correction'!B$12),IF('Power Factor Correction'!B$31&gt;0,'Data Entry Electricity'!$F135*'PFC Calculations'!$I$3*(TAN(ACOS('Power Factor Correction'!B$31))),IF('Power Factor Correction'!B$46&gt;0,'Power Factor Correction'!B$46*'PFC Calculations'!$I$3,0)),0)</f>
        <v>0</v>
      </c>
      <c r="L108" s="179">
        <f>IF(AND($A108&gt;='Power Factor Correction'!C$11,$A108&lt;='Power Factor Correction'!C$12),IF('Power Factor Correction'!C$31&gt;0,'Data Entry Electricity'!$F135*'PFC Calculations'!$I$3*(TAN(ACOS('Power Factor Correction'!C$31))),IF('Power Factor Correction'!C$46&gt;0,'Power Factor Correction'!C$46*'PFC Calculations'!$I$3,0)),0)</f>
        <v>0</v>
      </c>
      <c r="M108" s="179">
        <f>IF(AND($A108&gt;='Power Factor Correction'!D$11,$A108&lt;='Power Factor Correction'!D$12),IF('Power Factor Correction'!D$31&gt;0,'Data Entry Electricity'!$F135*'PFC Calculations'!$I$3*(TAN(ACOS('Power Factor Correction'!D$31))),IF('Power Factor Correction'!D$46&gt;0,'Power Factor Correction'!D$46*'PFC Calculations'!$I$3,0)),0)</f>
        <v>0</v>
      </c>
      <c r="N108" s="179">
        <f>IF(AND($A108&gt;='Power Factor Correction'!E$11,$A108&lt;='Power Factor Correction'!E$12),IF('Power Factor Correction'!E$31&gt;0,'Data Entry Electricity'!$F135*'PFC Calculations'!$I$3*(TAN(ACOS('Power Factor Correction'!E$31))),IF('Power Factor Correction'!E$46&gt;0,'Power Factor Correction'!E$46*'PFC Calculations'!$I$3,0)),0)</f>
        <v>0</v>
      </c>
      <c r="O108" s="179">
        <f>IF(AND($A108&gt;='Power Factor Correction'!F$11,$A108&lt;='Power Factor Correction'!F$12),IF('Power Factor Correction'!F$31&gt;0,'Data Entry Electricity'!$F135*'PFC Calculations'!$I$3*(TAN(ACOS('Power Factor Correction'!F$31))),IF('Power Factor Correction'!F$46&gt;0,'Power Factor Correction'!F$46*'PFC Calculations'!$I$3,0)),0)</f>
        <v>0</v>
      </c>
      <c r="P108" s="179">
        <f t="shared" si="6"/>
        <v>0</v>
      </c>
    </row>
    <row r="109" spans="1:16" s="179" customFormat="1">
      <c r="A109" s="179" t="s">
        <v>989</v>
      </c>
      <c r="B109" s="179">
        <f>IF(AND($A109&gt;='Power Factor Correction'!B$11,$A109&lt;='Power Factor Correction'!B$12),IF('Power Factor Correction'!B134&gt;0,('Power Factor Correction'!B$23*'PFC Calculations'!$I$3)-'PFC Calculations'!K109,IF('Power Factor Correction'!B$25*'Power Factor Correction'!B$26*'Power Factor Correction'!B$27&gt;0,((('Power Factor Correction'!B$26*'Power Factor Correction'!B$27)/(365*24))*'PFC Calculations'!$I$6*'Power Factor Correction'!B$25),0)),0)</f>
        <v>0</v>
      </c>
      <c r="C109" s="179">
        <f>IF(AND($A109&gt;='Power Factor Correction'!C$11,$A109&lt;='Power Factor Correction'!C$12),IF('Power Factor Correction'!C134&gt;0,('Power Factor Correction'!C$23*'PFC Calculations'!$I$3)-'PFC Calculations'!L109,IF('Power Factor Correction'!C$25*'Power Factor Correction'!C$26*'Power Factor Correction'!C$27&gt;0,((('Power Factor Correction'!C$26*'Power Factor Correction'!C$27)/(365*24))*'PFC Calculations'!$I$6*'Power Factor Correction'!C$25),0)),0)</f>
        <v>0</v>
      </c>
      <c r="D109" s="179">
        <f>IF(AND($A109&gt;='Power Factor Correction'!D$11,$A109&lt;='Power Factor Correction'!D$12),IF('Power Factor Correction'!D134&gt;0,('Power Factor Correction'!D$23*'PFC Calculations'!$I$3)-'PFC Calculations'!M109,IF('Power Factor Correction'!D$25*'Power Factor Correction'!D$26*'Power Factor Correction'!D$27&gt;0,((('Power Factor Correction'!D$26*'Power Factor Correction'!D$27)/(365*24))*'PFC Calculations'!$I$6*'Power Factor Correction'!D$25),0)),0)</f>
        <v>0</v>
      </c>
      <c r="E109" s="179">
        <f>IF(AND($A109&gt;='Power Factor Correction'!E$11,$A109&lt;='Power Factor Correction'!E$12),IF('Power Factor Correction'!E134&gt;0,('Power Factor Correction'!E$23*'PFC Calculations'!$I$3)-'PFC Calculations'!N109,IF('Power Factor Correction'!E$25*'Power Factor Correction'!E$26*'Power Factor Correction'!E$27&gt;0,((('Power Factor Correction'!E$26*'Power Factor Correction'!E$27)/(365*24))*'PFC Calculations'!$I$6*'Power Factor Correction'!E$25),0)),0)</f>
        <v>0</v>
      </c>
      <c r="F109" s="179">
        <f>IF(AND($A109&gt;='Power Factor Correction'!F$11,$A109&lt;='Power Factor Correction'!F$12),IF('Power Factor Correction'!F134&gt;0,('Power Factor Correction'!F$23*'PFC Calculations'!$I$3)-'PFC Calculations'!O109,IF('Power Factor Correction'!F$25*'Power Factor Correction'!F$26*'Power Factor Correction'!F$27&gt;0,((('Power Factor Correction'!F$26*'Power Factor Correction'!F$27)/(365*24))*'PFC Calculations'!$I$6*'Power Factor Correction'!F$25),0)),0)</f>
        <v>0</v>
      </c>
      <c r="G109" s="179">
        <f t="shared" si="5"/>
        <v>0</v>
      </c>
      <c r="K109" s="179">
        <f>IF(AND($A109&gt;='Power Factor Correction'!B$11,$A109&lt;='Power Factor Correction'!B$12),IF('Power Factor Correction'!B$31&gt;0,'Data Entry Electricity'!$F136*'PFC Calculations'!$I$3*(TAN(ACOS('Power Factor Correction'!B$31))),IF('Power Factor Correction'!B$46&gt;0,'Power Factor Correction'!B$46*'PFC Calculations'!$I$3,0)),0)</f>
        <v>0</v>
      </c>
      <c r="L109" s="179">
        <f>IF(AND($A109&gt;='Power Factor Correction'!C$11,$A109&lt;='Power Factor Correction'!C$12),IF('Power Factor Correction'!C$31&gt;0,'Data Entry Electricity'!$F136*'PFC Calculations'!$I$3*(TAN(ACOS('Power Factor Correction'!C$31))),IF('Power Factor Correction'!C$46&gt;0,'Power Factor Correction'!C$46*'PFC Calculations'!$I$3,0)),0)</f>
        <v>0</v>
      </c>
      <c r="M109" s="179">
        <f>IF(AND($A109&gt;='Power Factor Correction'!D$11,$A109&lt;='Power Factor Correction'!D$12),IF('Power Factor Correction'!D$31&gt;0,'Data Entry Electricity'!$F136*'PFC Calculations'!$I$3*(TAN(ACOS('Power Factor Correction'!D$31))),IF('Power Factor Correction'!D$46&gt;0,'Power Factor Correction'!D$46*'PFC Calculations'!$I$3,0)),0)</f>
        <v>0</v>
      </c>
      <c r="N109" s="179">
        <f>IF(AND($A109&gt;='Power Factor Correction'!E$11,$A109&lt;='Power Factor Correction'!E$12),IF('Power Factor Correction'!E$31&gt;0,'Data Entry Electricity'!$F136*'PFC Calculations'!$I$3*(TAN(ACOS('Power Factor Correction'!E$31))),IF('Power Factor Correction'!E$46&gt;0,'Power Factor Correction'!E$46*'PFC Calculations'!$I$3,0)),0)</f>
        <v>0</v>
      </c>
      <c r="O109" s="179">
        <f>IF(AND($A109&gt;='Power Factor Correction'!F$11,$A109&lt;='Power Factor Correction'!F$12),IF('Power Factor Correction'!F$31&gt;0,'Data Entry Electricity'!$F136*'PFC Calculations'!$I$3*(TAN(ACOS('Power Factor Correction'!F$31))),IF('Power Factor Correction'!F$46&gt;0,'Power Factor Correction'!F$46*'PFC Calculations'!$I$3,0)),0)</f>
        <v>0</v>
      </c>
      <c r="P109" s="179">
        <f t="shared" si="6"/>
        <v>0</v>
      </c>
    </row>
    <row r="110" spans="1:16" s="179" customFormat="1">
      <c r="A110" s="179" t="s">
        <v>990</v>
      </c>
      <c r="B110" s="179">
        <f>IF(AND($A110&gt;='Power Factor Correction'!B$11,$A110&lt;='Power Factor Correction'!B$12),IF('Power Factor Correction'!B135&gt;0,('Power Factor Correction'!B$23*'PFC Calculations'!$I$3)-'PFC Calculations'!K110,IF('Power Factor Correction'!B$25*'Power Factor Correction'!B$26*'Power Factor Correction'!B$27&gt;0,((('Power Factor Correction'!B$26*'Power Factor Correction'!B$27)/(365*24))*'PFC Calculations'!$I$6*'Power Factor Correction'!B$25),0)),0)</f>
        <v>0</v>
      </c>
      <c r="C110" s="179">
        <f>IF(AND($A110&gt;='Power Factor Correction'!C$11,$A110&lt;='Power Factor Correction'!C$12),IF('Power Factor Correction'!C135&gt;0,('Power Factor Correction'!C$23*'PFC Calculations'!$I$3)-'PFC Calculations'!L110,IF('Power Factor Correction'!C$25*'Power Factor Correction'!C$26*'Power Factor Correction'!C$27&gt;0,((('Power Factor Correction'!C$26*'Power Factor Correction'!C$27)/(365*24))*'PFC Calculations'!$I$6*'Power Factor Correction'!C$25),0)),0)</f>
        <v>0</v>
      </c>
      <c r="D110" s="179">
        <f>IF(AND($A110&gt;='Power Factor Correction'!D$11,$A110&lt;='Power Factor Correction'!D$12),IF('Power Factor Correction'!D135&gt;0,('Power Factor Correction'!D$23*'PFC Calculations'!$I$3)-'PFC Calculations'!M110,IF('Power Factor Correction'!D$25*'Power Factor Correction'!D$26*'Power Factor Correction'!D$27&gt;0,((('Power Factor Correction'!D$26*'Power Factor Correction'!D$27)/(365*24))*'PFC Calculations'!$I$6*'Power Factor Correction'!D$25),0)),0)</f>
        <v>0</v>
      </c>
      <c r="E110" s="179">
        <f>IF(AND($A110&gt;='Power Factor Correction'!E$11,$A110&lt;='Power Factor Correction'!E$12),IF('Power Factor Correction'!E135&gt;0,('Power Factor Correction'!E$23*'PFC Calculations'!$I$3)-'PFC Calculations'!N110,IF('Power Factor Correction'!E$25*'Power Factor Correction'!E$26*'Power Factor Correction'!E$27&gt;0,((('Power Factor Correction'!E$26*'Power Factor Correction'!E$27)/(365*24))*'PFC Calculations'!$I$6*'Power Factor Correction'!E$25),0)),0)</f>
        <v>0</v>
      </c>
      <c r="F110" s="179">
        <f>IF(AND($A110&gt;='Power Factor Correction'!F$11,$A110&lt;='Power Factor Correction'!F$12),IF('Power Factor Correction'!F135&gt;0,('Power Factor Correction'!F$23*'PFC Calculations'!$I$3)-'PFC Calculations'!O110,IF('Power Factor Correction'!F$25*'Power Factor Correction'!F$26*'Power Factor Correction'!F$27&gt;0,((('Power Factor Correction'!F$26*'Power Factor Correction'!F$27)/(365*24))*'PFC Calculations'!$I$6*'Power Factor Correction'!F$25),0)),0)</f>
        <v>0</v>
      </c>
      <c r="G110" s="179">
        <f t="shared" si="5"/>
        <v>0</v>
      </c>
      <c r="K110" s="179">
        <f>IF(AND($A110&gt;='Power Factor Correction'!B$11,$A110&lt;='Power Factor Correction'!B$12),IF('Power Factor Correction'!B$31&gt;0,'Data Entry Electricity'!$F137*'PFC Calculations'!$I$3*(TAN(ACOS('Power Factor Correction'!B$31))),IF('Power Factor Correction'!B$46&gt;0,'Power Factor Correction'!B$46*'PFC Calculations'!$I$3,0)),0)</f>
        <v>0</v>
      </c>
      <c r="L110" s="179">
        <f>IF(AND($A110&gt;='Power Factor Correction'!C$11,$A110&lt;='Power Factor Correction'!C$12),IF('Power Factor Correction'!C$31&gt;0,'Data Entry Electricity'!$F137*'PFC Calculations'!$I$3*(TAN(ACOS('Power Factor Correction'!C$31))),IF('Power Factor Correction'!C$46&gt;0,'Power Factor Correction'!C$46*'PFC Calculations'!$I$3,0)),0)</f>
        <v>0</v>
      </c>
      <c r="M110" s="179">
        <f>IF(AND($A110&gt;='Power Factor Correction'!D$11,$A110&lt;='Power Factor Correction'!D$12),IF('Power Factor Correction'!D$31&gt;0,'Data Entry Electricity'!$F137*'PFC Calculations'!$I$3*(TAN(ACOS('Power Factor Correction'!D$31))),IF('Power Factor Correction'!D$46&gt;0,'Power Factor Correction'!D$46*'PFC Calculations'!$I$3,0)),0)</f>
        <v>0</v>
      </c>
      <c r="N110" s="179">
        <f>IF(AND($A110&gt;='Power Factor Correction'!E$11,$A110&lt;='Power Factor Correction'!E$12),IF('Power Factor Correction'!E$31&gt;0,'Data Entry Electricity'!$F137*'PFC Calculations'!$I$3*(TAN(ACOS('Power Factor Correction'!E$31))),IF('Power Factor Correction'!E$46&gt;0,'Power Factor Correction'!E$46*'PFC Calculations'!$I$3,0)),0)</f>
        <v>0</v>
      </c>
      <c r="O110" s="179">
        <f>IF(AND($A110&gt;='Power Factor Correction'!F$11,$A110&lt;='Power Factor Correction'!F$12),IF('Power Factor Correction'!F$31&gt;0,'Data Entry Electricity'!$F137*'PFC Calculations'!$I$3*(TAN(ACOS('Power Factor Correction'!F$31))),IF('Power Factor Correction'!F$46&gt;0,'Power Factor Correction'!F$46*'PFC Calculations'!$I$3,0)),0)</f>
        <v>0</v>
      </c>
      <c r="P110" s="179">
        <f t="shared" si="6"/>
        <v>0</v>
      </c>
    </row>
    <row r="111" spans="1:16" s="179" customFormat="1">
      <c r="A111" s="179" t="s">
        <v>991</v>
      </c>
      <c r="B111" s="179">
        <f>IF(AND($A111&gt;='Power Factor Correction'!B$11,$A111&lt;='Power Factor Correction'!B$12),IF('Power Factor Correction'!B136&gt;0,('Power Factor Correction'!B$23*'PFC Calculations'!$I$3)-'PFC Calculations'!K111,IF('Power Factor Correction'!B$25*'Power Factor Correction'!B$26*'Power Factor Correction'!B$27&gt;0,((('Power Factor Correction'!B$26*'Power Factor Correction'!B$27)/(365*24))*'PFC Calculations'!$I$6*'Power Factor Correction'!B$25),0)),0)</f>
        <v>0</v>
      </c>
      <c r="C111" s="179">
        <f>IF(AND($A111&gt;='Power Factor Correction'!C$11,$A111&lt;='Power Factor Correction'!C$12),IF('Power Factor Correction'!C136&gt;0,('Power Factor Correction'!C$23*'PFC Calculations'!$I$3)-'PFC Calculations'!L111,IF('Power Factor Correction'!C$25*'Power Factor Correction'!C$26*'Power Factor Correction'!C$27&gt;0,((('Power Factor Correction'!C$26*'Power Factor Correction'!C$27)/(365*24))*'PFC Calculations'!$I$6*'Power Factor Correction'!C$25),0)),0)</f>
        <v>0</v>
      </c>
      <c r="D111" s="179">
        <f>IF(AND($A111&gt;='Power Factor Correction'!D$11,$A111&lt;='Power Factor Correction'!D$12),IF('Power Factor Correction'!D136&gt;0,('Power Factor Correction'!D$23*'PFC Calculations'!$I$3)-'PFC Calculations'!M111,IF('Power Factor Correction'!D$25*'Power Factor Correction'!D$26*'Power Factor Correction'!D$27&gt;0,((('Power Factor Correction'!D$26*'Power Factor Correction'!D$27)/(365*24))*'PFC Calculations'!$I$6*'Power Factor Correction'!D$25),0)),0)</f>
        <v>0</v>
      </c>
      <c r="E111" s="179">
        <f>IF(AND($A111&gt;='Power Factor Correction'!E$11,$A111&lt;='Power Factor Correction'!E$12),IF('Power Factor Correction'!E136&gt;0,('Power Factor Correction'!E$23*'PFC Calculations'!$I$3)-'PFC Calculations'!N111,IF('Power Factor Correction'!E$25*'Power Factor Correction'!E$26*'Power Factor Correction'!E$27&gt;0,((('Power Factor Correction'!E$26*'Power Factor Correction'!E$27)/(365*24))*'PFC Calculations'!$I$6*'Power Factor Correction'!E$25),0)),0)</f>
        <v>0</v>
      </c>
      <c r="F111" s="179">
        <f>IF(AND($A111&gt;='Power Factor Correction'!F$11,$A111&lt;='Power Factor Correction'!F$12),IF('Power Factor Correction'!F136&gt;0,('Power Factor Correction'!F$23*'PFC Calculations'!$I$3)-'PFC Calculations'!O111,IF('Power Factor Correction'!F$25*'Power Factor Correction'!F$26*'Power Factor Correction'!F$27&gt;0,((('Power Factor Correction'!F$26*'Power Factor Correction'!F$27)/(365*24))*'PFC Calculations'!$I$6*'Power Factor Correction'!F$25),0)),0)</f>
        <v>0</v>
      </c>
      <c r="G111" s="179">
        <f t="shared" si="5"/>
        <v>0</v>
      </c>
      <c r="K111" s="179">
        <f>IF(AND($A111&gt;='Power Factor Correction'!B$11,$A111&lt;='Power Factor Correction'!B$12),IF('Power Factor Correction'!B$31&gt;0,'Data Entry Electricity'!$F138*'PFC Calculations'!$I$3*(TAN(ACOS('Power Factor Correction'!B$31))),IF('Power Factor Correction'!B$46&gt;0,'Power Factor Correction'!B$46*'PFC Calculations'!$I$3,0)),0)</f>
        <v>0</v>
      </c>
      <c r="L111" s="179">
        <f>IF(AND($A111&gt;='Power Factor Correction'!C$11,$A111&lt;='Power Factor Correction'!C$12),IF('Power Factor Correction'!C$31&gt;0,'Data Entry Electricity'!$F138*'PFC Calculations'!$I$3*(TAN(ACOS('Power Factor Correction'!C$31))),IF('Power Factor Correction'!C$46&gt;0,'Power Factor Correction'!C$46*'PFC Calculations'!$I$3,0)),0)</f>
        <v>0</v>
      </c>
      <c r="M111" s="179">
        <f>IF(AND($A111&gt;='Power Factor Correction'!D$11,$A111&lt;='Power Factor Correction'!D$12),IF('Power Factor Correction'!D$31&gt;0,'Data Entry Electricity'!$F138*'PFC Calculations'!$I$3*(TAN(ACOS('Power Factor Correction'!D$31))),IF('Power Factor Correction'!D$46&gt;0,'Power Factor Correction'!D$46*'PFC Calculations'!$I$3,0)),0)</f>
        <v>0</v>
      </c>
      <c r="N111" s="179">
        <f>IF(AND($A111&gt;='Power Factor Correction'!E$11,$A111&lt;='Power Factor Correction'!E$12),IF('Power Factor Correction'!E$31&gt;0,'Data Entry Electricity'!$F138*'PFC Calculations'!$I$3*(TAN(ACOS('Power Factor Correction'!E$31))),IF('Power Factor Correction'!E$46&gt;0,'Power Factor Correction'!E$46*'PFC Calculations'!$I$3,0)),0)</f>
        <v>0</v>
      </c>
      <c r="O111" s="179">
        <f>IF(AND($A111&gt;='Power Factor Correction'!F$11,$A111&lt;='Power Factor Correction'!F$12),IF('Power Factor Correction'!F$31&gt;0,'Data Entry Electricity'!$F138*'PFC Calculations'!$I$3*(TAN(ACOS('Power Factor Correction'!F$31))),IF('Power Factor Correction'!F$46&gt;0,'Power Factor Correction'!F$46*'PFC Calculations'!$I$3,0)),0)</f>
        <v>0</v>
      </c>
      <c r="P111" s="179">
        <f t="shared" si="6"/>
        <v>0</v>
      </c>
    </row>
    <row r="112" spans="1:16" s="179" customFormat="1">
      <c r="A112" s="179" t="s">
        <v>992</v>
      </c>
      <c r="B112" s="179">
        <f>IF(AND($A112&gt;='Power Factor Correction'!B$11,$A112&lt;='Power Factor Correction'!B$12),IF('Power Factor Correction'!B137&gt;0,('Power Factor Correction'!B$23*'PFC Calculations'!$I$3)-'PFC Calculations'!K112,IF('Power Factor Correction'!B$25*'Power Factor Correction'!B$26*'Power Factor Correction'!B$27&gt;0,((('Power Factor Correction'!B$26*'Power Factor Correction'!B$27)/(365*24))*'PFC Calculations'!$I$6*'Power Factor Correction'!B$25),0)),0)</f>
        <v>0</v>
      </c>
      <c r="C112" s="179">
        <f>IF(AND($A112&gt;='Power Factor Correction'!C$11,$A112&lt;='Power Factor Correction'!C$12),IF('Power Factor Correction'!C137&gt;0,('Power Factor Correction'!C$23*'PFC Calculations'!$I$3)-'PFC Calculations'!L112,IF('Power Factor Correction'!C$25*'Power Factor Correction'!C$26*'Power Factor Correction'!C$27&gt;0,((('Power Factor Correction'!C$26*'Power Factor Correction'!C$27)/(365*24))*'PFC Calculations'!$I$6*'Power Factor Correction'!C$25),0)),0)</f>
        <v>0</v>
      </c>
      <c r="D112" s="179">
        <f>IF(AND($A112&gt;='Power Factor Correction'!D$11,$A112&lt;='Power Factor Correction'!D$12),IF('Power Factor Correction'!D137&gt;0,('Power Factor Correction'!D$23*'PFC Calculations'!$I$3)-'PFC Calculations'!M112,IF('Power Factor Correction'!D$25*'Power Factor Correction'!D$26*'Power Factor Correction'!D$27&gt;0,((('Power Factor Correction'!D$26*'Power Factor Correction'!D$27)/(365*24))*'PFC Calculations'!$I$6*'Power Factor Correction'!D$25),0)),0)</f>
        <v>0</v>
      </c>
      <c r="E112" s="179">
        <f>IF(AND($A112&gt;='Power Factor Correction'!E$11,$A112&lt;='Power Factor Correction'!E$12),IF('Power Factor Correction'!E137&gt;0,('Power Factor Correction'!E$23*'PFC Calculations'!$I$3)-'PFC Calculations'!N112,IF('Power Factor Correction'!E$25*'Power Factor Correction'!E$26*'Power Factor Correction'!E$27&gt;0,((('Power Factor Correction'!E$26*'Power Factor Correction'!E$27)/(365*24))*'PFC Calculations'!$I$6*'Power Factor Correction'!E$25),0)),0)</f>
        <v>0</v>
      </c>
      <c r="F112" s="179">
        <f>IF(AND($A112&gt;='Power Factor Correction'!F$11,$A112&lt;='Power Factor Correction'!F$12),IF('Power Factor Correction'!F137&gt;0,('Power Factor Correction'!F$23*'PFC Calculations'!$I$3)-'PFC Calculations'!O112,IF('Power Factor Correction'!F$25*'Power Factor Correction'!F$26*'Power Factor Correction'!F$27&gt;0,((('Power Factor Correction'!F$26*'Power Factor Correction'!F$27)/(365*24))*'PFC Calculations'!$I$6*'Power Factor Correction'!F$25),0)),0)</f>
        <v>0</v>
      </c>
      <c r="G112" s="179">
        <f t="shared" si="5"/>
        <v>0</v>
      </c>
      <c r="K112" s="179">
        <f>IF(AND($A112&gt;='Power Factor Correction'!B$11,$A112&lt;='Power Factor Correction'!B$12),IF('Power Factor Correction'!B$31&gt;0,'Data Entry Electricity'!$F139*'PFC Calculations'!$I$3*(TAN(ACOS('Power Factor Correction'!B$31))),IF('Power Factor Correction'!B$46&gt;0,'Power Factor Correction'!B$46*'PFC Calculations'!$I$3,0)),0)</f>
        <v>0</v>
      </c>
      <c r="L112" s="179">
        <f>IF(AND($A112&gt;='Power Factor Correction'!C$11,$A112&lt;='Power Factor Correction'!C$12),IF('Power Factor Correction'!C$31&gt;0,'Data Entry Electricity'!$F139*'PFC Calculations'!$I$3*(TAN(ACOS('Power Factor Correction'!C$31))),IF('Power Factor Correction'!C$46&gt;0,'Power Factor Correction'!C$46*'PFC Calculations'!$I$3,0)),0)</f>
        <v>0</v>
      </c>
      <c r="M112" s="179">
        <f>IF(AND($A112&gt;='Power Factor Correction'!D$11,$A112&lt;='Power Factor Correction'!D$12),IF('Power Factor Correction'!D$31&gt;0,'Data Entry Electricity'!$F139*'PFC Calculations'!$I$3*(TAN(ACOS('Power Factor Correction'!D$31))),IF('Power Factor Correction'!D$46&gt;0,'Power Factor Correction'!D$46*'PFC Calculations'!$I$3,0)),0)</f>
        <v>0</v>
      </c>
      <c r="N112" s="179">
        <f>IF(AND($A112&gt;='Power Factor Correction'!E$11,$A112&lt;='Power Factor Correction'!E$12),IF('Power Factor Correction'!E$31&gt;0,'Data Entry Electricity'!$F139*'PFC Calculations'!$I$3*(TAN(ACOS('Power Factor Correction'!E$31))),IF('Power Factor Correction'!E$46&gt;0,'Power Factor Correction'!E$46*'PFC Calculations'!$I$3,0)),0)</f>
        <v>0</v>
      </c>
      <c r="O112" s="179">
        <f>IF(AND($A112&gt;='Power Factor Correction'!F$11,$A112&lt;='Power Factor Correction'!F$12),IF('Power Factor Correction'!F$31&gt;0,'Data Entry Electricity'!$F139*'PFC Calculations'!$I$3*(TAN(ACOS('Power Factor Correction'!F$31))),IF('Power Factor Correction'!F$46&gt;0,'Power Factor Correction'!F$46*'PFC Calculations'!$I$3,0)),0)</f>
        <v>0</v>
      </c>
      <c r="P112" s="179">
        <f t="shared" si="6"/>
        <v>0</v>
      </c>
    </row>
    <row r="113" spans="1:16" s="179" customFormat="1">
      <c r="A113" s="179" t="s">
        <v>993</v>
      </c>
      <c r="B113" s="179">
        <f>IF(AND($A113&gt;='Power Factor Correction'!B$11,$A113&lt;='Power Factor Correction'!B$12),IF('Power Factor Correction'!B138&gt;0,('Power Factor Correction'!B$23*'PFC Calculations'!$I$3)-'PFC Calculations'!K113,IF('Power Factor Correction'!B$25*'Power Factor Correction'!B$26*'Power Factor Correction'!B$27&gt;0,((('Power Factor Correction'!B$26*'Power Factor Correction'!B$27)/(365*24))*'PFC Calculations'!$I$6*'Power Factor Correction'!B$25),0)),0)</f>
        <v>0</v>
      </c>
      <c r="C113" s="179">
        <f>IF(AND($A113&gt;='Power Factor Correction'!C$11,$A113&lt;='Power Factor Correction'!C$12),IF('Power Factor Correction'!C138&gt;0,('Power Factor Correction'!C$23*'PFC Calculations'!$I$3)-'PFC Calculations'!L113,IF('Power Factor Correction'!C$25*'Power Factor Correction'!C$26*'Power Factor Correction'!C$27&gt;0,((('Power Factor Correction'!C$26*'Power Factor Correction'!C$27)/(365*24))*'PFC Calculations'!$I$6*'Power Factor Correction'!C$25),0)),0)</f>
        <v>0</v>
      </c>
      <c r="D113" s="179">
        <f>IF(AND($A113&gt;='Power Factor Correction'!D$11,$A113&lt;='Power Factor Correction'!D$12),IF('Power Factor Correction'!D138&gt;0,('Power Factor Correction'!D$23*'PFC Calculations'!$I$3)-'PFC Calculations'!M113,IF('Power Factor Correction'!D$25*'Power Factor Correction'!D$26*'Power Factor Correction'!D$27&gt;0,((('Power Factor Correction'!D$26*'Power Factor Correction'!D$27)/(365*24))*'PFC Calculations'!$I$6*'Power Factor Correction'!D$25),0)),0)</f>
        <v>0</v>
      </c>
      <c r="E113" s="179">
        <f>IF(AND($A113&gt;='Power Factor Correction'!E$11,$A113&lt;='Power Factor Correction'!E$12),IF('Power Factor Correction'!E138&gt;0,('Power Factor Correction'!E$23*'PFC Calculations'!$I$3)-'PFC Calculations'!N113,IF('Power Factor Correction'!E$25*'Power Factor Correction'!E$26*'Power Factor Correction'!E$27&gt;0,((('Power Factor Correction'!E$26*'Power Factor Correction'!E$27)/(365*24))*'PFC Calculations'!$I$6*'Power Factor Correction'!E$25),0)),0)</f>
        <v>0</v>
      </c>
      <c r="F113" s="179">
        <f>IF(AND($A113&gt;='Power Factor Correction'!F$11,$A113&lt;='Power Factor Correction'!F$12),IF('Power Factor Correction'!F138&gt;0,('Power Factor Correction'!F$23*'PFC Calculations'!$I$3)-'PFC Calculations'!O113,IF('Power Factor Correction'!F$25*'Power Factor Correction'!F$26*'Power Factor Correction'!F$27&gt;0,((('Power Factor Correction'!F$26*'Power Factor Correction'!F$27)/(365*24))*'PFC Calculations'!$I$6*'Power Factor Correction'!F$25),0)),0)</f>
        <v>0</v>
      </c>
      <c r="G113" s="179">
        <f t="shared" si="5"/>
        <v>0</v>
      </c>
      <c r="K113" s="179">
        <f>IF(AND($A113&gt;='Power Factor Correction'!B$11,$A113&lt;='Power Factor Correction'!B$12),IF('Power Factor Correction'!B$31&gt;0,'Data Entry Electricity'!$F140*'PFC Calculations'!$I$3*(TAN(ACOS('Power Factor Correction'!B$31))),IF('Power Factor Correction'!B$46&gt;0,'Power Factor Correction'!B$46*'PFC Calculations'!$I$3,0)),0)</f>
        <v>0</v>
      </c>
      <c r="L113" s="179">
        <f>IF(AND($A113&gt;='Power Factor Correction'!C$11,$A113&lt;='Power Factor Correction'!C$12),IF('Power Factor Correction'!C$31&gt;0,'Data Entry Electricity'!$F140*'PFC Calculations'!$I$3*(TAN(ACOS('Power Factor Correction'!C$31))),IF('Power Factor Correction'!C$46&gt;0,'Power Factor Correction'!C$46*'PFC Calculations'!$I$3,0)),0)</f>
        <v>0</v>
      </c>
      <c r="M113" s="179">
        <f>IF(AND($A113&gt;='Power Factor Correction'!D$11,$A113&lt;='Power Factor Correction'!D$12),IF('Power Factor Correction'!D$31&gt;0,'Data Entry Electricity'!$F140*'PFC Calculations'!$I$3*(TAN(ACOS('Power Factor Correction'!D$31))),IF('Power Factor Correction'!D$46&gt;0,'Power Factor Correction'!D$46*'PFC Calculations'!$I$3,0)),0)</f>
        <v>0</v>
      </c>
      <c r="N113" s="179">
        <f>IF(AND($A113&gt;='Power Factor Correction'!E$11,$A113&lt;='Power Factor Correction'!E$12),IF('Power Factor Correction'!E$31&gt;0,'Data Entry Electricity'!$F140*'PFC Calculations'!$I$3*(TAN(ACOS('Power Factor Correction'!E$31))),IF('Power Factor Correction'!E$46&gt;0,'Power Factor Correction'!E$46*'PFC Calculations'!$I$3,0)),0)</f>
        <v>0</v>
      </c>
      <c r="O113" s="179">
        <f>IF(AND($A113&gt;='Power Factor Correction'!F$11,$A113&lt;='Power Factor Correction'!F$12),IF('Power Factor Correction'!F$31&gt;0,'Data Entry Electricity'!$F140*'PFC Calculations'!$I$3*(TAN(ACOS('Power Factor Correction'!F$31))),IF('Power Factor Correction'!F$46&gt;0,'Power Factor Correction'!F$46*'PFC Calculations'!$I$3,0)),0)</f>
        <v>0</v>
      </c>
      <c r="P113" s="179">
        <f t="shared" si="6"/>
        <v>0</v>
      </c>
    </row>
    <row r="114" spans="1:16" s="179" customFormat="1">
      <c r="A114" s="179" t="s">
        <v>994</v>
      </c>
      <c r="B114" s="179">
        <f>IF(AND($A114&gt;='Power Factor Correction'!B$11,$A114&lt;='Power Factor Correction'!B$12),IF('Power Factor Correction'!B139&gt;0,('Power Factor Correction'!B$23*'PFC Calculations'!$I$3)-'PFC Calculations'!K114,IF('Power Factor Correction'!B$25*'Power Factor Correction'!B$26*'Power Factor Correction'!B$27&gt;0,((('Power Factor Correction'!B$26*'Power Factor Correction'!B$27)/(365*24))*'PFC Calculations'!$I$6*'Power Factor Correction'!B$25),0)),0)</f>
        <v>0</v>
      </c>
      <c r="C114" s="179">
        <f>IF(AND($A114&gt;='Power Factor Correction'!C$11,$A114&lt;='Power Factor Correction'!C$12),IF('Power Factor Correction'!C139&gt;0,('Power Factor Correction'!C$23*'PFC Calculations'!$I$3)-'PFC Calculations'!L114,IF('Power Factor Correction'!C$25*'Power Factor Correction'!C$26*'Power Factor Correction'!C$27&gt;0,((('Power Factor Correction'!C$26*'Power Factor Correction'!C$27)/(365*24))*'PFC Calculations'!$I$6*'Power Factor Correction'!C$25),0)),0)</f>
        <v>0</v>
      </c>
      <c r="D114" s="179">
        <f>IF(AND($A114&gt;='Power Factor Correction'!D$11,$A114&lt;='Power Factor Correction'!D$12),IF('Power Factor Correction'!D139&gt;0,('Power Factor Correction'!D$23*'PFC Calculations'!$I$3)-'PFC Calculations'!M114,IF('Power Factor Correction'!D$25*'Power Factor Correction'!D$26*'Power Factor Correction'!D$27&gt;0,((('Power Factor Correction'!D$26*'Power Factor Correction'!D$27)/(365*24))*'PFC Calculations'!$I$6*'Power Factor Correction'!D$25),0)),0)</f>
        <v>0</v>
      </c>
      <c r="E114" s="179">
        <f>IF(AND($A114&gt;='Power Factor Correction'!E$11,$A114&lt;='Power Factor Correction'!E$12),IF('Power Factor Correction'!E139&gt;0,('Power Factor Correction'!E$23*'PFC Calculations'!$I$3)-'PFC Calculations'!N114,IF('Power Factor Correction'!E$25*'Power Factor Correction'!E$26*'Power Factor Correction'!E$27&gt;0,((('Power Factor Correction'!E$26*'Power Factor Correction'!E$27)/(365*24))*'PFC Calculations'!$I$6*'Power Factor Correction'!E$25),0)),0)</f>
        <v>0</v>
      </c>
      <c r="F114" s="179">
        <f>IF(AND($A114&gt;='Power Factor Correction'!F$11,$A114&lt;='Power Factor Correction'!F$12),IF('Power Factor Correction'!F139&gt;0,('Power Factor Correction'!F$23*'PFC Calculations'!$I$3)-'PFC Calculations'!O114,IF('Power Factor Correction'!F$25*'Power Factor Correction'!F$26*'Power Factor Correction'!F$27&gt;0,((('Power Factor Correction'!F$26*'Power Factor Correction'!F$27)/(365*24))*'PFC Calculations'!$I$6*'Power Factor Correction'!F$25),0)),0)</f>
        <v>0</v>
      </c>
      <c r="G114" s="179">
        <f t="shared" si="5"/>
        <v>0</v>
      </c>
      <c r="K114" s="179">
        <f>IF(AND($A114&gt;='Power Factor Correction'!B$11,$A114&lt;='Power Factor Correction'!B$12),IF('Power Factor Correction'!B$31&gt;0,'Data Entry Electricity'!$F141*'PFC Calculations'!$I$3*(TAN(ACOS('Power Factor Correction'!B$31))),IF('Power Factor Correction'!B$46&gt;0,'Power Factor Correction'!B$46*'PFC Calculations'!$I$3,0)),0)</f>
        <v>0</v>
      </c>
      <c r="L114" s="179">
        <f>IF(AND($A114&gt;='Power Factor Correction'!C$11,$A114&lt;='Power Factor Correction'!C$12),IF('Power Factor Correction'!C$31&gt;0,'Data Entry Electricity'!$F141*'PFC Calculations'!$I$3*(TAN(ACOS('Power Factor Correction'!C$31))),IF('Power Factor Correction'!C$46&gt;0,'Power Factor Correction'!C$46*'PFC Calculations'!$I$3,0)),0)</f>
        <v>0</v>
      </c>
      <c r="M114" s="179">
        <f>IF(AND($A114&gt;='Power Factor Correction'!D$11,$A114&lt;='Power Factor Correction'!D$12),IF('Power Factor Correction'!D$31&gt;0,'Data Entry Electricity'!$F141*'PFC Calculations'!$I$3*(TAN(ACOS('Power Factor Correction'!D$31))),IF('Power Factor Correction'!D$46&gt;0,'Power Factor Correction'!D$46*'PFC Calculations'!$I$3,0)),0)</f>
        <v>0</v>
      </c>
      <c r="N114" s="179">
        <f>IF(AND($A114&gt;='Power Factor Correction'!E$11,$A114&lt;='Power Factor Correction'!E$12),IF('Power Factor Correction'!E$31&gt;0,'Data Entry Electricity'!$F141*'PFC Calculations'!$I$3*(TAN(ACOS('Power Factor Correction'!E$31))),IF('Power Factor Correction'!E$46&gt;0,'Power Factor Correction'!E$46*'PFC Calculations'!$I$3,0)),0)</f>
        <v>0</v>
      </c>
      <c r="O114" s="179">
        <f>IF(AND($A114&gt;='Power Factor Correction'!F$11,$A114&lt;='Power Factor Correction'!F$12),IF('Power Factor Correction'!F$31&gt;0,'Data Entry Electricity'!$F141*'PFC Calculations'!$I$3*(TAN(ACOS('Power Factor Correction'!F$31))),IF('Power Factor Correction'!F$46&gt;0,'Power Factor Correction'!F$46*'PFC Calculations'!$I$3,0)),0)</f>
        <v>0</v>
      </c>
      <c r="P114" s="179">
        <f t="shared" si="6"/>
        <v>0</v>
      </c>
    </row>
    <row r="115" spans="1:16" s="179" customFormat="1">
      <c r="A115" s="179" t="s">
        <v>995</v>
      </c>
      <c r="B115" s="179">
        <f>IF(AND($A115&gt;='Power Factor Correction'!B$11,$A115&lt;='Power Factor Correction'!B$12),IF('Power Factor Correction'!B140&gt;0,('Power Factor Correction'!B$23*'PFC Calculations'!$I$3)-'PFC Calculations'!K115,IF('Power Factor Correction'!B$25*'Power Factor Correction'!B$26*'Power Factor Correction'!B$27&gt;0,((('Power Factor Correction'!B$26*'Power Factor Correction'!B$27)/(365*24))*'PFC Calculations'!$I$6*'Power Factor Correction'!B$25),0)),0)</f>
        <v>0</v>
      </c>
      <c r="C115" s="179">
        <f>IF(AND($A115&gt;='Power Factor Correction'!C$11,$A115&lt;='Power Factor Correction'!C$12),IF('Power Factor Correction'!C140&gt;0,('Power Factor Correction'!C$23*'PFC Calculations'!$I$3)-'PFC Calculations'!L115,IF('Power Factor Correction'!C$25*'Power Factor Correction'!C$26*'Power Factor Correction'!C$27&gt;0,((('Power Factor Correction'!C$26*'Power Factor Correction'!C$27)/(365*24))*'PFC Calculations'!$I$6*'Power Factor Correction'!C$25),0)),0)</f>
        <v>0</v>
      </c>
      <c r="D115" s="179">
        <f>IF(AND($A115&gt;='Power Factor Correction'!D$11,$A115&lt;='Power Factor Correction'!D$12),IF('Power Factor Correction'!D140&gt;0,('Power Factor Correction'!D$23*'PFC Calculations'!$I$3)-'PFC Calculations'!M115,IF('Power Factor Correction'!D$25*'Power Factor Correction'!D$26*'Power Factor Correction'!D$27&gt;0,((('Power Factor Correction'!D$26*'Power Factor Correction'!D$27)/(365*24))*'PFC Calculations'!$I$6*'Power Factor Correction'!D$25),0)),0)</f>
        <v>0</v>
      </c>
      <c r="E115" s="179">
        <f>IF(AND($A115&gt;='Power Factor Correction'!E$11,$A115&lt;='Power Factor Correction'!E$12),IF('Power Factor Correction'!E140&gt;0,('Power Factor Correction'!E$23*'PFC Calculations'!$I$3)-'PFC Calculations'!N115,IF('Power Factor Correction'!E$25*'Power Factor Correction'!E$26*'Power Factor Correction'!E$27&gt;0,((('Power Factor Correction'!E$26*'Power Factor Correction'!E$27)/(365*24))*'PFC Calculations'!$I$6*'Power Factor Correction'!E$25),0)),0)</f>
        <v>0</v>
      </c>
      <c r="F115" s="179">
        <f>IF(AND($A115&gt;='Power Factor Correction'!F$11,$A115&lt;='Power Factor Correction'!F$12),IF('Power Factor Correction'!F140&gt;0,('Power Factor Correction'!F$23*'PFC Calculations'!$I$3)-'PFC Calculations'!O115,IF('Power Factor Correction'!F$25*'Power Factor Correction'!F$26*'Power Factor Correction'!F$27&gt;0,((('Power Factor Correction'!F$26*'Power Factor Correction'!F$27)/(365*24))*'PFC Calculations'!$I$6*'Power Factor Correction'!F$25),0)),0)</f>
        <v>0</v>
      </c>
      <c r="G115" s="179">
        <f t="shared" si="5"/>
        <v>0</v>
      </c>
      <c r="K115" s="179">
        <f>IF(AND($A115&gt;='Power Factor Correction'!B$11,$A115&lt;='Power Factor Correction'!B$12),IF('Power Factor Correction'!B$31&gt;0,'Data Entry Electricity'!$F142*'PFC Calculations'!$I$3*(TAN(ACOS('Power Factor Correction'!B$31))),IF('Power Factor Correction'!B$46&gt;0,'Power Factor Correction'!B$46*'PFC Calculations'!$I$3,0)),0)</f>
        <v>0</v>
      </c>
      <c r="L115" s="179">
        <f>IF(AND($A115&gt;='Power Factor Correction'!C$11,$A115&lt;='Power Factor Correction'!C$12),IF('Power Factor Correction'!C$31&gt;0,'Data Entry Electricity'!$F142*'PFC Calculations'!$I$3*(TAN(ACOS('Power Factor Correction'!C$31))),IF('Power Factor Correction'!C$46&gt;0,'Power Factor Correction'!C$46*'PFC Calculations'!$I$3,0)),0)</f>
        <v>0</v>
      </c>
      <c r="M115" s="179">
        <f>IF(AND($A115&gt;='Power Factor Correction'!D$11,$A115&lt;='Power Factor Correction'!D$12),IF('Power Factor Correction'!D$31&gt;0,'Data Entry Electricity'!$F142*'PFC Calculations'!$I$3*(TAN(ACOS('Power Factor Correction'!D$31))),IF('Power Factor Correction'!D$46&gt;0,'Power Factor Correction'!D$46*'PFC Calculations'!$I$3,0)),0)</f>
        <v>0</v>
      </c>
      <c r="N115" s="179">
        <f>IF(AND($A115&gt;='Power Factor Correction'!E$11,$A115&lt;='Power Factor Correction'!E$12),IF('Power Factor Correction'!E$31&gt;0,'Data Entry Electricity'!$F142*'PFC Calculations'!$I$3*(TAN(ACOS('Power Factor Correction'!E$31))),IF('Power Factor Correction'!E$46&gt;0,'Power Factor Correction'!E$46*'PFC Calculations'!$I$3,0)),0)</f>
        <v>0</v>
      </c>
      <c r="O115" s="179">
        <f>IF(AND($A115&gt;='Power Factor Correction'!F$11,$A115&lt;='Power Factor Correction'!F$12),IF('Power Factor Correction'!F$31&gt;0,'Data Entry Electricity'!$F142*'PFC Calculations'!$I$3*(TAN(ACOS('Power Factor Correction'!F$31))),IF('Power Factor Correction'!F$46&gt;0,'Power Factor Correction'!F$46*'PFC Calculations'!$I$3,0)),0)</f>
        <v>0</v>
      </c>
      <c r="P115" s="179">
        <f t="shared" si="6"/>
        <v>0</v>
      </c>
    </row>
    <row r="116" spans="1:16" s="179" customFormat="1">
      <c r="A116" s="179" t="s">
        <v>996</v>
      </c>
      <c r="B116" s="179">
        <f>IF(AND($A116&gt;='Power Factor Correction'!B$11,$A116&lt;='Power Factor Correction'!B$12),IF('Power Factor Correction'!B141&gt;0,('Power Factor Correction'!B$23*'PFC Calculations'!$I$3)-'PFC Calculations'!K116,IF('Power Factor Correction'!B$25*'Power Factor Correction'!B$26*'Power Factor Correction'!B$27&gt;0,((('Power Factor Correction'!B$26*'Power Factor Correction'!B$27)/(365*24))*'PFC Calculations'!$I$6*'Power Factor Correction'!B$25),0)),0)</f>
        <v>0</v>
      </c>
      <c r="C116" s="179">
        <f>IF(AND($A116&gt;='Power Factor Correction'!C$11,$A116&lt;='Power Factor Correction'!C$12),IF('Power Factor Correction'!C141&gt;0,('Power Factor Correction'!C$23*'PFC Calculations'!$I$3)-'PFC Calculations'!L116,IF('Power Factor Correction'!C$25*'Power Factor Correction'!C$26*'Power Factor Correction'!C$27&gt;0,((('Power Factor Correction'!C$26*'Power Factor Correction'!C$27)/(365*24))*'PFC Calculations'!$I$6*'Power Factor Correction'!C$25),0)),0)</f>
        <v>0</v>
      </c>
      <c r="D116" s="179">
        <f>IF(AND($A116&gt;='Power Factor Correction'!D$11,$A116&lt;='Power Factor Correction'!D$12),IF('Power Factor Correction'!D141&gt;0,('Power Factor Correction'!D$23*'PFC Calculations'!$I$3)-'PFC Calculations'!M116,IF('Power Factor Correction'!D$25*'Power Factor Correction'!D$26*'Power Factor Correction'!D$27&gt;0,((('Power Factor Correction'!D$26*'Power Factor Correction'!D$27)/(365*24))*'PFC Calculations'!$I$6*'Power Factor Correction'!D$25),0)),0)</f>
        <v>0</v>
      </c>
      <c r="E116" s="179">
        <f>IF(AND($A116&gt;='Power Factor Correction'!E$11,$A116&lt;='Power Factor Correction'!E$12),IF('Power Factor Correction'!E141&gt;0,('Power Factor Correction'!E$23*'PFC Calculations'!$I$3)-'PFC Calculations'!N116,IF('Power Factor Correction'!E$25*'Power Factor Correction'!E$26*'Power Factor Correction'!E$27&gt;0,((('Power Factor Correction'!E$26*'Power Factor Correction'!E$27)/(365*24))*'PFC Calculations'!$I$6*'Power Factor Correction'!E$25),0)),0)</f>
        <v>0</v>
      </c>
      <c r="F116" s="179">
        <f>IF(AND($A116&gt;='Power Factor Correction'!F$11,$A116&lt;='Power Factor Correction'!F$12),IF('Power Factor Correction'!F141&gt;0,('Power Factor Correction'!F$23*'PFC Calculations'!$I$3)-'PFC Calculations'!O116,IF('Power Factor Correction'!F$25*'Power Factor Correction'!F$26*'Power Factor Correction'!F$27&gt;0,((('Power Factor Correction'!F$26*'Power Factor Correction'!F$27)/(365*24))*'PFC Calculations'!$I$6*'Power Factor Correction'!F$25),0)),0)</f>
        <v>0</v>
      </c>
      <c r="G116" s="179">
        <f t="shared" si="5"/>
        <v>0</v>
      </c>
      <c r="K116" s="179">
        <f>IF(AND($A116&gt;='Power Factor Correction'!B$11,$A116&lt;='Power Factor Correction'!B$12),IF('Power Factor Correction'!B$31&gt;0,'Data Entry Electricity'!$F143*'PFC Calculations'!$I$3*(TAN(ACOS('Power Factor Correction'!B$31))),IF('Power Factor Correction'!B$46&gt;0,'Power Factor Correction'!B$46*'PFC Calculations'!$I$3,0)),0)</f>
        <v>0</v>
      </c>
      <c r="L116" s="179">
        <f>IF(AND($A116&gt;='Power Factor Correction'!C$11,$A116&lt;='Power Factor Correction'!C$12),IF('Power Factor Correction'!C$31&gt;0,'Data Entry Electricity'!$F143*'PFC Calculations'!$I$3*(TAN(ACOS('Power Factor Correction'!C$31))),IF('Power Factor Correction'!C$46&gt;0,'Power Factor Correction'!C$46*'PFC Calculations'!$I$3,0)),0)</f>
        <v>0</v>
      </c>
      <c r="M116" s="179">
        <f>IF(AND($A116&gt;='Power Factor Correction'!D$11,$A116&lt;='Power Factor Correction'!D$12),IF('Power Factor Correction'!D$31&gt;0,'Data Entry Electricity'!$F143*'PFC Calculations'!$I$3*(TAN(ACOS('Power Factor Correction'!D$31))),IF('Power Factor Correction'!D$46&gt;0,'Power Factor Correction'!D$46*'PFC Calculations'!$I$3,0)),0)</f>
        <v>0</v>
      </c>
      <c r="N116" s="179">
        <f>IF(AND($A116&gt;='Power Factor Correction'!E$11,$A116&lt;='Power Factor Correction'!E$12),IF('Power Factor Correction'!E$31&gt;0,'Data Entry Electricity'!$F143*'PFC Calculations'!$I$3*(TAN(ACOS('Power Factor Correction'!E$31))),IF('Power Factor Correction'!E$46&gt;0,'Power Factor Correction'!E$46*'PFC Calculations'!$I$3,0)),0)</f>
        <v>0</v>
      </c>
      <c r="O116" s="179">
        <f>IF(AND($A116&gt;='Power Factor Correction'!F$11,$A116&lt;='Power Factor Correction'!F$12),IF('Power Factor Correction'!F$31&gt;0,'Data Entry Electricity'!$F143*'PFC Calculations'!$I$3*(TAN(ACOS('Power Factor Correction'!F$31))),IF('Power Factor Correction'!F$46&gt;0,'Power Factor Correction'!F$46*'PFC Calculations'!$I$3,0)),0)</f>
        <v>0</v>
      </c>
      <c r="P116" s="179">
        <f t="shared" si="6"/>
        <v>0</v>
      </c>
    </row>
    <row r="117" spans="1:16" s="179" customFormat="1">
      <c r="A117" s="179" t="s">
        <v>997</v>
      </c>
      <c r="B117" s="179">
        <f>IF(AND($A117&gt;='Power Factor Correction'!B$11,$A117&lt;='Power Factor Correction'!B$12),IF('Power Factor Correction'!B142&gt;0,('Power Factor Correction'!B$23*'PFC Calculations'!$I$3)-'PFC Calculations'!K117,IF('Power Factor Correction'!B$25*'Power Factor Correction'!B$26*'Power Factor Correction'!B$27&gt;0,((('Power Factor Correction'!B$26*'Power Factor Correction'!B$27)/(365*24))*'PFC Calculations'!$I$6*'Power Factor Correction'!B$25),0)),0)</f>
        <v>0</v>
      </c>
      <c r="C117" s="179">
        <f>IF(AND($A117&gt;='Power Factor Correction'!C$11,$A117&lt;='Power Factor Correction'!C$12),IF('Power Factor Correction'!C142&gt;0,('Power Factor Correction'!C$23*'PFC Calculations'!$I$3)-'PFC Calculations'!L117,IF('Power Factor Correction'!C$25*'Power Factor Correction'!C$26*'Power Factor Correction'!C$27&gt;0,((('Power Factor Correction'!C$26*'Power Factor Correction'!C$27)/(365*24))*'PFC Calculations'!$I$6*'Power Factor Correction'!C$25),0)),0)</f>
        <v>0</v>
      </c>
      <c r="D117" s="179">
        <f>IF(AND($A117&gt;='Power Factor Correction'!D$11,$A117&lt;='Power Factor Correction'!D$12),IF('Power Factor Correction'!D142&gt;0,('Power Factor Correction'!D$23*'PFC Calculations'!$I$3)-'PFC Calculations'!M117,IF('Power Factor Correction'!D$25*'Power Factor Correction'!D$26*'Power Factor Correction'!D$27&gt;0,((('Power Factor Correction'!D$26*'Power Factor Correction'!D$27)/(365*24))*'PFC Calculations'!$I$6*'Power Factor Correction'!D$25),0)),0)</f>
        <v>0</v>
      </c>
      <c r="E117" s="179">
        <f>IF(AND($A117&gt;='Power Factor Correction'!E$11,$A117&lt;='Power Factor Correction'!E$12),IF('Power Factor Correction'!E142&gt;0,('Power Factor Correction'!E$23*'PFC Calculations'!$I$3)-'PFC Calculations'!N117,IF('Power Factor Correction'!E$25*'Power Factor Correction'!E$26*'Power Factor Correction'!E$27&gt;0,((('Power Factor Correction'!E$26*'Power Factor Correction'!E$27)/(365*24))*'PFC Calculations'!$I$6*'Power Factor Correction'!E$25),0)),0)</f>
        <v>0</v>
      </c>
      <c r="F117" s="179">
        <f>IF(AND($A117&gt;='Power Factor Correction'!F$11,$A117&lt;='Power Factor Correction'!F$12),IF('Power Factor Correction'!F142&gt;0,('Power Factor Correction'!F$23*'PFC Calculations'!$I$3)-'PFC Calculations'!O117,IF('Power Factor Correction'!F$25*'Power Factor Correction'!F$26*'Power Factor Correction'!F$27&gt;0,((('Power Factor Correction'!F$26*'Power Factor Correction'!F$27)/(365*24))*'PFC Calculations'!$I$6*'Power Factor Correction'!F$25),0)),0)</f>
        <v>0</v>
      </c>
      <c r="G117" s="179">
        <f t="shared" si="5"/>
        <v>0</v>
      </c>
      <c r="K117" s="179">
        <f>IF(AND($A117&gt;='Power Factor Correction'!B$11,$A117&lt;='Power Factor Correction'!B$12),IF('Power Factor Correction'!B$31&gt;0,'Data Entry Electricity'!$F144*'PFC Calculations'!$I$3*(TAN(ACOS('Power Factor Correction'!B$31))),IF('Power Factor Correction'!B$46&gt;0,'Power Factor Correction'!B$46*'PFC Calculations'!$I$3,0)),0)</f>
        <v>0</v>
      </c>
      <c r="L117" s="179">
        <f>IF(AND($A117&gt;='Power Factor Correction'!C$11,$A117&lt;='Power Factor Correction'!C$12),IF('Power Factor Correction'!C$31&gt;0,'Data Entry Electricity'!$F144*'PFC Calculations'!$I$3*(TAN(ACOS('Power Factor Correction'!C$31))),IF('Power Factor Correction'!C$46&gt;0,'Power Factor Correction'!C$46*'PFC Calculations'!$I$3,0)),0)</f>
        <v>0</v>
      </c>
      <c r="M117" s="179">
        <f>IF(AND($A117&gt;='Power Factor Correction'!D$11,$A117&lt;='Power Factor Correction'!D$12),IF('Power Factor Correction'!D$31&gt;0,'Data Entry Electricity'!$F144*'PFC Calculations'!$I$3*(TAN(ACOS('Power Factor Correction'!D$31))),IF('Power Factor Correction'!D$46&gt;0,'Power Factor Correction'!D$46*'PFC Calculations'!$I$3,0)),0)</f>
        <v>0</v>
      </c>
      <c r="N117" s="179">
        <f>IF(AND($A117&gt;='Power Factor Correction'!E$11,$A117&lt;='Power Factor Correction'!E$12),IF('Power Factor Correction'!E$31&gt;0,'Data Entry Electricity'!$F144*'PFC Calculations'!$I$3*(TAN(ACOS('Power Factor Correction'!E$31))),IF('Power Factor Correction'!E$46&gt;0,'Power Factor Correction'!E$46*'PFC Calculations'!$I$3,0)),0)</f>
        <v>0</v>
      </c>
      <c r="O117" s="179">
        <f>IF(AND($A117&gt;='Power Factor Correction'!F$11,$A117&lt;='Power Factor Correction'!F$12),IF('Power Factor Correction'!F$31&gt;0,'Data Entry Electricity'!$F144*'PFC Calculations'!$I$3*(TAN(ACOS('Power Factor Correction'!F$31))),IF('Power Factor Correction'!F$46&gt;0,'Power Factor Correction'!F$46*'PFC Calculations'!$I$3,0)),0)</f>
        <v>0</v>
      </c>
      <c r="P117" s="179">
        <f t="shared" si="6"/>
        <v>0</v>
      </c>
    </row>
    <row r="118" spans="1:16" s="179" customFormat="1">
      <c r="A118" s="179" t="s">
        <v>998</v>
      </c>
      <c r="B118" s="179">
        <f>IF(AND($A118&gt;='Power Factor Correction'!B$11,$A118&lt;='Power Factor Correction'!B$12),IF('Power Factor Correction'!B143&gt;0,('Power Factor Correction'!B$23*'PFC Calculations'!$I$3)-'PFC Calculations'!K118,IF('Power Factor Correction'!B$25*'Power Factor Correction'!B$26*'Power Factor Correction'!B$27&gt;0,((('Power Factor Correction'!B$26*'Power Factor Correction'!B$27)/(365*24))*'PFC Calculations'!$I$6*'Power Factor Correction'!B$25),0)),0)</f>
        <v>0</v>
      </c>
      <c r="C118" s="179">
        <f>IF(AND($A118&gt;='Power Factor Correction'!C$11,$A118&lt;='Power Factor Correction'!C$12),IF('Power Factor Correction'!C143&gt;0,('Power Factor Correction'!C$23*'PFC Calculations'!$I$3)-'PFC Calculations'!L118,IF('Power Factor Correction'!C$25*'Power Factor Correction'!C$26*'Power Factor Correction'!C$27&gt;0,((('Power Factor Correction'!C$26*'Power Factor Correction'!C$27)/(365*24))*'PFC Calculations'!$I$6*'Power Factor Correction'!C$25),0)),0)</f>
        <v>0</v>
      </c>
      <c r="D118" s="179">
        <f>IF(AND($A118&gt;='Power Factor Correction'!D$11,$A118&lt;='Power Factor Correction'!D$12),IF('Power Factor Correction'!D143&gt;0,('Power Factor Correction'!D$23*'PFC Calculations'!$I$3)-'PFC Calculations'!M118,IF('Power Factor Correction'!D$25*'Power Factor Correction'!D$26*'Power Factor Correction'!D$27&gt;0,((('Power Factor Correction'!D$26*'Power Factor Correction'!D$27)/(365*24))*'PFC Calculations'!$I$6*'Power Factor Correction'!D$25),0)),0)</f>
        <v>0</v>
      </c>
      <c r="E118" s="179">
        <f>IF(AND($A118&gt;='Power Factor Correction'!E$11,$A118&lt;='Power Factor Correction'!E$12),IF('Power Factor Correction'!E143&gt;0,('Power Factor Correction'!E$23*'PFC Calculations'!$I$3)-'PFC Calculations'!N118,IF('Power Factor Correction'!E$25*'Power Factor Correction'!E$26*'Power Factor Correction'!E$27&gt;0,((('Power Factor Correction'!E$26*'Power Factor Correction'!E$27)/(365*24))*'PFC Calculations'!$I$6*'Power Factor Correction'!E$25),0)),0)</f>
        <v>0</v>
      </c>
      <c r="F118" s="179">
        <f>IF(AND($A118&gt;='Power Factor Correction'!F$11,$A118&lt;='Power Factor Correction'!F$12),IF('Power Factor Correction'!F143&gt;0,('Power Factor Correction'!F$23*'PFC Calculations'!$I$3)-'PFC Calculations'!O118,IF('Power Factor Correction'!F$25*'Power Factor Correction'!F$26*'Power Factor Correction'!F$27&gt;0,((('Power Factor Correction'!F$26*'Power Factor Correction'!F$27)/(365*24))*'PFC Calculations'!$I$6*'Power Factor Correction'!F$25),0)),0)</f>
        <v>0</v>
      </c>
      <c r="G118" s="179">
        <f t="shared" si="5"/>
        <v>0</v>
      </c>
      <c r="K118" s="179">
        <f>IF(AND($A118&gt;='Power Factor Correction'!B$11,$A118&lt;='Power Factor Correction'!B$12),IF('Power Factor Correction'!B$31&gt;0,'Data Entry Electricity'!$F145*'PFC Calculations'!$I$3*(TAN(ACOS('Power Factor Correction'!B$31))),IF('Power Factor Correction'!B$46&gt;0,'Power Factor Correction'!B$46*'PFC Calculations'!$I$3,0)),0)</f>
        <v>0</v>
      </c>
      <c r="L118" s="179">
        <f>IF(AND($A118&gt;='Power Factor Correction'!C$11,$A118&lt;='Power Factor Correction'!C$12),IF('Power Factor Correction'!C$31&gt;0,'Data Entry Electricity'!$F145*'PFC Calculations'!$I$3*(TAN(ACOS('Power Factor Correction'!C$31))),IF('Power Factor Correction'!C$46&gt;0,'Power Factor Correction'!C$46*'PFC Calculations'!$I$3,0)),0)</f>
        <v>0</v>
      </c>
      <c r="M118" s="179">
        <f>IF(AND($A118&gt;='Power Factor Correction'!D$11,$A118&lt;='Power Factor Correction'!D$12),IF('Power Factor Correction'!D$31&gt;0,'Data Entry Electricity'!$F145*'PFC Calculations'!$I$3*(TAN(ACOS('Power Factor Correction'!D$31))),IF('Power Factor Correction'!D$46&gt;0,'Power Factor Correction'!D$46*'PFC Calculations'!$I$3,0)),0)</f>
        <v>0</v>
      </c>
      <c r="N118" s="179">
        <f>IF(AND($A118&gt;='Power Factor Correction'!E$11,$A118&lt;='Power Factor Correction'!E$12),IF('Power Factor Correction'!E$31&gt;0,'Data Entry Electricity'!$F145*'PFC Calculations'!$I$3*(TAN(ACOS('Power Factor Correction'!E$31))),IF('Power Factor Correction'!E$46&gt;0,'Power Factor Correction'!E$46*'PFC Calculations'!$I$3,0)),0)</f>
        <v>0</v>
      </c>
      <c r="O118" s="179">
        <f>IF(AND($A118&gt;='Power Factor Correction'!F$11,$A118&lt;='Power Factor Correction'!F$12),IF('Power Factor Correction'!F$31&gt;0,'Data Entry Electricity'!$F145*'PFC Calculations'!$I$3*(TAN(ACOS('Power Factor Correction'!F$31))),IF('Power Factor Correction'!F$46&gt;0,'Power Factor Correction'!F$46*'PFC Calculations'!$I$3,0)),0)</f>
        <v>0</v>
      </c>
      <c r="P118" s="179">
        <f t="shared" si="6"/>
        <v>0</v>
      </c>
    </row>
    <row r="119" spans="1:16" s="179" customFormat="1">
      <c r="A119" s="179" t="s">
        <v>999</v>
      </c>
      <c r="B119" s="179">
        <f>IF(AND($A119&gt;='Power Factor Correction'!B$11,$A119&lt;='Power Factor Correction'!B$12),IF('Power Factor Correction'!B144&gt;0,('Power Factor Correction'!B$23*'PFC Calculations'!$I$3)-'PFC Calculations'!K119,IF('Power Factor Correction'!B$25*'Power Factor Correction'!B$26*'Power Factor Correction'!B$27&gt;0,((('Power Factor Correction'!B$26*'Power Factor Correction'!B$27)/(365*24))*'PFC Calculations'!$I$6*'Power Factor Correction'!B$25),0)),0)</f>
        <v>0</v>
      </c>
      <c r="C119" s="179">
        <f>IF(AND($A119&gt;='Power Factor Correction'!C$11,$A119&lt;='Power Factor Correction'!C$12),IF('Power Factor Correction'!C144&gt;0,('Power Factor Correction'!C$23*'PFC Calculations'!$I$3)-'PFC Calculations'!L119,IF('Power Factor Correction'!C$25*'Power Factor Correction'!C$26*'Power Factor Correction'!C$27&gt;0,((('Power Factor Correction'!C$26*'Power Factor Correction'!C$27)/(365*24))*'PFC Calculations'!$I$6*'Power Factor Correction'!C$25),0)),0)</f>
        <v>0</v>
      </c>
      <c r="D119" s="179">
        <f>IF(AND($A119&gt;='Power Factor Correction'!D$11,$A119&lt;='Power Factor Correction'!D$12),IF('Power Factor Correction'!D144&gt;0,('Power Factor Correction'!D$23*'PFC Calculations'!$I$3)-'PFC Calculations'!M119,IF('Power Factor Correction'!D$25*'Power Factor Correction'!D$26*'Power Factor Correction'!D$27&gt;0,((('Power Factor Correction'!D$26*'Power Factor Correction'!D$27)/(365*24))*'PFC Calculations'!$I$6*'Power Factor Correction'!D$25),0)),0)</f>
        <v>0</v>
      </c>
      <c r="E119" s="179">
        <f>IF(AND($A119&gt;='Power Factor Correction'!E$11,$A119&lt;='Power Factor Correction'!E$12),IF('Power Factor Correction'!E144&gt;0,('Power Factor Correction'!E$23*'PFC Calculations'!$I$3)-'PFC Calculations'!N119,IF('Power Factor Correction'!E$25*'Power Factor Correction'!E$26*'Power Factor Correction'!E$27&gt;0,((('Power Factor Correction'!E$26*'Power Factor Correction'!E$27)/(365*24))*'PFC Calculations'!$I$6*'Power Factor Correction'!E$25),0)),0)</f>
        <v>0</v>
      </c>
      <c r="F119" s="179">
        <f>IF(AND($A119&gt;='Power Factor Correction'!F$11,$A119&lt;='Power Factor Correction'!F$12),IF('Power Factor Correction'!F144&gt;0,('Power Factor Correction'!F$23*'PFC Calculations'!$I$3)-'PFC Calculations'!O119,IF('Power Factor Correction'!F$25*'Power Factor Correction'!F$26*'Power Factor Correction'!F$27&gt;0,((('Power Factor Correction'!F$26*'Power Factor Correction'!F$27)/(365*24))*'PFC Calculations'!$I$6*'Power Factor Correction'!F$25),0)),0)</f>
        <v>0</v>
      </c>
      <c r="G119" s="179">
        <f t="shared" si="5"/>
        <v>0</v>
      </c>
      <c r="K119" s="179">
        <f>IF(AND($A119&gt;='Power Factor Correction'!B$11,$A119&lt;='Power Factor Correction'!B$12),IF('Power Factor Correction'!B$31&gt;0,'Data Entry Electricity'!$F146*'PFC Calculations'!$I$3*(TAN(ACOS('Power Factor Correction'!B$31))),IF('Power Factor Correction'!B$46&gt;0,'Power Factor Correction'!B$46*'PFC Calculations'!$I$3,0)),0)</f>
        <v>0</v>
      </c>
      <c r="L119" s="179">
        <f>IF(AND($A119&gt;='Power Factor Correction'!C$11,$A119&lt;='Power Factor Correction'!C$12),IF('Power Factor Correction'!C$31&gt;0,'Data Entry Electricity'!$F146*'PFC Calculations'!$I$3*(TAN(ACOS('Power Factor Correction'!C$31))),IF('Power Factor Correction'!C$46&gt;0,'Power Factor Correction'!C$46*'PFC Calculations'!$I$3,0)),0)</f>
        <v>0</v>
      </c>
      <c r="M119" s="179">
        <f>IF(AND($A119&gt;='Power Factor Correction'!D$11,$A119&lt;='Power Factor Correction'!D$12),IF('Power Factor Correction'!D$31&gt;0,'Data Entry Electricity'!$F146*'PFC Calculations'!$I$3*(TAN(ACOS('Power Factor Correction'!D$31))),IF('Power Factor Correction'!D$46&gt;0,'Power Factor Correction'!D$46*'PFC Calculations'!$I$3,0)),0)</f>
        <v>0</v>
      </c>
      <c r="N119" s="179">
        <f>IF(AND($A119&gt;='Power Factor Correction'!E$11,$A119&lt;='Power Factor Correction'!E$12),IF('Power Factor Correction'!E$31&gt;0,'Data Entry Electricity'!$F146*'PFC Calculations'!$I$3*(TAN(ACOS('Power Factor Correction'!E$31))),IF('Power Factor Correction'!E$46&gt;0,'Power Factor Correction'!E$46*'PFC Calculations'!$I$3,0)),0)</f>
        <v>0</v>
      </c>
      <c r="O119" s="179">
        <f>IF(AND($A119&gt;='Power Factor Correction'!F$11,$A119&lt;='Power Factor Correction'!F$12),IF('Power Factor Correction'!F$31&gt;0,'Data Entry Electricity'!$F146*'PFC Calculations'!$I$3*(TAN(ACOS('Power Factor Correction'!F$31))),IF('Power Factor Correction'!F$46&gt;0,'Power Factor Correction'!F$46*'PFC Calculations'!$I$3,0)),0)</f>
        <v>0</v>
      </c>
      <c r="P119" s="179">
        <f t="shared" si="6"/>
        <v>0</v>
      </c>
    </row>
    <row r="120" spans="1:16">
      <c r="A120" s="179"/>
    </row>
    <row r="121" spans="1:16">
      <c r="A121" t="s">
        <v>112</v>
      </c>
      <c r="B121">
        <f>SUM(B3:B119)</f>
        <v>0</v>
      </c>
      <c r="C121" s="179">
        <f t="shared" ref="C121:P121" si="7">SUM(C3:C119)</f>
        <v>0</v>
      </c>
      <c r="D121" s="179">
        <f t="shared" si="7"/>
        <v>0</v>
      </c>
      <c r="E121" s="179">
        <f t="shared" si="7"/>
        <v>0</v>
      </c>
      <c r="F121" s="179">
        <f t="shared" si="7"/>
        <v>0</v>
      </c>
      <c r="G121" s="179">
        <f t="shared" si="7"/>
        <v>0</v>
      </c>
      <c r="H121" s="179"/>
      <c r="I121" s="179"/>
      <c r="J121" s="179"/>
      <c r="K121" s="179">
        <f t="shared" si="7"/>
        <v>0</v>
      </c>
      <c r="L121" s="179">
        <f t="shared" si="7"/>
        <v>0</v>
      </c>
      <c r="M121" s="179">
        <f t="shared" si="7"/>
        <v>0</v>
      </c>
      <c r="N121" s="179">
        <f t="shared" si="7"/>
        <v>0</v>
      </c>
      <c r="O121" s="179">
        <f t="shared" si="7"/>
        <v>0</v>
      </c>
      <c r="P121" s="179">
        <f t="shared" si="7"/>
        <v>0</v>
      </c>
    </row>
  </sheetData>
  <mergeCells count="1">
    <mergeCell ref="K1:P1"/>
  </mergeCells>
  <pageMargins left="0.7" right="0.7" top="0.75" bottom="0.75" header="0.3" footer="0.3"/>
  <pageSetup paperSize="9" orientation="portrait" verticalDpi="4"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125"/>
  <sheetViews>
    <sheetView topLeftCell="A49" zoomScale="85" zoomScaleNormal="85" workbookViewId="0">
      <selection activeCell="B4" sqref="B4"/>
    </sheetView>
  </sheetViews>
  <sheetFormatPr defaultRowHeight="15"/>
  <cols>
    <col min="1" max="1" width="46.7109375" bestFit="1" customWidth="1"/>
    <col min="2" max="6" width="26.5703125" bestFit="1" customWidth="1"/>
    <col min="7" max="8" width="20.7109375" customWidth="1"/>
    <col min="9" max="9" width="26.28515625" customWidth="1"/>
  </cols>
  <sheetData>
    <row r="1" spans="1:9">
      <c r="A1" s="72"/>
      <c r="B1" s="72"/>
      <c r="C1" s="72"/>
      <c r="D1" s="72"/>
      <c r="E1" s="72"/>
      <c r="F1" s="72"/>
      <c r="G1" s="72"/>
    </row>
    <row r="2" spans="1:9" ht="15.75">
      <c r="A2" s="87"/>
      <c r="B2" s="96" t="str">
        <f>Report!B3</f>
        <v>2015/16-Q1</v>
      </c>
      <c r="C2" s="72"/>
      <c r="D2" s="936" t="s">
        <v>971</v>
      </c>
      <c r="E2" s="936"/>
      <c r="F2" s="936"/>
      <c r="G2" s="72"/>
    </row>
    <row r="3" spans="1:9" ht="15.75">
      <c r="A3" s="92" t="s">
        <v>967</v>
      </c>
      <c r="B3" s="516" t="s">
        <v>1122</v>
      </c>
      <c r="C3" s="95"/>
      <c r="D3" s="936"/>
      <c r="E3" s="936"/>
      <c r="F3" s="936"/>
      <c r="G3" s="72"/>
    </row>
    <row r="4" spans="1:9" ht="15.75">
      <c r="A4" s="92" t="s">
        <v>968</v>
      </c>
      <c r="B4" s="516" t="s">
        <v>1123</v>
      </c>
      <c r="C4" s="95"/>
      <c r="D4" s="936"/>
      <c r="E4" s="936"/>
      <c r="F4" s="936"/>
      <c r="G4" s="72"/>
    </row>
    <row r="5" spans="1:9" ht="15.75">
      <c r="A5" s="92" t="s">
        <v>208</v>
      </c>
      <c r="B5" s="516"/>
      <c r="C5" s="95"/>
      <c r="D5" s="936"/>
      <c r="E5" s="936"/>
      <c r="F5" s="936"/>
      <c r="G5" s="72"/>
    </row>
    <row r="6" spans="1:9" ht="15.75">
      <c r="A6" s="86"/>
      <c r="B6" s="87"/>
      <c r="C6" s="72"/>
      <c r="D6" s="936"/>
      <c r="E6" s="936"/>
      <c r="F6" s="936"/>
      <c r="G6" s="72"/>
    </row>
    <row r="7" spans="1:9" ht="15.75">
      <c r="A7" s="92" t="s">
        <v>862</v>
      </c>
      <c r="B7" s="520">
        <v>42200</v>
      </c>
      <c r="C7" s="179"/>
      <c r="D7" s="936"/>
      <c r="E7" s="936"/>
      <c r="F7" s="936"/>
      <c r="G7" s="72"/>
    </row>
    <row r="9" spans="1:9">
      <c r="G9" s="73"/>
      <c r="H9" s="73"/>
      <c r="I9" s="73"/>
    </row>
    <row r="10" spans="1:9" ht="16.5" thickBot="1">
      <c r="A10" s="93" t="s">
        <v>823</v>
      </c>
      <c r="B10" s="110"/>
      <c r="C10" s="110"/>
      <c r="D10" s="110"/>
      <c r="E10" s="110"/>
      <c r="F10" s="110"/>
      <c r="G10" s="78"/>
      <c r="H10" s="78"/>
      <c r="I10" s="78"/>
    </row>
    <row r="11" spans="1:9">
      <c r="A11" s="89" t="s">
        <v>187</v>
      </c>
      <c r="B11" s="122"/>
      <c r="C11" s="122"/>
      <c r="D11" s="122"/>
      <c r="E11" s="122"/>
      <c r="F11" s="122"/>
      <c r="G11" s="79"/>
      <c r="H11" s="79"/>
      <c r="I11" s="79"/>
    </row>
    <row r="12" spans="1:9" s="179" customFormat="1" ht="15.75">
      <c r="A12" s="710" t="s">
        <v>1043</v>
      </c>
      <c r="B12" s="500"/>
      <c r="C12" s="500"/>
      <c r="D12" s="500"/>
      <c r="E12" s="500"/>
      <c r="F12" s="500"/>
      <c r="G12" s="79"/>
      <c r="H12" s="79"/>
      <c r="I12" s="79"/>
    </row>
    <row r="13" spans="1:9">
      <c r="A13" s="89" t="s">
        <v>181</v>
      </c>
      <c r="B13" s="123" t="s">
        <v>31</v>
      </c>
      <c r="C13" s="123" t="s">
        <v>37</v>
      </c>
      <c r="D13" s="123" t="s">
        <v>31</v>
      </c>
      <c r="E13" s="123" t="s">
        <v>31</v>
      </c>
      <c r="F13" s="123" t="s">
        <v>31</v>
      </c>
      <c r="G13" s="79"/>
      <c r="H13" s="79"/>
      <c r="I13" s="79"/>
    </row>
    <row r="14" spans="1:9">
      <c r="A14" s="89" t="s">
        <v>182</v>
      </c>
      <c r="B14" s="123" t="s">
        <v>994</v>
      </c>
      <c r="C14" s="123" t="s">
        <v>994</v>
      </c>
      <c r="D14" s="123" t="s">
        <v>31</v>
      </c>
      <c r="E14" s="123" t="s">
        <v>31</v>
      </c>
      <c r="F14" s="123" t="s">
        <v>31</v>
      </c>
      <c r="G14" s="79"/>
      <c r="H14" s="79"/>
      <c r="I14" s="79"/>
    </row>
    <row r="15" spans="1:9">
      <c r="A15" s="89" t="s">
        <v>186</v>
      </c>
      <c r="B15" s="504"/>
      <c r="C15" s="504"/>
      <c r="D15" s="504"/>
      <c r="E15" s="504"/>
      <c r="F15" s="504"/>
      <c r="G15" s="68"/>
      <c r="H15" s="68"/>
      <c r="I15" s="68"/>
    </row>
    <row r="16" spans="1:9">
      <c r="A16" s="89" t="s">
        <v>890</v>
      </c>
      <c r="B16" s="504"/>
      <c r="C16" s="504"/>
      <c r="D16" s="504"/>
      <c r="E16" s="504"/>
      <c r="F16" s="504"/>
      <c r="G16" s="68"/>
      <c r="H16" s="68"/>
      <c r="I16" s="68"/>
    </row>
    <row r="17" spans="1:9" s="418" customFormat="1" ht="30">
      <c r="A17" s="111" t="s">
        <v>824</v>
      </c>
      <c r="B17" s="507"/>
      <c r="C17" s="507"/>
      <c r="D17" s="507"/>
      <c r="E17" s="507"/>
      <c r="F17" s="507"/>
      <c r="G17" s="495"/>
      <c r="H17" s="495"/>
      <c r="I17" s="495"/>
    </row>
    <row r="18" spans="1:9">
      <c r="A18" s="89" t="s">
        <v>891</v>
      </c>
      <c r="B18" s="504"/>
      <c r="C18" s="504"/>
      <c r="D18" s="504"/>
      <c r="E18" s="504"/>
      <c r="F18" s="504"/>
      <c r="G18" s="68"/>
      <c r="H18" s="68"/>
      <c r="I18" s="68"/>
    </row>
    <row r="19" spans="1:9" s="179" customFormat="1" ht="30">
      <c r="A19" s="111" t="s">
        <v>825</v>
      </c>
      <c r="B19" s="507"/>
      <c r="C19" s="507"/>
      <c r="D19" s="504"/>
      <c r="E19" s="504"/>
      <c r="F19" s="504"/>
      <c r="G19" s="68"/>
      <c r="H19" s="68"/>
      <c r="I19" s="68"/>
    </row>
    <row r="20" spans="1:9">
      <c r="A20" s="111" t="s">
        <v>852</v>
      </c>
      <c r="B20" s="504"/>
      <c r="C20" s="504"/>
      <c r="D20" s="504"/>
      <c r="E20" s="504"/>
      <c r="F20" s="504"/>
      <c r="G20" s="28"/>
      <c r="H20" s="28"/>
      <c r="I20" s="28"/>
    </row>
    <row r="21" spans="1:9" ht="15.75" thickBot="1">
      <c r="A21" s="89" t="s">
        <v>851</v>
      </c>
      <c r="B21" s="506"/>
      <c r="C21" s="506"/>
      <c r="D21" s="506"/>
      <c r="E21" s="506"/>
      <c r="F21" s="506"/>
      <c r="G21" s="28"/>
      <c r="H21" s="28"/>
      <c r="I21" s="28"/>
    </row>
    <row r="22" spans="1:9" ht="15.75">
      <c r="A22" s="89"/>
      <c r="B22" s="86"/>
      <c r="C22" s="86"/>
      <c r="D22" s="86"/>
      <c r="E22" s="86"/>
      <c r="F22" s="86"/>
      <c r="G22" s="28"/>
      <c r="H22" s="28"/>
      <c r="I22" s="28"/>
    </row>
    <row r="23" spans="1:9" s="72" customFormat="1" ht="16.5" thickBot="1">
      <c r="A23" s="109" t="s">
        <v>828</v>
      </c>
      <c r="B23" s="110"/>
      <c r="C23" s="110"/>
      <c r="D23" s="110"/>
      <c r="E23" s="110"/>
      <c r="F23" s="110"/>
      <c r="G23" s="78"/>
      <c r="H23" s="78"/>
      <c r="I23" s="78"/>
    </row>
    <row r="24" spans="1:9" ht="30.75">
      <c r="A24" s="91" t="s">
        <v>218</v>
      </c>
      <c r="B24" s="113">
        <f>IF('Reduced Power Lighting Calculat'!B$122&gt;0,(Report!$K$8*'Reduced Power Lighting Calculat'!B$122/VLOOKUP(Report!$C$6,'Actual-CO2 Calculations'!$A$5:$O$121,'Actual-CO2 Calculations'!$O$1,FALSE)),0)</f>
        <v>0</v>
      </c>
      <c r="C24" s="113">
        <f>IF('Reduced Power Lighting Calculat'!C$122&gt;0,(Report!$K$8*'Reduced Power Lighting Calculat'!C$122/VLOOKUP(Report!$C$6,'Actual-CO2 Calculations'!$A$5:$O$121,'Actual-CO2 Calculations'!$O$1,FALSE)),0)</f>
        <v>0</v>
      </c>
      <c r="D24" s="113">
        <f>IF('Reduced Power Lighting Calculat'!D$122&gt;0,(Report!$K$8*'Reduced Power Lighting Calculat'!D$122/VLOOKUP(Report!$C$6,'Actual-CO2 Calculations'!$A$5:$O$121,'Actual-CO2 Calculations'!$O$1,FALSE)),0)</f>
        <v>0</v>
      </c>
      <c r="E24" s="113">
        <f>IF('Reduced Power Lighting Calculat'!E$122&gt;0,(Report!$K$8*'Reduced Power Lighting Calculat'!E$122/VLOOKUP(Report!$C$6,'Actual-CO2 Calculations'!$A$5:$O$121,'Actual-CO2 Calculations'!$O$1,FALSE)),0)</f>
        <v>0</v>
      </c>
      <c r="F24" s="113">
        <f>IF('Reduced Power Lighting Calculat'!F$122&gt;0,(Report!$K$8*'Reduced Power Lighting Calculat'!F$122/VLOOKUP(Report!$C$6,'Actual-CO2 Calculations'!$A$5:$O$121,'Actual-CO2 Calculations'!$O$1,FALSE)),0)</f>
        <v>0</v>
      </c>
      <c r="G24" s="78"/>
      <c r="H24" s="78"/>
      <c r="I24" s="78"/>
    </row>
    <row r="25" spans="1:9" ht="15.75">
      <c r="A25" s="89"/>
      <c r="B25" s="86"/>
      <c r="C25" s="86"/>
      <c r="D25" s="86"/>
      <c r="E25" s="86"/>
      <c r="F25" s="86"/>
      <c r="G25" s="78"/>
      <c r="H25" s="78"/>
      <c r="I25" s="78"/>
    </row>
    <row r="26" spans="1:9" ht="15.75">
      <c r="A26" s="89"/>
      <c r="B26" s="86"/>
      <c r="C26" s="605"/>
      <c r="D26" s="605"/>
      <c r="E26" s="605"/>
      <c r="F26" s="86"/>
      <c r="G26" s="28"/>
      <c r="H26" s="28"/>
      <c r="I26" s="28"/>
    </row>
    <row r="27" spans="1:9" ht="16.5" thickBot="1">
      <c r="A27" s="93" t="s">
        <v>206</v>
      </c>
      <c r="B27" s="110"/>
      <c r="C27" s="606"/>
      <c r="D27" s="606"/>
      <c r="E27" s="606"/>
      <c r="F27" s="110"/>
    </row>
    <row r="28" spans="1:9">
      <c r="A28" s="89" t="s">
        <v>187</v>
      </c>
      <c r="B28" s="122" t="s">
        <v>1115</v>
      </c>
      <c r="C28" s="122" t="s">
        <v>1115</v>
      </c>
      <c r="D28" s="122"/>
      <c r="E28" s="122"/>
      <c r="F28" s="122"/>
    </row>
    <row r="29" spans="1:9" s="179" customFormat="1" ht="15.75">
      <c r="A29" s="710" t="s">
        <v>1043</v>
      </c>
      <c r="B29" s="500" t="s">
        <v>232</v>
      </c>
      <c r="C29" s="500" t="s">
        <v>232</v>
      </c>
      <c r="D29" s="500"/>
      <c r="E29" s="500" t="s">
        <v>232</v>
      </c>
      <c r="F29" s="500"/>
    </row>
    <row r="30" spans="1:9" s="72" customFormat="1">
      <c r="A30" s="89" t="s">
        <v>181</v>
      </c>
      <c r="B30" s="123" t="s">
        <v>12</v>
      </c>
      <c r="C30" s="123" t="s">
        <v>76</v>
      </c>
      <c r="D30" s="123" t="s">
        <v>31</v>
      </c>
      <c r="E30" s="123" t="s">
        <v>31</v>
      </c>
      <c r="F30" s="123" t="s">
        <v>31</v>
      </c>
      <c r="G30" s="73"/>
      <c r="H30" s="73"/>
      <c r="I30" s="73"/>
    </row>
    <row r="31" spans="1:9">
      <c r="A31" s="89" t="s">
        <v>182</v>
      </c>
      <c r="B31" s="123" t="s">
        <v>15</v>
      </c>
      <c r="C31" s="123" t="s">
        <v>19</v>
      </c>
      <c r="D31" s="123" t="s">
        <v>31</v>
      </c>
      <c r="E31" s="123" t="s">
        <v>31</v>
      </c>
      <c r="F31" s="123" t="s">
        <v>31</v>
      </c>
      <c r="G31" s="78"/>
      <c r="H31" s="78"/>
      <c r="I31" s="78"/>
    </row>
    <row r="32" spans="1:9" ht="30" customHeight="1">
      <c r="A32" s="111" t="s">
        <v>853</v>
      </c>
      <c r="B32" s="504">
        <v>2</v>
      </c>
      <c r="C32" s="504">
        <v>4</v>
      </c>
      <c r="D32" s="504"/>
      <c r="E32" s="504"/>
      <c r="F32" s="504"/>
      <c r="G32" s="79"/>
      <c r="H32" s="79"/>
      <c r="I32" s="79"/>
    </row>
    <row r="33" spans="1:19" ht="30">
      <c r="A33" s="111" t="s">
        <v>892</v>
      </c>
      <c r="B33" s="504">
        <v>1.26</v>
      </c>
      <c r="C33" s="504">
        <v>44.1</v>
      </c>
      <c r="D33" s="504"/>
      <c r="E33" s="504"/>
      <c r="F33" s="504"/>
      <c r="G33" s="79"/>
      <c r="H33" s="79"/>
      <c r="I33" s="79"/>
    </row>
    <row r="34" spans="1:19" ht="30.75" thickBot="1">
      <c r="A34" s="111" t="s">
        <v>854</v>
      </c>
      <c r="B34" s="506">
        <v>24</v>
      </c>
      <c r="C34" s="506">
        <v>24</v>
      </c>
      <c r="D34" s="508"/>
      <c r="E34" s="508"/>
      <c r="F34" s="508"/>
      <c r="G34" s="68"/>
      <c r="H34" s="68"/>
      <c r="I34" s="68"/>
    </row>
    <row r="35" spans="1:19" s="72" customFormat="1">
      <c r="A35" s="111"/>
      <c r="G35" s="68"/>
      <c r="H35" s="68"/>
      <c r="I35" s="68"/>
    </row>
    <row r="36" spans="1:19" ht="15.75">
      <c r="A36" s="86"/>
      <c r="B36" s="126"/>
      <c r="C36" s="126"/>
      <c r="D36" s="126"/>
      <c r="E36" s="126"/>
      <c r="F36" s="126"/>
      <c r="G36" s="68"/>
      <c r="H36" s="68"/>
      <c r="I36" s="68"/>
    </row>
    <row r="37" spans="1:19" s="72" customFormat="1" ht="16.5" thickBot="1">
      <c r="A37" s="109" t="s">
        <v>826</v>
      </c>
      <c r="B37" s="110"/>
      <c r="C37" s="110"/>
      <c r="D37" s="110"/>
      <c r="E37" s="110"/>
      <c r="F37" s="110"/>
      <c r="G37" s="78"/>
      <c r="H37" s="78"/>
      <c r="I37" s="78"/>
    </row>
    <row r="38" spans="1:19" s="72" customFormat="1" ht="30.75">
      <c r="A38" s="91" t="s">
        <v>218</v>
      </c>
      <c r="B38" s="113">
        <f>IF('PIR Lighting Calculations'!B$122&gt;0,(Report!$K$8*'PIR Lighting Calculations'!B$122/VLOOKUP(Report!$C$6,'Actual-CO2 Calculations'!$A$5:$O$121,'Actual-CO2 Calculations'!$O$1,FALSE)),0)</f>
        <v>6.1217095696462887E-5</v>
      </c>
      <c r="C38" s="113">
        <f>IF('PIR Lighting Calculations'!C$122&gt;0,(Report!$K$8*'PIR Lighting Calculations'!C$122/VLOOKUP(Report!$C$6,'Actual-CO2 Calculations'!$A$5:$O$121,'Actual-CO2 Calculations'!$O$1,FALSE)),0)</f>
        <v>1.3162460109980923E-2</v>
      </c>
      <c r="D38" s="113">
        <f>IF('PIR Lighting Calculations'!D$122&gt;0,(Report!$K$8*'PIR Lighting Calculations'!D$122/VLOOKUP(Report!$C$6,'Actual-CO2 Calculations'!$A$5:$O$121,'Actual-CO2 Calculations'!$O$1,FALSE)),0)</f>
        <v>0</v>
      </c>
      <c r="E38" s="113">
        <f>IF('PIR Lighting Calculations'!E$122&gt;0,(Report!$K$8*'PIR Lighting Calculations'!E$122/VLOOKUP(Report!$C$6,'Actual-CO2 Calculations'!$A$5:$O$121,'Actual-CO2 Calculations'!$O$1,FALSE)),0)</f>
        <v>0</v>
      </c>
      <c r="F38" s="113">
        <f>IF('PIR Lighting Calculations'!F$122&gt;0,(Report!$K$8*'PIR Lighting Calculations'!F$122/VLOOKUP(Report!$C$6,'Actual-CO2 Calculations'!$A$5:$O$121,'Actual-CO2 Calculations'!$O$1,FALSE)),0)</f>
        <v>0</v>
      </c>
      <c r="G38" s="78"/>
      <c r="H38" s="78"/>
      <c r="I38" s="78"/>
    </row>
    <row r="39" spans="1:19" s="72" customFormat="1" ht="15.75">
      <c r="A39" s="91"/>
      <c r="B39" s="113"/>
      <c r="C39" s="113"/>
      <c r="D39" s="113"/>
      <c r="E39" s="113"/>
      <c r="F39" s="113"/>
      <c r="G39" s="78"/>
      <c r="H39" s="78"/>
      <c r="I39" s="78"/>
    </row>
    <row r="40" spans="1:19" ht="15.75">
      <c r="A40" s="86"/>
      <c r="B40" s="86"/>
      <c r="C40" s="112"/>
      <c r="D40" s="112"/>
      <c r="E40" s="112"/>
      <c r="F40" s="112"/>
      <c r="G40" s="28"/>
      <c r="H40" s="28"/>
      <c r="I40" s="28"/>
    </row>
    <row r="41" spans="1:19" ht="16.5" thickBot="1">
      <c r="A41" s="93" t="s">
        <v>188</v>
      </c>
      <c r="B41" s="110"/>
      <c r="C41" s="110"/>
      <c r="D41" s="110"/>
      <c r="E41" s="110"/>
      <c r="F41" s="110"/>
    </row>
    <row r="42" spans="1:19">
      <c r="A42" s="89" t="s">
        <v>133</v>
      </c>
      <c r="B42" s="128" t="s">
        <v>958</v>
      </c>
      <c r="C42" s="128"/>
      <c r="D42" s="128"/>
      <c r="E42" s="128"/>
      <c r="F42" s="128"/>
    </row>
    <row r="43" spans="1:19" s="179" customFormat="1">
      <c r="A43" s="89" t="s">
        <v>959</v>
      </c>
      <c r="B43" s="581"/>
      <c r="C43" s="581"/>
      <c r="D43" s="581"/>
      <c r="E43" s="581"/>
      <c r="F43" s="581"/>
    </row>
    <row r="44" spans="1:19">
      <c r="A44" s="89" t="s">
        <v>181</v>
      </c>
      <c r="B44" s="123" t="s">
        <v>74</v>
      </c>
      <c r="C44" s="123" t="s">
        <v>5</v>
      </c>
      <c r="D44" s="123" t="s">
        <v>31</v>
      </c>
      <c r="E44" s="123" t="s">
        <v>31</v>
      </c>
      <c r="F44" s="123" t="s">
        <v>31</v>
      </c>
    </row>
    <row r="45" spans="1:19">
      <c r="A45" s="89" t="s">
        <v>182</v>
      </c>
      <c r="B45" s="123" t="s">
        <v>78</v>
      </c>
      <c r="C45" s="123" t="s">
        <v>13</v>
      </c>
      <c r="D45" s="123" t="s">
        <v>31</v>
      </c>
      <c r="E45" s="123" t="s">
        <v>31</v>
      </c>
      <c r="F45" s="123" t="s">
        <v>31</v>
      </c>
    </row>
    <row r="46" spans="1:19" s="72" customFormat="1" ht="30" customHeight="1">
      <c r="A46" s="82" t="s">
        <v>131</v>
      </c>
      <c r="B46" s="129" t="s">
        <v>96</v>
      </c>
      <c r="C46" s="129" t="s">
        <v>94</v>
      </c>
      <c r="D46" s="129" t="s">
        <v>94</v>
      </c>
      <c r="E46" s="129" t="s">
        <v>94</v>
      </c>
      <c r="F46" s="129" t="s">
        <v>94</v>
      </c>
      <c r="G46" s="90"/>
      <c r="H46" s="90"/>
      <c r="I46" s="90"/>
      <c r="J46" s="90"/>
      <c r="K46" s="90"/>
      <c r="L46" s="90"/>
      <c r="M46" s="90"/>
      <c r="N46" s="90"/>
      <c r="O46" s="90"/>
      <c r="P46" s="90"/>
      <c r="Q46" s="90"/>
      <c r="R46" s="90"/>
      <c r="S46" s="90"/>
    </row>
    <row r="47" spans="1:19" s="72" customFormat="1">
      <c r="A47" s="80" t="s">
        <v>121</v>
      </c>
      <c r="B47" s="130">
        <v>20</v>
      </c>
      <c r="C47" s="130"/>
      <c r="D47" s="130"/>
      <c r="E47" s="130"/>
      <c r="F47" s="130"/>
    </row>
    <row r="48" spans="1:19" s="72" customFormat="1">
      <c r="A48" s="81" t="s">
        <v>845</v>
      </c>
      <c r="B48" s="131">
        <v>4</v>
      </c>
      <c r="C48" s="131"/>
      <c r="D48" s="131"/>
      <c r="E48" s="131"/>
      <c r="F48" s="131"/>
    </row>
    <row r="49" spans="1:17" s="72" customFormat="1" ht="45">
      <c r="A49" s="81" t="s">
        <v>846</v>
      </c>
      <c r="B49" s="133">
        <v>24</v>
      </c>
      <c r="C49" s="133"/>
      <c r="D49" s="133"/>
      <c r="E49" s="133"/>
      <c r="F49" s="133"/>
    </row>
    <row r="50" spans="1:17" s="179" customFormat="1" ht="30">
      <c r="A50" s="81" t="s">
        <v>960</v>
      </c>
      <c r="B50" s="133"/>
      <c r="C50" s="133"/>
      <c r="D50" s="133"/>
      <c r="E50" s="133"/>
      <c r="F50" s="133"/>
    </row>
    <row r="51" spans="1:17" s="179" customFormat="1" ht="30.75" thickBot="1">
      <c r="A51" s="81" t="s">
        <v>961</v>
      </c>
      <c r="B51" s="582"/>
      <c r="C51" s="582"/>
      <c r="D51" s="582"/>
      <c r="E51" s="582"/>
      <c r="F51" s="582"/>
    </row>
    <row r="52" spans="1:17" s="72" customFormat="1" ht="15.75" thickTop="1">
      <c r="A52" s="81"/>
      <c r="B52" s="108"/>
      <c r="C52" s="108"/>
      <c r="D52" s="108"/>
      <c r="E52" s="108"/>
      <c r="F52" s="108"/>
    </row>
    <row r="53" spans="1:17" s="72" customFormat="1" ht="16.5" thickBot="1">
      <c r="A53" s="109" t="s">
        <v>827</v>
      </c>
      <c r="B53" s="110"/>
      <c r="C53" s="110"/>
      <c r="D53" s="110"/>
      <c r="E53" s="110"/>
      <c r="F53" s="110"/>
      <c r="G53" s="78"/>
      <c r="H53" s="78"/>
      <c r="I53" s="78"/>
    </row>
    <row r="54" spans="1:17" s="72" customFormat="1" ht="30.75">
      <c r="A54" s="91" t="s">
        <v>218</v>
      </c>
      <c r="B54" s="113">
        <f>IF('Hybrid Lighting Calculations'!B126&gt;0,(Report!$K$8*'Hybrid Lighting Calculations'!B126/VLOOKUP(Report!$C$6,'Actual-CO2 Calculations'!$A$5:$O$121,'Actual-CO2 Calculations'!$O$1,FALSE)),0)</f>
        <v>2.7797571515523891E-2</v>
      </c>
      <c r="C54" s="113">
        <f>IF('Hybrid Lighting Calculations'!C126&gt;0,(Report!$K$8*'Hybrid Lighting Calculations'!C126/VLOOKUP(Report!$C$6,'Actual-CO2 Calculations'!$A$5:$O$121,'Actual-CO2 Calculations'!$O$1,FALSE)),0)</f>
        <v>0</v>
      </c>
      <c r="D54" s="113">
        <f>IF('Hybrid Lighting Calculations'!D126&gt;0,(Report!$K$8*'Hybrid Lighting Calculations'!D126/VLOOKUP(Report!$C$6,'Actual-CO2 Calculations'!$A$5:$O$121,'Actual-CO2 Calculations'!$O$1,FALSE)),0)</f>
        <v>0</v>
      </c>
      <c r="E54" s="113">
        <f>IF('Hybrid Lighting Calculations'!E126&gt;0,(Report!$K$8*'Hybrid Lighting Calculations'!E126/VLOOKUP(Report!$C$6,'Actual-CO2 Calculations'!$A$5:$O$121,'Actual-CO2 Calculations'!$O$1,FALSE)),0)</f>
        <v>0</v>
      </c>
      <c r="F54" s="113">
        <f>IF('Hybrid Lighting Calculations'!F126&gt;0,(Report!$K$8*'Hybrid Lighting Calculations'!F126/VLOOKUP(Report!$C$6,'Actual-CO2 Calculations'!$A$5:$O$121,'Actual-CO2 Calculations'!$O$1,FALSE)),0)</f>
        <v>0</v>
      </c>
      <c r="G54" s="78"/>
      <c r="H54" s="78"/>
      <c r="I54" s="78"/>
    </row>
    <row r="62" spans="1:17">
      <c r="A62" s="583" t="s">
        <v>250</v>
      </c>
      <c r="B62" s="145">
        <f>IF(B11&gt;0,1,0)</f>
        <v>0</v>
      </c>
      <c r="C62" s="145">
        <f>IF(C11&gt;0,1,0)</f>
        <v>0</v>
      </c>
      <c r="D62" s="145">
        <f>IF(D11&gt;0,1,0)</f>
        <v>0</v>
      </c>
      <c r="E62" s="145">
        <f>IF(E11&gt;0,1,0)</f>
        <v>0</v>
      </c>
      <c r="F62" s="146">
        <f>IF(F11&gt;0,1,0)</f>
        <v>0</v>
      </c>
      <c r="G62" s="592" t="s">
        <v>231</v>
      </c>
      <c r="I62" s="753" t="s">
        <v>1066</v>
      </c>
      <c r="J62" s="754"/>
      <c r="K62" s="754"/>
      <c r="L62" s="754"/>
      <c r="M62" s="754"/>
      <c r="N62" s="754"/>
      <c r="O62" s="754"/>
      <c r="P62" s="754"/>
      <c r="Q62" s="146"/>
    </row>
    <row r="63" spans="1:17">
      <c r="A63" s="147"/>
      <c r="B63" s="148">
        <f t="shared" ref="B63:F64" si="0">IF(B15&gt;0,1,0)</f>
        <v>0</v>
      </c>
      <c r="C63" s="148">
        <f t="shared" si="0"/>
        <v>0</v>
      </c>
      <c r="D63" s="148">
        <f t="shared" si="0"/>
        <v>0</v>
      </c>
      <c r="E63" s="148">
        <f t="shared" si="0"/>
        <v>0</v>
      </c>
      <c r="F63" s="149">
        <f t="shared" si="0"/>
        <v>0</v>
      </c>
      <c r="G63" s="594" t="s">
        <v>232</v>
      </c>
      <c r="I63" s="147"/>
      <c r="J63" s="148"/>
      <c r="K63" s="148"/>
      <c r="L63" s="148"/>
      <c r="M63" s="148"/>
      <c r="N63" s="148"/>
      <c r="O63" s="148"/>
      <c r="P63" s="148" t="s">
        <v>1067</v>
      </c>
      <c r="Q63" s="705"/>
    </row>
    <row r="64" spans="1:17">
      <c r="A64" s="147"/>
      <c r="B64" s="148">
        <f t="shared" si="0"/>
        <v>0</v>
      </c>
      <c r="C64" s="148">
        <f t="shared" si="0"/>
        <v>0</v>
      </c>
      <c r="D64" s="148">
        <f t="shared" si="0"/>
        <v>0</v>
      </c>
      <c r="E64" s="148">
        <f t="shared" si="0"/>
        <v>0</v>
      </c>
      <c r="F64" s="149">
        <f t="shared" si="0"/>
        <v>0</v>
      </c>
      <c r="I64" s="147" t="s">
        <v>1068</v>
      </c>
      <c r="J64" s="148">
        <f>IF(B12=$G62,1,0)</f>
        <v>0</v>
      </c>
      <c r="K64" s="148">
        <f>IF(C12=$G62,1,0)</f>
        <v>0</v>
      </c>
      <c r="L64" s="148">
        <f>IF(D12=$G62,1,0)</f>
        <v>0</v>
      </c>
      <c r="M64" s="148">
        <f>IF(E12=$G62,1,0)</f>
        <v>0</v>
      </c>
      <c r="N64" s="148">
        <f>IF(F12=$G62,1,0)</f>
        <v>0</v>
      </c>
      <c r="O64" s="148"/>
      <c r="P64" s="148">
        <f>SUM(J64:N64)</f>
        <v>0</v>
      </c>
      <c r="Q64" s="705"/>
    </row>
    <row r="65" spans="1:17" s="179" customFormat="1">
      <c r="A65" s="147"/>
      <c r="B65" s="148">
        <f>IF(B17&gt;0,1,0)</f>
        <v>0</v>
      </c>
      <c r="C65" s="148">
        <f t="shared" ref="C65:F65" si="1">IF(C17&gt;0,1,0)</f>
        <v>0</v>
      </c>
      <c r="D65" s="148">
        <f t="shared" si="1"/>
        <v>0</v>
      </c>
      <c r="E65" s="148">
        <f t="shared" si="1"/>
        <v>0</v>
      </c>
      <c r="F65" s="149">
        <f t="shared" si="1"/>
        <v>0</v>
      </c>
      <c r="I65" s="147" t="s">
        <v>1069</v>
      </c>
      <c r="J65" s="148">
        <f>IF(B29=$G62,1,0)</f>
        <v>0</v>
      </c>
      <c r="K65" s="148">
        <f>IF(C29=$G62,1,0)</f>
        <v>0</v>
      </c>
      <c r="L65" s="148">
        <f>IF(D29=$G62,1,0)</f>
        <v>0</v>
      </c>
      <c r="M65" s="148">
        <f>IF(E29=$G62,1,0)</f>
        <v>0</v>
      </c>
      <c r="N65" s="148">
        <f>IF(F29=$G62,1,0)</f>
        <v>0</v>
      </c>
      <c r="O65" s="148"/>
      <c r="P65" s="148">
        <f>SUM(J65:N65)</f>
        <v>0</v>
      </c>
      <c r="Q65" s="705"/>
    </row>
    <row r="66" spans="1:17">
      <c r="A66" s="147"/>
      <c r="B66" s="148">
        <f>IF(B18&gt;0,1,0)</f>
        <v>0</v>
      </c>
      <c r="C66" s="148">
        <f>IF(C18&gt;0,1,0)</f>
        <v>0</v>
      </c>
      <c r="D66" s="148">
        <f>IF(D18&gt;0,1,0)</f>
        <v>0</v>
      </c>
      <c r="E66" s="148">
        <f>IF(E18&gt;0,1,0)</f>
        <v>0</v>
      </c>
      <c r="F66" s="149">
        <f>IF(F18&gt;0,1,0)</f>
        <v>0</v>
      </c>
      <c r="I66" s="147"/>
      <c r="J66" s="148"/>
      <c r="K66" s="148"/>
      <c r="L66" s="148"/>
      <c r="M66" s="148"/>
      <c r="N66" s="148"/>
      <c r="O66" s="148"/>
      <c r="P66" s="148"/>
      <c r="Q66" s="705"/>
    </row>
    <row r="67" spans="1:17" s="179" customFormat="1">
      <c r="A67" s="147"/>
      <c r="B67" s="148">
        <f>IF(B19&gt;0,1,0)</f>
        <v>0</v>
      </c>
      <c r="C67" s="148">
        <f t="shared" ref="C67:F67" si="2">IF(C19&gt;0,1,0)</f>
        <v>0</v>
      </c>
      <c r="D67" s="148">
        <f t="shared" si="2"/>
        <v>0</v>
      </c>
      <c r="E67" s="148">
        <f t="shared" si="2"/>
        <v>0</v>
      </c>
      <c r="F67" s="149">
        <f t="shared" si="2"/>
        <v>0</v>
      </c>
      <c r="I67" s="147" t="s">
        <v>1070</v>
      </c>
      <c r="J67" s="148">
        <f>IF(AND(SUM(P64:P65)&gt;0,'Data Entry Electricity'!C122=0),1,0)</f>
        <v>0</v>
      </c>
      <c r="K67" s="148"/>
      <c r="L67" s="148"/>
      <c r="M67" s="148"/>
      <c r="N67" s="148"/>
      <c r="O67" s="148"/>
      <c r="P67" s="148"/>
      <c r="Q67" s="705"/>
    </row>
    <row r="68" spans="1:17">
      <c r="A68" s="147"/>
      <c r="B68" s="148">
        <f>IF(B20&gt;0,1,0)</f>
        <v>0</v>
      </c>
      <c r="C68" s="148">
        <f t="shared" ref="C68:F69" si="3">IF(C20&gt;0,1,0)</f>
        <v>0</v>
      </c>
      <c r="D68" s="148">
        <f t="shared" si="3"/>
        <v>0</v>
      </c>
      <c r="E68" s="148">
        <f t="shared" si="3"/>
        <v>0</v>
      </c>
      <c r="F68" s="149">
        <f t="shared" si="3"/>
        <v>0</v>
      </c>
      <c r="I68" s="147"/>
      <c r="J68" s="148"/>
      <c r="K68" s="148"/>
      <c r="L68" s="148"/>
      <c r="M68" s="148"/>
      <c r="N68" s="148"/>
      <c r="O68" s="148"/>
      <c r="P68" s="148"/>
      <c r="Q68" s="705"/>
    </row>
    <row r="69" spans="1:17" ht="30">
      <c r="A69" s="147"/>
      <c r="B69" s="148">
        <f>IF(B21&gt;0,1,0)</f>
        <v>0</v>
      </c>
      <c r="C69" s="148">
        <f t="shared" si="3"/>
        <v>0</v>
      </c>
      <c r="D69" s="148">
        <f t="shared" si="3"/>
        <v>0</v>
      </c>
      <c r="E69" s="148">
        <f t="shared" si="3"/>
        <v>0</v>
      </c>
      <c r="F69" s="149">
        <f t="shared" si="3"/>
        <v>0</v>
      </c>
      <c r="I69" s="760" t="s">
        <v>1071</v>
      </c>
      <c r="J69" s="148">
        <f>IF(AND(SUM(P64:P65)=0,'Data Entry Electricity'!C122&lt;&gt;0),1,0)</f>
        <v>0</v>
      </c>
      <c r="K69" s="148"/>
      <c r="L69" s="148"/>
      <c r="M69" s="148"/>
      <c r="N69" s="148"/>
      <c r="O69" s="148"/>
      <c r="P69" s="148"/>
      <c r="Q69" s="705"/>
    </row>
    <row r="70" spans="1:17">
      <c r="A70" s="147"/>
      <c r="B70" s="148"/>
      <c r="C70" s="148"/>
      <c r="D70" s="148"/>
      <c r="E70" s="148"/>
      <c r="F70" s="149"/>
      <c r="I70" s="757"/>
      <c r="J70" s="758"/>
      <c r="K70" s="758"/>
      <c r="L70" s="758"/>
      <c r="M70" s="758"/>
      <c r="N70" s="758"/>
      <c r="O70" s="758"/>
      <c r="P70" s="758"/>
      <c r="Q70" s="759"/>
    </row>
    <row r="71" spans="1:17">
      <c r="A71" s="147" t="s">
        <v>247</v>
      </c>
      <c r="B71" s="148">
        <f>IF(SUM(B62:B69)=0,0,1)</f>
        <v>0</v>
      </c>
      <c r="C71" s="148">
        <f>IF(SUM(C62:C69)=0,0,1)</f>
        <v>0</v>
      </c>
      <c r="D71" s="148">
        <f>IF(SUM(D62:D69)=0,0,1)</f>
        <v>0</v>
      </c>
      <c r="E71" s="148">
        <f>IF(SUM(E62:E69)=0,0,1)</f>
        <v>0</v>
      </c>
      <c r="F71" s="149">
        <f>IF(SUM(F62:F69)=0,0,1)</f>
        <v>0</v>
      </c>
    </row>
    <row r="72" spans="1:17">
      <c r="A72" s="147" t="s">
        <v>248</v>
      </c>
      <c r="B72" s="148">
        <f>IF(SUM(B62:B69)=8,1,0)</f>
        <v>0</v>
      </c>
      <c r="C72" s="148">
        <f t="shared" ref="C72:F72" si="4">IF(SUM(C62:C69)=8,1,0)</f>
        <v>0</v>
      </c>
      <c r="D72" s="148">
        <f t="shared" si="4"/>
        <v>0</v>
      </c>
      <c r="E72" s="148">
        <f t="shared" si="4"/>
        <v>0</v>
      </c>
      <c r="F72" s="149">
        <f t="shared" si="4"/>
        <v>0</v>
      </c>
    </row>
    <row r="73" spans="1:17">
      <c r="A73" s="147" t="s">
        <v>249</v>
      </c>
      <c r="B73" s="148">
        <f>B71+B72</f>
        <v>0</v>
      </c>
      <c r="C73" s="148">
        <f>C71+C72</f>
        <v>0</v>
      </c>
      <c r="D73" s="148">
        <f>D71+D72</f>
        <v>0</v>
      </c>
      <c r="E73" s="148">
        <f>E71+E72</f>
        <v>0</v>
      </c>
      <c r="F73" s="149">
        <f>F71+F72</f>
        <v>0</v>
      </c>
    </row>
    <row r="74" spans="1:17">
      <c r="A74" s="147"/>
      <c r="B74" s="148"/>
      <c r="C74" s="148"/>
      <c r="D74" s="148"/>
      <c r="E74" s="148"/>
      <c r="F74" s="149"/>
    </row>
    <row r="75" spans="1:17" s="72" customFormat="1">
      <c r="A75" s="153" t="s">
        <v>268</v>
      </c>
      <c r="B75" s="148"/>
      <c r="C75" s="148"/>
      <c r="D75" s="148"/>
      <c r="E75" s="148"/>
      <c r="F75" s="149"/>
    </row>
    <row r="76" spans="1:17" s="72" customFormat="1">
      <c r="A76" s="147" t="s">
        <v>269</v>
      </c>
      <c r="B76" s="148">
        <f>IF(B16*B18&gt;0,IF(B16&gt;B18,1,0),0)</f>
        <v>0</v>
      </c>
      <c r="C76" s="148">
        <f t="shared" ref="C76:F76" si="5">IF(C16*C18&gt;0,IF(C16&gt;C18,1,0),0)</f>
        <v>0</v>
      </c>
      <c r="D76" s="148">
        <f t="shared" si="5"/>
        <v>0</v>
      </c>
      <c r="E76" s="148">
        <f t="shared" si="5"/>
        <v>0</v>
      </c>
      <c r="F76" s="149">
        <f t="shared" si="5"/>
        <v>0</v>
      </c>
    </row>
    <row r="77" spans="1:17" s="72" customFormat="1">
      <c r="A77" s="147" t="s">
        <v>270</v>
      </c>
      <c r="B77" s="148">
        <f>IF(B20&gt;24,1,0)</f>
        <v>0</v>
      </c>
      <c r="C77" s="148">
        <f>IF(C20&gt;24,1,0)</f>
        <v>0</v>
      </c>
      <c r="D77" s="148">
        <f>IF(D20&gt;24,1,0)</f>
        <v>0</v>
      </c>
      <c r="E77" s="148">
        <f>IF(E20&gt;24,1,0)</f>
        <v>0</v>
      </c>
      <c r="F77" s="149">
        <f>IF(F20&gt;24,1,0)</f>
        <v>0</v>
      </c>
    </row>
    <row r="78" spans="1:17" s="72" customFormat="1">
      <c r="A78" s="147" t="s">
        <v>271</v>
      </c>
      <c r="B78" s="148">
        <f>IF(B21&gt;28,1,0)</f>
        <v>0</v>
      </c>
      <c r="C78" s="148">
        <f>IF(C21&gt;28,1,0)</f>
        <v>0</v>
      </c>
      <c r="D78" s="148">
        <f>IF(D21&gt;28,1,0)</f>
        <v>0</v>
      </c>
      <c r="E78" s="148">
        <f>IF(E21&gt;28,1,0)</f>
        <v>0</v>
      </c>
      <c r="F78" s="149">
        <f>IF(F21&gt;28,1,0)</f>
        <v>0</v>
      </c>
    </row>
    <row r="79" spans="1:17" s="72" customFormat="1">
      <c r="A79" s="147"/>
      <c r="B79" s="148"/>
      <c r="C79" s="148"/>
      <c r="D79" s="148"/>
      <c r="E79" s="148"/>
      <c r="F79" s="149"/>
    </row>
    <row r="80" spans="1:17" s="72" customFormat="1">
      <c r="A80" s="147" t="s">
        <v>266</v>
      </c>
      <c r="B80" s="148">
        <f>IF('Savings Calculator'!D27&gt;0,IF(B3=0,1,0),0)</f>
        <v>0</v>
      </c>
      <c r="C80" s="148"/>
      <c r="D80" s="148"/>
      <c r="E80" s="148"/>
      <c r="F80" s="149"/>
    </row>
    <row r="81" spans="1:6" s="72" customFormat="1">
      <c r="A81" s="147" t="s">
        <v>202</v>
      </c>
      <c r="B81" s="148">
        <f>IF('Savings Calculator'!D27&gt;0,IF(B7=0,1,0),0)</f>
        <v>0</v>
      </c>
      <c r="C81" s="148"/>
      <c r="D81" s="148"/>
      <c r="E81" s="148"/>
      <c r="F81" s="149"/>
    </row>
    <row r="82" spans="1:6">
      <c r="A82" s="147"/>
      <c r="B82" s="148"/>
      <c r="C82" s="148"/>
      <c r="D82" s="148"/>
      <c r="E82" s="148"/>
      <c r="F82" s="149"/>
    </row>
    <row r="83" spans="1:6">
      <c r="A83" s="153" t="s">
        <v>251</v>
      </c>
      <c r="B83" s="148">
        <f>IF(B28&gt;0,1,0)</f>
        <v>1</v>
      </c>
      <c r="C83" s="148">
        <f>IF(C28&gt;0,1,0)</f>
        <v>1</v>
      </c>
      <c r="D83" s="148">
        <f>IF(D28&gt;0,1,0)</f>
        <v>0</v>
      </c>
      <c r="E83" s="148">
        <f>IF(E28&gt;0,1,0)</f>
        <v>0</v>
      </c>
      <c r="F83" s="149">
        <f>IF(F28&gt;0,1,0)</f>
        <v>0</v>
      </c>
    </row>
    <row r="84" spans="1:6">
      <c r="A84" s="147"/>
      <c r="B84" s="148">
        <f t="shared" ref="B84:F86" si="6">IF(B32&gt;0,1,0)</f>
        <v>1</v>
      </c>
      <c r="C84" s="148">
        <f t="shared" si="6"/>
        <v>1</v>
      </c>
      <c r="D84" s="148">
        <f t="shared" si="6"/>
        <v>0</v>
      </c>
      <c r="E84" s="148">
        <f t="shared" si="6"/>
        <v>0</v>
      </c>
      <c r="F84" s="149">
        <f t="shared" si="6"/>
        <v>0</v>
      </c>
    </row>
    <row r="85" spans="1:6">
      <c r="A85" s="147"/>
      <c r="B85" s="148">
        <f t="shared" si="6"/>
        <v>1</v>
      </c>
      <c r="C85" s="148">
        <f t="shared" si="6"/>
        <v>1</v>
      </c>
      <c r="D85" s="148">
        <f t="shared" si="6"/>
        <v>0</v>
      </c>
      <c r="E85" s="148">
        <f t="shared" si="6"/>
        <v>0</v>
      </c>
      <c r="F85" s="149">
        <f t="shared" si="6"/>
        <v>0</v>
      </c>
    </row>
    <row r="86" spans="1:6">
      <c r="A86" s="147"/>
      <c r="B86" s="148">
        <f t="shared" si="6"/>
        <v>1</v>
      </c>
      <c r="C86" s="148">
        <f t="shared" si="6"/>
        <v>1</v>
      </c>
      <c r="D86" s="148">
        <f t="shared" si="6"/>
        <v>0</v>
      </c>
      <c r="E86" s="148">
        <f t="shared" si="6"/>
        <v>0</v>
      </c>
      <c r="F86" s="149">
        <f t="shared" si="6"/>
        <v>0</v>
      </c>
    </row>
    <row r="87" spans="1:6">
      <c r="A87" s="147"/>
      <c r="B87" s="148"/>
      <c r="C87" s="148"/>
      <c r="D87" s="148"/>
      <c r="E87" s="148"/>
      <c r="F87" s="149"/>
    </row>
    <row r="88" spans="1:6">
      <c r="A88" s="147" t="s">
        <v>247</v>
      </c>
      <c r="B88" s="148">
        <f>IF(SUM(B83:B86)=0,0,1)</f>
        <v>1</v>
      </c>
      <c r="C88" s="148">
        <f>IF(SUM(C83:C86)=0,0,1)</f>
        <v>1</v>
      </c>
      <c r="D88" s="148">
        <f>IF(SUM(D83:D86)=0,0,1)</f>
        <v>0</v>
      </c>
      <c r="E88" s="148">
        <f>IF(SUM(E83:E86)=0,0,1)</f>
        <v>0</v>
      </c>
      <c r="F88" s="149">
        <f>IF(SUM(F83:F86)=0,0,1)</f>
        <v>0</v>
      </c>
    </row>
    <row r="89" spans="1:6">
      <c r="A89" s="147" t="s">
        <v>248</v>
      </c>
      <c r="B89" s="148">
        <f>IF(SUM(B83:B86)=4,1,0)</f>
        <v>1</v>
      </c>
      <c r="C89" s="148">
        <f>IF(SUM(C83:C86)=4,1,0)</f>
        <v>1</v>
      </c>
      <c r="D89" s="148">
        <f>IF(SUM(D83:D86)=4,1,0)</f>
        <v>0</v>
      </c>
      <c r="E89" s="148">
        <f>IF(SUM(E83:E86)=4,1,0)</f>
        <v>0</v>
      </c>
      <c r="F89" s="149">
        <f>IF(SUM(F83:F86)=4,1,0)</f>
        <v>0</v>
      </c>
    </row>
    <row r="90" spans="1:6">
      <c r="A90" s="147" t="s">
        <v>249</v>
      </c>
      <c r="B90" s="148">
        <f>B88+B89</f>
        <v>2</v>
      </c>
      <c r="C90" s="148">
        <f>C88+C89</f>
        <v>2</v>
      </c>
      <c r="D90" s="148">
        <f>D88+D89</f>
        <v>0</v>
      </c>
      <c r="E90" s="148">
        <f>E88+E89</f>
        <v>0</v>
      </c>
      <c r="F90" s="149">
        <f>F88+F89</f>
        <v>0</v>
      </c>
    </row>
    <row r="91" spans="1:6">
      <c r="A91" s="147"/>
      <c r="B91" s="148"/>
      <c r="C91" s="148"/>
      <c r="D91" s="148"/>
      <c r="E91" s="148"/>
      <c r="F91" s="149"/>
    </row>
    <row r="92" spans="1:6" s="72" customFormat="1">
      <c r="A92" s="147"/>
      <c r="B92" s="148"/>
      <c r="C92" s="148"/>
      <c r="D92" s="148"/>
      <c r="E92" s="148"/>
      <c r="F92" s="149"/>
    </row>
    <row r="93" spans="1:6" s="72" customFormat="1">
      <c r="A93" s="153" t="s">
        <v>272</v>
      </c>
      <c r="B93" s="148"/>
      <c r="C93" s="148"/>
      <c r="D93" s="148"/>
      <c r="E93" s="148"/>
      <c r="F93" s="149"/>
    </row>
    <row r="94" spans="1:6" s="72" customFormat="1">
      <c r="A94" s="147" t="s">
        <v>273</v>
      </c>
      <c r="B94" s="148">
        <f>IF(B32&gt;13,1,0)</f>
        <v>0</v>
      </c>
      <c r="C94" s="148">
        <f>IF(C32&gt;13,1,0)</f>
        <v>0</v>
      </c>
      <c r="D94" s="148">
        <f>IF(D32&gt;13,1,0)</f>
        <v>0</v>
      </c>
      <c r="E94" s="148">
        <f>IF(E32&gt;13,1,0)</f>
        <v>0</v>
      </c>
      <c r="F94" s="149">
        <f>IF(F32&gt;13,1,0)</f>
        <v>0</v>
      </c>
    </row>
    <row r="95" spans="1:6" s="72" customFormat="1">
      <c r="A95" s="147" t="s">
        <v>262</v>
      </c>
      <c r="B95" s="148">
        <f>IF(B34&gt;28,1,0)</f>
        <v>0</v>
      </c>
      <c r="C95" s="148">
        <f>IF(C34&gt;28,1,0)</f>
        <v>0</v>
      </c>
      <c r="D95" s="148">
        <f>IF(D34&gt;28,1,0)</f>
        <v>0</v>
      </c>
      <c r="E95" s="148">
        <f>IF(E34&gt;28,1,0)</f>
        <v>0</v>
      </c>
      <c r="F95" s="149">
        <f>IF(F34&gt;28,1,0)</f>
        <v>0</v>
      </c>
    </row>
    <row r="96" spans="1:6" s="72" customFormat="1">
      <c r="A96" s="147" t="s">
        <v>274</v>
      </c>
      <c r="B96" s="148">
        <f>IF(B28&gt;0,IF(B32&gt;0,IF(B34&gt;0,IF(OR(B33&lt;0.5,B33&gt;500),1,0),0),0),0)</f>
        <v>0</v>
      </c>
      <c r="C96" s="148">
        <f>IF(C28&gt;0,IF(C32&gt;0,IF(C34&gt;0,IF(OR(C33&lt;0.5,C33&gt;500),1,0),0),0),0)</f>
        <v>0</v>
      </c>
      <c r="D96" s="148">
        <f>IF(D28&gt;0,IF(D32&gt;0,IF(D34&gt;0,IF(OR(D33&lt;0.5,D33&gt;500),1,0),0),0),0)</f>
        <v>0</v>
      </c>
      <c r="E96" s="148">
        <f>IF(E28&gt;0,IF(E32&gt;0,IF(E34&gt;0,IF(OR(E33&lt;0.5,E33&gt;500),1,0),0),0),0)</f>
        <v>0</v>
      </c>
      <c r="F96" s="149">
        <f>IF(F28&gt;0,IF(F32&gt;0,IF(F34&gt;0,IF(OR(F33&lt;0.5,F33&gt;500),1,0),0),0),0)</f>
        <v>0</v>
      </c>
    </row>
    <row r="97" spans="1:6" s="72" customFormat="1">
      <c r="A97" s="147" t="s">
        <v>187</v>
      </c>
      <c r="B97" s="148">
        <f>IF(B32&gt;0,IF(B33&gt;0,IF(B34&gt;0,IF(B28=0,1,0),0),0),0)</f>
        <v>0</v>
      </c>
      <c r="C97" s="148">
        <f t="shared" ref="C97:F97" si="7">IF(C32&gt;0,IF(C33&gt;0,IF(C34&gt;0,IF(C28=0,1,0),0),0),0)</f>
        <v>0</v>
      </c>
      <c r="D97" s="148">
        <f t="shared" si="7"/>
        <v>0</v>
      </c>
      <c r="E97" s="148">
        <f t="shared" si="7"/>
        <v>0</v>
      </c>
      <c r="F97" s="149">
        <f t="shared" si="7"/>
        <v>0</v>
      </c>
    </row>
    <row r="98" spans="1:6" s="72" customFormat="1">
      <c r="A98" s="147"/>
      <c r="B98" s="148"/>
      <c r="C98" s="148"/>
      <c r="D98" s="148"/>
      <c r="E98" s="148"/>
      <c r="F98" s="149"/>
    </row>
    <row r="99" spans="1:6" s="72" customFormat="1">
      <c r="A99" s="147" t="s">
        <v>266</v>
      </c>
      <c r="B99" s="148">
        <f>IF('Savings Calculator'!D28&gt;0,IF(B3=0,1,0),0)</f>
        <v>0</v>
      </c>
      <c r="C99" s="148"/>
      <c r="D99" s="148"/>
      <c r="E99" s="148"/>
      <c r="F99" s="149"/>
    </row>
    <row r="100" spans="1:6" s="72" customFormat="1">
      <c r="A100" s="147" t="s">
        <v>202</v>
      </c>
      <c r="B100" s="148">
        <f>IF('Savings Calculator'!D28&gt;0,IF(B7=0,1,0),0)</f>
        <v>0</v>
      </c>
      <c r="C100" s="148"/>
      <c r="D100" s="148"/>
      <c r="E100" s="148"/>
      <c r="F100" s="149"/>
    </row>
    <row r="101" spans="1:6" s="72" customFormat="1">
      <c r="A101" s="147"/>
      <c r="B101" s="148"/>
      <c r="C101" s="148"/>
      <c r="D101" s="148"/>
      <c r="E101" s="148"/>
      <c r="F101" s="149"/>
    </row>
    <row r="102" spans="1:6" s="72" customFormat="1">
      <c r="A102" s="147"/>
      <c r="B102" s="148"/>
      <c r="C102" s="148"/>
      <c r="D102" s="148"/>
      <c r="E102" s="148"/>
      <c r="F102" s="149"/>
    </row>
    <row r="103" spans="1:6" s="72" customFormat="1">
      <c r="A103" s="153" t="s">
        <v>252</v>
      </c>
      <c r="B103" s="148">
        <f t="shared" ref="B103:F105" si="8">IF(B47&gt;0,1,0)</f>
        <v>1</v>
      </c>
      <c r="C103" s="148">
        <f t="shared" si="8"/>
        <v>0</v>
      </c>
      <c r="D103" s="148">
        <f t="shared" si="8"/>
        <v>0</v>
      </c>
      <c r="E103" s="148">
        <f t="shared" si="8"/>
        <v>0</v>
      </c>
      <c r="F103" s="149">
        <f t="shared" si="8"/>
        <v>0</v>
      </c>
    </row>
    <row r="104" spans="1:6" s="72" customFormat="1">
      <c r="A104" s="147"/>
      <c r="B104" s="148">
        <f t="shared" si="8"/>
        <v>1</v>
      </c>
      <c r="C104" s="148">
        <f t="shared" si="8"/>
        <v>0</v>
      </c>
      <c r="D104" s="148">
        <f t="shared" si="8"/>
        <v>0</v>
      </c>
      <c r="E104" s="148">
        <f t="shared" si="8"/>
        <v>0</v>
      </c>
      <c r="F104" s="149">
        <f t="shared" si="8"/>
        <v>0</v>
      </c>
    </row>
    <row r="105" spans="1:6" s="72" customFormat="1">
      <c r="A105" s="147"/>
      <c r="B105" s="148">
        <f t="shared" si="8"/>
        <v>1</v>
      </c>
      <c r="C105" s="148">
        <f t="shared" si="8"/>
        <v>0</v>
      </c>
      <c r="D105" s="148">
        <f t="shared" si="8"/>
        <v>0</v>
      </c>
      <c r="E105" s="148">
        <f t="shared" si="8"/>
        <v>0</v>
      </c>
      <c r="F105" s="149">
        <f t="shared" si="8"/>
        <v>0</v>
      </c>
    </row>
    <row r="106" spans="1:6" s="179" customFormat="1">
      <c r="A106" s="147"/>
      <c r="B106" s="148">
        <f>IF(B42=$B$124,1,IF(B50&gt;0,1,0))</f>
        <v>1</v>
      </c>
      <c r="C106" s="148">
        <f t="shared" ref="C106:F106" si="9">IF(C42=$B$124,1,IF(C50&gt;0,1,0))</f>
        <v>0</v>
      </c>
      <c r="D106" s="148">
        <f t="shared" si="9"/>
        <v>0</v>
      </c>
      <c r="E106" s="148">
        <f t="shared" si="9"/>
        <v>0</v>
      </c>
      <c r="F106" s="149">
        <f t="shared" si="9"/>
        <v>0</v>
      </c>
    </row>
    <row r="107" spans="1:6" s="179" customFormat="1">
      <c r="A107" s="147"/>
      <c r="B107" s="148">
        <f>IF(B42=$B$124,1,IF(B51=$C$124,1,0))</f>
        <v>1</v>
      </c>
      <c r="C107" s="148">
        <f t="shared" ref="C107:F107" si="10">IF(C42=$B$124,1,IF(C51=$C$124,1,0))</f>
        <v>0</v>
      </c>
      <c r="D107" s="148">
        <f t="shared" si="10"/>
        <v>0</v>
      </c>
      <c r="E107" s="148">
        <f t="shared" si="10"/>
        <v>0</v>
      </c>
      <c r="F107" s="149">
        <f t="shared" si="10"/>
        <v>0</v>
      </c>
    </row>
    <row r="108" spans="1:6" s="72" customFormat="1">
      <c r="A108" s="147"/>
      <c r="B108" s="148"/>
      <c r="C108" s="148"/>
      <c r="D108" s="148"/>
      <c r="E108" s="148"/>
      <c r="F108" s="149"/>
    </row>
    <row r="109" spans="1:6" s="72" customFormat="1">
      <c r="A109" s="147" t="s">
        <v>247</v>
      </c>
      <c r="B109" s="148">
        <f>IF(SUM(B103:B105)=0,0,1)</f>
        <v>1</v>
      </c>
      <c r="C109" s="148">
        <f>IF(SUM(C103:C105)=0,0,1)</f>
        <v>0</v>
      </c>
      <c r="D109" s="148">
        <f>IF(SUM(D103:D105)=0,0,1)</f>
        <v>0</v>
      </c>
      <c r="E109" s="148">
        <f>IF(SUM(E103:E105)=0,0,1)</f>
        <v>0</v>
      </c>
      <c r="F109" s="149">
        <f>IF(SUM(F103:F105)=0,0,1)</f>
        <v>0</v>
      </c>
    </row>
    <row r="110" spans="1:6" s="72" customFormat="1">
      <c r="A110" s="147" t="s">
        <v>248</v>
      </c>
      <c r="B110" s="148">
        <f>IF(SUM(B103:B107)=5,1,0)</f>
        <v>1</v>
      </c>
      <c r="C110" s="148">
        <f t="shared" ref="C110:F110" si="11">IF(SUM(C103:C105)=5,1,0)</f>
        <v>0</v>
      </c>
      <c r="D110" s="148">
        <f t="shared" si="11"/>
        <v>0</v>
      </c>
      <c r="E110" s="148">
        <f t="shared" si="11"/>
        <v>0</v>
      </c>
      <c r="F110" s="149">
        <f t="shared" si="11"/>
        <v>0</v>
      </c>
    </row>
    <row r="111" spans="1:6" s="72" customFormat="1">
      <c r="A111" s="147" t="s">
        <v>249</v>
      </c>
      <c r="B111" s="148">
        <f>B109+B110</f>
        <v>2</v>
      </c>
      <c r="C111" s="148">
        <f>C109+C110</f>
        <v>0</v>
      </c>
      <c r="D111" s="148">
        <f>D109+D110</f>
        <v>0</v>
      </c>
      <c r="E111" s="148">
        <f>E109+E110</f>
        <v>0</v>
      </c>
      <c r="F111" s="149">
        <f>F109+F110</f>
        <v>0</v>
      </c>
    </row>
    <row r="112" spans="1:6">
      <c r="A112" s="147"/>
      <c r="B112" s="148"/>
      <c r="C112" s="148"/>
      <c r="D112" s="148"/>
      <c r="E112" s="148"/>
      <c r="F112" s="149"/>
    </row>
    <row r="113" spans="1:6">
      <c r="A113" s="147"/>
      <c r="B113" s="148"/>
      <c r="C113" s="148"/>
      <c r="D113" s="148"/>
      <c r="E113" s="148"/>
      <c r="F113" s="149"/>
    </row>
    <row r="114" spans="1:6">
      <c r="A114" s="153" t="s">
        <v>275</v>
      </c>
      <c r="B114" s="148"/>
      <c r="C114" s="148"/>
      <c r="D114" s="148"/>
      <c r="E114" s="148"/>
      <c r="F114" s="149"/>
    </row>
    <row r="115" spans="1:6">
      <c r="A115" s="147" t="s">
        <v>261</v>
      </c>
      <c r="B115" s="148">
        <f>IF(B48&gt;24,1,0)</f>
        <v>0</v>
      </c>
      <c r="C115" s="148">
        <f>IF(C48&gt;24,1,0)</f>
        <v>0</v>
      </c>
      <c r="D115" s="148">
        <f>IF(D48&gt;24,1,0)</f>
        <v>0</v>
      </c>
      <c r="E115" s="148">
        <f>IF(E48&gt;24,1,0)</f>
        <v>0</v>
      </c>
      <c r="F115" s="149">
        <f>IF(F48&gt;24,1,0)</f>
        <v>0</v>
      </c>
    </row>
    <row r="116" spans="1:6">
      <c r="A116" s="147" t="s">
        <v>262</v>
      </c>
      <c r="B116" s="148">
        <f>IF(B49&gt;28,1,0)</f>
        <v>0</v>
      </c>
      <c r="C116" s="148">
        <f>IF(C49&gt;28,1,0)</f>
        <v>0</v>
      </c>
      <c r="D116" s="148">
        <f>IF(D49&gt;28,1,0)</f>
        <v>0</v>
      </c>
      <c r="E116" s="148">
        <f>IF(E49&gt;28,1,0)</f>
        <v>0</v>
      </c>
      <c r="F116" s="149">
        <f>IF(F49&gt;28,1,0)</f>
        <v>0</v>
      </c>
    </row>
    <row r="117" spans="1:6">
      <c r="A117" s="147" t="s">
        <v>276</v>
      </c>
      <c r="B117" s="148">
        <f>'Data Entry Fuel'!B143</f>
        <v>0</v>
      </c>
      <c r="C117" s="148">
        <f>'Data Entry Fuel'!C143</f>
        <v>0</v>
      </c>
      <c r="D117" s="148">
        <f>'Data Entry Fuel'!D143</f>
        <v>0</v>
      </c>
      <c r="E117" s="148">
        <f>'Data Entry Fuel'!E143</f>
        <v>0</v>
      </c>
      <c r="F117" s="149">
        <f>'Data Entry Fuel'!F143</f>
        <v>0</v>
      </c>
    </row>
    <row r="118" spans="1:6">
      <c r="A118" s="147" t="s">
        <v>277</v>
      </c>
      <c r="B118" s="148">
        <f>'Data Entry Fuel'!B146</f>
        <v>0</v>
      </c>
      <c r="C118" s="148">
        <f>'Data Entry Fuel'!C146</f>
        <v>0</v>
      </c>
      <c r="D118" s="148">
        <f>'Data Entry Fuel'!D146</f>
        <v>0</v>
      </c>
      <c r="E118" s="148">
        <f>'Data Entry Fuel'!E146</f>
        <v>0</v>
      </c>
      <c r="F118" s="149">
        <f>'Data Entry Fuel'!F146</f>
        <v>0</v>
      </c>
    </row>
    <row r="119" spans="1:6" s="179" customFormat="1">
      <c r="A119" s="147" t="s">
        <v>286</v>
      </c>
      <c r="B119" s="148">
        <f>IF(B42=$B$125,IF(B51=$C$125,1,0),0)</f>
        <v>0</v>
      </c>
      <c r="C119" s="148">
        <f t="shared" ref="C119:F119" si="12">IF(C42=$B$125,IF(C51=$C$125,1,0),0)</f>
        <v>0</v>
      </c>
      <c r="D119" s="148">
        <f t="shared" si="12"/>
        <v>0</v>
      </c>
      <c r="E119" s="148">
        <f t="shared" si="12"/>
        <v>0</v>
      </c>
      <c r="F119" s="149">
        <f t="shared" si="12"/>
        <v>0</v>
      </c>
    </row>
    <row r="120" spans="1:6">
      <c r="A120" s="147"/>
      <c r="B120" s="148"/>
      <c r="C120" s="148"/>
      <c r="D120" s="148"/>
      <c r="E120" s="148"/>
      <c r="F120" s="149"/>
    </row>
    <row r="121" spans="1:6">
      <c r="A121" s="147" t="s">
        <v>266</v>
      </c>
      <c r="B121" s="148">
        <f>IF('Savings Calculator'!D29&gt;0,IF(B3=0,1,0),0)</f>
        <v>0</v>
      </c>
      <c r="C121" s="148"/>
      <c r="D121" s="148"/>
      <c r="E121" s="148"/>
      <c r="F121" s="149"/>
    </row>
    <row r="122" spans="1:6">
      <c r="A122" s="147" t="s">
        <v>202</v>
      </c>
      <c r="B122" s="148">
        <f>IF('Savings Calculator'!D29&gt;0,IF(B7=0,1,0),0)</f>
        <v>0</v>
      </c>
      <c r="C122" s="148"/>
      <c r="D122" s="148"/>
      <c r="E122" s="148"/>
      <c r="F122" s="149"/>
    </row>
    <row r="123" spans="1:6">
      <c r="A123" s="147"/>
      <c r="B123" s="570"/>
      <c r="C123" s="570"/>
      <c r="D123" s="148"/>
      <c r="E123" s="148"/>
      <c r="F123" s="149"/>
    </row>
    <row r="124" spans="1:6">
      <c r="A124" s="147" t="s">
        <v>209</v>
      </c>
      <c r="B124" s="584" t="s">
        <v>958</v>
      </c>
      <c r="C124" s="570" t="s">
        <v>231</v>
      </c>
      <c r="D124" s="148"/>
      <c r="E124" s="148"/>
      <c r="F124" s="149"/>
    </row>
    <row r="125" spans="1:6">
      <c r="A125" s="150"/>
      <c r="B125" s="151" t="s">
        <v>806</v>
      </c>
      <c r="C125" s="151" t="s">
        <v>232</v>
      </c>
      <c r="D125" s="151"/>
      <c r="E125" s="151"/>
      <c r="F125" s="152"/>
    </row>
  </sheetData>
  <protectedRanges>
    <protectedRange password="DCDF" sqref="B13:F14 B30:F31 B44:F45" name="Savings"/>
    <protectedRange password="DCDF" sqref="B47:F52" name="Savings_1"/>
    <protectedRange password="DCDF" sqref="B46:S46" name="Savings_2"/>
  </protectedRanges>
  <mergeCells count="1">
    <mergeCell ref="D2:F7"/>
  </mergeCells>
  <conditionalFormatting sqref="B48:F48">
    <cfRule type="expression" dxfId="32" priority="21">
      <formula>B$22&gt;24</formula>
    </cfRule>
  </conditionalFormatting>
  <conditionalFormatting sqref="B16:F16 B18:F18">
    <cfRule type="expression" dxfId="31" priority="19">
      <formula>B$76=1</formula>
    </cfRule>
  </conditionalFormatting>
  <conditionalFormatting sqref="B20:F20">
    <cfRule type="expression" dxfId="30" priority="18">
      <formula>B$20&gt;24</formula>
    </cfRule>
  </conditionalFormatting>
  <conditionalFormatting sqref="B21:F21">
    <cfRule type="expression" dxfId="29" priority="17">
      <formula>B$21&gt;28</formula>
    </cfRule>
  </conditionalFormatting>
  <conditionalFormatting sqref="B32:F32">
    <cfRule type="expression" dxfId="28" priority="14">
      <formula>B$94=1</formula>
    </cfRule>
  </conditionalFormatting>
  <conditionalFormatting sqref="B34:F34">
    <cfRule type="expression" dxfId="27" priority="13">
      <formula>B$95=1</formula>
    </cfRule>
  </conditionalFormatting>
  <conditionalFormatting sqref="B33:F33">
    <cfRule type="expression" dxfId="26" priority="12">
      <formula>B$96=1</formula>
    </cfRule>
  </conditionalFormatting>
  <conditionalFormatting sqref="B28:F29">
    <cfRule type="expression" dxfId="25" priority="11">
      <formula>B$97=1</formula>
    </cfRule>
  </conditionalFormatting>
  <conditionalFormatting sqref="B48:F48">
    <cfRule type="expression" dxfId="24" priority="10">
      <formula>B$48&gt;24</formula>
    </cfRule>
  </conditionalFormatting>
  <conditionalFormatting sqref="B49:F51">
    <cfRule type="expression" dxfId="23" priority="9">
      <formula>B$49&gt;28</formula>
    </cfRule>
  </conditionalFormatting>
  <conditionalFormatting sqref="B46:F46">
    <cfRule type="expression" dxfId="22" priority="8">
      <formula>B$117=1</formula>
    </cfRule>
  </conditionalFormatting>
  <conditionalFormatting sqref="B44:F44">
    <cfRule type="expression" dxfId="21" priority="7">
      <formula>B$118=1</formula>
    </cfRule>
  </conditionalFormatting>
  <conditionalFormatting sqref="B3">
    <cfRule type="expression" dxfId="20" priority="6">
      <formula>OR($B$80=1,OR($B$99=1,$B$121=1))</formula>
    </cfRule>
  </conditionalFormatting>
  <conditionalFormatting sqref="B7">
    <cfRule type="expression" dxfId="19" priority="3">
      <formula>OR($B$81=1,OR($B$100=1,$B$122=1))</formula>
    </cfRule>
  </conditionalFormatting>
  <conditionalFormatting sqref="B43:F43 B50:F51">
    <cfRule type="expression" dxfId="18" priority="2">
      <formula>B$42=$B$124</formula>
    </cfRule>
  </conditionalFormatting>
  <conditionalFormatting sqref="B51:F51">
    <cfRule type="expression" dxfId="17" priority="1">
      <formula>B$51=$C$125</formula>
    </cfRule>
  </conditionalFormatting>
  <dataValidations count="3">
    <dataValidation type="list" allowBlank="1" showInputMessage="1" showErrorMessage="1" sqref="B42:F42">
      <formula1>$B$124:$B$125</formula1>
    </dataValidation>
    <dataValidation type="list" allowBlank="1" showInputMessage="1" showErrorMessage="1" sqref="B51:F51">
      <formula1>$C$124:$C$125</formula1>
    </dataValidation>
    <dataValidation type="list" allowBlank="1" showInputMessage="1" showErrorMessage="1" sqref="B12:F12 B29:F29">
      <formula1>$G$62:$G$63</formula1>
    </dataValidation>
  </dataValidations>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Report!$A$18:$A$26</xm:f>
          </x14:formula1>
          <xm:sqref>B46:F46</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'Actual-CO2 Calculations'!$A$5:$A$121</xm:f>
          </x14:formula1>
          <xm:sqref>B13:F14 B30:F31 B44:F45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zoomScale="85" zoomScaleNormal="85" workbookViewId="0">
      <selection activeCell="O32" sqref="O32"/>
    </sheetView>
  </sheetViews>
  <sheetFormatPr defaultRowHeight="15"/>
  <cols>
    <col min="1" max="1" width="12.85546875" bestFit="1" customWidth="1"/>
    <col min="2" max="2" width="12.7109375" customWidth="1"/>
    <col min="3" max="3" width="9.5703125" customWidth="1"/>
    <col min="8" max="8" width="14.28515625" customWidth="1"/>
  </cols>
  <sheetData>
    <row r="1" spans="1:8" ht="18" customHeight="1">
      <c r="H1" s="937" t="s">
        <v>225</v>
      </c>
    </row>
    <row r="2" spans="1:8">
      <c r="A2" s="36" t="s">
        <v>30</v>
      </c>
      <c r="B2" s="39">
        <f>Lighting!B11</f>
        <v>0</v>
      </c>
      <c r="C2" s="39">
        <f>Lighting!C11</f>
        <v>0</v>
      </c>
      <c r="D2" s="39">
        <f>Lighting!D11</f>
        <v>0</v>
      </c>
      <c r="E2" s="39">
        <f>Lighting!E11</f>
        <v>0</v>
      </c>
      <c r="F2" s="39">
        <f>Lighting!F11</f>
        <v>0</v>
      </c>
      <c r="H2" s="938"/>
    </row>
    <row r="3" spans="1:8">
      <c r="A3" s="37" t="s">
        <v>31</v>
      </c>
      <c r="B3" s="658">
        <f>IF(AND($A3&gt;=Lighting!B$13,$A3&lt;=Lighting!B$14),(((Lighting!B$18-Lighting!B$16)/1000)*Lighting!B$15*Lighting!B$20*Lighting!B$21),0)*'Data Entry Electricity'!$L4</f>
        <v>0</v>
      </c>
      <c r="C3" s="658">
        <f>IF(AND($A3&gt;=Lighting!C$13,$A3&lt;=Lighting!C$14),(((Lighting!C$18-Lighting!C$16)/1000)*Lighting!C$15*Lighting!C$20*Lighting!C$21),0)*'Data Entry Electricity'!$L4</f>
        <v>0</v>
      </c>
      <c r="D3" s="658">
        <f>IF(AND($A3&gt;=Lighting!D$13,$A3&lt;=Lighting!D$14),(((Lighting!D$18-Lighting!D$16)/1000)*Lighting!D$15*Lighting!D$20*Lighting!D$21),0)*'Data Entry Electricity'!$L4</f>
        <v>0</v>
      </c>
      <c r="E3" s="658">
        <f>IF(AND($A3&gt;=Lighting!E$13,$A3&lt;=Lighting!E$14),(((Lighting!E$18-Lighting!E$16)/1000)*Lighting!E$15*Lighting!E$20*Lighting!E$21),0)*'Data Entry Electricity'!$L4</f>
        <v>0</v>
      </c>
      <c r="F3" s="658">
        <f>IF(AND($A3&gt;=Lighting!F$13,$A3&lt;=Lighting!F$14),(((Lighting!F$18-Lighting!F$16)/1000)*Lighting!F$15*Lighting!F$20*Lighting!F$21),0)*'Data Entry Electricity'!$L4</f>
        <v>0</v>
      </c>
      <c r="H3" s="659">
        <f>SUM(B3:F3)</f>
        <v>0</v>
      </c>
    </row>
    <row r="4" spans="1:8">
      <c r="A4" s="38" t="s">
        <v>32</v>
      </c>
      <c r="B4" s="658">
        <f>IF(AND($A4&gt;=Lighting!B$13,$A4&lt;=Lighting!B$14),(((Lighting!B$18-Lighting!B$16)/1000)*Lighting!B$15*Lighting!B$20*Lighting!B$21),0)*'Data Entry Electricity'!$L5</f>
        <v>0</v>
      </c>
      <c r="C4" s="658">
        <f>IF(AND($A4&gt;=Lighting!C$13,$A4&lt;=Lighting!C$14),(((Lighting!C$18-Lighting!C$16)/1000)*Lighting!C$15*Lighting!C$20*Lighting!C$21),0)*'Data Entry Electricity'!$L5</f>
        <v>0</v>
      </c>
      <c r="D4" s="658">
        <f>IF(AND($A4&gt;=Lighting!D$13,$A4&lt;=Lighting!D$14),(((Lighting!D$18-Lighting!D$16)/1000)*Lighting!D$15*Lighting!D$20*Lighting!D$21),0)*'Data Entry Electricity'!$L5</f>
        <v>0</v>
      </c>
      <c r="E4" s="658">
        <f>IF(AND($A4&gt;=Lighting!E$13,$A4&lt;=Lighting!E$14),(((Lighting!E$18-Lighting!E$16)/1000)*Lighting!E$15*Lighting!E$20*Lighting!E$21),0)*'Data Entry Electricity'!$L5</f>
        <v>0</v>
      </c>
      <c r="F4" s="658">
        <f>IF(AND($A4&gt;=Lighting!F$13,$A4&lt;=Lighting!F$14),(((Lighting!F$18-Lighting!F$16)/1000)*Lighting!F$15*Lighting!F$20*Lighting!F$21),0)*'Data Entry Electricity'!$L5</f>
        <v>0</v>
      </c>
      <c r="H4" s="659">
        <f t="shared" ref="H4:H67" si="0">SUM(B4:F4)</f>
        <v>0</v>
      </c>
    </row>
    <row r="5" spans="1:8">
      <c r="A5" s="38" t="s">
        <v>33</v>
      </c>
      <c r="B5" s="658">
        <f>IF(AND($A5&gt;=Lighting!B$13,$A5&lt;=Lighting!B$14),(((Lighting!B$18-Lighting!B$16)/1000)*Lighting!B$15*Lighting!B$20*Lighting!B$21),0)*'Data Entry Electricity'!$L6</f>
        <v>0</v>
      </c>
      <c r="C5" s="658">
        <f>IF(AND($A5&gt;=Lighting!C$13,$A5&lt;=Lighting!C$14),(((Lighting!C$18-Lighting!C$16)/1000)*Lighting!C$15*Lighting!C$20*Lighting!C$21),0)*'Data Entry Electricity'!$L6</f>
        <v>0</v>
      </c>
      <c r="D5" s="658">
        <f>IF(AND($A5&gt;=Lighting!D$13,$A5&lt;=Lighting!D$14),(((Lighting!D$18-Lighting!D$16)/1000)*Lighting!D$15*Lighting!D$20*Lighting!D$21),0)*'Data Entry Electricity'!$L6</f>
        <v>0</v>
      </c>
      <c r="E5" s="658">
        <f>IF(AND($A5&gt;=Lighting!E$13,$A5&lt;=Lighting!E$14),(((Lighting!E$18-Lighting!E$16)/1000)*Lighting!E$15*Lighting!E$20*Lighting!E$21),0)*'Data Entry Electricity'!$L6</f>
        <v>0</v>
      </c>
      <c r="F5" s="658">
        <f>IF(AND($A5&gt;=Lighting!F$13,$A5&lt;=Lighting!F$14),(((Lighting!F$18-Lighting!F$16)/1000)*Lighting!F$15*Lighting!F$20*Lighting!F$21),0)*'Data Entry Electricity'!$L6</f>
        <v>0</v>
      </c>
      <c r="H5" s="659">
        <f t="shared" si="0"/>
        <v>0</v>
      </c>
    </row>
    <row r="6" spans="1:8">
      <c r="A6" s="38" t="s">
        <v>34</v>
      </c>
      <c r="B6" s="658">
        <f>IF(AND($A6&gt;=Lighting!B$13,$A6&lt;=Lighting!B$14),(((Lighting!B$18-Lighting!B$16)/1000)*Lighting!B$15*Lighting!B$20*Lighting!B$21),0)*'Data Entry Electricity'!$L7</f>
        <v>0</v>
      </c>
      <c r="C6" s="658">
        <f>IF(AND($A6&gt;=Lighting!C$13,$A6&lt;=Lighting!C$14),(((Lighting!C$18-Lighting!C$16)/1000)*Lighting!C$15*Lighting!C$20*Lighting!C$21),0)*'Data Entry Electricity'!$L7</f>
        <v>0</v>
      </c>
      <c r="D6" s="658">
        <f>IF(AND($A6&gt;=Lighting!D$13,$A6&lt;=Lighting!D$14),(((Lighting!D$18-Lighting!D$16)/1000)*Lighting!D$15*Lighting!D$20*Lighting!D$21),0)*'Data Entry Electricity'!$L7</f>
        <v>0</v>
      </c>
      <c r="E6" s="658">
        <f>IF(AND($A6&gt;=Lighting!E$13,$A6&lt;=Lighting!E$14),(((Lighting!E$18-Lighting!E$16)/1000)*Lighting!E$15*Lighting!E$20*Lighting!E$21),0)*'Data Entry Electricity'!$L7</f>
        <v>0</v>
      </c>
      <c r="F6" s="658">
        <f>IF(AND($A6&gt;=Lighting!F$13,$A6&lt;=Lighting!F$14),(((Lighting!F$18-Lighting!F$16)/1000)*Lighting!F$15*Lighting!F$20*Lighting!F$21),0)*'Data Entry Electricity'!$L7</f>
        <v>0</v>
      </c>
      <c r="H6" s="659">
        <f t="shared" si="0"/>
        <v>0</v>
      </c>
    </row>
    <row r="7" spans="1:8">
      <c r="A7" s="38" t="s">
        <v>35</v>
      </c>
      <c r="B7" s="658">
        <f>IF(AND($A7&gt;=Lighting!B$13,$A7&lt;=Lighting!B$14),(((Lighting!B$18-Lighting!B$16)/1000)*Lighting!B$15*Lighting!B$20*Lighting!B$21),0)*'Data Entry Electricity'!$L8</f>
        <v>0</v>
      </c>
      <c r="C7" s="658">
        <f>IF(AND($A7&gt;=Lighting!C$13,$A7&lt;=Lighting!C$14),(((Lighting!C$18-Lighting!C$16)/1000)*Lighting!C$15*Lighting!C$20*Lighting!C$21),0)*'Data Entry Electricity'!$L8</f>
        <v>0</v>
      </c>
      <c r="D7" s="658">
        <f>IF(AND($A7&gt;=Lighting!D$13,$A7&lt;=Lighting!D$14),(((Lighting!D$18-Lighting!D$16)/1000)*Lighting!D$15*Lighting!D$20*Lighting!D$21),0)*'Data Entry Electricity'!$L8</f>
        <v>0</v>
      </c>
      <c r="E7" s="658">
        <f>IF(AND($A7&gt;=Lighting!E$13,$A7&lt;=Lighting!E$14),(((Lighting!E$18-Lighting!E$16)/1000)*Lighting!E$15*Lighting!E$20*Lighting!E$21),0)*'Data Entry Electricity'!$L8</f>
        <v>0</v>
      </c>
      <c r="F7" s="658">
        <f>IF(AND($A7&gt;=Lighting!F$13,$A7&lt;=Lighting!F$14),(((Lighting!F$18-Lighting!F$16)/1000)*Lighting!F$15*Lighting!F$20*Lighting!F$21),0)*'Data Entry Electricity'!$L8</f>
        <v>0</v>
      </c>
      <c r="H7" s="659">
        <f t="shared" si="0"/>
        <v>0</v>
      </c>
    </row>
    <row r="8" spans="1:8">
      <c r="A8" s="38" t="s">
        <v>36</v>
      </c>
      <c r="B8" s="658">
        <f>IF(AND($A8&gt;=Lighting!B$13,$A8&lt;=Lighting!B$14),(((Lighting!B$18-Lighting!B$16)/1000)*Lighting!B$15*Lighting!B$20*Lighting!B$21),0)*'Data Entry Electricity'!$L9</f>
        <v>0</v>
      </c>
      <c r="C8" s="658">
        <f>IF(AND($A8&gt;=Lighting!C$13,$A8&lt;=Lighting!C$14),(((Lighting!C$18-Lighting!C$16)/1000)*Lighting!C$15*Lighting!C$20*Lighting!C$21),0)*'Data Entry Electricity'!$L9</f>
        <v>0</v>
      </c>
      <c r="D8" s="658">
        <f>IF(AND($A8&gt;=Lighting!D$13,$A8&lt;=Lighting!D$14),(((Lighting!D$18-Lighting!D$16)/1000)*Lighting!D$15*Lighting!D$20*Lighting!D$21),0)*'Data Entry Electricity'!$L9</f>
        <v>0</v>
      </c>
      <c r="E8" s="658">
        <f>IF(AND($A8&gt;=Lighting!E$13,$A8&lt;=Lighting!E$14),(((Lighting!E$18-Lighting!E$16)/1000)*Lighting!E$15*Lighting!E$20*Lighting!E$21),0)*'Data Entry Electricity'!$L9</f>
        <v>0</v>
      </c>
      <c r="F8" s="658">
        <f>IF(AND($A8&gt;=Lighting!F$13,$A8&lt;=Lighting!F$14),(((Lighting!F$18-Lighting!F$16)/1000)*Lighting!F$15*Lighting!F$20*Lighting!F$21),0)*'Data Entry Electricity'!$L9</f>
        <v>0</v>
      </c>
      <c r="H8" s="659">
        <f t="shared" si="0"/>
        <v>0</v>
      </c>
    </row>
    <row r="9" spans="1:8">
      <c r="A9" s="38" t="s">
        <v>37</v>
      </c>
      <c r="B9" s="658">
        <f>IF(AND($A9&gt;=Lighting!B$13,$A9&lt;=Lighting!B$14),(((Lighting!B$18-Lighting!B$16)/1000)*Lighting!B$15*Lighting!B$20*Lighting!B$21),0)*'Data Entry Electricity'!$L10</f>
        <v>0</v>
      </c>
      <c r="C9" s="658">
        <f>IF(AND($A9&gt;=Lighting!C$13,$A9&lt;=Lighting!C$14),(((Lighting!C$18-Lighting!C$16)/1000)*Lighting!C$15*Lighting!C$20*Lighting!C$21),0)*'Data Entry Electricity'!$L10</f>
        <v>0</v>
      </c>
      <c r="D9" s="658">
        <f>IF(AND($A9&gt;=Lighting!D$13,$A9&lt;=Lighting!D$14),(((Lighting!D$18-Lighting!D$16)/1000)*Lighting!D$15*Lighting!D$20*Lighting!D$21),0)*'Data Entry Electricity'!$L10</f>
        <v>0</v>
      </c>
      <c r="E9" s="658">
        <f>IF(AND($A9&gt;=Lighting!E$13,$A9&lt;=Lighting!E$14),(((Lighting!E$18-Lighting!E$16)/1000)*Lighting!E$15*Lighting!E$20*Lighting!E$21),0)*'Data Entry Electricity'!$L10</f>
        <v>0</v>
      </c>
      <c r="F9" s="658">
        <f>IF(AND($A9&gt;=Lighting!F$13,$A9&lt;=Lighting!F$14),(((Lighting!F$18-Lighting!F$16)/1000)*Lighting!F$15*Lighting!F$20*Lighting!F$21),0)*'Data Entry Electricity'!$L10</f>
        <v>0</v>
      </c>
      <c r="H9" s="659">
        <f t="shared" si="0"/>
        <v>0</v>
      </c>
    </row>
    <row r="10" spans="1:8">
      <c r="A10" s="38" t="s">
        <v>38</v>
      </c>
      <c r="B10" s="658">
        <f>IF(AND($A10&gt;=Lighting!B$13,$A10&lt;=Lighting!B$14),(((Lighting!B$18-Lighting!B$16)/1000)*Lighting!B$15*Lighting!B$20*Lighting!B$21),0)*'Data Entry Electricity'!$L11</f>
        <v>0</v>
      </c>
      <c r="C10" s="658">
        <f>IF(AND($A10&gt;=Lighting!C$13,$A10&lt;=Lighting!C$14),(((Lighting!C$18-Lighting!C$16)/1000)*Lighting!C$15*Lighting!C$20*Lighting!C$21),0)*'Data Entry Electricity'!$L11</f>
        <v>0</v>
      </c>
      <c r="D10" s="658">
        <f>IF(AND($A10&gt;=Lighting!D$13,$A10&lt;=Lighting!D$14),(((Lighting!D$18-Lighting!D$16)/1000)*Lighting!D$15*Lighting!D$20*Lighting!D$21),0)*'Data Entry Electricity'!$L11</f>
        <v>0</v>
      </c>
      <c r="E10" s="658">
        <f>IF(AND($A10&gt;=Lighting!E$13,$A10&lt;=Lighting!E$14),(((Lighting!E$18-Lighting!E$16)/1000)*Lighting!E$15*Lighting!E$20*Lighting!E$21),0)*'Data Entry Electricity'!$L11</f>
        <v>0</v>
      </c>
      <c r="F10" s="658">
        <f>IF(AND($A10&gt;=Lighting!F$13,$A10&lt;=Lighting!F$14),(((Lighting!F$18-Lighting!F$16)/1000)*Lighting!F$15*Lighting!F$20*Lighting!F$21),0)*'Data Entry Electricity'!$L11</f>
        <v>0</v>
      </c>
      <c r="H10" s="659">
        <f t="shared" si="0"/>
        <v>0</v>
      </c>
    </row>
    <row r="11" spans="1:8">
      <c r="A11" s="38" t="s">
        <v>39</v>
      </c>
      <c r="B11" s="658">
        <f>IF(AND($A11&gt;=Lighting!B$13,$A11&lt;=Lighting!B$14),(((Lighting!B$18-Lighting!B$16)/1000)*Lighting!B$15*Lighting!B$20*Lighting!B$21),0)*'Data Entry Electricity'!$L12</f>
        <v>0</v>
      </c>
      <c r="C11" s="658">
        <f>IF(AND($A11&gt;=Lighting!C$13,$A11&lt;=Lighting!C$14),(((Lighting!C$18-Lighting!C$16)/1000)*Lighting!C$15*Lighting!C$20*Lighting!C$21),0)*'Data Entry Electricity'!$L12</f>
        <v>0</v>
      </c>
      <c r="D11" s="658">
        <f>IF(AND($A11&gt;=Lighting!D$13,$A11&lt;=Lighting!D$14),(((Lighting!D$18-Lighting!D$16)/1000)*Lighting!D$15*Lighting!D$20*Lighting!D$21),0)*'Data Entry Electricity'!$L12</f>
        <v>0</v>
      </c>
      <c r="E11" s="658">
        <f>IF(AND($A11&gt;=Lighting!E$13,$A11&lt;=Lighting!E$14),(((Lighting!E$18-Lighting!E$16)/1000)*Lighting!E$15*Lighting!E$20*Lighting!E$21),0)*'Data Entry Electricity'!$L12</f>
        <v>0</v>
      </c>
      <c r="F11" s="658">
        <f>IF(AND($A11&gt;=Lighting!F$13,$A11&lt;=Lighting!F$14),(((Lighting!F$18-Lighting!F$16)/1000)*Lighting!F$15*Lighting!F$20*Lighting!F$21),0)*'Data Entry Electricity'!$L12</f>
        <v>0</v>
      </c>
      <c r="H11" s="659">
        <f t="shared" si="0"/>
        <v>0</v>
      </c>
    </row>
    <row r="12" spans="1:8">
      <c r="A12" s="38" t="s">
        <v>25</v>
      </c>
      <c r="B12" s="658">
        <f>IF(AND($A12&gt;=Lighting!B$13,$A12&lt;=Lighting!B$14),(((Lighting!B$18-Lighting!B$16)/1000)*Lighting!B$15*Lighting!B$20*Lighting!B$21),0)*'Data Entry Electricity'!$L13</f>
        <v>0</v>
      </c>
      <c r="C12" s="658">
        <f>IF(AND($A12&gt;=Lighting!C$13,$A12&lt;=Lighting!C$14),(((Lighting!C$18-Lighting!C$16)/1000)*Lighting!C$15*Lighting!C$20*Lighting!C$21),0)*'Data Entry Electricity'!$L13</f>
        <v>0</v>
      </c>
      <c r="D12" s="658">
        <f>IF(AND($A12&gt;=Lighting!D$13,$A12&lt;=Lighting!D$14),(((Lighting!D$18-Lighting!D$16)/1000)*Lighting!D$15*Lighting!D$20*Lighting!D$21),0)*'Data Entry Electricity'!$L13</f>
        <v>0</v>
      </c>
      <c r="E12" s="658">
        <f>IF(AND($A12&gt;=Lighting!E$13,$A12&lt;=Lighting!E$14),(((Lighting!E$18-Lighting!E$16)/1000)*Lighting!E$15*Lighting!E$20*Lighting!E$21),0)*'Data Entry Electricity'!$L13</f>
        <v>0</v>
      </c>
      <c r="F12" s="658">
        <f>IF(AND($A12&gt;=Lighting!F$13,$A12&lt;=Lighting!F$14),(((Lighting!F$18-Lighting!F$16)/1000)*Lighting!F$15*Lighting!F$20*Lighting!F$21),0)*'Data Entry Electricity'!$L13</f>
        <v>0</v>
      </c>
      <c r="H12" s="659">
        <f t="shared" si="0"/>
        <v>0</v>
      </c>
    </row>
    <row r="13" spans="1:8">
      <c r="A13" s="38" t="s">
        <v>26</v>
      </c>
      <c r="B13" s="658">
        <f>IF(AND($A13&gt;=Lighting!B$13,$A13&lt;=Lighting!B$14),(((Lighting!B$18-Lighting!B$16)/1000)*Lighting!B$15*Lighting!B$20*Lighting!B$21),0)*'Data Entry Electricity'!$L14</f>
        <v>0</v>
      </c>
      <c r="C13" s="658">
        <f>IF(AND($A13&gt;=Lighting!C$13,$A13&lt;=Lighting!C$14),(((Lighting!C$18-Lighting!C$16)/1000)*Lighting!C$15*Lighting!C$20*Lighting!C$21),0)*'Data Entry Electricity'!$L14</f>
        <v>0</v>
      </c>
      <c r="D13" s="658">
        <f>IF(AND($A13&gt;=Lighting!D$13,$A13&lt;=Lighting!D$14),(((Lighting!D$18-Lighting!D$16)/1000)*Lighting!D$15*Lighting!D$20*Lighting!D$21),0)*'Data Entry Electricity'!$L14</f>
        <v>0</v>
      </c>
      <c r="E13" s="658">
        <f>IF(AND($A13&gt;=Lighting!E$13,$A13&lt;=Lighting!E$14),(((Lighting!E$18-Lighting!E$16)/1000)*Lighting!E$15*Lighting!E$20*Lighting!E$21),0)*'Data Entry Electricity'!$L14</f>
        <v>0</v>
      </c>
      <c r="F13" s="658">
        <f>IF(AND($A13&gt;=Lighting!F$13,$A13&lt;=Lighting!F$14),(((Lighting!F$18-Lighting!F$16)/1000)*Lighting!F$15*Lighting!F$20*Lighting!F$21),0)*'Data Entry Electricity'!$L14</f>
        <v>0</v>
      </c>
      <c r="H13" s="659">
        <f t="shared" si="0"/>
        <v>0</v>
      </c>
    </row>
    <row r="14" spans="1:8">
      <c r="A14" s="38" t="s">
        <v>27</v>
      </c>
      <c r="B14" s="658">
        <f>IF(AND($A14&gt;=Lighting!B$13,$A14&lt;=Lighting!B$14),(((Lighting!B$18-Lighting!B$16)/1000)*Lighting!B$15*Lighting!B$20*Lighting!B$21),0)*'Data Entry Electricity'!$L15</f>
        <v>0</v>
      </c>
      <c r="C14" s="658">
        <f>IF(AND($A14&gt;=Lighting!C$13,$A14&lt;=Lighting!C$14),(((Lighting!C$18-Lighting!C$16)/1000)*Lighting!C$15*Lighting!C$20*Lighting!C$21),0)*'Data Entry Electricity'!$L15</f>
        <v>0</v>
      </c>
      <c r="D14" s="658">
        <f>IF(AND($A14&gt;=Lighting!D$13,$A14&lt;=Lighting!D$14),(((Lighting!D$18-Lighting!D$16)/1000)*Lighting!D$15*Lighting!D$20*Lighting!D$21),0)*'Data Entry Electricity'!$L15</f>
        <v>0</v>
      </c>
      <c r="E14" s="658">
        <f>IF(AND($A14&gt;=Lighting!E$13,$A14&lt;=Lighting!E$14),(((Lighting!E$18-Lighting!E$16)/1000)*Lighting!E$15*Lighting!E$20*Lighting!E$21),0)*'Data Entry Electricity'!$L15</f>
        <v>0</v>
      </c>
      <c r="F14" s="658">
        <f>IF(AND($A14&gt;=Lighting!F$13,$A14&lt;=Lighting!F$14),(((Lighting!F$18-Lighting!F$16)/1000)*Lighting!F$15*Lighting!F$20*Lighting!F$21),0)*'Data Entry Electricity'!$L15</f>
        <v>0</v>
      </c>
      <c r="H14" s="659">
        <f t="shared" si="0"/>
        <v>0</v>
      </c>
    </row>
    <row r="15" spans="1:8">
      <c r="A15" s="38" t="s">
        <v>24</v>
      </c>
      <c r="B15" s="658">
        <f>IF(AND($A15&gt;=Lighting!B$13,$A15&lt;=Lighting!B$14),(((Lighting!B$18-Lighting!B$16)/1000)*Lighting!B$15*Lighting!B$20*Lighting!B$21),0)*'Data Entry Electricity'!$L16</f>
        <v>0</v>
      </c>
      <c r="C15" s="658">
        <f>IF(AND($A15&gt;=Lighting!C$13,$A15&lt;=Lighting!C$14),(((Lighting!C$18-Lighting!C$16)/1000)*Lighting!C$15*Lighting!C$20*Lighting!C$21),0)*'Data Entry Electricity'!$L16</f>
        <v>0</v>
      </c>
      <c r="D15" s="658">
        <f>IF(AND($A15&gt;=Lighting!D$13,$A15&lt;=Lighting!D$14),(((Lighting!D$18-Lighting!D$16)/1000)*Lighting!D$15*Lighting!D$20*Lighting!D$21),0)*'Data Entry Electricity'!$L16</f>
        <v>0</v>
      </c>
      <c r="E15" s="658">
        <f>IF(AND($A15&gt;=Lighting!E$13,$A15&lt;=Lighting!E$14),(((Lighting!E$18-Lighting!E$16)/1000)*Lighting!E$15*Lighting!E$20*Lighting!E$21),0)*'Data Entry Electricity'!$L16</f>
        <v>0</v>
      </c>
      <c r="F15" s="658">
        <f>IF(AND($A15&gt;=Lighting!F$13,$A15&lt;=Lighting!F$14),(((Lighting!F$18-Lighting!F$16)/1000)*Lighting!F$15*Lighting!F$20*Lighting!F$21),0)*'Data Entry Electricity'!$L16</f>
        <v>0</v>
      </c>
      <c r="H15" s="659">
        <f t="shared" si="0"/>
        <v>0</v>
      </c>
    </row>
    <row r="16" spans="1:8">
      <c r="A16" s="38" t="s">
        <v>40</v>
      </c>
      <c r="B16" s="658">
        <f>IF(AND($A16&gt;=Lighting!B$13,$A16&lt;=Lighting!B$14),(((Lighting!B$18-Lighting!B$16)/1000)*Lighting!B$15*Lighting!B$20*Lighting!B$21),0)*'Data Entry Electricity'!$L17</f>
        <v>0</v>
      </c>
      <c r="C16" s="658">
        <f>IF(AND($A16&gt;=Lighting!C$13,$A16&lt;=Lighting!C$14),(((Lighting!C$18-Lighting!C$16)/1000)*Lighting!C$15*Lighting!C$20*Lighting!C$21),0)*'Data Entry Electricity'!$L17</f>
        <v>0</v>
      </c>
      <c r="D16" s="658">
        <f>IF(AND($A16&gt;=Lighting!D$13,$A16&lt;=Lighting!D$14),(((Lighting!D$18-Lighting!D$16)/1000)*Lighting!D$15*Lighting!D$20*Lighting!D$21),0)*'Data Entry Electricity'!$L17</f>
        <v>0</v>
      </c>
      <c r="E16" s="658">
        <f>IF(AND($A16&gt;=Lighting!E$13,$A16&lt;=Lighting!E$14),(((Lighting!E$18-Lighting!E$16)/1000)*Lighting!E$15*Lighting!E$20*Lighting!E$21),0)*'Data Entry Electricity'!$L17</f>
        <v>0</v>
      </c>
      <c r="F16" s="658">
        <f>IF(AND($A16&gt;=Lighting!F$13,$A16&lt;=Lighting!F$14),(((Lighting!F$18-Lighting!F$16)/1000)*Lighting!F$15*Lighting!F$20*Lighting!F$21),0)*'Data Entry Electricity'!$L17</f>
        <v>0</v>
      </c>
      <c r="H16" s="659">
        <f t="shared" si="0"/>
        <v>0</v>
      </c>
    </row>
    <row r="17" spans="1:8">
      <c r="A17" s="38" t="s">
        <v>41</v>
      </c>
      <c r="B17" s="658">
        <f>IF(AND($A17&gt;=Lighting!B$13,$A17&lt;=Lighting!B$14),(((Lighting!B$18-Lighting!B$16)/1000)*Lighting!B$15*Lighting!B$20*Lighting!B$21),0)*'Data Entry Electricity'!$L18</f>
        <v>0</v>
      </c>
      <c r="C17" s="658">
        <f>IF(AND($A17&gt;=Lighting!C$13,$A17&lt;=Lighting!C$14),(((Lighting!C$18-Lighting!C$16)/1000)*Lighting!C$15*Lighting!C$20*Lighting!C$21),0)*'Data Entry Electricity'!$L18</f>
        <v>0</v>
      </c>
      <c r="D17" s="658">
        <f>IF(AND($A17&gt;=Lighting!D$13,$A17&lt;=Lighting!D$14),(((Lighting!D$18-Lighting!D$16)/1000)*Lighting!D$15*Lighting!D$20*Lighting!D$21),0)*'Data Entry Electricity'!$L18</f>
        <v>0</v>
      </c>
      <c r="E17" s="658">
        <f>IF(AND($A17&gt;=Lighting!E$13,$A17&lt;=Lighting!E$14),(((Lighting!E$18-Lighting!E$16)/1000)*Lighting!E$15*Lighting!E$20*Lighting!E$21),0)*'Data Entry Electricity'!$L18</f>
        <v>0</v>
      </c>
      <c r="F17" s="658">
        <f>IF(AND($A17&gt;=Lighting!F$13,$A17&lt;=Lighting!F$14),(((Lighting!F$18-Lighting!F$16)/1000)*Lighting!F$15*Lighting!F$20*Lighting!F$21),0)*'Data Entry Electricity'!$L18</f>
        <v>0</v>
      </c>
      <c r="H17" s="659">
        <f t="shared" si="0"/>
        <v>0</v>
      </c>
    </row>
    <row r="18" spans="1:8">
      <c r="A18" s="38" t="s">
        <v>42</v>
      </c>
      <c r="B18" s="658">
        <f>IF(AND($A18&gt;=Lighting!B$13,$A18&lt;=Lighting!B$14),(((Lighting!B$18-Lighting!B$16)/1000)*Lighting!B$15*Lighting!B$20*Lighting!B$21),0)*'Data Entry Electricity'!$L19</f>
        <v>0</v>
      </c>
      <c r="C18" s="658">
        <f>IF(AND($A18&gt;=Lighting!C$13,$A18&lt;=Lighting!C$14),(((Lighting!C$18-Lighting!C$16)/1000)*Lighting!C$15*Lighting!C$20*Lighting!C$21),0)*'Data Entry Electricity'!$L19</f>
        <v>0</v>
      </c>
      <c r="D18" s="658">
        <f>IF(AND($A18&gt;=Lighting!D$13,$A18&lt;=Lighting!D$14),(((Lighting!D$18-Lighting!D$16)/1000)*Lighting!D$15*Lighting!D$20*Lighting!D$21),0)*'Data Entry Electricity'!$L19</f>
        <v>0</v>
      </c>
      <c r="E18" s="658">
        <f>IF(AND($A18&gt;=Lighting!E$13,$A18&lt;=Lighting!E$14),(((Lighting!E$18-Lighting!E$16)/1000)*Lighting!E$15*Lighting!E$20*Lighting!E$21),0)*'Data Entry Electricity'!$L19</f>
        <v>0</v>
      </c>
      <c r="F18" s="658">
        <f>IF(AND($A18&gt;=Lighting!F$13,$A18&lt;=Lighting!F$14),(((Lighting!F$18-Lighting!F$16)/1000)*Lighting!F$15*Lighting!F$20*Lighting!F$21),0)*'Data Entry Electricity'!$L19</f>
        <v>0</v>
      </c>
      <c r="H18" s="659">
        <f t="shared" si="0"/>
        <v>0</v>
      </c>
    </row>
    <row r="19" spans="1:8">
      <c r="A19" s="38" t="s">
        <v>43</v>
      </c>
      <c r="B19" s="658">
        <f>IF(AND($A19&gt;=Lighting!B$13,$A19&lt;=Lighting!B$14),(((Lighting!B$18-Lighting!B$16)/1000)*Lighting!B$15*Lighting!B$20*Lighting!B$21),0)*'Data Entry Electricity'!$L20</f>
        <v>0</v>
      </c>
      <c r="C19" s="658">
        <f>IF(AND($A19&gt;=Lighting!C$13,$A19&lt;=Lighting!C$14),(((Lighting!C$18-Lighting!C$16)/1000)*Lighting!C$15*Lighting!C$20*Lighting!C$21),0)*'Data Entry Electricity'!$L20</f>
        <v>0</v>
      </c>
      <c r="D19" s="658">
        <f>IF(AND($A19&gt;=Lighting!D$13,$A19&lt;=Lighting!D$14),(((Lighting!D$18-Lighting!D$16)/1000)*Lighting!D$15*Lighting!D$20*Lighting!D$21),0)*'Data Entry Electricity'!$L20</f>
        <v>0</v>
      </c>
      <c r="E19" s="658">
        <f>IF(AND($A19&gt;=Lighting!E$13,$A19&lt;=Lighting!E$14),(((Lighting!E$18-Lighting!E$16)/1000)*Lighting!E$15*Lighting!E$20*Lighting!E$21),0)*'Data Entry Electricity'!$L20</f>
        <v>0</v>
      </c>
      <c r="F19" s="658">
        <f>IF(AND($A19&gt;=Lighting!F$13,$A19&lt;=Lighting!F$14),(((Lighting!F$18-Lighting!F$16)/1000)*Lighting!F$15*Lighting!F$20*Lighting!F$21),0)*'Data Entry Electricity'!$L20</f>
        <v>0</v>
      </c>
      <c r="H19" s="659">
        <f t="shared" si="0"/>
        <v>0</v>
      </c>
    </row>
    <row r="20" spans="1:8">
      <c r="A20" s="38" t="s">
        <v>44</v>
      </c>
      <c r="B20" s="658">
        <f>IF(AND($A20&gt;=Lighting!B$13,$A20&lt;=Lighting!B$14),(((Lighting!B$18-Lighting!B$16)/1000)*Lighting!B$15*Lighting!B$20*Lighting!B$21),0)*'Data Entry Electricity'!$L21</f>
        <v>0</v>
      </c>
      <c r="C20" s="658">
        <f>IF(AND($A20&gt;=Lighting!C$13,$A20&lt;=Lighting!C$14),(((Lighting!C$18-Lighting!C$16)/1000)*Lighting!C$15*Lighting!C$20*Lighting!C$21),0)*'Data Entry Electricity'!$L21</f>
        <v>0</v>
      </c>
      <c r="D20" s="658">
        <f>IF(AND($A20&gt;=Lighting!D$13,$A20&lt;=Lighting!D$14),(((Lighting!D$18-Lighting!D$16)/1000)*Lighting!D$15*Lighting!D$20*Lighting!D$21),0)*'Data Entry Electricity'!$L21</f>
        <v>0</v>
      </c>
      <c r="E20" s="658">
        <f>IF(AND($A20&gt;=Lighting!E$13,$A20&lt;=Lighting!E$14),(((Lighting!E$18-Lighting!E$16)/1000)*Lighting!E$15*Lighting!E$20*Lighting!E$21),0)*'Data Entry Electricity'!$L21</f>
        <v>0</v>
      </c>
      <c r="F20" s="658">
        <f>IF(AND($A20&gt;=Lighting!F$13,$A20&lt;=Lighting!F$14),(((Lighting!F$18-Lighting!F$16)/1000)*Lighting!F$15*Lighting!F$20*Lighting!F$21),0)*'Data Entry Electricity'!$L21</f>
        <v>0</v>
      </c>
      <c r="H20" s="659">
        <f t="shared" si="0"/>
        <v>0</v>
      </c>
    </row>
    <row r="21" spans="1:8">
      <c r="A21" s="38" t="s">
        <v>45</v>
      </c>
      <c r="B21" s="658">
        <f>IF(AND($A21&gt;=Lighting!B$13,$A21&lt;=Lighting!B$14),(((Lighting!B$18-Lighting!B$16)/1000)*Lighting!B$15*Lighting!B$20*Lighting!B$21),0)*'Data Entry Electricity'!$L22</f>
        <v>0</v>
      </c>
      <c r="C21" s="658">
        <f>IF(AND($A21&gt;=Lighting!C$13,$A21&lt;=Lighting!C$14),(((Lighting!C$18-Lighting!C$16)/1000)*Lighting!C$15*Lighting!C$20*Lighting!C$21),0)*'Data Entry Electricity'!$L22</f>
        <v>0</v>
      </c>
      <c r="D21" s="658">
        <f>IF(AND($A21&gt;=Lighting!D$13,$A21&lt;=Lighting!D$14),(((Lighting!D$18-Lighting!D$16)/1000)*Lighting!D$15*Lighting!D$20*Lighting!D$21),0)*'Data Entry Electricity'!$L22</f>
        <v>0</v>
      </c>
      <c r="E21" s="658">
        <f>IF(AND($A21&gt;=Lighting!E$13,$A21&lt;=Lighting!E$14),(((Lighting!E$18-Lighting!E$16)/1000)*Lighting!E$15*Lighting!E$20*Lighting!E$21),0)*'Data Entry Electricity'!$L22</f>
        <v>0</v>
      </c>
      <c r="F21" s="658">
        <f>IF(AND($A21&gt;=Lighting!F$13,$A21&lt;=Lighting!F$14),(((Lighting!F$18-Lighting!F$16)/1000)*Lighting!F$15*Lighting!F$20*Lighting!F$21),0)*'Data Entry Electricity'!$L22</f>
        <v>0</v>
      </c>
      <c r="H21" s="659">
        <f t="shared" si="0"/>
        <v>0</v>
      </c>
    </row>
    <row r="22" spans="1:8">
      <c r="A22" s="38" t="s">
        <v>46</v>
      </c>
      <c r="B22" s="658">
        <f>IF(AND($A22&gt;=Lighting!B$13,$A22&lt;=Lighting!B$14),(((Lighting!B$18-Lighting!B$16)/1000)*Lighting!B$15*Lighting!B$20*Lighting!B$21),0)*'Data Entry Electricity'!$L23</f>
        <v>0</v>
      </c>
      <c r="C22" s="658">
        <f>IF(AND($A22&gt;=Lighting!C$13,$A22&lt;=Lighting!C$14),(((Lighting!C$18-Lighting!C$16)/1000)*Lighting!C$15*Lighting!C$20*Lighting!C$21),0)*'Data Entry Electricity'!$L23</f>
        <v>0</v>
      </c>
      <c r="D22" s="658">
        <f>IF(AND($A22&gt;=Lighting!D$13,$A22&lt;=Lighting!D$14),(((Lighting!D$18-Lighting!D$16)/1000)*Lighting!D$15*Lighting!D$20*Lighting!D$21),0)*'Data Entry Electricity'!$L23</f>
        <v>0</v>
      </c>
      <c r="E22" s="658">
        <f>IF(AND($A22&gt;=Lighting!E$13,$A22&lt;=Lighting!E$14),(((Lighting!E$18-Lighting!E$16)/1000)*Lighting!E$15*Lighting!E$20*Lighting!E$21),0)*'Data Entry Electricity'!$L23</f>
        <v>0</v>
      </c>
      <c r="F22" s="658">
        <f>IF(AND($A22&gt;=Lighting!F$13,$A22&lt;=Lighting!F$14),(((Lighting!F$18-Lighting!F$16)/1000)*Lighting!F$15*Lighting!F$20*Lighting!F$21),0)*'Data Entry Electricity'!$L23</f>
        <v>0</v>
      </c>
      <c r="H22" s="659">
        <f t="shared" si="0"/>
        <v>0</v>
      </c>
    </row>
    <row r="23" spans="1:8">
      <c r="A23" s="38" t="s">
        <v>47</v>
      </c>
      <c r="B23" s="658">
        <f>IF(AND($A23&gt;=Lighting!B$13,$A23&lt;=Lighting!B$14),(((Lighting!B$18-Lighting!B$16)/1000)*Lighting!B$15*Lighting!B$20*Lighting!B$21),0)*'Data Entry Electricity'!$L24</f>
        <v>0</v>
      </c>
      <c r="C23" s="658">
        <f>IF(AND($A23&gt;=Lighting!C$13,$A23&lt;=Lighting!C$14),(((Lighting!C$18-Lighting!C$16)/1000)*Lighting!C$15*Lighting!C$20*Lighting!C$21),0)*'Data Entry Electricity'!$L24</f>
        <v>0</v>
      </c>
      <c r="D23" s="658">
        <f>IF(AND($A23&gt;=Lighting!D$13,$A23&lt;=Lighting!D$14),(((Lighting!D$18-Lighting!D$16)/1000)*Lighting!D$15*Lighting!D$20*Lighting!D$21),0)*'Data Entry Electricity'!$L24</f>
        <v>0</v>
      </c>
      <c r="E23" s="658">
        <f>IF(AND($A23&gt;=Lighting!E$13,$A23&lt;=Lighting!E$14),(((Lighting!E$18-Lighting!E$16)/1000)*Lighting!E$15*Lighting!E$20*Lighting!E$21),0)*'Data Entry Electricity'!$L24</f>
        <v>0</v>
      </c>
      <c r="F23" s="658">
        <f>IF(AND($A23&gt;=Lighting!F$13,$A23&lt;=Lighting!F$14),(((Lighting!F$18-Lighting!F$16)/1000)*Lighting!F$15*Lighting!F$20*Lighting!F$21),0)*'Data Entry Electricity'!$L24</f>
        <v>0</v>
      </c>
      <c r="H23" s="659">
        <f t="shared" si="0"/>
        <v>0</v>
      </c>
    </row>
    <row r="24" spans="1:8">
      <c r="A24" s="38" t="s">
        <v>48</v>
      </c>
      <c r="B24" s="658">
        <f>IF(AND($A24&gt;=Lighting!B$13,$A24&lt;=Lighting!B$14),(((Lighting!B$18-Lighting!B$16)/1000)*Lighting!B$15*Lighting!B$20*Lighting!B$21),0)*'Data Entry Electricity'!$L25</f>
        <v>0</v>
      </c>
      <c r="C24" s="658">
        <f>IF(AND($A24&gt;=Lighting!C$13,$A24&lt;=Lighting!C$14),(((Lighting!C$18-Lighting!C$16)/1000)*Lighting!C$15*Lighting!C$20*Lighting!C$21),0)*'Data Entry Electricity'!$L25</f>
        <v>0</v>
      </c>
      <c r="D24" s="658">
        <f>IF(AND($A24&gt;=Lighting!D$13,$A24&lt;=Lighting!D$14),(((Lighting!D$18-Lighting!D$16)/1000)*Lighting!D$15*Lighting!D$20*Lighting!D$21),0)*'Data Entry Electricity'!$L25</f>
        <v>0</v>
      </c>
      <c r="E24" s="658">
        <f>IF(AND($A24&gt;=Lighting!E$13,$A24&lt;=Lighting!E$14),(((Lighting!E$18-Lighting!E$16)/1000)*Lighting!E$15*Lighting!E$20*Lighting!E$21),0)*'Data Entry Electricity'!$L25</f>
        <v>0</v>
      </c>
      <c r="F24" s="658">
        <f>IF(AND($A24&gt;=Lighting!F$13,$A24&lt;=Lighting!F$14),(((Lighting!F$18-Lighting!F$16)/1000)*Lighting!F$15*Lighting!F$20*Lighting!F$21),0)*'Data Entry Electricity'!$L25</f>
        <v>0</v>
      </c>
      <c r="H24" s="659">
        <f t="shared" si="0"/>
        <v>0</v>
      </c>
    </row>
    <row r="25" spans="1:8">
      <c r="A25" s="38" t="s">
        <v>0</v>
      </c>
      <c r="B25" s="658">
        <f>IF(AND($A25&gt;=Lighting!B$13,$A25&lt;=Lighting!B$14),(((Lighting!B$18-Lighting!B$16)/1000)*Lighting!B$15*Lighting!B$20*Lighting!B$21),0)*'Data Entry Electricity'!$L26</f>
        <v>0</v>
      </c>
      <c r="C25" s="658">
        <f>IF(AND($A25&gt;=Lighting!C$13,$A25&lt;=Lighting!C$14),(((Lighting!C$18-Lighting!C$16)/1000)*Lighting!C$15*Lighting!C$20*Lighting!C$21),0)*'Data Entry Electricity'!$L26</f>
        <v>0</v>
      </c>
      <c r="D25" s="658">
        <f>IF(AND($A25&gt;=Lighting!D$13,$A25&lt;=Lighting!D$14),(((Lighting!D$18-Lighting!D$16)/1000)*Lighting!D$15*Lighting!D$20*Lighting!D$21),0)*'Data Entry Electricity'!$L26</f>
        <v>0</v>
      </c>
      <c r="E25" s="658">
        <f>IF(AND($A25&gt;=Lighting!E$13,$A25&lt;=Lighting!E$14),(((Lighting!E$18-Lighting!E$16)/1000)*Lighting!E$15*Lighting!E$20*Lighting!E$21),0)*'Data Entry Electricity'!$L26</f>
        <v>0</v>
      </c>
      <c r="F25" s="658">
        <f>IF(AND($A25&gt;=Lighting!F$13,$A25&lt;=Lighting!F$14),(((Lighting!F$18-Lighting!F$16)/1000)*Lighting!F$15*Lighting!F$20*Lighting!F$21),0)*'Data Entry Electricity'!$L26</f>
        <v>0</v>
      </c>
      <c r="H25" s="659">
        <f t="shared" si="0"/>
        <v>0</v>
      </c>
    </row>
    <row r="26" spans="1:8">
      <c r="A26" s="38" t="s">
        <v>1</v>
      </c>
      <c r="B26" s="658">
        <f>IF(AND($A26&gt;=Lighting!B$13,$A26&lt;=Lighting!B$14),(((Lighting!B$18-Lighting!B$16)/1000)*Lighting!B$15*Lighting!B$20*Lighting!B$21),0)*'Data Entry Electricity'!$L27</f>
        <v>0</v>
      </c>
      <c r="C26" s="658">
        <f>IF(AND($A26&gt;=Lighting!C$13,$A26&lt;=Lighting!C$14),(((Lighting!C$18-Lighting!C$16)/1000)*Lighting!C$15*Lighting!C$20*Lighting!C$21),0)*'Data Entry Electricity'!$L27</f>
        <v>0</v>
      </c>
      <c r="D26" s="658">
        <f>IF(AND($A26&gt;=Lighting!D$13,$A26&lt;=Lighting!D$14),(((Lighting!D$18-Lighting!D$16)/1000)*Lighting!D$15*Lighting!D$20*Lighting!D$21),0)*'Data Entry Electricity'!$L27</f>
        <v>0</v>
      </c>
      <c r="E26" s="658">
        <f>IF(AND($A26&gt;=Lighting!E$13,$A26&lt;=Lighting!E$14),(((Lighting!E$18-Lighting!E$16)/1000)*Lighting!E$15*Lighting!E$20*Lighting!E$21),0)*'Data Entry Electricity'!$L27</f>
        <v>0</v>
      </c>
      <c r="F26" s="658">
        <f>IF(AND($A26&gt;=Lighting!F$13,$A26&lt;=Lighting!F$14),(((Lighting!F$18-Lighting!F$16)/1000)*Lighting!F$15*Lighting!F$20*Lighting!F$21),0)*'Data Entry Electricity'!$L27</f>
        <v>0</v>
      </c>
      <c r="H26" s="659">
        <f t="shared" si="0"/>
        <v>0</v>
      </c>
    </row>
    <row r="27" spans="1:8">
      <c r="A27" s="38" t="s">
        <v>2</v>
      </c>
      <c r="B27" s="658">
        <f>IF(AND($A27&gt;=Lighting!B$13,$A27&lt;=Lighting!B$14),(((Lighting!B$18-Lighting!B$16)/1000)*Lighting!B$15*Lighting!B$20*Lighting!B$21),0)*'Data Entry Electricity'!$L28</f>
        <v>0</v>
      </c>
      <c r="C27" s="658">
        <f>IF(AND($A27&gt;=Lighting!C$13,$A27&lt;=Lighting!C$14),(((Lighting!C$18-Lighting!C$16)/1000)*Lighting!C$15*Lighting!C$20*Lighting!C$21),0)*'Data Entry Electricity'!$L28</f>
        <v>0</v>
      </c>
      <c r="D27" s="658">
        <f>IF(AND($A27&gt;=Lighting!D$13,$A27&lt;=Lighting!D$14),(((Lighting!D$18-Lighting!D$16)/1000)*Lighting!D$15*Lighting!D$20*Lighting!D$21),0)*'Data Entry Electricity'!$L28</f>
        <v>0</v>
      </c>
      <c r="E27" s="658">
        <f>IF(AND($A27&gt;=Lighting!E$13,$A27&lt;=Lighting!E$14),(((Lighting!E$18-Lighting!E$16)/1000)*Lighting!E$15*Lighting!E$20*Lighting!E$21),0)*'Data Entry Electricity'!$L28</f>
        <v>0</v>
      </c>
      <c r="F27" s="658">
        <f>IF(AND($A27&gt;=Lighting!F$13,$A27&lt;=Lighting!F$14),(((Lighting!F$18-Lighting!F$16)/1000)*Lighting!F$15*Lighting!F$20*Lighting!F$21),0)*'Data Entry Electricity'!$L28</f>
        <v>0</v>
      </c>
      <c r="H27" s="659">
        <f t="shared" si="0"/>
        <v>0</v>
      </c>
    </row>
    <row r="28" spans="1:8">
      <c r="A28" s="38" t="s">
        <v>3</v>
      </c>
      <c r="B28" s="658">
        <f>IF(AND($A28&gt;=Lighting!B$13,$A28&lt;=Lighting!B$14),(((Lighting!B$18-Lighting!B$16)/1000)*Lighting!B$15*Lighting!B$20*Lighting!B$21),0)*'Data Entry Electricity'!$L29</f>
        <v>0</v>
      </c>
      <c r="C28" s="658">
        <f>IF(AND($A28&gt;=Lighting!C$13,$A28&lt;=Lighting!C$14),(((Lighting!C$18-Lighting!C$16)/1000)*Lighting!C$15*Lighting!C$20*Lighting!C$21),0)*'Data Entry Electricity'!$L29</f>
        <v>0</v>
      </c>
      <c r="D28" s="658">
        <f>IF(AND($A28&gt;=Lighting!D$13,$A28&lt;=Lighting!D$14),(((Lighting!D$18-Lighting!D$16)/1000)*Lighting!D$15*Lighting!D$20*Lighting!D$21),0)*'Data Entry Electricity'!$L29</f>
        <v>0</v>
      </c>
      <c r="E28" s="658">
        <f>IF(AND($A28&gt;=Lighting!E$13,$A28&lt;=Lighting!E$14),(((Lighting!E$18-Lighting!E$16)/1000)*Lighting!E$15*Lighting!E$20*Lighting!E$21),0)*'Data Entry Electricity'!$L29</f>
        <v>0</v>
      </c>
      <c r="F28" s="658">
        <f>IF(AND($A28&gt;=Lighting!F$13,$A28&lt;=Lighting!F$14),(((Lighting!F$18-Lighting!F$16)/1000)*Lighting!F$15*Lighting!F$20*Lighting!F$21),0)*'Data Entry Electricity'!$L29</f>
        <v>0</v>
      </c>
      <c r="H28" s="659">
        <f t="shared" si="0"/>
        <v>0</v>
      </c>
    </row>
    <row r="29" spans="1:8">
      <c r="A29" s="38" t="s">
        <v>49</v>
      </c>
      <c r="B29" s="658">
        <f>IF(AND($A29&gt;=Lighting!B$13,$A29&lt;=Lighting!B$14),(((Lighting!B$18-Lighting!B$16)/1000)*Lighting!B$15*Lighting!B$20*Lighting!B$21),0)*'Data Entry Electricity'!$L30</f>
        <v>0</v>
      </c>
      <c r="C29" s="658">
        <f>IF(AND($A29&gt;=Lighting!C$13,$A29&lt;=Lighting!C$14),(((Lighting!C$18-Lighting!C$16)/1000)*Lighting!C$15*Lighting!C$20*Lighting!C$21),0)*'Data Entry Electricity'!$L30</f>
        <v>0</v>
      </c>
      <c r="D29" s="658">
        <f>IF(AND($A29&gt;=Lighting!D$13,$A29&lt;=Lighting!D$14),(((Lighting!D$18-Lighting!D$16)/1000)*Lighting!D$15*Lighting!D$20*Lighting!D$21),0)*'Data Entry Electricity'!$L30</f>
        <v>0</v>
      </c>
      <c r="E29" s="658">
        <f>IF(AND($A29&gt;=Lighting!E$13,$A29&lt;=Lighting!E$14),(((Lighting!E$18-Lighting!E$16)/1000)*Lighting!E$15*Lighting!E$20*Lighting!E$21),0)*'Data Entry Electricity'!$L30</f>
        <v>0</v>
      </c>
      <c r="F29" s="658">
        <f>IF(AND($A29&gt;=Lighting!F$13,$A29&lt;=Lighting!F$14),(((Lighting!F$18-Lighting!F$16)/1000)*Lighting!F$15*Lighting!F$20*Lighting!F$21),0)*'Data Entry Electricity'!$L30</f>
        <v>0</v>
      </c>
      <c r="H29" s="659">
        <f t="shared" si="0"/>
        <v>0</v>
      </c>
    </row>
    <row r="30" spans="1:8">
      <c r="A30" s="38" t="s">
        <v>50</v>
      </c>
      <c r="B30" s="658">
        <f>IF(AND($A30&gt;=Lighting!B$13,$A30&lt;=Lighting!B$14),(((Lighting!B$18-Lighting!B$16)/1000)*Lighting!B$15*Lighting!B$20*Lighting!B$21),0)*'Data Entry Electricity'!$L31</f>
        <v>0</v>
      </c>
      <c r="C30" s="658">
        <f>IF(AND($A30&gt;=Lighting!C$13,$A30&lt;=Lighting!C$14),(((Lighting!C$18-Lighting!C$16)/1000)*Lighting!C$15*Lighting!C$20*Lighting!C$21),0)*'Data Entry Electricity'!$L31</f>
        <v>0</v>
      </c>
      <c r="D30" s="658">
        <f>IF(AND($A30&gt;=Lighting!D$13,$A30&lt;=Lighting!D$14),(((Lighting!D$18-Lighting!D$16)/1000)*Lighting!D$15*Lighting!D$20*Lighting!D$21),0)*'Data Entry Electricity'!$L31</f>
        <v>0</v>
      </c>
      <c r="E30" s="658">
        <f>IF(AND($A30&gt;=Lighting!E$13,$A30&lt;=Lighting!E$14),(((Lighting!E$18-Lighting!E$16)/1000)*Lighting!E$15*Lighting!E$20*Lighting!E$21),0)*'Data Entry Electricity'!$L31</f>
        <v>0</v>
      </c>
      <c r="F30" s="658">
        <f>IF(AND($A30&gt;=Lighting!F$13,$A30&lt;=Lighting!F$14),(((Lighting!F$18-Lighting!F$16)/1000)*Lighting!F$15*Lighting!F$20*Lighting!F$21),0)*'Data Entry Electricity'!$L31</f>
        <v>0</v>
      </c>
      <c r="H30" s="659">
        <f t="shared" si="0"/>
        <v>0</v>
      </c>
    </row>
    <row r="31" spans="1:8">
      <c r="A31" s="38" t="s">
        <v>51</v>
      </c>
      <c r="B31" s="658">
        <f>IF(AND($A31&gt;=Lighting!B$13,$A31&lt;=Lighting!B$14),(((Lighting!B$18-Lighting!B$16)/1000)*Lighting!B$15*Lighting!B$20*Lighting!B$21),0)*'Data Entry Electricity'!$L32</f>
        <v>0</v>
      </c>
      <c r="C31" s="658">
        <f>IF(AND($A31&gt;=Lighting!C$13,$A31&lt;=Lighting!C$14),(((Lighting!C$18-Lighting!C$16)/1000)*Lighting!C$15*Lighting!C$20*Lighting!C$21),0)*'Data Entry Electricity'!$L32</f>
        <v>0</v>
      </c>
      <c r="D31" s="658">
        <f>IF(AND($A31&gt;=Lighting!D$13,$A31&lt;=Lighting!D$14),(((Lighting!D$18-Lighting!D$16)/1000)*Lighting!D$15*Lighting!D$20*Lighting!D$21),0)*'Data Entry Electricity'!$L32</f>
        <v>0</v>
      </c>
      <c r="E31" s="658">
        <f>IF(AND($A31&gt;=Lighting!E$13,$A31&lt;=Lighting!E$14),(((Lighting!E$18-Lighting!E$16)/1000)*Lighting!E$15*Lighting!E$20*Lighting!E$21),0)*'Data Entry Electricity'!$L32</f>
        <v>0</v>
      </c>
      <c r="F31" s="658">
        <f>IF(AND($A31&gt;=Lighting!F$13,$A31&lt;=Lighting!F$14),(((Lighting!F$18-Lighting!F$16)/1000)*Lighting!F$15*Lighting!F$20*Lighting!F$21),0)*'Data Entry Electricity'!$L32</f>
        <v>0</v>
      </c>
      <c r="H31" s="659">
        <f t="shared" si="0"/>
        <v>0</v>
      </c>
    </row>
    <row r="32" spans="1:8">
      <c r="A32" s="38" t="s">
        <v>52</v>
      </c>
      <c r="B32" s="658">
        <f>IF(AND($A32&gt;=Lighting!B$13,$A32&lt;=Lighting!B$14),(((Lighting!B$18-Lighting!B$16)/1000)*Lighting!B$15*Lighting!B$20*Lighting!B$21),0)*'Data Entry Electricity'!$L33</f>
        <v>0</v>
      </c>
      <c r="C32" s="658">
        <f>IF(AND($A32&gt;=Lighting!C$13,$A32&lt;=Lighting!C$14),(((Lighting!C$18-Lighting!C$16)/1000)*Lighting!C$15*Lighting!C$20*Lighting!C$21),0)*'Data Entry Electricity'!$L33</f>
        <v>0</v>
      </c>
      <c r="D32" s="658">
        <f>IF(AND($A32&gt;=Lighting!D$13,$A32&lt;=Lighting!D$14),(((Lighting!D$18-Lighting!D$16)/1000)*Lighting!D$15*Lighting!D$20*Lighting!D$21),0)*'Data Entry Electricity'!$L33</f>
        <v>0</v>
      </c>
      <c r="E32" s="658">
        <f>IF(AND($A32&gt;=Lighting!E$13,$A32&lt;=Lighting!E$14),(((Lighting!E$18-Lighting!E$16)/1000)*Lighting!E$15*Lighting!E$20*Lighting!E$21),0)*'Data Entry Electricity'!$L33</f>
        <v>0</v>
      </c>
      <c r="F32" s="658">
        <f>IF(AND($A32&gt;=Lighting!F$13,$A32&lt;=Lighting!F$14),(((Lighting!F$18-Lighting!F$16)/1000)*Lighting!F$15*Lighting!F$20*Lighting!F$21),0)*'Data Entry Electricity'!$L33</f>
        <v>0</v>
      </c>
      <c r="H32" s="659">
        <f t="shared" si="0"/>
        <v>0</v>
      </c>
    </row>
    <row r="33" spans="1:8">
      <c r="A33" s="38" t="s">
        <v>53</v>
      </c>
      <c r="B33" s="658">
        <f>IF(AND($A33&gt;=Lighting!B$13,$A33&lt;=Lighting!B$14),(((Lighting!B$18-Lighting!B$16)/1000)*Lighting!B$15*Lighting!B$20*Lighting!B$21),0)*'Data Entry Electricity'!$L34</f>
        <v>0</v>
      </c>
      <c r="C33" s="658">
        <f>IF(AND($A33&gt;=Lighting!C$13,$A33&lt;=Lighting!C$14),(((Lighting!C$18-Lighting!C$16)/1000)*Lighting!C$15*Lighting!C$20*Lighting!C$21),0)*'Data Entry Electricity'!$L34</f>
        <v>0</v>
      </c>
      <c r="D33" s="658">
        <f>IF(AND($A33&gt;=Lighting!D$13,$A33&lt;=Lighting!D$14),(((Lighting!D$18-Lighting!D$16)/1000)*Lighting!D$15*Lighting!D$20*Lighting!D$21),0)*'Data Entry Electricity'!$L34</f>
        <v>0</v>
      </c>
      <c r="E33" s="658">
        <f>IF(AND($A33&gt;=Lighting!E$13,$A33&lt;=Lighting!E$14),(((Lighting!E$18-Lighting!E$16)/1000)*Lighting!E$15*Lighting!E$20*Lighting!E$21),0)*'Data Entry Electricity'!$L34</f>
        <v>0</v>
      </c>
      <c r="F33" s="658">
        <f>IF(AND($A33&gt;=Lighting!F$13,$A33&lt;=Lighting!F$14),(((Lighting!F$18-Lighting!F$16)/1000)*Lighting!F$15*Lighting!F$20*Lighting!F$21),0)*'Data Entry Electricity'!$L34</f>
        <v>0</v>
      </c>
      <c r="H33" s="659">
        <f t="shared" si="0"/>
        <v>0</v>
      </c>
    </row>
    <row r="34" spans="1:8">
      <c r="A34" s="38" t="s">
        <v>54</v>
      </c>
      <c r="B34" s="658">
        <f>IF(AND($A34&gt;=Lighting!B$13,$A34&lt;=Lighting!B$14),(((Lighting!B$18-Lighting!B$16)/1000)*Lighting!B$15*Lighting!B$20*Lighting!B$21),0)*'Data Entry Electricity'!$L35</f>
        <v>0</v>
      </c>
      <c r="C34" s="658">
        <f>IF(AND($A34&gt;=Lighting!C$13,$A34&lt;=Lighting!C$14),(((Lighting!C$18-Lighting!C$16)/1000)*Lighting!C$15*Lighting!C$20*Lighting!C$21),0)*'Data Entry Electricity'!$L35</f>
        <v>0</v>
      </c>
      <c r="D34" s="658">
        <f>IF(AND($A34&gt;=Lighting!D$13,$A34&lt;=Lighting!D$14),(((Lighting!D$18-Lighting!D$16)/1000)*Lighting!D$15*Lighting!D$20*Lighting!D$21),0)*'Data Entry Electricity'!$L35</f>
        <v>0</v>
      </c>
      <c r="E34" s="658">
        <f>IF(AND($A34&gt;=Lighting!E$13,$A34&lt;=Lighting!E$14),(((Lighting!E$18-Lighting!E$16)/1000)*Lighting!E$15*Lighting!E$20*Lighting!E$21),0)*'Data Entry Electricity'!$L35</f>
        <v>0</v>
      </c>
      <c r="F34" s="658">
        <f>IF(AND($A34&gt;=Lighting!F$13,$A34&lt;=Lighting!F$14),(((Lighting!F$18-Lighting!F$16)/1000)*Lighting!F$15*Lighting!F$20*Lighting!F$21),0)*'Data Entry Electricity'!$L35</f>
        <v>0</v>
      </c>
      <c r="H34" s="659">
        <f t="shared" si="0"/>
        <v>0</v>
      </c>
    </row>
    <row r="35" spans="1:8">
      <c r="A35" s="38" t="s">
        <v>55</v>
      </c>
      <c r="B35" s="658">
        <f>IF(AND($A35&gt;=Lighting!B$13,$A35&lt;=Lighting!B$14),(((Lighting!B$18-Lighting!B$16)/1000)*Lighting!B$15*Lighting!B$20*Lighting!B$21),0)*'Data Entry Electricity'!$L36</f>
        <v>0</v>
      </c>
      <c r="C35" s="658">
        <f>IF(AND($A35&gt;=Lighting!C$13,$A35&lt;=Lighting!C$14),(((Lighting!C$18-Lighting!C$16)/1000)*Lighting!C$15*Lighting!C$20*Lighting!C$21),0)*'Data Entry Electricity'!$L36</f>
        <v>0</v>
      </c>
      <c r="D35" s="658">
        <f>IF(AND($A35&gt;=Lighting!D$13,$A35&lt;=Lighting!D$14),(((Lighting!D$18-Lighting!D$16)/1000)*Lighting!D$15*Lighting!D$20*Lighting!D$21),0)*'Data Entry Electricity'!$L36</f>
        <v>0</v>
      </c>
      <c r="E35" s="658">
        <f>IF(AND($A35&gt;=Lighting!E$13,$A35&lt;=Lighting!E$14),(((Lighting!E$18-Lighting!E$16)/1000)*Lighting!E$15*Lighting!E$20*Lighting!E$21),0)*'Data Entry Electricity'!$L36</f>
        <v>0</v>
      </c>
      <c r="F35" s="658">
        <f>IF(AND($A35&gt;=Lighting!F$13,$A35&lt;=Lighting!F$14),(((Lighting!F$18-Lighting!F$16)/1000)*Lighting!F$15*Lighting!F$20*Lighting!F$21),0)*'Data Entry Electricity'!$L36</f>
        <v>0</v>
      </c>
      <c r="H35" s="659">
        <f t="shared" si="0"/>
        <v>0</v>
      </c>
    </row>
    <row r="36" spans="1:8">
      <c r="A36" s="38" t="s">
        <v>56</v>
      </c>
      <c r="B36" s="658">
        <f>IF(AND($A36&gt;=Lighting!B$13,$A36&lt;=Lighting!B$14),(((Lighting!B$18-Lighting!B$16)/1000)*Lighting!B$15*Lighting!B$20*Lighting!B$21),0)*'Data Entry Electricity'!$L37</f>
        <v>0</v>
      </c>
      <c r="C36" s="658">
        <f>IF(AND($A36&gt;=Lighting!C$13,$A36&lt;=Lighting!C$14),(((Lighting!C$18-Lighting!C$16)/1000)*Lighting!C$15*Lighting!C$20*Lighting!C$21),0)*'Data Entry Electricity'!$L37</f>
        <v>0</v>
      </c>
      <c r="D36" s="658">
        <f>IF(AND($A36&gt;=Lighting!D$13,$A36&lt;=Lighting!D$14),(((Lighting!D$18-Lighting!D$16)/1000)*Lighting!D$15*Lighting!D$20*Lighting!D$21),0)*'Data Entry Electricity'!$L37</f>
        <v>0</v>
      </c>
      <c r="E36" s="658">
        <f>IF(AND($A36&gt;=Lighting!E$13,$A36&lt;=Lighting!E$14),(((Lighting!E$18-Lighting!E$16)/1000)*Lighting!E$15*Lighting!E$20*Lighting!E$21),0)*'Data Entry Electricity'!$L37</f>
        <v>0</v>
      </c>
      <c r="F36" s="658">
        <f>IF(AND($A36&gt;=Lighting!F$13,$A36&lt;=Lighting!F$14),(((Lighting!F$18-Lighting!F$16)/1000)*Lighting!F$15*Lighting!F$20*Lighting!F$21),0)*'Data Entry Electricity'!$L37</f>
        <v>0</v>
      </c>
      <c r="H36" s="659">
        <f t="shared" si="0"/>
        <v>0</v>
      </c>
    </row>
    <row r="37" spans="1:8">
      <c r="A37" s="38" t="s">
        <v>57</v>
      </c>
      <c r="B37" s="658">
        <f>IF(AND($A37&gt;=Lighting!B$13,$A37&lt;=Lighting!B$14),(((Lighting!B$18-Lighting!B$16)/1000)*Lighting!B$15*Lighting!B$20*Lighting!B$21),0)*'Data Entry Electricity'!$L38</f>
        <v>0</v>
      </c>
      <c r="C37" s="658">
        <f>IF(AND($A37&gt;=Lighting!C$13,$A37&lt;=Lighting!C$14),(((Lighting!C$18-Lighting!C$16)/1000)*Lighting!C$15*Lighting!C$20*Lighting!C$21),0)*'Data Entry Electricity'!$L38</f>
        <v>0</v>
      </c>
      <c r="D37" s="658">
        <f>IF(AND($A37&gt;=Lighting!D$13,$A37&lt;=Lighting!D$14),(((Lighting!D$18-Lighting!D$16)/1000)*Lighting!D$15*Lighting!D$20*Lighting!D$21),0)*'Data Entry Electricity'!$L38</f>
        <v>0</v>
      </c>
      <c r="E37" s="658">
        <f>IF(AND($A37&gt;=Lighting!E$13,$A37&lt;=Lighting!E$14),(((Lighting!E$18-Lighting!E$16)/1000)*Lighting!E$15*Lighting!E$20*Lighting!E$21),0)*'Data Entry Electricity'!$L38</f>
        <v>0</v>
      </c>
      <c r="F37" s="658">
        <f>IF(AND($A37&gt;=Lighting!F$13,$A37&lt;=Lighting!F$14),(((Lighting!F$18-Lighting!F$16)/1000)*Lighting!F$15*Lighting!F$20*Lighting!F$21),0)*'Data Entry Electricity'!$L38</f>
        <v>0</v>
      </c>
      <c r="H37" s="659">
        <f t="shared" si="0"/>
        <v>0</v>
      </c>
    </row>
    <row r="38" spans="1:8">
      <c r="A38" s="38" t="s">
        <v>4</v>
      </c>
      <c r="B38" s="658">
        <f>IF(AND($A38&gt;=Lighting!B$13,$A38&lt;=Lighting!B$14),(((Lighting!B$18-Lighting!B$16)/1000)*Lighting!B$15*Lighting!B$20*Lighting!B$21),0)*'Data Entry Electricity'!$L39</f>
        <v>0</v>
      </c>
      <c r="C38" s="658">
        <f>IF(AND($A38&gt;=Lighting!C$13,$A38&lt;=Lighting!C$14),(((Lighting!C$18-Lighting!C$16)/1000)*Lighting!C$15*Lighting!C$20*Lighting!C$21),0)*'Data Entry Electricity'!$L39</f>
        <v>0</v>
      </c>
      <c r="D38" s="658">
        <f>IF(AND($A38&gt;=Lighting!D$13,$A38&lt;=Lighting!D$14),(((Lighting!D$18-Lighting!D$16)/1000)*Lighting!D$15*Lighting!D$20*Lighting!D$21),0)*'Data Entry Electricity'!$L39</f>
        <v>0</v>
      </c>
      <c r="E38" s="658">
        <f>IF(AND($A38&gt;=Lighting!E$13,$A38&lt;=Lighting!E$14),(((Lighting!E$18-Lighting!E$16)/1000)*Lighting!E$15*Lighting!E$20*Lighting!E$21),0)*'Data Entry Electricity'!$L39</f>
        <v>0</v>
      </c>
      <c r="F38" s="658">
        <f>IF(AND($A38&gt;=Lighting!F$13,$A38&lt;=Lighting!F$14),(((Lighting!F$18-Lighting!F$16)/1000)*Lighting!F$15*Lighting!F$20*Lighting!F$21),0)*'Data Entry Electricity'!$L39</f>
        <v>0</v>
      </c>
      <c r="H38" s="659">
        <f t="shared" si="0"/>
        <v>0</v>
      </c>
    </row>
    <row r="39" spans="1:8">
      <c r="A39" s="38" t="s">
        <v>5</v>
      </c>
      <c r="B39" s="658">
        <f>IF(AND($A39&gt;=Lighting!B$13,$A39&lt;=Lighting!B$14),(((Lighting!B$18-Lighting!B$16)/1000)*Lighting!B$15*Lighting!B$20*Lighting!B$21),0)*'Data Entry Electricity'!$L40</f>
        <v>0</v>
      </c>
      <c r="C39" s="658">
        <f>IF(AND($A39&gt;=Lighting!C$13,$A39&lt;=Lighting!C$14),(((Lighting!C$18-Lighting!C$16)/1000)*Lighting!C$15*Lighting!C$20*Lighting!C$21),0)*'Data Entry Electricity'!$L40</f>
        <v>0</v>
      </c>
      <c r="D39" s="658">
        <f>IF(AND($A39&gt;=Lighting!D$13,$A39&lt;=Lighting!D$14),(((Lighting!D$18-Lighting!D$16)/1000)*Lighting!D$15*Lighting!D$20*Lighting!D$21),0)*'Data Entry Electricity'!$L40</f>
        <v>0</v>
      </c>
      <c r="E39" s="658">
        <f>IF(AND($A39&gt;=Lighting!E$13,$A39&lt;=Lighting!E$14),(((Lighting!E$18-Lighting!E$16)/1000)*Lighting!E$15*Lighting!E$20*Lighting!E$21),0)*'Data Entry Electricity'!$L40</f>
        <v>0</v>
      </c>
      <c r="F39" s="658">
        <f>IF(AND($A39&gt;=Lighting!F$13,$A39&lt;=Lighting!F$14),(((Lighting!F$18-Lighting!F$16)/1000)*Lighting!F$15*Lighting!F$20*Lighting!F$21),0)*'Data Entry Electricity'!$L40</f>
        <v>0</v>
      </c>
      <c r="H39" s="659">
        <f t="shared" si="0"/>
        <v>0</v>
      </c>
    </row>
    <row r="40" spans="1:8">
      <c r="A40" s="38" t="s">
        <v>6</v>
      </c>
      <c r="B40" s="658">
        <f>IF(AND($A40&gt;=Lighting!B$13,$A40&lt;=Lighting!B$14),(((Lighting!B$18-Lighting!B$16)/1000)*Lighting!B$15*Lighting!B$20*Lighting!B$21),0)*'Data Entry Electricity'!$L41</f>
        <v>0</v>
      </c>
      <c r="C40" s="658">
        <f>IF(AND($A40&gt;=Lighting!C$13,$A40&lt;=Lighting!C$14),(((Lighting!C$18-Lighting!C$16)/1000)*Lighting!C$15*Lighting!C$20*Lighting!C$21),0)*'Data Entry Electricity'!$L41</f>
        <v>0</v>
      </c>
      <c r="D40" s="658">
        <f>IF(AND($A40&gt;=Lighting!D$13,$A40&lt;=Lighting!D$14),(((Lighting!D$18-Lighting!D$16)/1000)*Lighting!D$15*Lighting!D$20*Lighting!D$21),0)*'Data Entry Electricity'!$L41</f>
        <v>0</v>
      </c>
      <c r="E40" s="658">
        <f>IF(AND($A40&gt;=Lighting!E$13,$A40&lt;=Lighting!E$14),(((Lighting!E$18-Lighting!E$16)/1000)*Lighting!E$15*Lighting!E$20*Lighting!E$21),0)*'Data Entry Electricity'!$L41</f>
        <v>0</v>
      </c>
      <c r="F40" s="658">
        <f>IF(AND($A40&gt;=Lighting!F$13,$A40&lt;=Lighting!F$14),(((Lighting!F$18-Lighting!F$16)/1000)*Lighting!F$15*Lighting!F$20*Lighting!F$21),0)*'Data Entry Electricity'!$L41</f>
        <v>0</v>
      </c>
      <c r="H40" s="659">
        <f t="shared" si="0"/>
        <v>0</v>
      </c>
    </row>
    <row r="41" spans="1:8">
      <c r="A41" s="38" t="s">
        <v>7</v>
      </c>
      <c r="B41" s="658">
        <f>IF(AND($A41&gt;=Lighting!B$13,$A41&lt;=Lighting!B$14),(((Lighting!B$18-Lighting!B$16)/1000)*Lighting!B$15*Lighting!B$20*Lighting!B$21),0)*'Data Entry Electricity'!$L42</f>
        <v>0</v>
      </c>
      <c r="C41" s="658">
        <f>IF(AND($A41&gt;=Lighting!C$13,$A41&lt;=Lighting!C$14),(((Lighting!C$18-Lighting!C$16)/1000)*Lighting!C$15*Lighting!C$20*Lighting!C$21),0)*'Data Entry Electricity'!$L42</f>
        <v>0</v>
      </c>
      <c r="D41" s="658">
        <f>IF(AND($A41&gt;=Lighting!D$13,$A41&lt;=Lighting!D$14),(((Lighting!D$18-Lighting!D$16)/1000)*Lighting!D$15*Lighting!D$20*Lighting!D$21),0)*'Data Entry Electricity'!$L42</f>
        <v>0</v>
      </c>
      <c r="E41" s="658">
        <f>IF(AND($A41&gt;=Lighting!E$13,$A41&lt;=Lighting!E$14),(((Lighting!E$18-Lighting!E$16)/1000)*Lighting!E$15*Lighting!E$20*Lighting!E$21),0)*'Data Entry Electricity'!$L42</f>
        <v>0</v>
      </c>
      <c r="F41" s="658">
        <f>IF(AND($A41&gt;=Lighting!F$13,$A41&lt;=Lighting!F$14),(((Lighting!F$18-Lighting!F$16)/1000)*Lighting!F$15*Lighting!F$20*Lighting!F$21),0)*'Data Entry Electricity'!$L42</f>
        <v>0</v>
      </c>
      <c r="H41" s="659">
        <f t="shared" si="0"/>
        <v>0</v>
      </c>
    </row>
    <row r="42" spans="1:8">
      <c r="A42" s="38" t="s">
        <v>58</v>
      </c>
      <c r="B42" s="658">
        <f>IF(AND($A42&gt;=Lighting!B$13,$A42&lt;=Lighting!B$14),(((Lighting!B$18-Lighting!B$16)/1000)*Lighting!B$15*Lighting!B$20*Lighting!B$21),0)*'Data Entry Electricity'!$L43</f>
        <v>0</v>
      </c>
      <c r="C42" s="658">
        <f>IF(AND($A42&gt;=Lighting!C$13,$A42&lt;=Lighting!C$14),(((Lighting!C$18-Lighting!C$16)/1000)*Lighting!C$15*Lighting!C$20*Lighting!C$21),0)*'Data Entry Electricity'!$L43</f>
        <v>0</v>
      </c>
      <c r="D42" s="658">
        <f>IF(AND($A42&gt;=Lighting!D$13,$A42&lt;=Lighting!D$14),(((Lighting!D$18-Lighting!D$16)/1000)*Lighting!D$15*Lighting!D$20*Lighting!D$21),0)*'Data Entry Electricity'!$L43</f>
        <v>0</v>
      </c>
      <c r="E42" s="658">
        <f>IF(AND($A42&gt;=Lighting!E$13,$A42&lt;=Lighting!E$14),(((Lighting!E$18-Lighting!E$16)/1000)*Lighting!E$15*Lighting!E$20*Lighting!E$21),0)*'Data Entry Electricity'!$L43</f>
        <v>0</v>
      </c>
      <c r="F42" s="658">
        <f>IF(AND($A42&gt;=Lighting!F$13,$A42&lt;=Lighting!F$14),(((Lighting!F$18-Lighting!F$16)/1000)*Lighting!F$15*Lighting!F$20*Lighting!F$21),0)*'Data Entry Electricity'!$L43</f>
        <v>0</v>
      </c>
      <c r="H42" s="659">
        <f t="shared" si="0"/>
        <v>0</v>
      </c>
    </row>
    <row r="43" spans="1:8">
      <c r="A43" s="38" t="s">
        <v>59</v>
      </c>
      <c r="B43" s="658">
        <f>IF(AND($A43&gt;=Lighting!B$13,$A43&lt;=Lighting!B$14),(((Lighting!B$18-Lighting!B$16)/1000)*Lighting!B$15*Lighting!B$20*Lighting!B$21),0)*'Data Entry Electricity'!$L44</f>
        <v>0</v>
      </c>
      <c r="C43" s="658">
        <f>IF(AND($A43&gt;=Lighting!C$13,$A43&lt;=Lighting!C$14),(((Lighting!C$18-Lighting!C$16)/1000)*Lighting!C$15*Lighting!C$20*Lighting!C$21),0)*'Data Entry Electricity'!$L44</f>
        <v>0</v>
      </c>
      <c r="D43" s="658">
        <f>IF(AND($A43&gt;=Lighting!D$13,$A43&lt;=Lighting!D$14),(((Lighting!D$18-Lighting!D$16)/1000)*Lighting!D$15*Lighting!D$20*Lighting!D$21),0)*'Data Entry Electricity'!$L44</f>
        <v>0</v>
      </c>
      <c r="E43" s="658">
        <f>IF(AND($A43&gt;=Lighting!E$13,$A43&lt;=Lighting!E$14),(((Lighting!E$18-Lighting!E$16)/1000)*Lighting!E$15*Lighting!E$20*Lighting!E$21),0)*'Data Entry Electricity'!$L44</f>
        <v>0</v>
      </c>
      <c r="F43" s="658">
        <f>IF(AND($A43&gt;=Lighting!F$13,$A43&lt;=Lighting!F$14),(((Lighting!F$18-Lighting!F$16)/1000)*Lighting!F$15*Lighting!F$20*Lighting!F$21),0)*'Data Entry Electricity'!$L44</f>
        <v>0</v>
      </c>
      <c r="H43" s="659">
        <f t="shared" si="0"/>
        <v>0</v>
      </c>
    </row>
    <row r="44" spans="1:8">
      <c r="A44" s="38" t="s">
        <v>60</v>
      </c>
      <c r="B44" s="658">
        <f>IF(AND($A44&gt;=Lighting!B$13,$A44&lt;=Lighting!B$14),(((Lighting!B$18-Lighting!B$16)/1000)*Lighting!B$15*Lighting!B$20*Lighting!B$21),0)*'Data Entry Electricity'!$L45</f>
        <v>0</v>
      </c>
      <c r="C44" s="658">
        <f>IF(AND($A44&gt;=Lighting!C$13,$A44&lt;=Lighting!C$14),(((Lighting!C$18-Lighting!C$16)/1000)*Lighting!C$15*Lighting!C$20*Lighting!C$21),0)*'Data Entry Electricity'!$L45</f>
        <v>0</v>
      </c>
      <c r="D44" s="658">
        <f>IF(AND($A44&gt;=Lighting!D$13,$A44&lt;=Lighting!D$14),(((Lighting!D$18-Lighting!D$16)/1000)*Lighting!D$15*Lighting!D$20*Lighting!D$21),0)*'Data Entry Electricity'!$L45</f>
        <v>0</v>
      </c>
      <c r="E44" s="658">
        <f>IF(AND($A44&gt;=Lighting!E$13,$A44&lt;=Lighting!E$14),(((Lighting!E$18-Lighting!E$16)/1000)*Lighting!E$15*Lighting!E$20*Lighting!E$21),0)*'Data Entry Electricity'!$L45</f>
        <v>0</v>
      </c>
      <c r="F44" s="658">
        <f>IF(AND($A44&gt;=Lighting!F$13,$A44&lt;=Lighting!F$14),(((Lighting!F$18-Lighting!F$16)/1000)*Lighting!F$15*Lighting!F$20*Lighting!F$21),0)*'Data Entry Electricity'!$L45</f>
        <v>0</v>
      </c>
      <c r="H44" s="659">
        <f t="shared" si="0"/>
        <v>0</v>
      </c>
    </row>
    <row r="45" spans="1:8">
      <c r="A45" s="38" t="s">
        <v>61</v>
      </c>
      <c r="B45" s="658">
        <f>IF(AND($A45&gt;=Lighting!B$13,$A45&lt;=Lighting!B$14),(((Lighting!B$18-Lighting!B$16)/1000)*Lighting!B$15*Lighting!B$20*Lighting!B$21),0)*'Data Entry Electricity'!$L46</f>
        <v>0</v>
      </c>
      <c r="C45" s="658">
        <f>IF(AND($A45&gt;=Lighting!C$13,$A45&lt;=Lighting!C$14),(((Lighting!C$18-Lighting!C$16)/1000)*Lighting!C$15*Lighting!C$20*Lighting!C$21),0)*'Data Entry Electricity'!$L46</f>
        <v>0</v>
      </c>
      <c r="D45" s="658">
        <f>IF(AND($A45&gt;=Lighting!D$13,$A45&lt;=Lighting!D$14),(((Lighting!D$18-Lighting!D$16)/1000)*Lighting!D$15*Lighting!D$20*Lighting!D$21),0)*'Data Entry Electricity'!$L46</f>
        <v>0</v>
      </c>
      <c r="E45" s="658">
        <f>IF(AND($A45&gt;=Lighting!E$13,$A45&lt;=Lighting!E$14),(((Lighting!E$18-Lighting!E$16)/1000)*Lighting!E$15*Lighting!E$20*Lighting!E$21),0)*'Data Entry Electricity'!$L46</f>
        <v>0</v>
      </c>
      <c r="F45" s="658">
        <f>IF(AND($A45&gt;=Lighting!F$13,$A45&lt;=Lighting!F$14),(((Lighting!F$18-Lighting!F$16)/1000)*Lighting!F$15*Lighting!F$20*Lighting!F$21),0)*'Data Entry Electricity'!$L46</f>
        <v>0</v>
      </c>
      <c r="H45" s="659">
        <f t="shared" si="0"/>
        <v>0</v>
      </c>
    </row>
    <row r="46" spans="1:8">
      <c r="A46" s="38" t="s">
        <v>62</v>
      </c>
      <c r="B46" s="658">
        <f>IF(AND($A46&gt;=Lighting!B$13,$A46&lt;=Lighting!B$14),(((Lighting!B$18-Lighting!B$16)/1000)*Lighting!B$15*Lighting!B$20*Lighting!B$21),0)*'Data Entry Electricity'!$L47</f>
        <v>0</v>
      </c>
      <c r="C46" s="658">
        <f>IF(AND($A46&gt;=Lighting!C$13,$A46&lt;=Lighting!C$14),(((Lighting!C$18-Lighting!C$16)/1000)*Lighting!C$15*Lighting!C$20*Lighting!C$21),0)*'Data Entry Electricity'!$L47</f>
        <v>0</v>
      </c>
      <c r="D46" s="658">
        <f>IF(AND($A46&gt;=Lighting!D$13,$A46&lt;=Lighting!D$14),(((Lighting!D$18-Lighting!D$16)/1000)*Lighting!D$15*Lighting!D$20*Lighting!D$21),0)*'Data Entry Electricity'!$L47</f>
        <v>0</v>
      </c>
      <c r="E46" s="658">
        <f>IF(AND($A46&gt;=Lighting!E$13,$A46&lt;=Lighting!E$14),(((Lighting!E$18-Lighting!E$16)/1000)*Lighting!E$15*Lighting!E$20*Lighting!E$21),0)*'Data Entry Electricity'!$L47</f>
        <v>0</v>
      </c>
      <c r="F46" s="658">
        <f>IF(AND($A46&gt;=Lighting!F$13,$A46&lt;=Lighting!F$14),(((Lighting!F$18-Lighting!F$16)/1000)*Lighting!F$15*Lighting!F$20*Lighting!F$21),0)*'Data Entry Electricity'!$L47</f>
        <v>0</v>
      </c>
      <c r="H46" s="659">
        <f t="shared" si="0"/>
        <v>0</v>
      </c>
    </row>
    <row r="47" spans="1:8">
      <c r="A47" s="38" t="s">
        <v>63</v>
      </c>
      <c r="B47" s="658">
        <f>IF(AND($A47&gt;=Lighting!B$13,$A47&lt;=Lighting!B$14),(((Lighting!B$18-Lighting!B$16)/1000)*Lighting!B$15*Lighting!B$20*Lighting!B$21),0)*'Data Entry Electricity'!$L48</f>
        <v>0</v>
      </c>
      <c r="C47" s="658">
        <f>IF(AND($A47&gt;=Lighting!C$13,$A47&lt;=Lighting!C$14),(((Lighting!C$18-Lighting!C$16)/1000)*Lighting!C$15*Lighting!C$20*Lighting!C$21),0)*'Data Entry Electricity'!$L48</f>
        <v>0</v>
      </c>
      <c r="D47" s="658">
        <f>IF(AND($A47&gt;=Lighting!D$13,$A47&lt;=Lighting!D$14),(((Lighting!D$18-Lighting!D$16)/1000)*Lighting!D$15*Lighting!D$20*Lighting!D$21),0)*'Data Entry Electricity'!$L48</f>
        <v>0</v>
      </c>
      <c r="E47" s="658">
        <f>IF(AND($A47&gt;=Lighting!E$13,$A47&lt;=Lighting!E$14),(((Lighting!E$18-Lighting!E$16)/1000)*Lighting!E$15*Lighting!E$20*Lighting!E$21),0)*'Data Entry Electricity'!$L48</f>
        <v>0</v>
      </c>
      <c r="F47" s="658">
        <f>IF(AND($A47&gt;=Lighting!F$13,$A47&lt;=Lighting!F$14),(((Lighting!F$18-Lighting!F$16)/1000)*Lighting!F$15*Lighting!F$20*Lighting!F$21),0)*'Data Entry Electricity'!$L48</f>
        <v>0</v>
      </c>
      <c r="H47" s="659">
        <f t="shared" si="0"/>
        <v>0</v>
      </c>
    </row>
    <row r="48" spans="1:8">
      <c r="A48" s="38" t="s">
        <v>64</v>
      </c>
      <c r="B48" s="658">
        <f>IF(AND($A48&gt;=Lighting!B$13,$A48&lt;=Lighting!B$14),(((Lighting!B$18-Lighting!B$16)/1000)*Lighting!B$15*Lighting!B$20*Lighting!B$21),0)*'Data Entry Electricity'!$L49</f>
        <v>0</v>
      </c>
      <c r="C48" s="658">
        <f>IF(AND($A48&gt;=Lighting!C$13,$A48&lt;=Lighting!C$14),(((Lighting!C$18-Lighting!C$16)/1000)*Lighting!C$15*Lighting!C$20*Lighting!C$21),0)*'Data Entry Electricity'!$L49</f>
        <v>0</v>
      </c>
      <c r="D48" s="658">
        <f>IF(AND($A48&gt;=Lighting!D$13,$A48&lt;=Lighting!D$14),(((Lighting!D$18-Lighting!D$16)/1000)*Lighting!D$15*Lighting!D$20*Lighting!D$21),0)*'Data Entry Electricity'!$L49</f>
        <v>0</v>
      </c>
      <c r="E48" s="658">
        <f>IF(AND($A48&gt;=Lighting!E$13,$A48&lt;=Lighting!E$14),(((Lighting!E$18-Lighting!E$16)/1000)*Lighting!E$15*Lighting!E$20*Lighting!E$21),0)*'Data Entry Electricity'!$L49</f>
        <v>0</v>
      </c>
      <c r="F48" s="658">
        <f>IF(AND($A48&gt;=Lighting!F$13,$A48&lt;=Lighting!F$14),(((Lighting!F$18-Lighting!F$16)/1000)*Lighting!F$15*Lighting!F$20*Lighting!F$21),0)*'Data Entry Electricity'!$L49</f>
        <v>0</v>
      </c>
      <c r="H48" s="659">
        <f t="shared" si="0"/>
        <v>0</v>
      </c>
    </row>
    <row r="49" spans="1:8">
      <c r="A49" s="38" t="s">
        <v>65</v>
      </c>
      <c r="B49" s="658">
        <f>IF(AND($A49&gt;=Lighting!B$13,$A49&lt;=Lighting!B$14),(((Lighting!B$18-Lighting!B$16)/1000)*Lighting!B$15*Lighting!B$20*Lighting!B$21),0)*'Data Entry Electricity'!$L50</f>
        <v>0</v>
      </c>
      <c r="C49" s="658">
        <f>IF(AND($A49&gt;=Lighting!C$13,$A49&lt;=Lighting!C$14),(((Lighting!C$18-Lighting!C$16)/1000)*Lighting!C$15*Lighting!C$20*Lighting!C$21),0)*'Data Entry Electricity'!$L50</f>
        <v>0</v>
      </c>
      <c r="D49" s="658">
        <f>IF(AND($A49&gt;=Lighting!D$13,$A49&lt;=Lighting!D$14),(((Lighting!D$18-Lighting!D$16)/1000)*Lighting!D$15*Lighting!D$20*Lighting!D$21),0)*'Data Entry Electricity'!$L50</f>
        <v>0</v>
      </c>
      <c r="E49" s="658">
        <f>IF(AND($A49&gt;=Lighting!E$13,$A49&lt;=Lighting!E$14),(((Lighting!E$18-Lighting!E$16)/1000)*Lighting!E$15*Lighting!E$20*Lighting!E$21),0)*'Data Entry Electricity'!$L50</f>
        <v>0</v>
      </c>
      <c r="F49" s="658">
        <f>IF(AND($A49&gt;=Lighting!F$13,$A49&lt;=Lighting!F$14),(((Lighting!F$18-Lighting!F$16)/1000)*Lighting!F$15*Lighting!F$20*Lighting!F$21),0)*'Data Entry Electricity'!$L50</f>
        <v>0</v>
      </c>
      <c r="H49" s="659">
        <f t="shared" si="0"/>
        <v>0</v>
      </c>
    </row>
    <row r="50" spans="1:8">
      <c r="A50" s="38" t="s">
        <v>66</v>
      </c>
      <c r="B50" s="658">
        <f>IF(AND($A50&gt;=Lighting!B$13,$A50&lt;=Lighting!B$14),(((Lighting!B$18-Lighting!B$16)/1000)*Lighting!B$15*Lighting!B$20*Lighting!B$21),0)*'Data Entry Electricity'!$L51</f>
        <v>0</v>
      </c>
      <c r="C50" s="658">
        <f>IF(AND($A50&gt;=Lighting!C$13,$A50&lt;=Lighting!C$14),(((Lighting!C$18-Lighting!C$16)/1000)*Lighting!C$15*Lighting!C$20*Lighting!C$21),0)*'Data Entry Electricity'!$L51</f>
        <v>0</v>
      </c>
      <c r="D50" s="658">
        <f>IF(AND($A50&gt;=Lighting!D$13,$A50&lt;=Lighting!D$14),(((Lighting!D$18-Lighting!D$16)/1000)*Lighting!D$15*Lighting!D$20*Lighting!D$21),0)*'Data Entry Electricity'!$L51</f>
        <v>0</v>
      </c>
      <c r="E50" s="658">
        <f>IF(AND($A50&gt;=Lighting!E$13,$A50&lt;=Lighting!E$14),(((Lighting!E$18-Lighting!E$16)/1000)*Lighting!E$15*Lighting!E$20*Lighting!E$21),0)*'Data Entry Electricity'!$L51</f>
        <v>0</v>
      </c>
      <c r="F50" s="658">
        <f>IF(AND($A50&gt;=Lighting!F$13,$A50&lt;=Lighting!F$14),(((Lighting!F$18-Lighting!F$16)/1000)*Lighting!F$15*Lighting!F$20*Lighting!F$21),0)*'Data Entry Electricity'!$L51</f>
        <v>0</v>
      </c>
      <c r="H50" s="659">
        <f t="shared" si="0"/>
        <v>0</v>
      </c>
    </row>
    <row r="51" spans="1:8">
      <c r="A51" s="38" t="s">
        <v>8</v>
      </c>
      <c r="B51" s="658">
        <f>IF(AND($A51&gt;=Lighting!B$13,$A51&lt;=Lighting!B$14),(((Lighting!B$18-Lighting!B$16)/1000)*Lighting!B$15*Lighting!B$20*Lighting!B$21),0)*'Data Entry Electricity'!$L52</f>
        <v>0</v>
      </c>
      <c r="C51" s="658">
        <f>IF(AND($A51&gt;=Lighting!C$13,$A51&lt;=Lighting!C$14),(((Lighting!C$18-Lighting!C$16)/1000)*Lighting!C$15*Lighting!C$20*Lighting!C$21),0)*'Data Entry Electricity'!$L52</f>
        <v>0</v>
      </c>
      <c r="D51" s="658">
        <f>IF(AND($A51&gt;=Lighting!D$13,$A51&lt;=Lighting!D$14),(((Lighting!D$18-Lighting!D$16)/1000)*Lighting!D$15*Lighting!D$20*Lighting!D$21),0)*'Data Entry Electricity'!$L52</f>
        <v>0</v>
      </c>
      <c r="E51" s="658">
        <f>IF(AND($A51&gt;=Lighting!E$13,$A51&lt;=Lighting!E$14),(((Lighting!E$18-Lighting!E$16)/1000)*Lighting!E$15*Lighting!E$20*Lighting!E$21),0)*'Data Entry Electricity'!$L52</f>
        <v>0</v>
      </c>
      <c r="F51" s="658">
        <f>IF(AND($A51&gt;=Lighting!F$13,$A51&lt;=Lighting!F$14),(((Lighting!F$18-Lighting!F$16)/1000)*Lighting!F$15*Lighting!F$20*Lighting!F$21),0)*'Data Entry Electricity'!$L52</f>
        <v>0</v>
      </c>
      <c r="H51" s="659">
        <f t="shared" si="0"/>
        <v>0</v>
      </c>
    </row>
    <row r="52" spans="1:8">
      <c r="A52" s="38" t="s">
        <v>9</v>
      </c>
      <c r="B52" s="658">
        <f>IF(AND($A52&gt;=Lighting!B$13,$A52&lt;=Lighting!B$14),(((Lighting!B$18-Lighting!B$16)/1000)*Lighting!B$15*Lighting!B$20*Lighting!B$21),0)*'Data Entry Electricity'!$L53</f>
        <v>0</v>
      </c>
      <c r="C52" s="658">
        <f>IF(AND($A52&gt;=Lighting!C$13,$A52&lt;=Lighting!C$14),(((Lighting!C$18-Lighting!C$16)/1000)*Lighting!C$15*Lighting!C$20*Lighting!C$21),0)*'Data Entry Electricity'!$L53</f>
        <v>0</v>
      </c>
      <c r="D52" s="658">
        <f>IF(AND($A52&gt;=Lighting!D$13,$A52&lt;=Lighting!D$14),(((Lighting!D$18-Lighting!D$16)/1000)*Lighting!D$15*Lighting!D$20*Lighting!D$21),0)*'Data Entry Electricity'!$L53</f>
        <v>0</v>
      </c>
      <c r="E52" s="658">
        <f>IF(AND($A52&gt;=Lighting!E$13,$A52&lt;=Lighting!E$14),(((Lighting!E$18-Lighting!E$16)/1000)*Lighting!E$15*Lighting!E$20*Lighting!E$21),0)*'Data Entry Electricity'!$L53</f>
        <v>0</v>
      </c>
      <c r="F52" s="658">
        <f>IF(AND($A52&gt;=Lighting!F$13,$A52&lt;=Lighting!F$14),(((Lighting!F$18-Lighting!F$16)/1000)*Lighting!F$15*Lighting!F$20*Lighting!F$21),0)*'Data Entry Electricity'!$L53</f>
        <v>0</v>
      </c>
      <c r="H52" s="659">
        <f t="shared" si="0"/>
        <v>0</v>
      </c>
    </row>
    <row r="53" spans="1:8">
      <c r="A53" s="38" t="s">
        <v>10</v>
      </c>
      <c r="B53" s="658">
        <f>IF(AND($A53&gt;=Lighting!B$13,$A53&lt;=Lighting!B$14),(((Lighting!B$18-Lighting!B$16)/1000)*Lighting!B$15*Lighting!B$20*Lighting!B$21),0)*'Data Entry Electricity'!$L54</f>
        <v>0</v>
      </c>
      <c r="C53" s="658">
        <f>IF(AND($A53&gt;=Lighting!C$13,$A53&lt;=Lighting!C$14),(((Lighting!C$18-Lighting!C$16)/1000)*Lighting!C$15*Lighting!C$20*Lighting!C$21),0)*'Data Entry Electricity'!$L54</f>
        <v>0</v>
      </c>
      <c r="D53" s="658">
        <f>IF(AND($A53&gt;=Lighting!D$13,$A53&lt;=Lighting!D$14),(((Lighting!D$18-Lighting!D$16)/1000)*Lighting!D$15*Lighting!D$20*Lighting!D$21),0)*'Data Entry Electricity'!$L54</f>
        <v>0</v>
      </c>
      <c r="E53" s="658">
        <f>IF(AND($A53&gt;=Lighting!E$13,$A53&lt;=Lighting!E$14),(((Lighting!E$18-Lighting!E$16)/1000)*Lighting!E$15*Lighting!E$20*Lighting!E$21),0)*'Data Entry Electricity'!$L54</f>
        <v>0</v>
      </c>
      <c r="F53" s="658">
        <f>IF(AND($A53&gt;=Lighting!F$13,$A53&lt;=Lighting!F$14),(((Lighting!F$18-Lighting!F$16)/1000)*Lighting!F$15*Lighting!F$20*Lighting!F$21),0)*'Data Entry Electricity'!$L54</f>
        <v>0</v>
      </c>
      <c r="H53" s="659">
        <f t="shared" si="0"/>
        <v>0</v>
      </c>
    </row>
    <row r="54" spans="1:8">
      <c r="A54" s="38" t="s">
        <v>11</v>
      </c>
      <c r="B54" s="658">
        <f>IF(AND($A54&gt;=Lighting!B$13,$A54&lt;=Lighting!B$14),(((Lighting!B$18-Lighting!B$16)/1000)*Lighting!B$15*Lighting!B$20*Lighting!B$21),0)*'Data Entry Electricity'!$L55</f>
        <v>0</v>
      </c>
      <c r="C54" s="658">
        <f>IF(AND($A54&gt;=Lighting!C$13,$A54&lt;=Lighting!C$14),(((Lighting!C$18-Lighting!C$16)/1000)*Lighting!C$15*Lighting!C$20*Lighting!C$21),0)*'Data Entry Electricity'!$L55</f>
        <v>0</v>
      </c>
      <c r="D54" s="658">
        <f>IF(AND($A54&gt;=Lighting!D$13,$A54&lt;=Lighting!D$14),(((Lighting!D$18-Lighting!D$16)/1000)*Lighting!D$15*Lighting!D$20*Lighting!D$21),0)*'Data Entry Electricity'!$L55</f>
        <v>0</v>
      </c>
      <c r="E54" s="658">
        <f>IF(AND($A54&gt;=Lighting!E$13,$A54&lt;=Lighting!E$14),(((Lighting!E$18-Lighting!E$16)/1000)*Lighting!E$15*Lighting!E$20*Lighting!E$21),0)*'Data Entry Electricity'!$L55</f>
        <v>0</v>
      </c>
      <c r="F54" s="658">
        <f>IF(AND($A54&gt;=Lighting!F$13,$A54&lt;=Lighting!F$14),(((Lighting!F$18-Lighting!F$16)/1000)*Lighting!F$15*Lighting!F$20*Lighting!F$21),0)*'Data Entry Electricity'!$L55</f>
        <v>0</v>
      </c>
      <c r="H54" s="659">
        <f t="shared" si="0"/>
        <v>0</v>
      </c>
    </row>
    <row r="55" spans="1:8">
      <c r="A55" s="38" t="s">
        <v>67</v>
      </c>
      <c r="B55" s="658">
        <f>IF(AND($A55&gt;=Lighting!B$13,$A55&lt;=Lighting!B$14),(((Lighting!B$18-Lighting!B$16)/1000)*Lighting!B$15*Lighting!B$20*Lighting!B$21),0)*'Data Entry Electricity'!$L56</f>
        <v>0</v>
      </c>
      <c r="C55" s="658">
        <f>IF(AND($A55&gt;=Lighting!C$13,$A55&lt;=Lighting!C$14),(((Lighting!C$18-Lighting!C$16)/1000)*Lighting!C$15*Lighting!C$20*Lighting!C$21),0)*'Data Entry Electricity'!$L56</f>
        <v>0</v>
      </c>
      <c r="D55" s="658">
        <f>IF(AND($A55&gt;=Lighting!D$13,$A55&lt;=Lighting!D$14),(((Lighting!D$18-Lighting!D$16)/1000)*Lighting!D$15*Lighting!D$20*Lighting!D$21),0)*'Data Entry Electricity'!$L56</f>
        <v>0</v>
      </c>
      <c r="E55" s="658">
        <f>IF(AND($A55&gt;=Lighting!E$13,$A55&lt;=Lighting!E$14),(((Lighting!E$18-Lighting!E$16)/1000)*Lighting!E$15*Lighting!E$20*Lighting!E$21),0)*'Data Entry Electricity'!$L56</f>
        <v>0</v>
      </c>
      <c r="F55" s="658">
        <f>IF(AND($A55&gt;=Lighting!F$13,$A55&lt;=Lighting!F$14),(((Lighting!F$18-Lighting!F$16)/1000)*Lighting!F$15*Lighting!F$20*Lighting!F$21),0)*'Data Entry Electricity'!$L56</f>
        <v>0</v>
      </c>
      <c r="H55" s="659">
        <f t="shared" si="0"/>
        <v>0</v>
      </c>
    </row>
    <row r="56" spans="1:8">
      <c r="A56" s="38" t="s">
        <v>68</v>
      </c>
      <c r="B56" s="658">
        <f>IF(AND($A56&gt;=Lighting!B$13,$A56&lt;=Lighting!B$14),(((Lighting!B$18-Lighting!B$16)/1000)*Lighting!B$15*Lighting!B$20*Lighting!B$21),0)*'Data Entry Electricity'!$L57</f>
        <v>0</v>
      </c>
      <c r="C56" s="658">
        <f>IF(AND($A56&gt;=Lighting!C$13,$A56&lt;=Lighting!C$14),(((Lighting!C$18-Lighting!C$16)/1000)*Lighting!C$15*Lighting!C$20*Lighting!C$21),0)*'Data Entry Electricity'!$L57</f>
        <v>0</v>
      </c>
      <c r="D56" s="658">
        <f>IF(AND($A56&gt;=Lighting!D$13,$A56&lt;=Lighting!D$14),(((Lighting!D$18-Lighting!D$16)/1000)*Lighting!D$15*Lighting!D$20*Lighting!D$21),0)*'Data Entry Electricity'!$L57</f>
        <v>0</v>
      </c>
      <c r="E56" s="658">
        <f>IF(AND($A56&gt;=Lighting!E$13,$A56&lt;=Lighting!E$14),(((Lighting!E$18-Lighting!E$16)/1000)*Lighting!E$15*Lighting!E$20*Lighting!E$21),0)*'Data Entry Electricity'!$L57</f>
        <v>0</v>
      </c>
      <c r="F56" s="658">
        <f>IF(AND($A56&gt;=Lighting!F$13,$A56&lt;=Lighting!F$14),(((Lighting!F$18-Lighting!F$16)/1000)*Lighting!F$15*Lighting!F$20*Lighting!F$21),0)*'Data Entry Electricity'!$L57</f>
        <v>0</v>
      </c>
      <c r="H56" s="659">
        <f t="shared" si="0"/>
        <v>0</v>
      </c>
    </row>
    <row r="57" spans="1:8">
      <c r="A57" s="38" t="s">
        <v>69</v>
      </c>
      <c r="B57" s="658">
        <f>IF(AND($A57&gt;=Lighting!B$13,$A57&lt;=Lighting!B$14),(((Lighting!B$18-Lighting!B$16)/1000)*Lighting!B$15*Lighting!B$20*Lighting!B$21),0)*'Data Entry Electricity'!$L58</f>
        <v>0</v>
      </c>
      <c r="C57" s="658">
        <f>IF(AND($A57&gt;=Lighting!C$13,$A57&lt;=Lighting!C$14),(((Lighting!C$18-Lighting!C$16)/1000)*Lighting!C$15*Lighting!C$20*Lighting!C$21),0)*'Data Entry Electricity'!$L58</f>
        <v>0</v>
      </c>
      <c r="D57" s="658">
        <f>IF(AND($A57&gt;=Lighting!D$13,$A57&lt;=Lighting!D$14),(((Lighting!D$18-Lighting!D$16)/1000)*Lighting!D$15*Lighting!D$20*Lighting!D$21),0)*'Data Entry Electricity'!$L58</f>
        <v>0</v>
      </c>
      <c r="E57" s="658">
        <f>IF(AND($A57&gt;=Lighting!E$13,$A57&lt;=Lighting!E$14),(((Lighting!E$18-Lighting!E$16)/1000)*Lighting!E$15*Lighting!E$20*Lighting!E$21),0)*'Data Entry Electricity'!$L58</f>
        <v>0</v>
      </c>
      <c r="F57" s="658">
        <f>IF(AND($A57&gt;=Lighting!F$13,$A57&lt;=Lighting!F$14),(((Lighting!F$18-Lighting!F$16)/1000)*Lighting!F$15*Lighting!F$20*Lighting!F$21),0)*'Data Entry Electricity'!$L58</f>
        <v>0</v>
      </c>
      <c r="H57" s="659">
        <f t="shared" si="0"/>
        <v>0</v>
      </c>
    </row>
    <row r="58" spans="1:8">
      <c r="A58" s="38" t="s">
        <v>70</v>
      </c>
      <c r="B58" s="658">
        <f>IF(AND($A58&gt;=Lighting!B$13,$A58&lt;=Lighting!B$14),(((Lighting!B$18-Lighting!B$16)/1000)*Lighting!B$15*Lighting!B$20*Lighting!B$21),0)*'Data Entry Electricity'!$L59</f>
        <v>0</v>
      </c>
      <c r="C58" s="658">
        <f>IF(AND($A58&gt;=Lighting!C$13,$A58&lt;=Lighting!C$14),(((Lighting!C$18-Lighting!C$16)/1000)*Lighting!C$15*Lighting!C$20*Lighting!C$21),0)*'Data Entry Electricity'!$L59</f>
        <v>0</v>
      </c>
      <c r="D58" s="658">
        <f>IF(AND($A58&gt;=Lighting!D$13,$A58&lt;=Lighting!D$14),(((Lighting!D$18-Lighting!D$16)/1000)*Lighting!D$15*Lighting!D$20*Lighting!D$21),0)*'Data Entry Electricity'!$L59</f>
        <v>0</v>
      </c>
      <c r="E58" s="658">
        <f>IF(AND($A58&gt;=Lighting!E$13,$A58&lt;=Lighting!E$14),(((Lighting!E$18-Lighting!E$16)/1000)*Lighting!E$15*Lighting!E$20*Lighting!E$21),0)*'Data Entry Electricity'!$L59</f>
        <v>0</v>
      </c>
      <c r="F58" s="658">
        <f>IF(AND($A58&gt;=Lighting!F$13,$A58&lt;=Lighting!F$14),(((Lighting!F$18-Lighting!F$16)/1000)*Lighting!F$15*Lighting!F$20*Lighting!F$21),0)*'Data Entry Electricity'!$L59</f>
        <v>0</v>
      </c>
      <c r="H58" s="659">
        <f t="shared" si="0"/>
        <v>0</v>
      </c>
    </row>
    <row r="59" spans="1:8">
      <c r="A59" s="38" t="s">
        <v>71</v>
      </c>
      <c r="B59" s="658">
        <f>IF(AND($A59&gt;=Lighting!B$13,$A59&lt;=Lighting!B$14),(((Lighting!B$18-Lighting!B$16)/1000)*Lighting!B$15*Lighting!B$20*Lighting!B$21),0)*'Data Entry Electricity'!$L60</f>
        <v>0</v>
      </c>
      <c r="C59" s="658">
        <f>IF(AND($A59&gt;=Lighting!C$13,$A59&lt;=Lighting!C$14),(((Lighting!C$18-Lighting!C$16)/1000)*Lighting!C$15*Lighting!C$20*Lighting!C$21),0)*'Data Entry Electricity'!$L60</f>
        <v>0</v>
      </c>
      <c r="D59" s="658">
        <f>IF(AND($A59&gt;=Lighting!D$13,$A59&lt;=Lighting!D$14),(((Lighting!D$18-Lighting!D$16)/1000)*Lighting!D$15*Lighting!D$20*Lighting!D$21),0)*'Data Entry Electricity'!$L60</f>
        <v>0</v>
      </c>
      <c r="E59" s="658">
        <f>IF(AND($A59&gt;=Lighting!E$13,$A59&lt;=Lighting!E$14),(((Lighting!E$18-Lighting!E$16)/1000)*Lighting!E$15*Lighting!E$20*Lighting!E$21),0)*'Data Entry Electricity'!$L60</f>
        <v>0</v>
      </c>
      <c r="F59" s="658">
        <f>IF(AND($A59&gt;=Lighting!F$13,$A59&lt;=Lighting!F$14),(((Lighting!F$18-Lighting!F$16)/1000)*Lighting!F$15*Lighting!F$20*Lighting!F$21),0)*'Data Entry Electricity'!$L60</f>
        <v>0</v>
      </c>
      <c r="H59" s="659">
        <f t="shared" si="0"/>
        <v>0</v>
      </c>
    </row>
    <row r="60" spans="1:8">
      <c r="A60" s="38" t="s">
        <v>72</v>
      </c>
      <c r="B60" s="658">
        <f>IF(AND($A60&gt;=Lighting!B$13,$A60&lt;=Lighting!B$14),(((Lighting!B$18-Lighting!B$16)/1000)*Lighting!B$15*Lighting!B$20*Lighting!B$21),0)*'Data Entry Electricity'!$L61</f>
        <v>0</v>
      </c>
      <c r="C60" s="658">
        <f>IF(AND($A60&gt;=Lighting!C$13,$A60&lt;=Lighting!C$14),(((Lighting!C$18-Lighting!C$16)/1000)*Lighting!C$15*Lighting!C$20*Lighting!C$21),0)*'Data Entry Electricity'!$L61</f>
        <v>0</v>
      </c>
      <c r="D60" s="658">
        <f>IF(AND($A60&gt;=Lighting!D$13,$A60&lt;=Lighting!D$14),(((Lighting!D$18-Lighting!D$16)/1000)*Lighting!D$15*Lighting!D$20*Lighting!D$21),0)*'Data Entry Electricity'!$L61</f>
        <v>0</v>
      </c>
      <c r="E60" s="658">
        <f>IF(AND($A60&gt;=Lighting!E$13,$A60&lt;=Lighting!E$14),(((Lighting!E$18-Lighting!E$16)/1000)*Lighting!E$15*Lighting!E$20*Lighting!E$21),0)*'Data Entry Electricity'!$L61</f>
        <v>0</v>
      </c>
      <c r="F60" s="658">
        <f>IF(AND($A60&gt;=Lighting!F$13,$A60&lt;=Lighting!F$14),(((Lighting!F$18-Lighting!F$16)/1000)*Lighting!F$15*Lighting!F$20*Lighting!F$21),0)*'Data Entry Electricity'!$L61</f>
        <v>0</v>
      </c>
      <c r="H60" s="659">
        <f t="shared" si="0"/>
        <v>0</v>
      </c>
    </row>
    <row r="61" spans="1:8">
      <c r="A61" s="38" t="s">
        <v>73</v>
      </c>
      <c r="B61" s="658">
        <f>IF(AND($A61&gt;=Lighting!B$13,$A61&lt;=Lighting!B$14),(((Lighting!B$18-Lighting!B$16)/1000)*Lighting!B$15*Lighting!B$20*Lighting!B$21),0)*'Data Entry Electricity'!$L62</f>
        <v>0</v>
      </c>
      <c r="C61" s="658">
        <f>IF(AND($A61&gt;=Lighting!C$13,$A61&lt;=Lighting!C$14),(((Lighting!C$18-Lighting!C$16)/1000)*Lighting!C$15*Lighting!C$20*Lighting!C$21),0)*'Data Entry Electricity'!$L62</f>
        <v>0</v>
      </c>
      <c r="D61" s="658">
        <f>IF(AND($A61&gt;=Lighting!D$13,$A61&lt;=Lighting!D$14),(((Lighting!D$18-Lighting!D$16)/1000)*Lighting!D$15*Lighting!D$20*Lighting!D$21),0)*'Data Entry Electricity'!$L62</f>
        <v>0</v>
      </c>
      <c r="E61" s="658">
        <f>IF(AND($A61&gt;=Lighting!E$13,$A61&lt;=Lighting!E$14),(((Lighting!E$18-Lighting!E$16)/1000)*Lighting!E$15*Lighting!E$20*Lighting!E$21),0)*'Data Entry Electricity'!$L62</f>
        <v>0</v>
      </c>
      <c r="F61" s="658">
        <f>IF(AND($A61&gt;=Lighting!F$13,$A61&lt;=Lighting!F$14),(((Lighting!F$18-Lighting!F$16)/1000)*Lighting!F$15*Lighting!F$20*Lighting!F$21),0)*'Data Entry Electricity'!$L62</f>
        <v>0</v>
      </c>
      <c r="H61" s="659">
        <f t="shared" si="0"/>
        <v>0</v>
      </c>
    </row>
    <row r="62" spans="1:8">
      <c r="A62" s="38" t="s">
        <v>74</v>
      </c>
      <c r="B62" s="658">
        <f>IF(AND($A62&gt;=Lighting!B$13,$A62&lt;=Lighting!B$14),(((Lighting!B$18-Lighting!B$16)/1000)*Lighting!B$15*Lighting!B$20*Lighting!B$21),0)*'Data Entry Electricity'!$L63</f>
        <v>0</v>
      </c>
      <c r="C62" s="658">
        <f>IF(AND($A62&gt;=Lighting!C$13,$A62&lt;=Lighting!C$14),(((Lighting!C$18-Lighting!C$16)/1000)*Lighting!C$15*Lighting!C$20*Lighting!C$21),0)*'Data Entry Electricity'!$L63</f>
        <v>0</v>
      </c>
      <c r="D62" s="658">
        <f>IF(AND($A62&gt;=Lighting!D$13,$A62&lt;=Lighting!D$14),(((Lighting!D$18-Lighting!D$16)/1000)*Lighting!D$15*Lighting!D$20*Lighting!D$21),0)*'Data Entry Electricity'!$L63</f>
        <v>0</v>
      </c>
      <c r="E62" s="658">
        <f>IF(AND($A62&gt;=Lighting!E$13,$A62&lt;=Lighting!E$14),(((Lighting!E$18-Lighting!E$16)/1000)*Lighting!E$15*Lighting!E$20*Lighting!E$21),0)*'Data Entry Electricity'!$L63</f>
        <v>0</v>
      </c>
      <c r="F62" s="658">
        <f>IF(AND($A62&gt;=Lighting!F$13,$A62&lt;=Lighting!F$14),(((Lighting!F$18-Lighting!F$16)/1000)*Lighting!F$15*Lighting!F$20*Lighting!F$21),0)*'Data Entry Electricity'!$L63</f>
        <v>0</v>
      </c>
      <c r="H62" s="659">
        <f t="shared" si="0"/>
        <v>0</v>
      </c>
    </row>
    <row r="63" spans="1:8">
      <c r="A63" s="38" t="s">
        <v>75</v>
      </c>
      <c r="B63" s="658">
        <f>IF(AND($A63&gt;=Lighting!B$13,$A63&lt;=Lighting!B$14),(((Lighting!B$18-Lighting!B$16)/1000)*Lighting!B$15*Lighting!B$20*Lighting!B$21),0)*'Data Entry Electricity'!$L64</f>
        <v>0</v>
      </c>
      <c r="C63" s="658">
        <f>IF(AND($A63&gt;=Lighting!C$13,$A63&lt;=Lighting!C$14),(((Lighting!C$18-Lighting!C$16)/1000)*Lighting!C$15*Lighting!C$20*Lighting!C$21),0)*'Data Entry Electricity'!$L64</f>
        <v>0</v>
      </c>
      <c r="D63" s="658">
        <f>IF(AND($A63&gt;=Lighting!D$13,$A63&lt;=Lighting!D$14),(((Lighting!D$18-Lighting!D$16)/1000)*Lighting!D$15*Lighting!D$20*Lighting!D$21),0)*'Data Entry Electricity'!$L64</f>
        <v>0</v>
      </c>
      <c r="E63" s="658">
        <f>IF(AND($A63&gt;=Lighting!E$13,$A63&lt;=Lighting!E$14),(((Lighting!E$18-Lighting!E$16)/1000)*Lighting!E$15*Lighting!E$20*Lighting!E$21),0)*'Data Entry Electricity'!$L64</f>
        <v>0</v>
      </c>
      <c r="F63" s="658">
        <f>IF(AND($A63&gt;=Lighting!F$13,$A63&lt;=Lighting!F$14),(((Lighting!F$18-Lighting!F$16)/1000)*Lighting!F$15*Lighting!F$20*Lighting!F$21),0)*'Data Entry Electricity'!$L64</f>
        <v>0</v>
      </c>
      <c r="H63" s="659">
        <f t="shared" si="0"/>
        <v>0</v>
      </c>
    </row>
    <row r="64" spans="1:8">
      <c r="A64" s="38" t="s">
        <v>12</v>
      </c>
      <c r="B64" s="658">
        <f>IF(AND($A64&gt;=Lighting!B$13,$A64&lt;=Lighting!B$14),(((Lighting!B$18-Lighting!B$16)/1000)*Lighting!B$15*Lighting!B$20*Lighting!B$21),0)*'Data Entry Electricity'!$L65</f>
        <v>0</v>
      </c>
      <c r="C64" s="658">
        <f>IF(AND($A64&gt;=Lighting!C$13,$A64&lt;=Lighting!C$14),(((Lighting!C$18-Lighting!C$16)/1000)*Lighting!C$15*Lighting!C$20*Lighting!C$21),0)*'Data Entry Electricity'!$L65</f>
        <v>0</v>
      </c>
      <c r="D64" s="658">
        <f>IF(AND($A64&gt;=Lighting!D$13,$A64&lt;=Lighting!D$14),(((Lighting!D$18-Lighting!D$16)/1000)*Lighting!D$15*Lighting!D$20*Lighting!D$21),0)*'Data Entry Electricity'!$L65</f>
        <v>0</v>
      </c>
      <c r="E64" s="658">
        <f>IF(AND($A64&gt;=Lighting!E$13,$A64&lt;=Lighting!E$14),(((Lighting!E$18-Lighting!E$16)/1000)*Lighting!E$15*Lighting!E$20*Lighting!E$21),0)*'Data Entry Electricity'!$L65</f>
        <v>0</v>
      </c>
      <c r="F64" s="658">
        <f>IF(AND($A64&gt;=Lighting!F$13,$A64&lt;=Lighting!F$14),(((Lighting!F$18-Lighting!F$16)/1000)*Lighting!F$15*Lighting!F$20*Lighting!F$21),0)*'Data Entry Electricity'!$L65</f>
        <v>0</v>
      </c>
      <c r="H64" s="659">
        <f t="shared" si="0"/>
        <v>0</v>
      </c>
    </row>
    <row r="65" spans="1:8">
      <c r="A65" s="38" t="s">
        <v>13</v>
      </c>
      <c r="B65" s="658">
        <f>IF(AND($A65&gt;=Lighting!B$13,$A65&lt;=Lighting!B$14),(((Lighting!B$18-Lighting!B$16)/1000)*Lighting!B$15*Lighting!B$20*Lighting!B$21),0)*'Data Entry Electricity'!$L66</f>
        <v>0</v>
      </c>
      <c r="C65" s="658">
        <f>IF(AND($A65&gt;=Lighting!C$13,$A65&lt;=Lighting!C$14),(((Lighting!C$18-Lighting!C$16)/1000)*Lighting!C$15*Lighting!C$20*Lighting!C$21),0)*'Data Entry Electricity'!$L66</f>
        <v>0</v>
      </c>
      <c r="D65" s="658">
        <f>IF(AND($A65&gt;=Lighting!D$13,$A65&lt;=Lighting!D$14),(((Lighting!D$18-Lighting!D$16)/1000)*Lighting!D$15*Lighting!D$20*Lighting!D$21),0)*'Data Entry Electricity'!$L66</f>
        <v>0</v>
      </c>
      <c r="E65" s="658">
        <f>IF(AND($A65&gt;=Lighting!E$13,$A65&lt;=Lighting!E$14),(((Lighting!E$18-Lighting!E$16)/1000)*Lighting!E$15*Lighting!E$20*Lighting!E$21),0)*'Data Entry Electricity'!$L66</f>
        <v>0</v>
      </c>
      <c r="F65" s="658">
        <f>IF(AND($A65&gt;=Lighting!F$13,$A65&lt;=Lighting!F$14),(((Lighting!F$18-Lighting!F$16)/1000)*Lighting!F$15*Lighting!F$20*Lighting!F$21),0)*'Data Entry Electricity'!$L66</f>
        <v>0</v>
      </c>
      <c r="H65" s="659">
        <f t="shared" si="0"/>
        <v>0</v>
      </c>
    </row>
    <row r="66" spans="1:8">
      <c r="A66" s="38" t="s">
        <v>14</v>
      </c>
      <c r="B66" s="658">
        <f>IF(AND($A66&gt;=Lighting!B$13,$A66&lt;=Lighting!B$14),(((Lighting!B$18-Lighting!B$16)/1000)*Lighting!B$15*Lighting!B$20*Lighting!B$21),0)*'Data Entry Electricity'!$L67</f>
        <v>0</v>
      </c>
      <c r="C66" s="658">
        <f>IF(AND($A66&gt;=Lighting!C$13,$A66&lt;=Lighting!C$14),(((Lighting!C$18-Lighting!C$16)/1000)*Lighting!C$15*Lighting!C$20*Lighting!C$21),0)*'Data Entry Electricity'!$L67</f>
        <v>0</v>
      </c>
      <c r="D66" s="658">
        <f>IF(AND($A66&gt;=Lighting!D$13,$A66&lt;=Lighting!D$14),(((Lighting!D$18-Lighting!D$16)/1000)*Lighting!D$15*Lighting!D$20*Lighting!D$21),0)*'Data Entry Electricity'!$L67</f>
        <v>0</v>
      </c>
      <c r="E66" s="658">
        <f>IF(AND($A66&gt;=Lighting!E$13,$A66&lt;=Lighting!E$14),(((Lighting!E$18-Lighting!E$16)/1000)*Lighting!E$15*Lighting!E$20*Lighting!E$21),0)*'Data Entry Electricity'!$L67</f>
        <v>0</v>
      </c>
      <c r="F66" s="658">
        <f>IF(AND($A66&gt;=Lighting!F$13,$A66&lt;=Lighting!F$14),(((Lighting!F$18-Lighting!F$16)/1000)*Lighting!F$15*Lighting!F$20*Lighting!F$21),0)*'Data Entry Electricity'!$L67</f>
        <v>0</v>
      </c>
      <c r="H66" s="659">
        <f t="shared" si="0"/>
        <v>0</v>
      </c>
    </row>
    <row r="67" spans="1:8">
      <c r="A67" s="38" t="s">
        <v>15</v>
      </c>
      <c r="B67" s="658">
        <f>IF(AND($A67&gt;=Lighting!B$13,$A67&lt;=Lighting!B$14),(((Lighting!B$18-Lighting!B$16)/1000)*Lighting!B$15*Lighting!B$20*Lighting!B$21),0)*'Data Entry Electricity'!$L68</f>
        <v>0</v>
      </c>
      <c r="C67" s="658">
        <f>IF(AND($A67&gt;=Lighting!C$13,$A67&lt;=Lighting!C$14),(((Lighting!C$18-Lighting!C$16)/1000)*Lighting!C$15*Lighting!C$20*Lighting!C$21),0)*'Data Entry Electricity'!$L68</f>
        <v>0</v>
      </c>
      <c r="D67" s="658">
        <f>IF(AND($A67&gt;=Lighting!D$13,$A67&lt;=Lighting!D$14),(((Lighting!D$18-Lighting!D$16)/1000)*Lighting!D$15*Lighting!D$20*Lighting!D$21),0)*'Data Entry Electricity'!$L68</f>
        <v>0</v>
      </c>
      <c r="E67" s="658">
        <f>IF(AND($A67&gt;=Lighting!E$13,$A67&lt;=Lighting!E$14),(((Lighting!E$18-Lighting!E$16)/1000)*Lighting!E$15*Lighting!E$20*Lighting!E$21),0)*'Data Entry Electricity'!$L68</f>
        <v>0</v>
      </c>
      <c r="F67" s="658">
        <f>IF(AND($A67&gt;=Lighting!F$13,$A67&lt;=Lighting!F$14),(((Lighting!F$18-Lighting!F$16)/1000)*Lighting!F$15*Lighting!F$20*Lighting!F$21),0)*'Data Entry Electricity'!$L68</f>
        <v>0</v>
      </c>
      <c r="H67" s="659">
        <f t="shared" si="0"/>
        <v>0</v>
      </c>
    </row>
    <row r="68" spans="1:8">
      <c r="A68" s="38" t="s">
        <v>76</v>
      </c>
      <c r="B68" s="658">
        <f>IF(AND($A68&gt;=Lighting!B$13,$A68&lt;=Lighting!B$14),(((Lighting!B$18-Lighting!B$16)/1000)*Lighting!B$15*Lighting!B$20*Lighting!B$21),0)*'Data Entry Electricity'!$L69</f>
        <v>0</v>
      </c>
      <c r="C68" s="658">
        <f>IF(AND($A68&gt;=Lighting!C$13,$A68&lt;=Lighting!C$14),(((Lighting!C$18-Lighting!C$16)/1000)*Lighting!C$15*Lighting!C$20*Lighting!C$21),0)*'Data Entry Electricity'!$L69</f>
        <v>0</v>
      </c>
      <c r="D68" s="658">
        <f>IF(AND($A68&gt;=Lighting!D$13,$A68&lt;=Lighting!D$14),(((Lighting!D$18-Lighting!D$16)/1000)*Lighting!D$15*Lighting!D$20*Lighting!D$21),0)*'Data Entry Electricity'!$L69</f>
        <v>0</v>
      </c>
      <c r="E68" s="658">
        <f>IF(AND($A68&gt;=Lighting!E$13,$A68&lt;=Lighting!E$14),(((Lighting!E$18-Lighting!E$16)/1000)*Lighting!E$15*Lighting!E$20*Lighting!E$21),0)*'Data Entry Electricity'!$L69</f>
        <v>0</v>
      </c>
      <c r="F68" s="658">
        <f>IF(AND($A68&gt;=Lighting!F$13,$A68&lt;=Lighting!F$14),(((Lighting!F$18-Lighting!F$16)/1000)*Lighting!F$15*Lighting!F$20*Lighting!F$21),0)*'Data Entry Electricity'!$L69</f>
        <v>0</v>
      </c>
      <c r="H68" s="659">
        <f t="shared" ref="H68:H119" si="1">SUM(B68:F68)</f>
        <v>0</v>
      </c>
    </row>
    <row r="69" spans="1:8">
      <c r="A69" s="38" t="s">
        <v>77</v>
      </c>
      <c r="B69" s="658">
        <f>IF(AND($A69&gt;=Lighting!B$13,$A69&lt;=Lighting!B$14),(((Lighting!B$18-Lighting!B$16)/1000)*Lighting!B$15*Lighting!B$20*Lighting!B$21),0)*'Data Entry Electricity'!$L70</f>
        <v>0</v>
      </c>
      <c r="C69" s="658">
        <f>IF(AND($A69&gt;=Lighting!C$13,$A69&lt;=Lighting!C$14),(((Lighting!C$18-Lighting!C$16)/1000)*Lighting!C$15*Lighting!C$20*Lighting!C$21),0)*'Data Entry Electricity'!$L70</f>
        <v>0</v>
      </c>
      <c r="D69" s="658">
        <f>IF(AND($A69&gt;=Lighting!D$13,$A69&lt;=Lighting!D$14),(((Lighting!D$18-Lighting!D$16)/1000)*Lighting!D$15*Lighting!D$20*Lighting!D$21),0)*'Data Entry Electricity'!$L70</f>
        <v>0</v>
      </c>
      <c r="E69" s="658">
        <f>IF(AND($A69&gt;=Lighting!E$13,$A69&lt;=Lighting!E$14),(((Lighting!E$18-Lighting!E$16)/1000)*Lighting!E$15*Lighting!E$20*Lighting!E$21),0)*'Data Entry Electricity'!$L70</f>
        <v>0</v>
      </c>
      <c r="F69" s="658">
        <f>IF(AND($A69&gt;=Lighting!F$13,$A69&lt;=Lighting!F$14),(((Lighting!F$18-Lighting!F$16)/1000)*Lighting!F$15*Lighting!F$20*Lighting!F$21),0)*'Data Entry Electricity'!$L70</f>
        <v>0</v>
      </c>
      <c r="H69" s="659">
        <f t="shared" si="1"/>
        <v>0</v>
      </c>
    </row>
    <row r="70" spans="1:8">
      <c r="A70" s="38" t="s">
        <v>78</v>
      </c>
      <c r="B70" s="658">
        <f>IF(AND($A70&gt;=Lighting!B$13,$A70&lt;=Lighting!B$14),(((Lighting!B$18-Lighting!B$16)/1000)*Lighting!B$15*Lighting!B$20*Lighting!B$21),0)*'Data Entry Electricity'!$L71</f>
        <v>0</v>
      </c>
      <c r="C70" s="658">
        <f>IF(AND($A70&gt;=Lighting!C$13,$A70&lt;=Lighting!C$14),(((Lighting!C$18-Lighting!C$16)/1000)*Lighting!C$15*Lighting!C$20*Lighting!C$21),0)*'Data Entry Electricity'!$L71</f>
        <v>0</v>
      </c>
      <c r="D70" s="658">
        <f>IF(AND($A70&gt;=Lighting!D$13,$A70&lt;=Lighting!D$14),(((Lighting!D$18-Lighting!D$16)/1000)*Lighting!D$15*Lighting!D$20*Lighting!D$21),0)*'Data Entry Electricity'!$L71</f>
        <v>0</v>
      </c>
      <c r="E70" s="658">
        <f>IF(AND($A70&gt;=Lighting!E$13,$A70&lt;=Lighting!E$14),(((Lighting!E$18-Lighting!E$16)/1000)*Lighting!E$15*Lighting!E$20*Lighting!E$21),0)*'Data Entry Electricity'!$L71</f>
        <v>0</v>
      </c>
      <c r="F70" s="658">
        <f>IF(AND($A70&gt;=Lighting!F$13,$A70&lt;=Lighting!F$14),(((Lighting!F$18-Lighting!F$16)/1000)*Lighting!F$15*Lighting!F$20*Lighting!F$21),0)*'Data Entry Electricity'!$L71</f>
        <v>0</v>
      </c>
      <c r="H70" s="659">
        <f t="shared" si="1"/>
        <v>0</v>
      </c>
    </row>
    <row r="71" spans="1:8">
      <c r="A71" s="38" t="s">
        <v>79</v>
      </c>
      <c r="B71" s="658">
        <f>IF(AND($A71&gt;=Lighting!B$13,$A71&lt;=Lighting!B$14),(((Lighting!B$18-Lighting!B$16)/1000)*Lighting!B$15*Lighting!B$20*Lighting!B$21),0)*'Data Entry Electricity'!$L72</f>
        <v>0</v>
      </c>
      <c r="C71" s="658">
        <f>IF(AND($A71&gt;=Lighting!C$13,$A71&lt;=Lighting!C$14),(((Lighting!C$18-Lighting!C$16)/1000)*Lighting!C$15*Lighting!C$20*Lighting!C$21),0)*'Data Entry Electricity'!$L72</f>
        <v>0</v>
      </c>
      <c r="D71" s="658">
        <f>IF(AND($A71&gt;=Lighting!D$13,$A71&lt;=Lighting!D$14),(((Lighting!D$18-Lighting!D$16)/1000)*Lighting!D$15*Lighting!D$20*Lighting!D$21),0)*'Data Entry Electricity'!$L72</f>
        <v>0</v>
      </c>
      <c r="E71" s="658">
        <f>IF(AND($A71&gt;=Lighting!E$13,$A71&lt;=Lighting!E$14),(((Lighting!E$18-Lighting!E$16)/1000)*Lighting!E$15*Lighting!E$20*Lighting!E$21),0)*'Data Entry Electricity'!$L72</f>
        <v>0</v>
      </c>
      <c r="F71" s="658">
        <f>IF(AND($A71&gt;=Lighting!F$13,$A71&lt;=Lighting!F$14),(((Lighting!F$18-Lighting!F$16)/1000)*Lighting!F$15*Lighting!F$20*Lighting!F$21),0)*'Data Entry Electricity'!$L72</f>
        <v>0</v>
      </c>
      <c r="H71" s="659">
        <f t="shared" si="1"/>
        <v>0</v>
      </c>
    </row>
    <row r="72" spans="1:8">
      <c r="A72" s="38" t="s">
        <v>80</v>
      </c>
      <c r="B72" s="658">
        <f>IF(AND($A72&gt;=Lighting!B$13,$A72&lt;=Lighting!B$14),(((Lighting!B$18-Lighting!B$16)/1000)*Lighting!B$15*Lighting!B$20*Lighting!B$21),0)*'Data Entry Electricity'!$L73</f>
        <v>0</v>
      </c>
      <c r="C72" s="658">
        <f>IF(AND($A72&gt;=Lighting!C$13,$A72&lt;=Lighting!C$14),(((Lighting!C$18-Lighting!C$16)/1000)*Lighting!C$15*Lighting!C$20*Lighting!C$21),0)*'Data Entry Electricity'!$L73</f>
        <v>0</v>
      </c>
      <c r="D72" s="658">
        <f>IF(AND($A72&gt;=Lighting!D$13,$A72&lt;=Lighting!D$14),(((Lighting!D$18-Lighting!D$16)/1000)*Lighting!D$15*Lighting!D$20*Lighting!D$21),0)*'Data Entry Electricity'!$L73</f>
        <v>0</v>
      </c>
      <c r="E72" s="658">
        <f>IF(AND($A72&gt;=Lighting!E$13,$A72&lt;=Lighting!E$14),(((Lighting!E$18-Lighting!E$16)/1000)*Lighting!E$15*Lighting!E$20*Lighting!E$21),0)*'Data Entry Electricity'!$L73</f>
        <v>0</v>
      </c>
      <c r="F72" s="658">
        <f>IF(AND($A72&gt;=Lighting!F$13,$A72&lt;=Lighting!F$14),(((Lighting!F$18-Lighting!F$16)/1000)*Lighting!F$15*Lighting!F$20*Lighting!F$21),0)*'Data Entry Electricity'!$L73</f>
        <v>0</v>
      </c>
      <c r="H72" s="659">
        <f t="shared" si="1"/>
        <v>0</v>
      </c>
    </row>
    <row r="73" spans="1:8">
      <c r="A73" s="38" t="s">
        <v>81</v>
      </c>
      <c r="B73" s="658">
        <f>IF(AND($A73&gt;=Lighting!B$13,$A73&lt;=Lighting!B$14),(((Lighting!B$18-Lighting!B$16)/1000)*Lighting!B$15*Lighting!B$20*Lighting!B$21),0)*'Data Entry Electricity'!$L74</f>
        <v>0</v>
      </c>
      <c r="C73" s="658">
        <f>IF(AND($A73&gt;=Lighting!C$13,$A73&lt;=Lighting!C$14),(((Lighting!C$18-Lighting!C$16)/1000)*Lighting!C$15*Lighting!C$20*Lighting!C$21),0)*'Data Entry Electricity'!$L74</f>
        <v>0</v>
      </c>
      <c r="D73" s="658">
        <f>IF(AND($A73&gt;=Lighting!D$13,$A73&lt;=Lighting!D$14),(((Lighting!D$18-Lighting!D$16)/1000)*Lighting!D$15*Lighting!D$20*Lighting!D$21),0)*'Data Entry Electricity'!$L74</f>
        <v>0</v>
      </c>
      <c r="E73" s="658">
        <f>IF(AND($A73&gt;=Lighting!E$13,$A73&lt;=Lighting!E$14),(((Lighting!E$18-Lighting!E$16)/1000)*Lighting!E$15*Lighting!E$20*Lighting!E$21),0)*'Data Entry Electricity'!$L74</f>
        <v>0</v>
      </c>
      <c r="F73" s="658">
        <f>IF(AND($A73&gt;=Lighting!F$13,$A73&lt;=Lighting!F$14),(((Lighting!F$18-Lighting!F$16)/1000)*Lighting!F$15*Lighting!F$20*Lighting!F$21),0)*'Data Entry Electricity'!$L74</f>
        <v>0</v>
      </c>
      <c r="H73" s="659">
        <f t="shared" si="1"/>
        <v>0</v>
      </c>
    </row>
    <row r="74" spans="1:8">
      <c r="A74" s="38" t="s">
        <v>82</v>
      </c>
      <c r="B74" s="658">
        <f>IF(AND($A74&gt;=Lighting!B$13,$A74&lt;=Lighting!B$14),(((Lighting!B$18-Lighting!B$16)/1000)*Lighting!B$15*Lighting!B$20*Lighting!B$21),0)*'Data Entry Electricity'!$L75</f>
        <v>0</v>
      </c>
      <c r="C74" s="658">
        <f>IF(AND($A74&gt;=Lighting!C$13,$A74&lt;=Lighting!C$14),(((Lighting!C$18-Lighting!C$16)/1000)*Lighting!C$15*Lighting!C$20*Lighting!C$21),0)*'Data Entry Electricity'!$L75</f>
        <v>0</v>
      </c>
      <c r="D74" s="658">
        <f>IF(AND($A74&gt;=Lighting!D$13,$A74&lt;=Lighting!D$14),(((Lighting!D$18-Lighting!D$16)/1000)*Lighting!D$15*Lighting!D$20*Lighting!D$21),0)*'Data Entry Electricity'!$L75</f>
        <v>0</v>
      </c>
      <c r="E74" s="658">
        <f>IF(AND($A74&gt;=Lighting!E$13,$A74&lt;=Lighting!E$14),(((Lighting!E$18-Lighting!E$16)/1000)*Lighting!E$15*Lighting!E$20*Lighting!E$21),0)*'Data Entry Electricity'!$L75</f>
        <v>0</v>
      </c>
      <c r="F74" s="658">
        <f>IF(AND($A74&gt;=Lighting!F$13,$A74&lt;=Lighting!F$14),(((Lighting!F$18-Lighting!F$16)/1000)*Lighting!F$15*Lighting!F$20*Lighting!F$21),0)*'Data Entry Electricity'!$L75</f>
        <v>0</v>
      </c>
      <c r="H74" s="659">
        <f t="shared" si="1"/>
        <v>0</v>
      </c>
    </row>
    <row r="75" spans="1:8">
      <c r="A75" s="38" t="s">
        <v>83</v>
      </c>
      <c r="B75" s="658">
        <f>IF(AND($A75&gt;=Lighting!B$13,$A75&lt;=Lighting!B$14),(((Lighting!B$18-Lighting!B$16)/1000)*Lighting!B$15*Lighting!B$20*Lighting!B$21),0)*'Data Entry Electricity'!$L76</f>
        <v>0</v>
      </c>
      <c r="C75" s="658">
        <f>IF(AND($A75&gt;=Lighting!C$13,$A75&lt;=Lighting!C$14),(((Lighting!C$18-Lighting!C$16)/1000)*Lighting!C$15*Lighting!C$20*Lighting!C$21),0)*'Data Entry Electricity'!$L76</f>
        <v>0</v>
      </c>
      <c r="D75" s="658">
        <f>IF(AND($A75&gt;=Lighting!D$13,$A75&lt;=Lighting!D$14),(((Lighting!D$18-Lighting!D$16)/1000)*Lighting!D$15*Lighting!D$20*Lighting!D$21),0)*'Data Entry Electricity'!$L76</f>
        <v>0</v>
      </c>
      <c r="E75" s="658">
        <f>IF(AND($A75&gt;=Lighting!E$13,$A75&lt;=Lighting!E$14),(((Lighting!E$18-Lighting!E$16)/1000)*Lighting!E$15*Lighting!E$20*Lighting!E$21),0)*'Data Entry Electricity'!$L76</f>
        <v>0</v>
      </c>
      <c r="F75" s="658">
        <f>IF(AND($A75&gt;=Lighting!F$13,$A75&lt;=Lighting!F$14),(((Lighting!F$18-Lighting!F$16)/1000)*Lighting!F$15*Lighting!F$20*Lighting!F$21),0)*'Data Entry Electricity'!$L76</f>
        <v>0</v>
      </c>
      <c r="H75" s="659">
        <f t="shared" si="1"/>
        <v>0</v>
      </c>
    </row>
    <row r="76" spans="1:8">
      <c r="A76" s="38" t="s">
        <v>84</v>
      </c>
      <c r="B76" s="658">
        <f>IF(AND($A76&gt;=Lighting!B$13,$A76&lt;=Lighting!B$14),(((Lighting!B$18-Lighting!B$16)/1000)*Lighting!B$15*Lighting!B$20*Lighting!B$21),0)*'Data Entry Electricity'!$L77</f>
        <v>0</v>
      </c>
      <c r="C76" s="658">
        <f>IF(AND($A76&gt;=Lighting!C$13,$A76&lt;=Lighting!C$14),(((Lighting!C$18-Lighting!C$16)/1000)*Lighting!C$15*Lighting!C$20*Lighting!C$21),0)*'Data Entry Electricity'!$L77</f>
        <v>0</v>
      </c>
      <c r="D76" s="658">
        <f>IF(AND($A76&gt;=Lighting!D$13,$A76&lt;=Lighting!D$14),(((Lighting!D$18-Lighting!D$16)/1000)*Lighting!D$15*Lighting!D$20*Lighting!D$21),0)*'Data Entry Electricity'!$L77</f>
        <v>0</v>
      </c>
      <c r="E76" s="658">
        <f>IF(AND($A76&gt;=Lighting!E$13,$A76&lt;=Lighting!E$14),(((Lighting!E$18-Lighting!E$16)/1000)*Lighting!E$15*Lighting!E$20*Lighting!E$21),0)*'Data Entry Electricity'!$L77</f>
        <v>0</v>
      </c>
      <c r="F76" s="658">
        <f>IF(AND($A76&gt;=Lighting!F$13,$A76&lt;=Lighting!F$14),(((Lighting!F$18-Lighting!F$16)/1000)*Lighting!F$15*Lighting!F$20*Lighting!F$21),0)*'Data Entry Electricity'!$L77</f>
        <v>0</v>
      </c>
      <c r="H76" s="659">
        <f t="shared" si="1"/>
        <v>0</v>
      </c>
    </row>
    <row r="77" spans="1:8">
      <c r="A77" s="38" t="s">
        <v>16</v>
      </c>
      <c r="B77" s="658">
        <f>IF(AND($A77&gt;=Lighting!B$13,$A77&lt;=Lighting!B$14),(((Lighting!B$18-Lighting!B$16)/1000)*Lighting!B$15*Lighting!B$20*Lighting!B$21),0)*'Data Entry Electricity'!$L78</f>
        <v>0</v>
      </c>
      <c r="C77" s="658">
        <f>IF(AND($A77&gt;=Lighting!C$13,$A77&lt;=Lighting!C$14),(((Lighting!C$18-Lighting!C$16)/1000)*Lighting!C$15*Lighting!C$20*Lighting!C$21),0)*'Data Entry Electricity'!$L78</f>
        <v>0</v>
      </c>
      <c r="D77" s="658">
        <f>IF(AND($A77&gt;=Lighting!D$13,$A77&lt;=Lighting!D$14),(((Lighting!D$18-Lighting!D$16)/1000)*Lighting!D$15*Lighting!D$20*Lighting!D$21),0)*'Data Entry Electricity'!$L78</f>
        <v>0</v>
      </c>
      <c r="E77" s="658">
        <f>IF(AND($A77&gt;=Lighting!E$13,$A77&lt;=Lighting!E$14),(((Lighting!E$18-Lighting!E$16)/1000)*Lighting!E$15*Lighting!E$20*Lighting!E$21),0)*'Data Entry Electricity'!$L78</f>
        <v>0</v>
      </c>
      <c r="F77" s="658">
        <f>IF(AND($A77&gt;=Lighting!F$13,$A77&lt;=Lighting!F$14),(((Lighting!F$18-Lighting!F$16)/1000)*Lighting!F$15*Lighting!F$20*Lighting!F$21),0)*'Data Entry Electricity'!$L78</f>
        <v>0</v>
      </c>
      <c r="H77" s="659">
        <f t="shared" si="1"/>
        <v>0</v>
      </c>
    </row>
    <row r="78" spans="1:8">
      <c r="A78" s="38" t="s">
        <v>17</v>
      </c>
      <c r="B78" s="658">
        <f>IF(AND($A78&gt;=Lighting!B$13,$A78&lt;=Lighting!B$14),(((Lighting!B$18-Lighting!B$16)/1000)*Lighting!B$15*Lighting!B$20*Lighting!B$21),0)*'Data Entry Electricity'!$L79</f>
        <v>0</v>
      </c>
      <c r="C78" s="658">
        <f>IF(AND($A78&gt;=Lighting!C$13,$A78&lt;=Lighting!C$14),(((Lighting!C$18-Lighting!C$16)/1000)*Lighting!C$15*Lighting!C$20*Lighting!C$21),0)*'Data Entry Electricity'!$L79</f>
        <v>0</v>
      </c>
      <c r="D78" s="658">
        <f>IF(AND($A78&gt;=Lighting!D$13,$A78&lt;=Lighting!D$14),(((Lighting!D$18-Lighting!D$16)/1000)*Lighting!D$15*Lighting!D$20*Lighting!D$21),0)*'Data Entry Electricity'!$L79</f>
        <v>0</v>
      </c>
      <c r="E78" s="658">
        <f>IF(AND($A78&gt;=Lighting!E$13,$A78&lt;=Lighting!E$14),(((Lighting!E$18-Lighting!E$16)/1000)*Lighting!E$15*Lighting!E$20*Lighting!E$21),0)*'Data Entry Electricity'!$L79</f>
        <v>0</v>
      </c>
      <c r="F78" s="658">
        <f>IF(AND($A78&gt;=Lighting!F$13,$A78&lt;=Lighting!F$14),(((Lighting!F$18-Lighting!F$16)/1000)*Lighting!F$15*Lighting!F$20*Lighting!F$21),0)*'Data Entry Electricity'!$L79</f>
        <v>0</v>
      </c>
      <c r="H78" s="659">
        <f t="shared" si="1"/>
        <v>0</v>
      </c>
    </row>
    <row r="79" spans="1:8">
      <c r="A79" s="38" t="s">
        <v>18</v>
      </c>
      <c r="B79" s="658">
        <f>IF(AND($A79&gt;=Lighting!B$13,$A79&lt;=Lighting!B$14),(((Lighting!B$18-Lighting!B$16)/1000)*Lighting!B$15*Lighting!B$20*Lighting!B$21),0)*'Data Entry Electricity'!$L80</f>
        <v>0</v>
      </c>
      <c r="C79" s="658">
        <f>IF(AND($A79&gt;=Lighting!C$13,$A79&lt;=Lighting!C$14),(((Lighting!C$18-Lighting!C$16)/1000)*Lighting!C$15*Lighting!C$20*Lighting!C$21),0)*'Data Entry Electricity'!$L80</f>
        <v>0</v>
      </c>
      <c r="D79" s="658">
        <f>IF(AND($A79&gt;=Lighting!D$13,$A79&lt;=Lighting!D$14),(((Lighting!D$18-Lighting!D$16)/1000)*Lighting!D$15*Lighting!D$20*Lighting!D$21),0)*'Data Entry Electricity'!$L80</f>
        <v>0</v>
      </c>
      <c r="E79" s="658">
        <f>IF(AND($A79&gt;=Lighting!E$13,$A79&lt;=Lighting!E$14),(((Lighting!E$18-Lighting!E$16)/1000)*Lighting!E$15*Lighting!E$20*Lighting!E$21),0)*'Data Entry Electricity'!$L80</f>
        <v>0</v>
      </c>
      <c r="F79" s="658">
        <f>IF(AND($A79&gt;=Lighting!F$13,$A79&lt;=Lighting!F$14),(((Lighting!F$18-Lighting!F$16)/1000)*Lighting!F$15*Lighting!F$20*Lighting!F$21),0)*'Data Entry Electricity'!$L80</f>
        <v>0</v>
      </c>
      <c r="H79" s="659">
        <f t="shared" si="1"/>
        <v>0</v>
      </c>
    </row>
    <row r="80" spans="1:8">
      <c r="A80" s="38" t="s">
        <v>19</v>
      </c>
      <c r="B80" s="658">
        <f>IF(AND($A80&gt;=Lighting!B$13,$A80&lt;=Lighting!B$14),(((Lighting!B$18-Lighting!B$16)/1000)*Lighting!B$15*Lighting!B$20*Lighting!B$21),0)*'Data Entry Electricity'!$L81</f>
        <v>0</v>
      </c>
      <c r="C80" s="658">
        <f>IF(AND($A80&gt;=Lighting!C$13,$A80&lt;=Lighting!C$14),(((Lighting!C$18-Lighting!C$16)/1000)*Lighting!C$15*Lighting!C$20*Lighting!C$21),0)*'Data Entry Electricity'!$L81</f>
        <v>0</v>
      </c>
      <c r="D80" s="658">
        <f>IF(AND($A80&gt;=Lighting!D$13,$A80&lt;=Lighting!D$14),(((Lighting!D$18-Lighting!D$16)/1000)*Lighting!D$15*Lighting!D$20*Lighting!D$21),0)*'Data Entry Electricity'!$L81</f>
        <v>0</v>
      </c>
      <c r="E80" s="658">
        <f>IF(AND($A80&gt;=Lighting!E$13,$A80&lt;=Lighting!E$14),(((Lighting!E$18-Lighting!E$16)/1000)*Lighting!E$15*Lighting!E$20*Lighting!E$21),0)*'Data Entry Electricity'!$L81</f>
        <v>0</v>
      </c>
      <c r="F80" s="658">
        <f>IF(AND($A80&gt;=Lighting!F$13,$A80&lt;=Lighting!F$14),(((Lighting!F$18-Lighting!F$16)/1000)*Lighting!F$15*Lighting!F$20*Lighting!F$21),0)*'Data Entry Electricity'!$L81</f>
        <v>0</v>
      </c>
      <c r="H80" s="659">
        <f t="shared" si="1"/>
        <v>0</v>
      </c>
    </row>
    <row r="81" spans="1:8">
      <c r="A81" s="38" t="s">
        <v>85</v>
      </c>
      <c r="B81" s="658">
        <f>IF(AND($A81&gt;=Lighting!B$13,$A81&lt;=Lighting!B$14),(((Lighting!B$18-Lighting!B$16)/1000)*Lighting!B$15*Lighting!B$20*Lighting!B$21),0)*'Data Entry Electricity'!$L82</f>
        <v>0</v>
      </c>
      <c r="C81" s="658">
        <f>IF(AND($A81&gt;=Lighting!C$13,$A81&lt;=Lighting!C$14),(((Lighting!C$18-Lighting!C$16)/1000)*Lighting!C$15*Lighting!C$20*Lighting!C$21),0)*'Data Entry Electricity'!$L82</f>
        <v>0</v>
      </c>
      <c r="D81" s="658">
        <f>IF(AND($A81&gt;=Lighting!D$13,$A81&lt;=Lighting!D$14),(((Lighting!D$18-Lighting!D$16)/1000)*Lighting!D$15*Lighting!D$20*Lighting!D$21),0)*'Data Entry Electricity'!$L82</f>
        <v>0</v>
      </c>
      <c r="E81" s="658">
        <f>IF(AND($A81&gt;=Lighting!E$13,$A81&lt;=Lighting!E$14),(((Lighting!E$18-Lighting!E$16)/1000)*Lighting!E$15*Lighting!E$20*Lighting!E$21),0)*'Data Entry Electricity'!$L82</f>
        <v>0</v>
      </c>
      <c r="F81" s="658">
        <f>IF(AND($A81&gt;=Lighting!F$13,$A81&lt;=Lighting!F$14),(((Lighting!F$18-Lighting!F$16)/1000)*Lighting!F$15*Lighting!F$20*Lighting!F$21),0)*'Data Entry Electricity'!$L82</f>
        <v>0</v>
      </c>
      <c r="H81" s="659">
        <f t="shared" si="1"/>
        <v>0</v>
      </c>
    </row>
    <row r="82" spans="1:8">
      <c r="A82" s="38" t="s">
        <v>86</v>
      </c>
      <c r="B82" s="658">
        <f>IF(AND($A82&gt;=Lighting!B$13,$A82&lt;=Lighting!B$14),(((Lighting!B$18-Lighting!B$16)/1000)*Lighting!B$15*Lighting!B$20*Lighting!B$21),0)*'Data Entry Electricity'!$L83</f>
        <v>0</v>
      </c>
      <c r="C82" s="658">
        <f>IF(AND($A82&gt;=Lighting!C$13,$A82&lt;=Lighting!C$14),(((Lighting!C$18-Lighting!C$16)/1000)*Lighting!C$15*Lighting!C$20*Lighting!C$21),0)*'Data Entry Electricity'!$L83</f>
        <v>0</v>
      </c>
      <c r="D82" s="658">
        <f>IF(AND($A82&gt;=Lighting!D$13,$A82&lt;=Lighting!D$14),(((Lighting!D$18-Lighting!D$16)/1000)*Lighting!D$15*Lighting!D$20*Lighting!D$21),0)*'Data Entry Electricity'!$L83</f>
        <v>0</v>
      </c>
      <c r="E82" s="658">
        <f>IF(AND($A82&gt;=Lighting!E$13,$A82&lt;=Lighting!E$14),(((Lighting!E$18-Lighting!E$16)/1000)*Lighting!E$15*Lighting!E$20*Lighting!E$21),0)*'Data Entry Electricity'!$L83</f>
        <v>0</v>
      </c>
      <c r="F82" s="658">
        <f>IF(AND($A82&gt;=Lighting!F$13,$A82&lt;=Lighting!F$14),(((Lighting!F$18-Lighting!F$16)/1000)*Lighting!F$15*Lighting!F$20*Lighting!F$21),0)*'Data Entry Electricity'!$L83</f>
        <v>0</v>
      </c>
      <c r="H82" s="659">
        <f t="shared" si="1"/>
        <v>0</v>
      </c>
    </row>
    <row r="83" spans="1:8">
      <c r="A83" s="38" t="s">
        <v>87</v>
      </c>
      <c r="B83" s="658">
        <f>IF(AND($A83&gt;=Lighting!B$13,$A83&lt;=Lighting!B$14),(((Lighting!B$18-Lighting!B$16)/1000)*Lighting!B$15*Lighting!B$20*Lighting!B$21),0)*'Data Entry Electricity'!$L84</f>
        <v>0</v>
      </c>
      <c r="C83" s="658">
        <f>IF(AND($A83&gt;=Lighting!C$13,$A83&lt;=Lighting!C$14),(((Lighting!C$18-Lighting!C$16)/1000)*Lighting!C$15*Lighting!C$20*Lighting!C$21),0)*'Data Entry Electricity'!$L84</f>
        <v>0</v>
      </c>
      <c r="D83" s="658">
        <f>IF(AND($A83&gt;=Lighting!D$13,$A83&lt;=Lighting!D$14),(((Lighting!D$18-Lighting!D$16)/1000)*Lighting!D$15*Lighting!D$20*Lighting!D$21),0)*'Data Entry Electricity'!$L84</f>
        <v>0</v>
      </c>
      <c r="E83" s="658">
        <f>IF(AND($A83&gt;=Lighting!E$13,$A83&lt;=Lighting!E$14),(((Lighting!E$18-Lighting!E$16)/1000)*Lighting!E$15*Lighting!E$20*Lighting!E$21),0)*'Data Entry Electricity'!$L84</f>
        <v>0</v>
      </c>
      <c r="F83" s="658">
        <f>IF(AND($A83&gt;=Lighting!F$13,$A83&lt;=Lighting!F$14),(((Lighting!F$18-Lighting!F$16)/1000)*Lighting!F$15*Lighting!F$20*Lighting!F$21),0)*'Data Entry Electricity'!$L84</f>
        <v>0</v>
      </c>
      <c r="H83" s="659">
        <f t="shared" si="1"/>
        <v>0</v>
      </c>
    </row>
    <row r="84" spans="1:8">
      <c r="A84" s="38" t="s">
        <v>88</v>
      </c>
      <c r="B84" s="658">
        <f>IF(AND($A84&gt;=Lighting!B$13,$A84&lt;=Lighting!B$14),(((Lighting!B$18-Lighting!B$16)/1000)*Lighting!B$15*Lighting!B$20*Lighting!B$21),0)*'Data Entry Electricity'!$L85</f>
        <v>0</v>
      </c>
      <c r="C84" s="658">
        <f>IF(AND($A84&gt;=Lighting!C$13,$A84&lt;=Lighting!C$14),(((Lighting!C$18-Lighting!C$16)/1000)*Lighting!C$15*Lighting!C$20*Lighting!C$21),0)*'Data Entry Electricity'!$L85</f>
        <v>0</v>
      </c>
      <c r="D84" s="658">
        <f>IF(AND($A84&gt;=Lighting!D$13,$A84&lt;=Lighting!D$14),(((Lighting!D$18-Lighting!D$16)/1000)*Lighting!D$15*Lighting!D$20*Lighting!D$21),0)*'Data Entry Electricity'!$L85</f>
        <v>0</v>
      </c>
      <c r="E84" s="658">
        <f>IF(AND($A84&gt;=Lighting!E$13,$A84&lt;=Lighting!E$14),(((Lighting!E$18-Lighting!E$16)/1000)*Lighting!E$15*Lighting!E$20*Lighting!E$21),0)*'Data Entry Electricity'!$L85</f>
        <v>0</v>
      </c>
      <c r="F84" s="658">
        <f>IF(AND($A84&gt;=Lighting!F$13,$A84&lt;=Lighting!F$14),(((Lighting!F$18-Lighting!F$16)/1000)*Lighting!F$15*Lighting!F$20*Lighting!F$21),0)*'Data Entry Electricity'!$L85</f>
        <v>0</v>
      </c>
      <c r="H84" s="659">
        <f t="shared" si="1"/>
        <v>0</v>
      </c>
    </row>
    <row r="85" spans="1:8">
      <c r="A85" s="38" t="s">
        <v>89</v>
      </c>
      <c r="B85" s="658">
        <f>IF(AND($A85&gt;=Lighting!B$13,$A85&lt;=Lighting!B$14),(((Lighting!B$18-Lighting!B$16)/1000)*Lighting!B$15*Lighting!B$20*Lighting!B$21),0)*'Data Entry Electricity'!$L86</f>
        <v>0</v>
      </c>
      <c r="C85" s="658">
        <f>IF(AND($A85&gt;=Lighting!C$13,$A85&lt;=Lighting!C$14),(((Lighting!C$18-Lighting!C$16)/1000)*Lighting!C$15*Lighting!C$20*Lighting!C$21),0)*'Data Entry Electricity'!$L86</f>
        <v>0</v>
      </c>
      <c r="D85" s="658">
        <f>IF(AND($A85&gt;=Lighting!D$13,$A85&lt;=Lighting!D$14),(((Lighting!D$18-Lighting!D$16)/1000)*Lighting!D$15*Lighting!D$20*Lighting!D$21),0)*'Data Entry Electricity'!$L86</f>
        <v>0</v>
      </c>
      <c r="E85" s="658">
        <f>IF(AND($A85&gt;=Lighting!E$13,$A85&lt;=Lighting!E$14),(((Lighting!E$18-Lighting!E$16)/1000)*Lighting!E$15*Lighting!E$20*Lighting!E$21),0)*'Data Entry Electricity'!$L86</f>
        <v>0</v>
      </c>
      <c r="F85" s="658">
        <f>IF(AND($A85&gt;=Lighting!F$13,$A85&lt;=Lighting!F$14),(((Lighting!F$18-Lighting!F$16)/1000)*Lighting!F$15*Lighting!F$20*Lighting!F$21),0)*'Data Entry Electricity'!$L86</f>
        <v>0</v>
      </c>
      <c r="H85" s="659">
        <f t="shared" si="1"/>
        <v>0</v>
      </c>
    </row>
    <row r="86" spans="1:8">
      <c r="A86" s="38" t="s">
        <v>90</v>
      </c>
      <c r="B86" s="658">
        <f>IF(AND($A86&gt;=Lighting!B$13,$A86&lt;=Lighting!B$14),(((Lighting!B$18-Lighting!B$16)/1000)*Lighting!B$15*Lighting!B$20*Lighting!B$21),0)*'Data Entry Electricity'!$L87</f>
        <v>0</v>
      </c>
      <c r="C86" s="658">
        <f>IF(AND($A86&gt;=Lighting!C$13,$A86&lt;=Lighting!C$14),(((Lighting!C$18-Lighting!C$16)/1000)*Lighting!C$15*Lighting!C$20*Lighting!C$21),0)*'Data Entry Electricity'!$L87</f>
        <v>0</v>
      </c>
      <c r="D86" s="658">
        <f>IF(AND($A86&gt;=Lighting!D$13,$A86&lt;=Lighting!D$14),(((Lighting!D$18-Lighting!D$16)/1000)*Lighting!D$15*Lighting!D$20*Lighting!D$21),0)*'Data Entry Electricity'!$L87</f>
        <v>0</v>
      </c>
      <c r="E86" s="658">
        <f>IF(AND($A86&gt;=Lighting!E$13,$A86&lt;=Lighting!E$14),(((Lighting!E$18-Lighting!E$16)/1000)*Lighting!E$15*Lighting!E$20*Lighting!E$21),0)*'Data Entry Electricity'!$L87</f>
        <v>0</v>
      </c>
      <c r="F86" s="658">
        <f>IF(AND($A86&gt;=Lighting!F$13,$A86&lt;=Lighting!F$14),(((Lighting!F$18-Lighting!F$16)/1000)*Lighting!F$15*Lighting!F$20*Lighting!F$21),0)*'Data Entry Electricity'!$L87</f>
        <v>0</v>
      </c>
      <c r="H86" s="659">
        <f t="shared" si="1"/>
        <v>0</v>
      </c>
    </row>
    <row r="87" spans="1:8">
      <c r="A87" s="38" t="s">
        <v>91</v>
      </c>
      <c r="B87" s="658">
        <f>IF(AND($A87&gt;=Lighting!B$13,$A87&lt;=Lighting!B$14),(((Lighting!B$18-Lighting!B$16)/1000)*Lighting!B$15*Lighting!B$20*Lighting!B$21),0)*'Data Entry Electricity'!$L88</f>
        <v>0</v>
      </c>
      <c r="C87" s="658">
        <f>IF(AND($A87&gt;=Lighting!C$13,$A87&lt;=Lighting!C$14),(((Lighting!C$18-Lighting!C$16)/1000)*Lighting!C$15*Lighting!C$20*Lighting!C$21),0)*'Data Entry Electricity'!$L88</f>
        <v>0</v>
      </c>
      <c r="D87" s="658">
        <f>IF(AND($A87&gt;=Lighting!D$13,$A87&lt;=Lighting!D$14),(((Lighting!D$18-Lighting!D$16)/1000)*Lighting!D$15*Lighting!D$20*Lighting!D$21),0)*'Data Entry Electricity'!$L88</f>
        <v>0</v>
      </c>
      <c r="E87" s="658">
        <f>IF(AND($A87&gt;=Lighting!E$13,$A87&lt;=Lighting!E$14),(((Lighting!E$18-Lighting!E$16)/1000)*Lighting!E$15*Lighting!E$20*Lighting!E$21),0)*'Data Entry Electricity'!$L88</f>
        <v>0</v>
      </c>
      <c r="F87" s="658">
        <f>IF(AND($A87&gt;=Lighting!F$13,$A87&lt;=Lighting!F$14),(((Lighting!F$18-Lighting!F$16)/1000)*Lighting!F$15*Lighting!F$20*Lighting!F$21),0)*'Data Entry Electricity'!$L88</f>
        <v>0</v>
      </c>
      <c r="H87" s="659">
        <f t="shared" si="1"/>
        <v>0</v>
      </c>
    </row>
    <row r="88" spans="1:8">
      <c r="A88" s="38" t="s">
        <v>92</v>
      </c>
      <c r="B88" s="658">
        <f>IF(AND($A88&gt;=Lighting!B$13,$A88&lt;=Lighting!B$14),(((Lighting!B$18-Lighting!B$16)/1000)*Lighting!B$15*Lighting!B$20*Lighting!B$21),0)*'Data Entry Electricity'!$L89</f>
        <v>0</v>
      </c>
      <c r="C88" s="658">
        <f>IF(AND($A88&gt;=Lighting!C$13,$A88&lt;=Lighting!C$14),(((Lighting!C$18-Lighting!C$16)/1000)*Lighting!C$15*Lighting!C$20*Lighting!C$21),0)*'Data Entry Electricity'!$L89</f>
        <v>0</v>
      </c>
      <c r="D88" s="658">
        <f>IF(AND($A88&gt;=Lighting!D$13,$A88&lt;=Lighting!D$14),(((Lighting!D$18-Lighting!D$16)/1000)*Lighting!D$15*Lighting!D$20*Lighting!D$21),0)*'Data Entry Electricity'!$L89</f>
        <v>0</v>
      </c>
      <c r="E88" s="658">
        <f>IF(AND($A88&gt;=Lighting!E$13,$A88&lt;=Lighting!E$14),(((Lighting!E$18-Lighting!E$16)/1000)*Lighting!E$15*Lighting!E$20*Lighting!E$21),0)*'Data Entry Electricity'!$L89</f>
        <v>0</v>
      </c>
      <c r="F88" s="658">
        <f>IF(AND($A88&gt;=Lighting!F$13,$A88&lt;=Lighting!F$14),(((Lighting!F$18-Lighting!F$16)/1000)*Lighting!F$15*Lighting!F$20*Lighting!F$21),0)*'Data Entry Electricity'!$L89</f>
        <v>0</v>
      </c>
      <c r="H88" s="659">
        <f t="shared" si="1"/>
        <v>0</v>
      </c>
    </row>
    <row r="89" spans="1:8">
      <c r="A89" s="38" t="s">
        <v>93</v>
      </c>
      <c r="B89" s="658">
        <f>IF(AND($A89&gt;=Lighting!B$13,$A89&lt;=Lighting!B$14),(((Lighting!B$18-Lighting!B$16)/1000)*Lighting!B$15*Lighting!B$20*Lighting!B$21),0)*'Data Entry Electricity'!$L90</f>
        <v>0</v>
      </c>
      <c r="C89" s="658">
        <f>IF(AND($A89&gt;=Lighting!C$13,$A89&lt;=Lighting!C$14),(((Lighting!C$18-Lighting!C$16)/1000)*Lighting!C$15*Lighting!C$20*Lighting!C$21),0)*'Data Entry Electricity'!$L90</f>
        <v>0</v>
      </c>
      <c r="D89" s="658">
        <f>IF(AND($A89&gt;=Lighting!D$13,$A89&lt;=Lighting!D$14),(((Lighting!D$18-Lighting!D$16)/1000)*Lighting!D$15*Lighting!D$20*Lighting!D$21),0)*'Data Entry Electricity'!$L90</f>
        <v>0</v>
      </c>
      <c r="E89" s="658">
        <f>IF(AND($A89&gt;=Lighting!E$13,$A89&lt;=Lighting!E$14),(((Lighting!E$18-Lighting!E$16)/1000)*Lighting!E$15*Lighting!E$20*Lighting!E$21),0)*'Data Entry Electricity'!$L90</f>
        <v>0</v>
      </c>
      <c r="F89" s="658">
        <f>IF(AND($A89&gt;=Lighting!F$13,$A89&lt;=Lighting!F$14),(((Lighting!F$18-Lighting!F$16)/1000)*Lighting!F$15*Lighting!F$20*Lighting!F$21),0)*'Data Entry Electricity'!$L90</f>
        <v>0</v>
      </c>
      <c r="H89" s="659">
        <f t="shared" si="1"/>
        <v>0</v>
      </c>
    </row>
    <row r="90" spans="1:8">
      <c r="A90" s="38" t="s">
        <v>20</v>
      </c>
      <c r="B90" s="658">
        <f>IF(AND($A90&gt;=Lighting!B$13,$A90&lt;=Lighting!B$14),(((Lighting!B$18-Lighting!B$16)/1000)*Lighting!B$15*Lighting!B$20*Lighting!B$21),0)*'Data Entry Electricity'!$L91</f>
        <v>0</v>
      </c>
      <c r="C90" s="658">
        <f>IF(AND($A90&gt;=Lighting!C$13,$A90&lt;=Lighting!C$14),(((Lighting!C$18-Lighting!C$16)/1000)*Lighting!C$15*Lighting!C$20*Lighting!C$21),0)*'Data Entry Electricity'!$L91</f>
        <v>0</v>
      </c>
      <c r="D90" s="658">
        <f>IF(AND($A90&gt;=Lighting!D$13,$A90&lt;=Lighting!D$14),(((Lighting!D$18-Lighting!D$16)/1000)*Lighting!D$15*Lighting!D$20*Lighting!D$21),0)*'Data Entry Electricity'!$L91</f>
        <v>0</v>
      </c>
      <c r="E90" s="658">
        <f>IF(AND($A90&gt;=Lighting!E$13,$A90&lt;=Lighting!E$14),(((Lighting!E$18-Lighting!E$16)/1000)*Lighting!E$15*Lighting!E$20*Lighting!E$21),0)*'Data Entry Electricity'!$L91</f>
        <v>0</v>
      </c>
      <c r="F90" s="658">
        <f>IF(AND($A90&gt;=Lighting!F$13,$A90&lt;=Lighting!F$14),(((Lighting!F$18-Lighting!F$16)/1000)*Lighting!F$15*Lighting!F$20*Lighting!F$21),0)*'Data Entry Electricity'!$L91</f>
        <v>0</v>
      </c>
      <c r="H90" s="659">
        <f t="shared" si="1"/>
        <v>0</v>
      </c>
    </row>
    <row r="91" spans="1:8">
      <c r="A91" s="38" t="s">
        <v>21</v>
      </c>
      <c r="B91" s="658">
        <f>IF(AND($A91&gt;=Lighting!B$13,$A91&lt;=Lighting!B$14),(((Lighting!B$18-Lighting!B$16)/1000)*Lighting!B$15*Lighting!B$20*Lighting!B$21),0)*'Data Entry Electricity'!$L92</f>
        <v>0</v>
      </c>
      <c r="C91" s="658">
        <f>IF(AND($A91&gt;=Lighting!C$13,$A91&lt;=Lighting!C$14),(((Lighting!C$18-Lighting!C$16)/1000)*Lighting!C$15*Lighting!C$20*Lighting!C$21),0)*'Data Entry Electricity'!$L92</f>
        <v>0</v>
      </c>
      <c r="D91" s="658">
        <f>IF(AND($A91&gt;=Lighting!D$13,$A91&lt;=Lighting!D$14),(((Lighting!D$18-Lighting!D$16)/1000)*Lighting!D$15*Lighting!D$20*Lighting!D$21),0)*'Data Entry Electricity'!$L92</f>
        <v>0</v>
      </c>
      <c r="E91" s="658">
        <f>IF(AND($A91&gt;=Lighting!E$13,$A91&lt;=Lighting!E$14),(((Lighting!E$18-Lighting!E$16)/1000)*Lighting!E$15*Lighting!E$20*Lighting!E$21),0)*'Data Entry Electricity'!$L92</f>
        <v>0</v>
      </c>
      <c r="F91" s="658">
        <f>IF(AND($A91&gt;=Lighting!F$13,$A91&lt;=Lighting!F$14),(((Lighting!F$18-Lighting!F$16)/1000)*Lighting!F$15*Lighting!F$20*Lighting!F$21),0)*'Data Entry Electricity'!$L92</f>
        <v>0</v>
      </c>
      <c r="H91" s="659">
        <f t="shared" si="1"/>
        <v>0</v>
      </c>
    </row>
    <row r="92" spans="1:8">
      <c r="A92" s="38" t="s">
        <v>22</v>
      </c>
      <c r="B92" s="658">
        <f>IF(AND($A92&gt;=Lighting!B$13,$A92&lt;=Lighting!B$14),(((Lighting!B$18-Lighting!B$16)/1000)*Lighting!B$15*Lighting!B$20*Lighting!B$21),0)*'Data Entry Electricity'!$L93</f>
        <v>0</v>
      </c>
      <c r="C92" s="658">
        <f>IF(AND($A92&gt;=Lighting!C$13,$A92&lt;=Lighting!C$14),(((Lighting!C$18-Lighting!C$16)/1000)*Lighting!C$15*Lighting!C$20*Lighting!C$21),0)*'Data Entry Electricity'!$L93</f>
        <v>0</v>
      </c>
      <c r="D92" s="658">
        <f>IF(AND($A92&gt;=Lighting!D$13,$A92&lt;=Lighting!D$14),(((Lighting!D$18-Lighting!D$16)/1000)*Lighting!D$15*Lighting!D$20*Lighting!D$21),0)*'Data Entry Electricity'!$L93</f>
        <v>0</v>
      </c>
      <c r="E92" s="658">
        <f>IF(AND($A92&gt;=Lighting!E$13,$A92&lt;=Lighting!E$14),(((Lighting!E$18-Lighting!E$16)/1000)*Lighting!E$15*Lighting!E$20*Lighting!E$21),0)*'Data Entry Electricity'!$L93</f>
        <v>0</v>
      </c>
      <c r="F92" s="658">
        <f>IF(AND($A92&gt;=Lighting!F$13,$A92&lt;=Lighting!F$14),(((Lighting!F$18-Lighting!F$16)/1000)*Lighting!F$15*Lighting!F$20*Lighting!F$21),0)*'Data Entry Electricity'!$L93</f>
        <v>0</v>
      </c>
      <c r="H92" s="659">
        <f t="shared" si="1"/>
        <v>0</v>
      </c>
    </row>
    <row r="93" spans="1:8">
      <c r="A93" s="590" t="s">
        <v>23</v>
      </c>
      <c r="B93" s="658">
        <f>IF(AND($A93&gt;=Lighting!B$13,$A93&lt;=Lighting!B$14),(((Lighting!B$18-Lighting!B$16)/1000)*Lighting!B$15*Lighting!B$20*Lighting!B$21),0)*'Data Entry Electricity'!$L94</f>
        <v>0</v>
      </c>
      <c r="C93" s="658">
        <f>IF(AND($A93&gt;=Lighting!C$13,$A93&lt;=Lighting!C$14),(((Lighting!C$18-Lighting!C$16)/1000)*Lighting!C$15*Lighting!C$20*Lighting!C$21),0)*'Data Entry Electricity'!$L94</f>
        <v>0</v>
      </c>
      <c r="D93" s="658">
        <f>IF(AND($A93&gt;=Lighting!D$13,$A93&lt;=Lighting!D$14),(((Lighting!D$18-Lighting!D$16)/1000)*Lighting!D$15*Lighting!D$20*Lighting!D$21),0)*'Data Entry Electricity'!$L94</f>
        <v>0</v>
      </c>
      <c r="E93" s="658">
        <f>IF(AND($A93&gt;=Lighting!E$13,$A93&lt;=Lighting!E$14),(((Lighting!E$18-Lighting!E$16)/1000)*Lighting!E$15*Lighting!E$20*Lighting!E$21),0)*'Data Entry Electricity'!$L94</f>
        <v>0</v>
      </c>
      <c r="F93" s="658">
        <f>IF(AND($A93&gt;=Lighting!F$13,$A93&lt;=Lighting!F$14),(((Lighting!F$18-Lighting!F$16)/1000)*Lighting!F$15*Lighting!F$20*Lighting!F$21),0)*'Data Entry Electricity'!$L94</f>
        <v>0</v>
      </c>
      <c r="H93" s="659">
        <f t="shared" si="1"/>
        <v>0</v>
      </c>
    </row>
    <row r="94" spans="1:8" s="179" customFormat="1">
      <c r="A94" s="590" t="s">
        <v>974</v>
      </c>
      <c r="B94" s="658">
        <f>IF(AND($A94&gt;=Lighting!B$13,$A94&lt;=Lighting!B$14),(((Lighting!B$18-Lighting!B$16)/1000)*Lighting!B$15*Lighting!B$20*Lighting!B$21),0)*'Data Entry Electricity'!$L95</f>
        <v>0</v>
      </c>
      <c r="C94" s="658">
        <f>IF(AND($A94&gt;=Lighting!C$13,$A94&lt;=Lighting!C$14),(((Lighting!C$18-Lighting!C$16)/1000)*Lighting!C$15*Lighting!C$20*Lighting!C$21),0)*'Data Entry Electricity'!$L95</f>
        <v>0</v>
      </c>
      <c r="D94" s="658">
        <f>IF(AND($A94&gt;=Lighting!D$13,$A94&lt;=Lighting!D$14),(((Lighting!D$18-Lighting!D$16)/1000)*Lighting!D$15*Lighting!D$20*Lighting!D$21),0)*'Data Entry Electricity'!$L95</f>
        <v>0</v>
      </c>
      <c r="E94" s="658">
        <f>IF(AND($A94&gt;=Lighting!E$13,$A94&lt;=Lighting!E$14),(((Lighting!E$18-Lighting!E$16)/1000)*Lighting!E$15*Lighting!E$20*Lighting!E$21),0)*'Data Entry Electricity'!$L95</f>
        <v>0</v>
      </c>
      <c r="F94" s="658">
        <f>IF(AND($A94&gt;=Lighting!F$13,$A94&lt;=Lighting!F$14),(((Lighting!F$18-Lighting!F$16)/1000)*Lighting!F$15*Lighting!F$20*Lighting!F$21),0)*'Data Entry Electricity'!$L95</f>
        <v>0</v>
      </c>
      <c r="H94" s="659">
        <f t="shared" si="1"/>
        <v>0</v>
      </c>
    </row>
    <row r="95" spans="1:8" s="179" customFormat="1">
      <c r="A95" s="589" t="s">
        <v>975</v>
      </c>
      <c r="B95" s="658">
        <f>IF(AND($A95&gt;=Lighting!B$13,$A95&lt;=Lighting!B$14),(((Lighting!B$18-Lighting!B$16)/1000)*Lighting!B$15*Lighting!B$20*Lighting!B$21),0)*'Data Entry Electricity'!$L96</f>
        <v>0</v>
      </c>
      <c r="C95" s="658">
        <f>IF(AND($A95&gt;=Lighting!C$13,$A95&lt;=Lighting!C$14),(((Lighting!C$18-Lighting!C$16)/1000)*Lighting!C$15*Lighting!C$20*Lighting!C$21),0)*'Data Entry Electricity'!$L96</f>
        <v>0</v>
      </c>
      <c r="D95" s="658">
        <f>IF(AND($A95&gt;=Lighting!D$13,$A95&lt;=Lighting!D$14),(((Lighting!D$18-Lighting!D$16)/1000)*Lighting!D$15*Lighting!D$20*Lighting!D$21),0)*'Data Entry Electricity'!$L96</f>
        <v>0</v>
      </c>
      <c r="E95" s="658">
        <f>IF(AND($A95&gt;=Lighting!E$13,$A95&lt;=Lighting!E$14),(((Lighting!E$18-Lighting!E$16)/1000)*Lighting!E$15*Lighting!E$20*Lighting!E$21),0)*'Data Entry Electricity'!$L96</f>
        <v>0</v>
      </c>
      <c r="F95" s="658">
        <f>IF(AND($A95&gt;=Lighting!F$13,$A95&lt;=Lighting!F$14),(((Lighting!F$18-Lighting!F$16)/1000)*Lighting!F$15*Lighting!F$20*Lighting!F$21),0)*'Data Entry Electricity'!$L96</f>
        <v>0</v>
      </c>
      <c r="H95" s="659">
        <f t="shared" si="1"/>
        <v>0</v>
      </c>
    </row>
    <row r="96" spans="1:8" s="179" customFormat="1">
      <c r="A96" s="589" t="s">
        <v>976</v>
      </c>
      <c r="B96" s="658">
        <f>IF(AND($A96&gt;=Lighting!B$13,$A96&lt;=Lighting!B$14),(((Lighting!B$18-Lighting!B$16)/1000)*Lighting!B$15*Lighting!B$20*Lighting!B$21),0)*'Data Entry Electricity'!$L97</f>
        <v>0</v>
      </c>
      <c r="C96" s="658">
        <f>IF(AND($A96&gt;=Lighting!C$13,$A96&lt;=Lighting!C$14),(((Lighting!C$18-Lighting!C$16)/1000)*Lighting!C$15*Lighting!C$20*Lighting!C$21),0)*'Data Entry Electricity'!$L97</f>
        <v>0</v>
      </c>
      <c r="D96" s="658">
        <f>IF(AND($A96&gt;=Lighting!D$13,$A96&lt;=Lighting!D$14),(((Lighting!D$18-Lighting!D$16)/1000)*Lighting!D$15*Lighting!D$20*Lighting!D$21),0)*'Data Entry Electricity'!$L97</f>
        <v>0</v>
      </c>
      <c r="E96" s="658">
        <f>IF(AND($A96&gt;=Lighting!E$13,$A96&lt;=Lighting!E$14),(((Lighting!E$18-Lighting!E$16)/1000)*Lighting!E$15*Lighting!E$20*Lighting!E$21),0)*'Data Entry Electricity'!$L97</f>
        <v>0</v>
      </c>
      <c r="F96" s="658">
        <f>IF(AND($A96&gt;=Lighting!F$13,$A96&lt;=Lighting!F$14),(((Lighting!F$18-Lighting!F$16)/1000)*Lighting!F$15*Lighting!F$20*Lighting!F$21),0)*'Data Entry Electricity'!$L97</f>
        <v>0</v>
      </c>
      <c r="H96" s="659">
        <f t="shared" si="1"/>
        <v>0</v>
      </c>
    </row>
    <row r="97" spans="1:8" s="179" customFormat="1">
      <c r="A97" s="589" t="s">
        <v>977</v>
      </c>
      <c r="B97" s="658">
        <f>IF(AND($A97&gt;=Lighting!B$13,$A97&lt;=Lighting!B$14),(((Lighting!B$18-Lighting!B$16)/1000)*Lighting!B$15*Lighting!B$20*Lighting!B$21),0)*'Data Entry Electricity'!$L98</f>
        <v>0</v>
      </c>
      <c r="C97" s="658">
        <f>IF(AND($A97&gt;=Lighting!C$13,$A97&lt;=Lighting!C$14),(((Lighting!C$18-Lighting!C$16)/1000)*Lighting!C$15*Lighting!C$20*Lighting!C$21),0)*'Data Entry Electricity'!$L98</f>
        <v>0</v>
      </c>
      <c r="D97" s="658">
        <f>IF(AND($A97&gt;=Lighting!D$13,$A97&lt;=Lighting!D$14),(((Lighting!D$18-Lighting!D$16)/1000)*Lighting!D$15*Lighting!D$20*Lighting!D$21),0)*'Data Entry Electricity'!$L98</f>
        <v>0</v>
      </c>
      <c r="E97" s="658">
        <f>IF(AND($A97&gt;=Lighting!E$13,$A97&lt;=Lighting!E$14),(((Lighting!E$18-Lighting!E$16)/1000)*Lighting!E$15*Lighting!E$20*Lighting!E$21),0)*'Data Entry Electricity'!$L98</f>
        <v>0</v>
      </c>
      <c r="F97" s="658">
        <f>IF(AND($A97&gt;=Lighting!F$13,$A97&lt;=Lighting!F$14),(((Lighting!F$18-Lighting!F$16)/1000)*Lighting!F$15*Lighting!F$20*Lighting!F$21),0)*'Data Entry Electricity'!$L98</f>
        <v>0</v>
      </c>
      <c r="H97" s="659">
        <f t="shared" si="1"/>
        <v>0</v>
      </c>
    </row>
    <row r="98" spans="1:8" s="179" customFormat="1">
      <c r="A98" s="589" t="s">
        <v>978</v>
      </c>
      <c r="B98" s="658">
        <f>IF(AND($A98&gt;=Lighting!B$13,$A98&lt;=Lighting!B$14),(((Lighting!B$18-Lighting!B$16)/1000)*Lighting!B$15*Lighting!B$20*Lighting!B$21),0)*'Data Entry Electricity'!$L99</f>
        <v>0</v>
      </c>
      <c r="C98" s="658">
        <f>IF(AND($A98&gt;=Lighting!C$13,$A98&lt;=Lighting!C$14),(((Lighting!C$18-Lighting!C$16)/1000)*Lighting!C$15*Lighting!C$20*Lighting!C$21),0)*'Data Entry Electricity'!$L99</f>
        <v>0</v>
      </c>
      <c r="D98" s="658">
        <f>IF(AND($A98&gt;=Lighting!D$13,$A98&lt;=Lighting!D$14),(((Lighting!D$18-Lighting!D$16)/1000)*Lighting!D$15*Lighting!D$20*Lighting!D$21),0)*'Data Entry Electricity'!$L99</f>
        <v>0</v>
      </c>
      <c r="E98" s="658">
        <f>IF(AND($A98&gt;=Lighting!E$13,$A98&lt;=Lighting!E$14),(((Lighting!E$18-Lighting!E$16)/1000)*Lighting!E$15*Lighting!E$20*Lighting!E$21),0)*'Data Entry Electricity'!$L99</f>
        <v>0</v>
      </c>
      <c r="F98" s="658">
        <f>IF(AND($A98&gt;=Lighting!F$13,$A98&lt;=Lighting!F$14),(((Lighting!F$18-Lighting!F$16)/1000)*Lighting!F$15*Lighting!F$20*Lighting!F$21),0)*'Data Entry Electricity'!$L99</f>
        <v>0</v>
      </c>
      <c r="H98" s="659">
        <f t="shared" si="1"/>
        <v>0</v>
      </c>
    </row>
    <row r="99" spans="1:8" s="179" customFormat="1">
      <c r="A99" s="589" t="s">
        <v>979</v>
      </c>
      <c r="B99" s="658">
        <f>IF(AND($A99&gt;=Lighting!B$13,$A99&lt;=Lighting!B$14),(((Lighting!B$18-Lighting!B$16)/1000)*Lighting!B$15*Lighting!B$20*Lighting!B$21),0)*'Data Entry Electricity'!$L100</f>
        <v>0</v>
      </c>
      <c r="C99" s="658">
        <f>IF(AND($A99&gt;=Lighting!C$13,$A99&lt;=Lighting!C$14),(((Lighting!C$18-Lighting!C$16)/1000)*Lighting!C$15*Lighting!C$20*Lighting!C$21),0)*'Data Entry Electricity'!$L100</f>
        <v>0</v>
      </c>
      <c r="D99" s="658">
        <f>IF(AND($A99&gt;=Lighting!D$13,$A99&lt;=Lighting!D$14),(((Lighting!D$18-Lighting!D$16)/1000)*Lighting!D$15*Lighting!D$20*Lighting!D$21),0)*'Data Entry Electricity'!$L100</f>
        <v>0</v>
      </c>
      <c r="E99" s="658">
        <f>IF(AND($A99&gt;=Lighting!E$13,$A99&lt;=Lighting!E$14),(((Lighting!E$18-Lighting!E$16)/1000)*Lighting!E$15*Lighting!E$20*Lighting!E$21),0)*'Data Entry Electricity'!$L100</f>
        <v>0</v>
      </c>
      <c r="F99" s="658">
        <f>IF(AND($A99&gt;=Lighting!F$13,$A99&lt;=Lighting!F$14),(((Lighting!F$18-Lighting!F$16)/1000)*Lighting!F$15*Lighting!F$20*Lighting!F$21),0)*'Data Entry Electricity'!$L100</f>
        <v>0</v>
      </c>
      <c r="H99" s="659">
        <f t="shared" si="1"/>
        <v>0</v>
      </c>
    </row>
    <row r="100" spans="1:8" s="179" customFormat="1">
      <c r="A100" s="589" t="s">
        <v>980</v>
      </c>
      <c r="B100" s="658">
        <f>IF(AND($A100&gt;=Lighting!B$13,$A100&lt;=Lighting!B$14),(((Lighting!B$18-Lighting!B$16)/1000)*Lighting!B$15*Lighting!B$20*Lighting!B$21),0)*'Data Entry Electricity'!$L101</f>
        <v>0</v>
      </c>
      <c r="C100" s="658">
        <f>IF(AND($A100&gt;=Lighting!C$13,$A100&lt;=Lighting!C$14),(((Lighting!C$18-Lighting!C$16)/1000)*Lighting!C$15*Lighting!C$20*Lighting!C$21),0)*'Data Entry Electricity'!$L101</f>
        <v>0</v>
      </c>
      <c r="D100" s="658">
        <f>IF(AND($A100&gt;=Lighting!D$13,$A100&lt;=Lighting!D$14),(((Lighting!D$18-Lighting!D$16)/1000)*Lighting!D$15*Lighting!D$20*Lighting!D$21),0)*'Data Entry Electricity'!$L101</f>
        <v>0</v>
      </c>
      <c r="E100" s="658">
        <f>IF(AND($A100&gt;=Lighting!E$13,$A100&lt;=Lighting!E$14),(((Lighting!E$18-Lighting!E$16)/1000)*Lighting!E$15*Lighting!E$20*Lighting!E$21),0)*'Data Entry Electricity'!$L101</f>
        <v>0</v>
      </c>
      <c r="F100" s="658">
        <f>IF(AND($A100&gt;=Lighting!F$13,$A100&lt;=Lighting!F$14),(((Lighting!F$18-Lighting!F$16)/1000)*Lighting!F$15*Lighting!F$20*Lighting!F$21),0)*'Data Entry Electricity'!$L101</f>
        <v>0</v>
      </c>
      <c r="H100" s="659">
        <f t="shared" si="1"/>
        <v>0</v>
      </c>
    </row>
    <row r="101" spans="1:8" s="179" customFormat="1">
      <c r="A101" s="589" t="s">
        <v>981</v>
      </c>
      <c r="B101" s="658">
        <f>IF(AND($A101&gt;=Lighting!B$13,$A101&lt;=Lighting!B$14),(((Lighting!B$18-Lighting!B$16)/1000)*Lighting!B$15*Lighting!B$20*Lighting!B$21),0)*'Data Entry Electricity'!$L102</f>
        <v>0</v>
      </c>
      <c r="C101" s="658">
        <f>IF(AND($A101&gt;=Lighting!C$13,$A101&lt;=Lighting!C$14),(((Lighting!C$18-Lighting!C$16)/1000)*Lighting!C$15*Lighting!C$20*Lighting!C$21),0)*'Data Entry Electricity'!$L102</f>
        <v>0</v>
      </c>
      <c r="D101" s="658">
        <f>IF(AND($A101&gt;=Lighting!D$13,$A101&lt;=Lighting!D$14),(((Lighting!D$18-Lighting!D$16)/1000)*Lighting!D$15*Lighting!D$20*Lighting!D$21),0)*'Data Entry Electricity'!$L102</f>
        <v>0</v>
      </c>
      <c r="E101" s="658">
        <f>IF(AND($A101&gt;=Lighting!E$13,$A101&lt;=Lighting!E$14),(((Lighting!E$18-Lighting!E$16)/1000)*Lighting!E$15*Lighting!E$20*Lighting!E$21),0)*'Data Entry Electricity'!$L102</f>
        <v>0</v>
      </c>
      <c r="F101" s="658">
        <f>IF(AND($A101&gt;=Lighting!F$13,$A101&lt;=Lighting!F$14),(((Lighting!F$18-Lighting!F$16)/1000)*Lighting!F$15*Lighting!F$20*Lighting!F$21),0)*'Data Entry Electricity'!$L102</f>
        <v>0</v>
      </c>
      <c r="H101" s="659">
        <f t="shared" si="1"/>
        <v>0</v>
      </c>
    </row>
    <row r="102" spans="1:8" s="179" customFormat="1">
      <c r="A102" s="589" t="s">
        <v>982</v>
      </c>
      <c r="B102" s="658">
        <f>IF(AND($A102&gt;=Lighting!B$13,$A102&lt;=Lighting!B$14),(((Lighting!B$18-Lighting!B$16)/1000)*Lighting!B$15*Lighting!B$20*Lighting!B$21),0)*'Data Entry Electricity'!$L103</f>
        <v>0</v>
      </c>
      <c r="C102" s="658">
        <f>IF(AND($A102&gt;=Lighting!C$13,$A102&lt;=Lighting!C$14),(((Lighting!C$18-Lighting!C$16)/1000)*Lighting!C$15*Lighting!C$20*Lighting!C$21),0)*'Data Entry Electricity'!$L103</f>
        <v>0</v>
      </c>
      <c r="D102" s="658">
        <f>IF(AND($A102&gt;=Lighting!D$13,$A102&lt;=Lighting!D$14),(((Lighting!D$18-Lighting!D$16)/1000)*Lighting!D$15*Lighting!D$20*Lighting!D$21),0)*'Data Entry Electricity'!$L103</f>
        <v>0</v>
      </c>
      <c r="E102" s="658">
        <f>IF(AND($A102&gt;=Lighting!E$13,$A102&lt;=Lighting!E$14),(((Lighting!E$18-Lighting!E$16)/1000)*Lighting!E$15*Lighting!E$20*Lighting!E$21),0)*'Data Entry Electricity'!$L103</f>
        <v>0</v>
      </c>
      <c r="F102" s="658">
        <f>IF(AND($A102&gt;=Lighting!F$13,$A102&lt;=Lighting!F$14),(((Lighting!F$18-Lighting!F$16)/1000)*Lighting!F$15*Lighting!F$20*Lighting!F$21),0)*'Data Entry Electricity'!$L103</f>
        <v>0</v>
      </c>
      <c r="H102" s="659">
        <f t="shared" si="1"/>
        <v>0</v>
      </c>
    </row>
    <row r="103" spans="1:8" s="179" customFormat="1">
      <c r="A103" s="589" t="s">
        <v>983</v>
      </c>
      <c r="B103" s="658">
        <f>IF(AND($A103&gt;=Lighting!B$13,$A103&lt;=Lighting!B$14),(((Lighting!B$18-Lighting!B$16)/1000)*Lighting!B$15*Lighting!B$20*Lighting!B$21),0)*'Data Entry Electricity'!$L104</f>
        <v>0</v>
      </c>
      <c r="C103" s="658">
        <f>IF(AND($A103&gt;=Lighting!C$13,$A103&lt;=Lighting!C$14),(((Lighting!C$18-Lighting!C$16)/1000)*Lighting!C$15*Lighting!C$20*Lighting!C$21),0)*'Data Entry Electricity'!$L104</f>
        <v>0</v>
      </c>
      <c r="D103" s="658">
        <f>IF(AND($A103&gt;=Lighting!D$13,$A103&lt;=Lighting!D$14),(((Lighting!D$18-Lighting!D$16)/1000)*Lighting!D$15*Lighting!D$20*Lighting!D$21),0)*'Data Entry Electricity'!$L104</f>
        <v>0</v>
      </c>
      <c r="E103" s="658">
        <f>IF(AND($A103&gt;=Lighting!E$13,$A103&lt;=Lighting!E$14),(((Lighting!E$18-Lighting!E$16)/1000)*Lighting!E$15*Lighting!E$20*Lighting!E$21),0)*'Data Entry Electricity'!$L104</f>
        <v>0</v>
      </c>
      <c r="F103" s="658">
        <f>IF(AND($A103&gt;=Lighting!F$13,$A103&lt;=Lighting!F$14),(((Lighting!F$18-Lighting!F$16)/1000)*Lighting!F$15*Lighting!F$20*Lighting!F$21),0)*'Data Entry Electricity'!$L104</f>
        <v>0</v>
      </c>
      <c r="H103" s="659">
        <f t="shared" si="1"/>
        <v>0</v>
      </c>
    </row>
    <row r="104" spans="1:8" s="179" customFormat="1">
      <c r="A104" s="589" t="s">
        <v>984</v>
      </c>
      <c r="B104" s="658">
        <f>IF(AND($A104&gt;=Lighting!B$13,$A104&lt;=Lighting!B$14),(((Lighting!B$18-Lighting!B$16)/1000)*Lighting!B$15*Lighting!B$20*Lighting!B$21),0)*'Data Entry Electricity'!$L105</f>
        <v>0</v>
      </c>
      <c r="C104" s="658">
        <f>IF(AND($A104&gt;=Lighting!C$13,$A104&lt;=Lighting!C$14),(((Lighting!C$18-Lighting!C$16)/1000)*Lighting!C$15*Lighting!C$20*Lighting!C$21),0)*'Data Entry Electricity'!$L105</f>
        <v>0</v>
      </c>
      <c r="D104" s="658">
        <f>IF(AND($A104&gt;=Lighting!D$13,$A104&lt;=Lighting!D$14),(((Lighting!D$18-Lighting!D$16)/1000)*Lighting!D$15*Lighting!D$20*Lighting!D$21),0)*'Data Entry Electricity'!$L105</f>
        <v>0</v>
      </c>
      <c r="E104" s="658">
        <f>IF(AND($A104&gt;=Lighting!E$13,$A104&lt;=Lighting!E$14),(((Lighting!E$18-Lighting!E$16)/1000)*Lighting!E$15*Lighting!E$20*Lighting!E$21),0)*'Data Entry Electricity'!$L105</f>
        <v>0</v>
      </c>
      <c r="F104" s="658">
        <f>IF(AND($A104&gt;=Lighting!F$13,$A104&lt;=Lighting!F$14),(((Lighting!F$18-Lighting!F$16)/1000)*Lighting!F$15*Lighting!F$20*Lighting!F$21),0)*'Data Entry Electricity'!$L105</f>
        <v>0</v>
      </c>
      <c r="H104" s="659">
        <f t="shared" si="1"/>
        <v>0</v>
      </c>
    </row>
    <row r="105" spans="1:8" s="179" customFormat="1">
      <c r="A105" s="589" t="s">
        <v>985</v>
      </c>
      <c r="B105" s="658">
        <f>IF(AND($A105&gt;=Lighting!B$13,$A105&lt;=Lighting!B$14),(((Lighting!B$18-Lighting!B$16)/1000)*Lighting!B$15*Lighting!B$20*Lighting!B$21),0)*'Data Entry Electricity'!$L106</f>
        <v>0</v>
      </c>
      <c r="C105" s="658">
        <f>IF(AND($A105&gt;=Lighting!C$13,$A105&lt;=Lighting!C$14),(((Lighting!C$18-Lighting!C$16)/1000)*Lighting!C$15*Lighting!C$20*Lighting!C$21),0)*'Data Entry Electricity'!$L106</f>
        <v>0</v>
      </c>
      <c r="D105" s="658">
        <f>IF(AND($A105&gt;=Lighting!D$13,$A105&lt;=Lighting!D$14),(((Lighting!D$18-Lighting!D$16)/1000)*Lighting!D$15*Lighting!D$20*Lighting!D$21),0)*'Data Entry Electricity'!$L106</f>
        <v>0</v>
      </c>
      <c r="E105" s="658">
        <f>IF(AND($A105&gt;=Lighting!E$13,$A105&lt;=Lighting!E$14),(((Lighting!E$18-Lighting!E$16)/1000)*Lighting!E$15*Lighting!E$20*Lighting!E$21),0)*'Data Entry Electricity'!$L106</f>
        <v>0</v>
      </c>
      <c r="F105" s="658">
        <f>IF(AND($A105&gt;=Lighting!F$13,$A105&lt;=Lighting!F$14),(((Lighting!F$18-Lighting!F$16)/1000)*Lighting!F$15*Lighting!F$20*Lighting!F$21),0)*'Data Entry Electricity'!$L106</f>
        <v>0</v>
      </c>
      <c r="H105" s="659">
        <f t="shared" si="1"/>
        <v>0</v>
      </c>
    </row>
    <row r="106" spans="1:8" s="179" customFormat="1">
      <c r="A106" s="589" t="s">
        <v>986</v>
      </c>
      <c r="B106" s="658">
        <f>IF(AND($A106&gt;=Lighting!B$13,$A106&lt;=Lighting!B$14),(((Lighting!B$18-Lighting!B$16)/1000)*Lighting!B$15*Lighting!B$20*Lighting!B$21),0)*'Data Entry Electricity'!$L107</f>
        <v>0</v>
      </c>
      <c r="C106" s="658">
        <f>IF(AND($A106&gt;=Lighting!C$13,$A106&lt;=Lighting!C$14),(((Lighting!C$18-Lighting!C$16)/1000)*Lighting!C$15*Lighting!C$20*Lighting!C$21),0)*'Data Entry Electricity'!$L107</f>
        <v>0</v>
      </c>
      <c r="D106" s="658">
        <f>IF(AND($A106&gt;=Lighting!D$13,$A106&lt;=Lighting!D$14),(((Lighting!D$18-Lighting!D$16)/1000)*Lighting!D$15*Lighting!D$20*Lighting!D$21),0)*'Data Entry Electricity'!$L107</f>
        <v>0</v>
      </c>
      <c r="E106" s="658">
        <f>IF(AND($A106&gt;=Lighting!E$13,$A106&lt;=Lighting!E$14),(((Lighting!E$18-Lighting!E$16)/1000)*Lighting!E$15*Lighting!E$20*Lighting!E$21),0)*'Data Entry Electricity'!$L107</f>
        <v>0</v>
      </c>
      <c r="F106" s="658">
        <f>IF(AND($A106&gt;=Lighting!F$13,$A106&lt;=Lighting!F$14),(((Lighting!F$18-Lighting!F$16)/1000)*Lighting!F$15*Lighting!F$20*Lighting!F$21),0)*'Data Entry Electricity'!$L107</f>
        <v>0</v>
      </c>
      <c r="H106" s="659">
        <f t="shared" si="1"/>
        <v>0</v>
      </c>
    </row>
    <row r="107" spans="1:8" s="179" customFormat="1">
      <c r="A107" s="589" t="s">
        <v>987</v>
      </c>
      <c r="B107" s="658">
        <f>IF(AND($A107&gt;=Lighting!B$13,$A107&lt;=Lighting!B$14),(((Lighting!B$18-Lighting!B$16)/1000)*Lighting!B$15*Lighting!B$20*Lighting!B$21),0)*'Data Entry Electricity'!$L108</f>
        <v>0</v>
      </c>
      <c r="C107" s="658">
        <f>IF(AND($A107&gt;=Lighting!C$13,$A107&lt;=Lighting!C$14),(((Lighting!C$18-Lighting!C$16)/1000)*Lighting!C$15*Lighting!C$20*Lighting!C$21),0)*'Data Entry Electricity'!$L108</f>
        <v>0</v>
      </c>
      <c r="D107" s="658">
        <f>IF(AND($A107&gt;=Lighting!D$13,$A107&lt;=Lighting!D$14),(((Lighting!D$18-Lighting!D$16)/1000)*Lighting!D$15*Lighting!D$20*Lighting!D$21),0)*'Data Entry Electricity'!$L108</f>
        <v>0</v>
      </c>
      <c r="E107" s="658">
        <f>IF(AND($A107&gt;=Lighting!E$13,$A107&lt;=Lighting!E$14),(((Lighting!E$18-Lighting!E$16)/1000)*Lighting!E$15*Lighting!E$20*Lighting!E$21),0)*'Data Entry Electricity'!$L108</f>
        <v>0</v>
      </c>
      <c r="F107" s="658">
        <f>IF(AND($A107&gt;=Lighting!F$13,$A107&lt;=Lighting!F$14),(((Lighting!F$18-Lighting!F$16)/1000)*Lighting!F$15*Lighting!F$20*Lighting!F$21),0)*'Data Entry Electricity'!$L108</f>
        <v>0</v>
      </c>
      <c r="H107" s="659">
        <f t="shared" si="1"/>
        <v>0</v>
      </c>
    </row>
    <row r="108" spans="1:8" s="179" customFormat="1">
      <c r="A108" s="589" t="s">
        <v>988</v>
      </c>
      <c r="B108" s="658">
        <f>IF(AND($A108&gt;=Lighting!B$13,$A108&lt;=Lighting!B$14),(((Lighting!B$18-Lighting!B$16)/1000)*Lighting!B$15*Lighting!B$20*Lighting!B$21),0)*'Data Entry Electricity'!$L109</f>
        <v>0</v>
      </c>
      <c r="C108" s="658">
        <f>IF(AND($A108&gt;=Lighting!C$13,$A108&lt;=Lighting!C$14),(((Lighting!C$18-Lighting!C$16)/1000)*Lighting!C$15*Lighting!C$20*Lighting!C$21),0)*'Data Entry Electricity'!$L109</f>
        <v>0</v>
      </c>
      <c r="D108" s="658">
        <f>IF(AND($A108&gt;=Lighting!D$13,$A108&lt;=Lighting!D$14),(((Lighting!D$18-Lighting!D$16)/1000)*Lighting!D$15*Lighting!D$20*Lighting!D$21),0)*'Data Entry Electricity'!$L109</f>
        <v>0</v>
      </c>
      <c r="E108" s="658">
        <f>IF(AND($A108&gt;=Lighting!E$13,$A108&lt;=Lighting!E$14),(((Lighting!E$18-Lighting!E$16)/1000)*Lighting!E$15*Lighting!E$20*Lighting!E$21),0)*'Data Entry Electricity'!$L109</f>
        <v>0</v>
      </c>
      <c r="F108" s="658">
        <f>IF(AND($A108&gt;=Lighting!F$13,$A108&lt;=Lighting!F$14),(((Lighting!F$18-Lighting!F$16)/1000)*Lighting!F$15*Lighting!F$20*Lighting!F$21),0)*'Data Entry Electricity'!$L109</f>
        <v>0</v>
      </c>
      <c r="H108" s="659">
        <f t="shared" si="1"/>
        <v>0</v>
      </c>
    </row>
    <row r="109" spans="1:8" s="179" customFormat="1">
      <c r="A109" s="589" t="s">
        <v>989</v>
      </c>
      <c r="B109" s="658">
        <f>IF(AND($A109&gt;=Lighting!B$13,$A109&lt;=Lighting!B$14),(((Lighting!B$18-Lighting!B$16)/1000)*Lighting!B$15*Lighting!B$20*Lighting!B$21),0)*'Data Entry Electricity'!$L110</f>
        <v>0</v>
      </c>
      <c r="C109" s="658">
        <f>IF(AND($A109&gt;=Lighting!C$13,$A109&lt;=Lighting!C$14),(((Lighting!C$18-Lighting!C$16)/1000)*Lighting!C$15*Lighting!C$20*Lighting!C$21),0)*'Data Entry Electricity'!$L110</f>
        <v>0</v>
      </c>
      <c r="D109" s="658">
        <f>IF(AND($A109&gt;=Lighting!D$13,$A109&lt;=Lighting!D$14),(((Lighting!D$18-Lighting!D$16)/1000)*Lighting!D$15*Lighting!D$20*Lighting!D$21),0)*'Data Entry Electricity'!$L110</f>
        <v>0</v>
      </c>
      <c r="E109" s="658">
        <f>IF(AND($A109&gt;=Lighting!E$13,$A109&lt;=Lighting!E$14),(((Lighting!E$18-Lighting!E$16)/1000)*Lighting!E$15*Lighting!E$20*Lighting!E$21),0)*'Data Entry Electricity'!$L110</f>
        <v>0</v>
      </c>
      <c r="F109" s="658">
        <f>IF(AND($A109&gt;=Lighting!F$13,$A109&lt;=Lighting!F$14),(((Lighting!F$18-Lighting!F$16)/1000)*Lighting!F$15*Lighting!F$20*Lighting!F$21),0)*'Data Entry Electricity'!$L110</f>
        <v>0</v>
      </c>
      <c r="H109" s="659">
        <f t="shared" si="1"/>
        <v>0</v>
      </c>
    </row>
    <row r="110" spans="1:8" s="179" customFormat="1">
      <c r="A110" s="589" t="s">
        <v>990</v>
      </c>
      <c r="B110" s="658">
        <f>IF(AND($A110&gt;=Lighting!B$13,$A110&lt;=Lighting!B$14),(((Lighting!B$18-Lighting!B$16)/1000)*Lighting!B$15*Lighting!B$20*Lighting!B$21),0)*'Data Entry Electricity'!$L111</f>
        <v>0</v>
      </c>
      <c r="C110" s="658">
        <f>IF(AND($A110&gt;=Lighting!C$13,$A110&lt;=Lighting!C$14),(((Lighting!C$18-Lighting!C$16)/1000)*Lighting!C$15*Lighting!C$20*Lighting!C$21),0)*'Data Entry Electricity'!$L111</f>
        <v>0</v>
      </c>
      <c r="D110" s="658">
        <f>IF(AND($A110&gt;=Lighting!D$13,$A110&lt;=Lighting!D$14),(((Lighting!D$18-Lighting!D$16)/1000)*Lighting!D$15*Lighting!D$20*Lighting!D$21),0)*'Data Entry Electricity'!$L111</f>
        <v>0</v>
      </c>
      <c r="E110" s="658">
        <f>IF(AND($A110&gt;=Lighting!E$13,$A110&lt;=Lighting!E$14),(((Lighting!E$18-Lighting!E$16)/1000)*Lighting!E$15*Lighting!E$20*Lighting!E$21),0)*'Data Entry Electricity'!$L111</f>
        <v>0</v>
      </c>
      <c r="F110" s="658">
        <f>IF(AND($A110&gt;=Lighting!F$13,$A110&lt;=Lighting!F$14),(((Lighting!F$18-Lighting!F$16)/1000)*Lighting!F$15*Lighting!F$20*Lighting!F$21),0)*'Data Entry Electricity'!$L111</f>
        <v>0</v>
      </c>
      <c r="H110" s="659">
        <f t="shared" si="1"/>
        <v>0</v>
      </c>
    </row>
    <row r="111" spans="1:8" s="179" customFormat="1">
      <c r="A111" s="589" t="s">
        <v>991</v>
      </c>
      <c r="B111" s="658">
        <f>IF(AND($A111&gt;=Lighting!B$13,$A111&lt;=Lighting!B$14),(((Lighting!B$18-Lighting!B$16)/1000)*Lighting!B$15*Lighting!B$20*Lighting!B$21),0)*'Data Entry Electricity'!$L112</f>
        <v>0</v>
      </c>
      <c r="C111" s="658">
        <f>IF(AND($A111&gt;=Lighting!C$13,$A111&lt;=Lighting!C$14),(((Lighting!C$18-Lighting!C$16)/1000)*Lighting!C$15*Lighting!C$20*Lighting!C$21),0)*'Data Entry Electricity'!$L112</f>
        <v>0</v>
      </c>
      <c r="D111" s="658">
        <f>IF(AND($A111&gt;=Lighting!D$13,$A111&lt;=Lighting!D$14),(((Lighting!D$18-Lighting!D$16)/1000)*Lighting!D$15*Lighting!D$20*Lighting!D$21),0)*'Data Entry Electricity'!$L112</f>
        <v>0</v>
      </c>
      <c r="E111" s="658">
        <f>IF(AND($A111&gt;=Lighting!E$13,$A111&lt;=Lighting!E$14),(((Lighting!E$18-Lighting!E$16)/1000)*Lighting!E$15*Lighting!E$20*Lighting!E$21),0)*'Data Entry Electricity'!$L112</f>
        <v>0</v>
      </c>
      <c r="F111" s="658">
        <f>IF(AND($A111&gt;=Lighting!F$13,$A111&lt;=Lighting!F$14),(((Lighting!F$18-Lighting!F$16)/1000)*Lighting!F$15*Lighting!F$20*Lighting!F$21),0)*'Data Entry Electricity'!$L112</f>
        <v>0</v>
      </c>
      <c r="H111" s="659">
        <f t="shared" si="1"/>
        <v>0</v>
      </c>
    </row>
    <row r="112" spans="1:8" s="179" customFormat="1">
      <c r="A112" s="589" t="s">
        <v>992</v>
      </c>
      <c r="B112" s="658">
        <f>IF(AND($A112&gt;=Lighting!B$13,$A112&lt;=Lighting!B$14),(((Lighting!B$18-Lighting!B$16)/1000)*Lighting!B$15*Lighting!B$20*Lighting!B$21),0)*'Data Entry Electricity'!$L113</f>
        <v>0</v>
      </c>
      <c r="C112" s="658">
        <f>IF(AND($A112&gt;=Lighting!C$13,$A112&lt;=Lighting!C$14),(((Lighting!C$18-Lighting!C$16)/1000)*Lighting!C$15*Lighting!C$20*Lighting!C$21),0)*'Data Entry Electricity'!$L113</f>
        <v>0</v>
      </c>
      <c r="D112" s="658">
        <f>IF(AND($A112&gt;=Lighting!D$13,$A112&lt;=Lighting!D$14),(((Lighting!D$18-Lighting!D$16)/1000)*Lighting!D$15*Lighting!D$20*Lighting!D$21),0)*'Data Entry Electricity'!$L113</f>
        <v>0</v>
      </c>
      <c r="E112" s="658">
        <f>IF(AND($A112&gt;=Lighting!E$13,$A112&lt;=Lighting!E$14),(((Lighting!E$18-Lighting!E$16)/1000)*Lighting!E$15*Lighting!E$20*Lighting!E$21),0)*'Data Entry Electricity'!$L113</f>
        <v>0</v>
      </c>
      <c r="F112" s="658">
        <f>IF(AND($A112&gt;=Lighting!F$13,$A112&lt;=Lighting!F$14),(((Lighting!F$18-Lighting!F$16)/1000)*Lighting!F$15*Lighting!F$20*Lighting!F$21),0)*'Data Entry Electricity'!$L113</f>
        <v>0</v>
      </c>
      <c r="H112" s="659">
        <f t="shared" si="1"/>
        <v>0</v>
      </c>
    </row>
    <row r="113" spans="1:8" s="179" customFormat="1">
      <c r="A113" s="589" t="s">
        <v>993</v>
      </c>
      <c r="B113" s="658">
        <f>IF(AND($A113&gt;=Lighting!B$13,$A113&lt;=Lighting!B$14),(((Lighting!B$18-Lighting!B$16)/1000)*Lighting!B$15*Lighting!B$20*Lighting!B$21),0)*'Data Entry Electricity'!$L114</f>
        <v>0</v>
      </c>
      <c r="C113" s="658">
        <f>IF(AND($A113&gt;=Lighting!C$13,$A113&lt;=Lighting!C$14),(((Lighting!C$18-Lighting!C$16)/1000)*Lighting!C$15*Lighting!C$20*Lighting!C$21),0)*'Data Entry Electricity'!$L114</f>
        <v>0</v>
      </c>
      <c r="D113" s="658">
        <f>IF(AND($A113&gt;=Lighting!D$13,$A113&lt;=Lighting!D$14),(((Lighting!D$18-Lighting!D$16)/1000)*Lighting!D$15*Lighting!D$20*Lighting!D$21),0)*'Data Entry Electricity'!$L114</f>
        <v>0</v>
      </c>
      <c r="E113" s="658">
        <f>IF(AND($A113&gt;=Lighting!E$13,$A113&lt;=Lighting!E$14),(((Lighting!E$18-Lighting!E$16)/1000)*Lighting!E$15*Lighting!E$20*Lighting!E$21),0)*'Data Entry Electricity'!$L114</f>
        <v>0</v>
      </c>
      <c r="F113" s="658">
        <f>IF(AND($A113&gt;=Lighting!F$13,$A113&lt;=Lighting!F$14),(((Lighting!F$18-Lighting!F$16)/1000)*Lighting!F$15*Lighting!F$20*Lighting!F$21),0)*'Data Entry Electricity'!$L114</f>
        <v>0</v>
      </c>
      <c r="H113" s="659">
        <f t="shared" si="1"/>
        <v>0</v>
      </c>
    </row>
    <row r="114" spans="1:8" s="179" customFormat="1">
      <c r="A114" s="589" t="s">
        <v>994</v>
      </c>
      <c r="B114" s="658">
        <f>IF(AND($A114&gt;=Lighting!B$13,$A114&lt;=Lighting!B$14),(((Lighting!B$18-Lighting!B$16)/1000)*Lighting!B$15*Lighting!B$20*Lighting!B$21),0)*'Data Entry Electricity'!$L115</f>
        <v>0</v>
      </c>
      <c r="C114" s="658">
        <f>IF(AND($A114&gt;=Lighting!C$13,$A114&lt;=Lighting!C$14),(((Lighting!C$18-Lighting!C$16)/1000)*Lighting!C$15*Lighting!C$20*Lighting!C$21),0)*'Data Entry Electricity'!$L115</f>
        <v>0</v>
      </c>
      <c r="D114" s="658">
        <f>IF(AND($A114&gt;=Lighting!D$13,$A114&lt;=Lighting!D$14),(((Lighting!D$18-Lighting!D$16)/1000)*Lighting!D$15*Lighting!D$20*Lighting!D$21),0)*'Data Entry Electricity'!$L115</f>
        <v>0</v>
      </c>
      <c r="E114" s="658">
        <f>IF(AND($A114&gt;=Lighting!E$13,$A114&lt;=Lighting!E$14),(((Lighting!E$18-Lighting!E$16)/1000)*Lighting!E$15*Lighting!E$20*Lighting!E$21),0)*'Data Entry Electricity'!$L115</f>
        <v>0</v>
      </c>
      <c r="F114" s="658">
        <f>IF(AND($A114&gt;=Lighting!F$13,$A114&lt;=Lighting!F$14),(((Lighting!F$18-Lighting!F$16)/1000)*Lighting!F$15*Lighting!F$20*Lighting!F$21),0)*'Data Entry Electricity'!$L115</f>
        <v>0</v>
      </c>
      <c r="H114" s="659">
        <f t="shared" si="1"/>
        <v>0</v>
      </c>
    </row>
    <row r="115" spans="1:8" s="179" customFormat="1">
      <c r="A115" s="589" t="s">
        <v>995</v>
      </c>
      <c r="B115" s="658">
        <f>IF(AND($A115&gt;=Lighting!B$13,$A115&lt;=Lighting!B$14),(((Lighting!B$18-Lighting!B$16)/1000)*Lighting!B$15*Lighting!B$20*Lighting!B$21),0)*'Data Entry Electricity'!$L116</f>
        <v>0</v>
      </c>
      <c r="C115" s="658">
        <f>IF(AND($A115&gt;=Lighting!C$13,$A115&lt;=Lighting!C$14),(((Lighting!C$18-Lighting!C$16)/1000)*Lighting!C$15*Lighting!C$20*Lighting!C$21),0)*'Data Entry Electricity'!$L116</f>
        <v>0</v>
      </c>
      <c r="D115" s="658">
        <f>IF(AND($A115&gt;=Lighting!D$13,$A115&lt;=Lighting!D$14),(((Lighting!D$18-Lighting!D$16)/1000)*Lighting!D$15*Lighting!D$20*Lighting!D$21),0)*'Data Entry Electricity'!$L116</f>
        <v>0</v>
      </c>
      <c r="E115" s="658">
        <f>IF(AND($A115&gt;=Lighting!E$13,$A115&lt;=Lighting!E$14),(((Lighting!E$18-Lighting!E$16)/1000)*Lighting!E$15*Lighting!E$20*Lighting!E$21),0)*'Data Entry Electricity'!$L116</f>
        <v>0</v>
      </c>
      <c r="F115" s="658">
        <f>IF(AND($A115&gt;=Lighting!F$13,$A115&lt;=Lighting!F$14),(((Lighting!F$18-Lighting!F$16)/1000)*Lighting!F$15*Lighting!F$20*Lighting!F$21),0)*'Data Entry Electricity'!$L116</f>
        <v>0</v>
      </c>
      <c r="H115" s="659">
        <f t="shared" si="1"/>
        <v>0</v>
      </c>
    </row>
    <row r="116" spans="1:8" s="179" customFormat="1">
      <c r="A116" s="589" t="s">
        <v>996</v>
      </c>
      <c r="B116" s="658">
        <f>IF(AND($A116&gt;=Lighting!B$13,$A116&lt;=Lighting!B$14),(((Lighting!B$18-Lighting!B$16)/1000)*Lighting!B$15*Lighting!B$20*Lighting!B$21),0)*'Data Entry Electricity'!$L117</f>
        <v>0</v>
      </c>
      <c r="C116" s="658">
        <f>IF(AND($A116&gt;=Lighting!C$13,$A116&lt;=Lighting!C$14),(((Lighting!C$18-Lighting!C$16)/1000)*Lighting!C$15*Lighting!C$20*Lighting!C$21),0)*'Data Entry Electricity'!$L117</f>
        <v>0</v>
      </c>
      <c r="D116" s="658">
        <f>IF(AND($A116&gt;=Lighting!D$13,$A116&lt;=Lighting!D$14),(((Lighting!D$18-Lighting!D$16)/1000)*Lighting!D$15*Lighting!D$20*Lighting!D$21),0)*'Data Entry Electricity'!$L117</f>
        <v>0</v>
      </c>
      <c r="E116" s="658">
        <f>IF(AND($A116&gt;=Lighting!E$13,$A116&lt;=Lighting!E$14),(((Lighting!E$18-Lighting!E$16)/1000)*Lighting!E$15*Lighting!E$20*Lighting!E$21),0)*'Data Entry Electricity'!$L117</f>
        <v>0</v>
      </c>
      <c r="F116" s="658">
        <f>IF(AND($A116&gt;=Lighting!F$13,$A116&lt;=Lighting!F$14),(((Lighting!F$18-Lighting!F$16)/1000)*Lighting!F$15*Lighting!F$20*Lighting!F$21),0)*'Data Entry Electricity'!$L117</f>
        <v>0</v>
      </c>
      <c r="H116" s="659">
        <f t="shared" si="1"/>
        <v>0</v>
      </c>
    </row>
    <row r="117" spans="1:8" s="179" customFormat="1">
      <c r="A117" s="589" t="s">
        <v>997</v>
      </c>
      <c r="B117" s="658">
        <f>IF(AND($A117&gt;=Lighting!B$13,$A117&lt;=Lighting!B$14),(((Lighting!B$18-Lighting!B$16)/1000)*Lighting!B$15*Lighting!B$20*Lighting!B$21),0)*'Data Entry Electricity'!$L118</f>
        <v>0</v>
      </c>
      <c r="C117" s="658">
        <f>IF(AND($A117&gt;=Lighting!C$13,$A117&lt;=Lighting!C$14),(((Lighting!C$18-Lighting!C$16)/1000)*Lighting!C$15*Lighting!C$20*Lighting!C$21),0)*'Data Entry Electricity'!$L118</f>
        <v>0</v>
      </c>
      <c r="D117" s="658">
        <f>IF(AND($A117&gt;=Lighting!D$13,$A117&lt;=Lighting!D$14),(((Lighting!D$18-Lighting!D$16)/1000)*Lighting!D$15*Lighting!D$20*Lighting!D$21),0)*'Data Entry Electricity'!$L118</f>
        <v>0</v>
      </c>
      <c r="E117" s="658">
        <f>IF(AND($A117&gt;=Lighting!E$13,$A117&lt;=Lighting!E$14),(((Lighting!E$18-Lighting!E$16)/1000)*Lighting!E$15*Lighting!E$20*Lighting!E$21),0)*'Data Entry Electricity'!$L118</f>
        <v>0</v>
      </c>
      <c r="F117" s="658">
        <f>IF(AND($A117&gt;=Lighting!F$13,$A117&lt;=Lighting!F$14),(((Lighting!F$18-Lighting!F$16)/1000)*Lighting!F$15*Lighting!F$20*Lighting!F$21),0)*'Data Entry Electricity'!$L118</f>
        <v>0</v>
      </c>
      <c r="H117" s="659">
        <f t="shared" si="1"/>
        <v>0</v>
      </c>
    </row>
    <row r="118" spans="1:8" s="179" customFormat="1">
      <c r="A118" s="589" t="s">
        <v>998</v>
      </c>
      <c r="B118" s="658">
        <f>IF(AND($A118&gt;=Lighting!B$13,$A118&lt;=Lighting!B$14),(((Lighting!B$18-Lighting!B$16)/1000)*Lighting!B$15*Lighting!B$20*Lighting!B$21),0)*'Data Entry Electricity'!$L119</f>
        <v>0</v>
      </c>
      <c r="C118" s="658">
        <f>IF(AND($A118&gt;=Lighting!C$13,$A118&lt;=Lighting!C$14),(((Lighting!C$18-Lighting!C$16)/1000)*Lighting!C$15*Lighting!C$20*Lighting!C$21),0)*'Data Entry Electricity'!$L119</f>
        <v>0</v>
      </c>
      <c r="D118" s="658">
        <f>IF(AND($A118&gt;=Lighting!D$13,$A118&lt;=Lighting!D$14),(((Lighting!D$18-Lighting!D$16)/1000)*Lighting!D$15*Lighting!D$20*Lighting!D$21),0)*'Data Entry Electricity'!$L119</f>
        <v>0</v>
      </c>
      <c r="E118" s="658">
        <f>IF(AND($A118&gt;=Lighting!E$13,$A118&lt;=Lighting!E$14),(((Lighting!E$18-Lighting!E$16)/1000)*Lighting!E$15*Lighting!E$20*Lighting!E$21),0)*'Data Entry Electricity'!$L119</f>
        <v>0</v>
      </c>
      <c r="F118" s="658">
        <f>IF(AND($A118&gt;=Lighting!F$13,$A118&lt;=Lighting!F$14),(((Lighting!F$18-Lighting!F$16)/1000)*Lighting!F$15*Lighting!F$20*Lighting!F$21),0)*'Data Entry Electricity'!$L119</f>
        <v>0</v>
      </c>
      <c r="H118" s="659">
        <f t="shared" si="1"/>
        <v>0</v>
      </c>
    </row>
    <row r="119" spans="1:8" s="179" customFormat="1">
      <c r="A119" s="589" t="s">
        <v>999</v>
      </c>
      <c r="B119" s="658">
        <f>IF(AND($A119&gt;=Lighting!B$13,$A119&lt;=Lighting!B$14),(((Lighting!B$18-Lighting!B$16)/1000)*Lighting!B$15*Lighting!B$20*Lighting!B$21),0)*'Data Entry Electricity'!$L120</f>
        <v>0</v>
      </c>
      <c r="C119" s="658">
        <f>IF(AND($A119&gt;=Lighting!C$13,$A119&lt;=Lighting!C$14),(((Lighting!C$18-Lighting!C$16)/1000)*Lighting!C$15*Lighting!C$20*Lighting!C$21),0)*'Data Entry Electricity'!$L120</f>
        <v>0</v>
      </c>
      <c r="D119" s="658">
        <f>IF(AND($A119&gt;=Lighting!D$13,$A119&lt;=Lighting!D$14),(((Lighting!D$18-Lighting!D$16)/1000)*Lighting!D$15*Lighting!D$20*Lighting!D$21),0)*'Data Entry Electricity'!$L120</f>
        <v>0</v>
      </c>
      <c r="E119" s="658">
        <f>IF(AND($A119&gt;=Lighting!E$13,$A119&lt;=Lighting!E$14),(((Lighting!E$18-Lighting!E$16)/1000)*Lighting!E$15*Lighting!E$20*Lighting!E$21),0)*'Data Entry Electricity'!$L120</f>
        <v>0</v>
      </c>
      <c r="F119" s="658">
        <f>IF(AND($A119&gt;=Lighting!F$13,$A119&lt;=Lighting!F$14),(((Lighting!F$18-Lighting!F$16)/1000)*Lighting!F$15*Lighting!F$20*Lighting!F$21),0)*'Data Entry Electricity'!$L120</f>
        <v>0</v>
      </c>
      <c r="H119" s="659">
        <f t="shared" si="1"/>
        <v>0</v>
      </c>
    </row>
    <row r="122" spans="1:8">
      <c r="A122" s="114" t="s">
        <v>112</v>
      </c>
      <c r="B122" s="115">
        <f>SUM(B3:B119)</f>
        <v>0</v>
      </c>
      <c r="C122" s="115">
        <f t="shared" ref="C122:F122" si="2">SUM(C3:C119)</f>
        <v>0</v>
      </c>
      <c r="D122" s="115">
        <f t="shared" si="2"/>
        <v>0</v>
      </c>
      <c r="E122" s="115">
        <f t="shared" si="2"/>
        <v>0</v>
      </c>
      <c r="F122" s="115">
        <f t="shared" si="2"/>
        <v>0</v>
      </c>
    </row>
  </sheetData>
  <mergeCells count="1">
    <mergeCell ref="H1:H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workbookViewId="0">
      <selection activeCell="J34" sqref="J34"/>
    </sheetView>
  </sheetViews>
  <sheetFormatPr defaultRowHeight="15"/>
  <cols>
    <col min="1" max="1" width="12.85546875" style="67" bestFit="1" customWidth="1"/>
    <col min="7" max="7" width="9.140625" style="72"/>
  </cols>
  <sheetData>
    <row r="1" spans="1:8" ht="18" customHeight="1">
      <c r="A1" s="67" t="s">
        <v>1020</v>
      </c>
      <c r="H1" s="939" t="s">
        <v>224</v>
      </c>
    </row>
    <row r="2" spans="1:8" s="60" customFormat="1" ht="15" customHeight="1">
      <c r="A2" s="67"/>
      <c r="B2" s="69" t="str">
        <f>Lighting!B28</f>
        <v>Main Offices Undercroft</v>
      </c>
      <c r="C2" s="69" t="str">
        <f>Lighting!C28</f>
        <v>Main Offices Undercroft</v>
      </c>
      <c r="D2" s="69">
        <f>Lighting!D28</f>
        <v>0</v>
      </c>
      <c r="E2" s="69">
        <f>Lighting!E28</f>
        <v>0</v>
      </c>
      <c r="F2" s="69">
        <f>Lighting!F28</f>
        <v>0</v>
      </c>
      <c r="G2" s="72"/>
      <c r="H2" s="940"/>
    </row>
    <row r="3" spans="1:8">
      <c r="A3" s="65" t="s">
        <v>31</v>
      </c>
      <c r="B3">
        <f>IF(AND($A3&gt;=Lighting!B$30,$A3&lt;=Lighting!B$31),(Lighting!B$32*Lighting!B$33*Lighting!B$34),0)*'Data Entry Electricity'!$L4</f>
        <v>0</v>
      </c>
      <c r="C3" s="738">
        <f>IF(AND($A3&gt;=Lighting!C$30,$A3&lt;=Lighting!C$31),(Lighting!C$32*Lighting!C$33*Lighting!C$34),0)*'Data Entry Electricity'!$L4</f>
        <v>0</v>
      </c>
      <c r="D3" s="738">
        <f>IF(AND($A3&gt;=Lighting!D$30,$A3&lt;=Lighting!D$31),(Lighting!D$32*Lighting!D$33*Lighting!D$34),0)*'Data Entry Electricity'!$L4</f>
        <v>0</v>
      </c>
      <c r="E3" s="738">
        <f>IF(AND($A3&gt;=Lighting!E$30,$A3&lt;=Lighting!E$31),(Lighting!E$32*Lighting!E$33*Lighting!E$34),0)*'Data Entry Electricity'!$L4</f>
        <v>0</v>
      </c>
      <c r="F3" s="738">
        <f>IF(AND($A3&gt;=Lighting!F$30,$A3&lt;=Lighting!F$31),(Lighting!F$32*Lighting!F$33*Lighting!F$34),0)*'Data Entry Electricity'!$L4</f>
        <v>0</v>
      </c>
      <c r="H3" s="62">
        <f>SUM(B3:F3)</f>
        <v>0</v>
      </c>
    </row>
    <row r="4" spans="1:8">
      <c r="A4" s="65" t="s">
        <v>32</v>
      </c>
      <c r="B4" s="738">
        <f>IF(AND($A4&gt;=Lighting!B$30,$A4&lt;=Lighting!B$31),(Lighting!B$32*Lighting!B$33*Lighting!B$34),0)*'Data Entry Electricity'!$L5</f>
        <v>0</v>
      </c>
      <c r="C4" s="738">
        <f>IF(AND($A4&gt;=Lighting!C$30,$A4&lt;=Lighting!C$31),(Lighting!C$32*Lighting!C$33*Lighting!C$34),0)*'Data Entry Electricity'!$L5</f>
        <v>0</v>
      </c>
      <c r="D4" s="738">
        <f>IF(AND($A4&gt;=Lighting!D$30,$A4&lt;=Lighting!D$31),(Lighting!D$32*Lighting!D$33*Lighting!D$34),0)*'Data Entry Electricity'!$L5</f>
        <v>0</v>
      </c>
      <c r="E4" s="738">
        <f>IF(AND($A4&gt;=Lighting!E$30,$A4&lt;=Lighting!E$31),(Lighting!E$32*Lighting!E$33*Lighting!E$34),0)*'Data Entry Electricity'!$L5</f>
        <v>0</v>
      </c>
      <c r="F4" s="738">
        <f>IF(AND($A4&gt;=Lighting!F$30,$A4&lt;=Lighting!F$31),(Lighting!F$32*Lighting!F$33*Lighting!F$34),0)*'Data Entry Electricity'!$L5</f>
        <v>0</v>
      </c>
      <c r="H4" s="62">
        <f t="shared" ref="H4:H67" si="0">SUM(B4:F4)</f>
        <v>0</v>
      </c>
    </row>
    <row r="5" spans="1:8">
      <c r="A5" s="65" t="s">
        <v>33</v>
      </c>
      <c r="B5" s="738">
        <f>IF(AND($A5&gt;=Lighting!B$30,$A5&lt;=Lighting!B$31),(Lighting!B$32*Lighting!B$33*Lighting!B$34),0)*'Data Entry Electricity'!$L6</f>
        <v>0</v>
      </c>
      <c r="C5" s="738">
        <f>IF(AND($A5&gt;=Lighting!C$30,$A5&lt;=Lighting!C$31),(Lighting!C$32*Lighting!C$33*Lighting!C$34),0)*'Data Entry Electricity'!$L6</f>
        <v>0</v>
      </c>
      <c r="D5" s="738">
        <f>IF(AND($A5&gt;=Lighting!D$30,$A5&lt;=Lighting!D$31),(Lighting!D$32*Lighting!D$33*Lighting!D$34),0)*'Data Entry Electricity'!$L6</f>
        <v>0</v>
      </c>
      <c r="E5" s="738">
        <f>IF(AND($A5&gt;=Lighting!E$30,$A5&lt;=Lighting!E$31),(Lighting!E$32*Lighting!E$33*Lighting!E$34),0)*'Data Entry Electricity'!$L6</f>
        <v>0</v>
      </c>
      <c r="F5" s="738">
        <f>IF(AND($A5&gt;=Lighting!F$30,$A5&lt;=Lighting!F$31),(Lighting!F$32*Lighting!F$33*Lighting!F$34),0)*'Data Entry Electricity'!$L6</f>
        <v>0</v>
      </c>
      <c r="H5" s="62">
        <f t="shared" si="0"/>
        <v>0</v>
      </c>
    </row>
    <row r="6" spans="1:8">
      <c r="A6" s="65" t="s">
        <v>34</v>
      </c>
      <c r="B6" s="738">
        <f>IF(AND($A6&gt;=Lighting!B$30,$A6&lt;=Lighting!B$31),(Lighting!B$32*Lighting!B$33*Lighting!B$34),0)*'Data Entry Electricity'!$L7</f>
        <v>0</v>
      </c>
      <c r="C6" s="738">
        <f>IF(AND($A6&gt;=Lighting!C$30,$A6&lt;=Lighting!C$31),(Lighting!C$32*Lighting!C$33*Lighting!C$34),0)*'Data Entry Electricity'!$L7</f>
        <v>0</v>
      </c>
      <c r="D6" s="738">
        <f>IF(AND($A6&gt;=Lighting!D$30,$A6&lt;=Lighting!D$31),(Lighting!D$32*Lighting!D$33*Lighting!D$34),0)*'Data Entry Electricity'!$L7</f>
        <v>0</v>
      </c>
      <c r="E6" s="738">
        <f>IF(AND($A6&gt;=Lighting!E$30,$A6&lt;=Lighting!E$31),(Lighting!E$32*Lighting!E$33*Lighting!E$34),0)*'Data Entry Electricity'!$L7</f>
        <v>0</v>
      </c>
      <c r="F6" s="738">
        <f>IF(AND($A6&gt;=Lighting!F$30,$A6&lt;=Lighting!F$31),(Lighting!F$32*Lighting!F$33*Lighting!F$34),0)*'Data Entry Electricity'!$L7</f>
        <v>0</v>
      </c>
      <c r="H6" s="62">
        <f t="shared" si="0"/>
        <v>0</v>
      </c>
    </row>
    <row r="7" spans="1:8">
      <c r="A7" s="65" t="s">
        <v>35</v>
      </c>
      <c r="B7" s="738">
        <f>IF(AND($A7&gt;=Lighting!B$30,$A7&lt;=Lighting!B$31),(Lighting!B$32*Lighting!B$33*Lighting!B$34),0)*'Data Entry Electricity'!$L8</f>
        <v>0</v>
      </c>
      <c r="C7" s="738">
        <f>IF(AND($A7&gt;=Lighting!C$30,$A7&lt;=Lighting!C$31),(Lighting!C$32*Lighting!C$33*Lighting!C$34),0)*'Data Entry Electricity'!$L8</f>
        <v>0</v>
      </c>
      <c r="D7" s="738">
        <f>IF(AND($A7&gt;=Lighting!D$30,$A7&lt;=Lighting!D$31),(Lighting!D$32*Lighting!D$33*Lighting!D$34),0)*'Data Entry Electricity'!$L8</f>
        <v>0</v>
      </c>
      <c r="E7" s="738">
        <f>IF(AND($A7&gt;=Lighting!E$30,$A7&lt;=Lighting!E$31),(Lighting!E$32*Lighting!E$33*Lighting!E$34),0)*'Data Entry Electricity'!$L8</f>
        <v>0</v>
      </c>
      <c r="F7" s="738">
        <f>IF(AND($A7&gt;=Lighting!F$30,$A7&lt;=Lighting!F$31),(Lighting!F$32*Lighting!F$33*Lighting!F$34),0)*'Data Entry Electricity'!$L8</f>
        <v>0</v>
      </c>
      <c r="H7" s="62">
        <f t="shared" si="0"/>
        <v>0</v>
      </c>
    </row>
    <row r="8" spans="1:8">
      <c r="A8" s="65" t="s">
        <v>36</v>
      </c>
      <c r="B8" s="738">
        <f>IF(AND($A8&gt;=Lighting!B$30,$A8&lt;=Lighting!B$31),(Lighting!B$32*Lighting!B$33*Lighting!B$34),0)*'Data Entry Electricity'!$L9</f>
        <v>0</v>
      </c>
      <c r="C8" s="738">
        <f>IF(AND($A8&gt;=Lighting!C$30,$A8&lt;=Lighting!C$31),(Lighting!C$32*Lighting!C$33*Lighting!C$34),0)*'Data Entry Electricity'!$L9</f>
        <v>0</v>
      </c>
      <c r="D8" s="738">
        <f>IF(AND($A8&gt;=Lighting!D$30,$A8&lt;=Lighting!D$31),(Lighting!D$32*Lighting!D$33*Lighting!D$34),0)*'Data Entry Electricity'!$L9</f>
        <v>0</v>
      </c>
      <c r="E8" s="738">
        <f>IF(AND($A8&gt;=Lighting!E$30,$A8&lt;=Lighting!E$31),(Lighting!E$32*Lighting!E$33*Lighting!E$34),0)*'Data Entry Electricity'!$L9</f>
        <v>0</v>
      </c>
      <c r="F8" s="738">
        <f>IF(AND($A8&gt;=Lighting!F$30,$A8&lt;=Lighting!F$31),(Lighting!F$32*Lighting!F$33*Lighting!F$34),0)*'Data Entry Electricity'!$L9</f>
        <v>0</v>
      </c>
      <c r="H8" s="62">
        <f t="shared" si="0"/>
        <v>0</v>
      </c>
    </row>
    <row r="9" spans="1:8">
      <c r="A9" s="65" t="s">
        <v>37</v>
      </c>
      <c r="B9" s="738">
        <f>IF(AND($A9&gt;=Lighting!B$30,$A9&lt;=Lighting!B$31),(Lighting!B$32*Lighting!B$33*Lighting!B$34),0)*'Data Entry Electricity'!$L10</f>
        <v>0</v>
      </c>
      <c r="C9" s="738">
        <f>IF(AND($A9&gt;=Lighting!C$30,$A9&lt;=Lighting!C$31),(Lighting!C$32*Lighting!C$33*Lighting!C$34),0)*'Data Entry Electricity'!$L10</f>
        <v>0</v>
      </c>
      <c r="D9" s="738">
        <f>IF(AND($A9&gt;=Lighting!D$30,$A9&lt;=Lighting!D$31),(Lighting!D$32*Lighting!D$33*Lighting!D$34),0)*'Data Entry Electricity'!$L10</f>
        <v>0</v>
      </c>
      <c r="E9" s="738">
        <f>IF(AND($A9&gt;=Lighting!E$30,$A9&lt;=Lighting!E$31),(Lighting!E$32*Lighting!E$33*Lighting!E$34),0)*'Data Entry Electricity'!$L10</f>
        <v>0</v>
      </c>
      <c r="F9" s="738">
        <f>IF(AND($A9&gt;=Lighting!F$30,$A9&lt;=Lighting!F$31),(Lighting!F$32*Lighting!F$33*Lighting!F$34),0)*'Data Entry Electricity'!$L10</f>
        <v>0</v>
      </c>
      <c r="H9" s="62">
        <f t="shared" si="0"/>
        <v>0</v>
      </c>
    </row>
    <row r="10" spans="1:8">
      <c r="A10" s="65" t="s">
        <v>38</v>
      </c>
      <c r="B10" s="738">
        <f>IF(AND($A10&gt;=Lighting!B$30,$A10&lt;=Lighting!B$31),(Lighting!B$32*Lighting!B$33*Lighting!B$34),0)*'Data Entry Electricity'!$L11</f>
        <v>0</v>
      </c>
      <c r="C10" s="738">
        <f>IF(AND($A10&gt;=Lighting!C$30,$A10&lt;=Lighting!C$31),(Lighting!C$32*Lighting!C$33*Lighting!C$34),0)*'Data Entry Electricity'!$L11</f>
        <v>0</v>
      </c>
      <c r="D10" s="738">
        <f>IF(AND($A10&gt;=Lighting!D$30,$A10&lt;=Lighting!D$31),(Lighting!D$32*Lighting!D$33*Lighting!D$34),0)*'Data Entry Electricity'!$L11</f>
        <v>0</v>
      </c>
      <c r="E10" s="738">
        <f>IF(AND($A10&gt;=Lighting!E$30,$A10&lt;=Lighting!E$31),(Lighting!E$32*Lighting!E$33*Lighting!E$34),0)*'Data Entry Electricity'!$L11</f>
        <v>0</v>
      </c>
      <c r="F10" s="738">
        <f>IF(AND($A10&gt;=Lighting!F$30,$A10&lt;=Lighting!F$31),(Lighting!F$32*Lighting!F$33*Lighting!F$34),0)*'Data Entry Electricity'!$L11</f>
        <v>0</v>
      </c>
      <c r="H10" s="62">
        <f t="shared" si="0"/>
        <v>0</v>
      </c>
    </row>
    <row r="11" spans="1:8">
      <c r="A11" s="65" t="s">
        <v>39</v>
      </c>
      <c r="B11" s="738">
        <f>IF(AND($A11&gt;=Lighting!B$30,$A11&lt;=Lighting!B$31),(Lighting!B$32*Lighting!B$33*Lighting!B$34),0)*'Data Entry Electricity'!$L12</f>
        <v>0</v>
      </c>
      <c r="C11" s="738">
        <f>IF(AND($A11&gt;=Lighting!C$30,$A11&lt;=Lighting!C$31),(Lighting!C$32*Lighting!C$33*Lighting!C$34),0)*'Data Entry Electricity'!$L12</f>
        <v>0</v>
      </c>
      <c r="D11" s="738">
        <f>IF(AND($A11&gt;=Lighting!D$30,$A11&lt;=Lighting!D$31),(Lighting!D$32*Lighting!D$33*Lighting!D$34),0)*'Data Entry Electricity'!$L12</f>
        <v>0</v>
      </c>
      <c r="E11" s="738">
        <f>IF(AND($A11&gt;=Lighting!E$30,$A11&lt;=Lighting!E$31),(Lighting!E$32*Lighting!E$33*Lighting!E$34),0)*'Data Entry Electricity'!$L12</f>
        <v>0</v>
      </c>
      <c r="F11" s="738">
        <f>IF(AND($A11&gt;=Lighting!F$30,$A11&lt;=Lighting!F$31),(Lighting!F$32*Lighting!F$33*Lighting!F$34),0)*'Data Entry Electricity'!$L12</f>
        <v>0</v>
      </c>
      <c r="H11" s="62">
        <f t="shared" si="0"/>
        <v>0</v>
      </c>
    </row>
    <row r="12" spans="1:8">
      <c r="A12" s="66" t="s">
        <v>25</v>
      </c>
      <c r="B12" s="738">
        <f>IF(AND($A12&gt;=Lighting!B$30,$A12&lt;=Lighting!B$31),(Lighting!B$32*Lighting!B$33*Lighting!B$34),0)*'Data Entry Electricity'!$L13</f>
        <v>0</v>
      </c>
      <c r="C12" s="738">
        <f>IF(AND($A12&gt;=Lighting!C$30,$A12&lt;=Lighting!C$31),(Lighting!C$32*Lighting!C$33*Lighting!C$34),0)*'Data Entry Electricity'!$L13</f>
        <v>0</v>
      </c>
      <c r="D12" s="738">
        <f>IF(AND($A12&gt;=Lighting!D$30,$A12&lt;=Lighting!D$31),(Lighting!D$32*Lighting!D$33*Lighting!D$34),0)*'Data Entry Electricity'!$L13</f>
        <v>0</v>
      </c>
      <c r="E12" s="738">
        <f>IF(AND($A12&gt;=Lighting!E$30,$A12&lt;=Lighting!E$31),(Lighting!E$32*Lighting!E$33*Lighting!E$34),0)*'Data Entry Electricity'!$L13</f>
        <v>0</v>
      </c>
      <c r="F12" s="738">
        <f>IF(AND($A12&gt;=Lighting!F$30,$A12&lt;=Lighting!F$31),(Lighting!F$32*Lighting!F$33*Lighting!F$34),0)*'Data Entry Electricity'!$L13</f>
        <v>0</v>
      </c>
      <c r="H12" s="62">
        <f t="shared" si="0"/>
        <v>0</v>
      </c>
    </row>
    <row r="13" spans="1:8">
      <c r="A13" s="66" t="s">
        <v>26</v>
      </c>
      <c r="B13" s="738">
        <f>IF(AND($A13&gt;=Lighting!B$30,$A13&lt;=Lighting!B$31),(Lighting!B$32*Lighting!B$33*Lighting!B$34),0)*'Data Entry Electricity'!$L14</f>
        <v>0</v>
      </c>
      <c r="C13" s="738">
        <f>IF(AND($A13&gt;=Lighting!C$30,$A13&lt;=Lighting!C$31),(Lighting!C$32*Lighting!C$33*Lighting!C$34),0)*'Data Entry Electricity'!$L14</f>
        <v>0</v>
      </c>
      <c r="D13" s="738">
        <f>IF(AND($A13&gt;=Lighting!D$30,$A13&lt;=Lighting!D$31),(Lighting!D$32*Lighting!D$33*Lighting!D$34),0)*'Data Entry Electricity'!$L14</f>
        <v>0</v>
      </c>
      <c r="E13" s="738">
        <f>IF(AND($A13&gt;=Lighting!E$30,$A13&lt;=Lighting!E$31),(Lighting!E$32*Lighting!E$33*Lighting!E$34),0)*'Data Entry Electricity'!$L14</f>
        <v>0</v>
      </c>
      <c r="F13" s="738">
        <f>IF(AND($A13&gt;=Lighting!F$30,$A13&lt;=Lighting!F$31),(Lighting!F$32*Lighting!F$33*Lighting!F$34),0)*'Data Entry Electricity'!$L14</f>
        <v>0</v>
      </c>
      <c r="H13" s="62">
        <f t="shared" si="0"/>
        <v>0</v>
      </c>
    </row>
    <row r="14" spans="1:8">
      <c r="A14" s="66" t="s">
        <v>27</v>
      </c>
      <c r="B14" s="738">
        <f>IF(AND($A14&gt;=Lighting!B$30,$A14&lt;=Lighting!B$31),(Lighting!B$32*Lighting!B$33*Lighting!B$34),0)*'Data Entry Electricity'!$L15</f>
        <v>0</v>
      </c>
      <c r="C14" s="738">
        <f>IF(AND($A14&gt;=Lighting!C$30,$A14&lt;=Lighting!C$31),(Lighting!C$32*Lighting!C$33*Lighting!C$34),0)*'Data Entry Electricity'!$L15</f>
        <v>0</v>
      </c>
      <c r="D14" s="738">
        <f>IF(AND($A14&gt;=Lighting!D$30,$A14&lt;=Lighting!D$31),(Lighting!D$32*Lighting!D$33*Lighting!D$34),0)*'Data Entry Electricity'!$L15</f>
        <v>0</v>
      </c>
      <c r="E14" s="738">
        <f>IF(AND($A14&gt;=Lighting!E$30,$A14&lt;=Lighting!E$31),(Lighting!E$32*Lighting!E$33*Lighting!E$34),0)*'Data Entry Electricity'!$L15</f>
        <v>0</v>
      </c>
      <c r="F14" s="738">
        <f>IF(AND($A14&gt;=Lighting!F$30,$A14&lt;=Lighting!F$31),(Lighting!F$32*Lighting!F$33*Lighting!F$34),0)*'Data Entry Electricity'!$L15</f>
        <v>0</v>
      </c>
      <c r="H14" s="62">
        <f t="shared" si="0"/>
        <v>0</v>
      </c>
    </row>
    <row r="15" spans="1:8">
      <c r="A15" s="66" t="s">
        <v>24</v>
      </c>
      <c r="B15" s="738">
        <f>IF(AND($A15&gt;=Lighting!B$30,$A15&lt;=Lighting!B$31),(Lighting!B$32*Lighting!B$33*Lighting!B$34),0)*'Data Entry Electricity'!$L16</f>
        <v>0</v>
      </c>
      <c r="C15" s="738">
        <f>IF(AND($A15&gt;=Lighting!C$30,$A15&lt;=Lighting!C$31),(Lighting!C$32*Lighting!C$33*Lighting!C$34),0)*'Data Entry Electricity'!$L16</f>
        <v>0</v>
      </c>
      <c r="D15" s="738">
        <f>IF(AND($A15&gt;=Lighting!D$30,$A15&lt;=Lighting!D$31),(Lighting!D$32*Lighting!D$33*Lighting!D$34),0)*'Data Entry Electricity'!$L16</f>
        <v>0</v>
      </c>
      <c r="E15" s="738">
        <f>IF(AND($A15&gt;=Lighting!E$30,$A15&lt;=Lighting!E$31),(Lighting!E$32*Lighting!E$33*Lighting!E$34),0)*'Data Entry Electricity'!$L16</f>
        <v>0</v>
      </c>
      <c r="F15" s="738">
        <f>IF(AND($A15&gt;=Lighting!F$30,$A15&lt;=Lighting!F$31),(Lighting!F$32*Lighting!F$33*Lighting!F$34),0)*'Data Entry Electricity'!$L16</f>
        <v>0</v>
      </c>
      <c r="H15" s="62">
        <f t="shared" si="0"/>
        <v>0</v>
      </c>
    </row>
    <row r="16" spans="1:8">
      <c r="A16" s="66" t="s">
        <v>40</v>
      </c>
      <c r="B16" s="738">
        <f>IF(AND($A16&gt;=Lighting!B$30,$A16&lt;=Lighting!B$31),(Lighting!B$32*Lighting!B$33*Lighting!B$34),0)*'Data Entry Electricity'!$L17</f>
        <v>0</v>
      </c>
      <c r="C16" s="738">
        <f>IF(AND($A16&gt;=Lighting!C$30,$A16&lt;=Lighting!C$31),(Lighting!C$32*Lighting!C$33*Lighting!C$34),0)*'Data Entry Electricity'!$L17</f>
        <v>0</v>
      </c>
      <c r="D16" s="738">
        <f>IF(AND($A16&gt;=Lighting!D$30,$A16&lt;=Lighting!D$31),(Lighting!D$32*Lighting!D$33*Lighting!D$34),0)*'Data Entry Electricity'!$L17</f>
        <v>0</v>
      </c>
      <c r="E16" s="738">
        <f>IF(AND($A16&gt;=Lighting!E$30,$A16&lt;=Lighting!E$31),(Lighting!E$32*Lighting!E$33*Lighting!E$34),0)*'Data Entry Electricity'!$L17</f>
        <v>0</v>
      </c>
      <c r="F16" s="738">
        <f>IF(AND($A16&gt;=Lighting!F$30,$A16&lt;=Lighting!F$31),(Lighting!F$32*Lighting!F$33*Lighting!F$34),0)*'Data Entry Electricity'!$L17</f>
        <v>0</v>
      </c>
      <c r="H16" s="62">
        <f t="shared" si="0"/>
        <v>0</v>
      </c>
    </row>
    <row r="17" spans="1:8">
      <c r="A17" s="66" t="s">
        <v>41</v>
      </c>
      <c r="B17" s="738">
        <f>IF(AND($A17&gt;=Lighting!B$30,$A17&lt;=Lighting!B$31),(Lighting!B$32*Lighting!B$33*Lighting!B$34),0)*'Data Entry Electricity'!$L18</f>
        <v>0</v>
      </c>
      <c r="C17" s="738">
        <f>IF(AND($A17&gt;=Lighting!C$30,$A17&lt;=Lighting!C$31),(Lighting!C$32*Lighting!C$33*Lighting!C$34),0)*'Data Entry Electricity'!$L18</f>
        <v>0</v>
      </c>
      <c r="D17" s="738">
        <f>IF(AND($A17&gt;=Lighting!D$30,$A17&lt;=Lighting!D$31),(Lighting!D$32*Lighting!D$33*Lighting!D$34),0)*'Data Entry Electricity'!$L18</f>
        <v>0</v>
      </c>
      <c r="E17" s="738">
        <f>IF(AND($A17&gt;=Lighting!E$30,$A17&lt;=Lighting!E$31),(Lighting!E$32*Lighting!E$33*Lighting!E$34),0)*'Data Entry Electricity'!$L18</f>
        <v>0</v>
      </c>
      <c r="F17" s="738">
        <f>IF(AND($A17&gt;=Lighting!F$30,$A17&lt;=Lighting!F$31),(Lighting!F$32*Lighting!F$33*Lighting!F$34),0)*'Data Entry Electricity'!$L18</f>
        <v>0</v>
      </c>
      <c r="H17" s="62">
        <f t="shared" si="0"/>
        <v>0</v>
      </c>
    </row>
    <row r="18" spans="1:8">
      <c r="A18" s="66" t="s">
        <v>42</v>
      </c>
      <c r="B18" s="738">
        <f>IF(AND($A18&gt;=Lighting!B$30,$A18&lt;=Lighting!B$31),(Lighting!B$32*Lighting!B$33*Lighting!B$34),0)*'Data Entry Electricity'!$L19</f>
        <v>0</v>
      </c>
      <c r="C18" s="738">
        <f>IF(AND($A18&gt;=Lighting!C$30,$A18&lt;=Lighting!C$31),(Lighting!C$32*Lighting!C$33*Lighting!C$34),0)*'Data Entry Electricity'!$L19</f>
        <v>0</v>
      </c>
      <c r="D18" s="738">
        <f>IF(AND($A18&gt;=Lighting!D$30,$A18&lt;=Lighting!D$31),(Lighting!D$32*Lighting!D$33*Lighting!D$34),0)*'Data Entry Electricity'!$L19</f>
        <v>0</v>
      </c>
      <c r="E18" s="738">
        <f>IF(AND($A18&gt;=Lighting!E$30,$A18&lt;=Lighting!E$31),(Lighting!E$32*Lighting!E$33*Lighting!E$34),0)*'Data Entry Electricity'!$L19</f>
        <v>0</v>
      </c>
      <c r="F18" s="738">
        <f>IF(AND($A18&gt;=Lighting!F$30,$A18&lt;=Lighting!F$31),(Lighting!F$32*Lighting!F$33*Lighting!F$34),0)*'Data Entry Electricity'!$L19</f>
        <v>0</v>
      </c>
      <c r="H18" s="62">
        <f t="shared" si="0"/>
        <v>0</v>
      </c>
    </row>
    <row r="19" spans="1:8">
      <c r="A19" s="66" t="s">
        <v>43</v>
      </c>
      <c r="B19" s="738">
        <f>IF(AND($A19&gt;=Lighting!B$30,$A19&lt;=Lighting!B$31),(Lighting!B$32*Lighting!B$33*Lighting!B$34),0)*'Data Entry Electricity'!$L20</f>
        <v>0</v>
      </c>
      <c r="C19" s="738">
        <f>IF(AND($A19&gt;=Lighting!C$30,$A19&lt;=Lighting!C$31),(Lighting!C$32*Lighting!C$33*Lighting!C$34),0)*'Data Entry Electricity'!$L20</f>
        <v>0</v>
      </c>
      <c r="D19" s="738">
        <f>IF(AND($A19&gt;=Lighting!D$30,$A19&lt;=Lighting!D$31),(Lighting!D$32*Lighting!D$33*Lighting!D$34),0)*'Data Entry Electricity'!$L20</f>
        <v>0</v>
      </c>
      <c r="E19" s="738">
        <f>IF(AND($A19&gt;=Lighting!E$30,$A19&lt;=Lighting!E$31),(Lighting!E$32*Lighting!E$33*Lighting!E$34),0)*'Data Entry Electricity'!$L20</f>
        <v>0</v>
      </c>
      <c r="F19" s="738">
        <f>IF(AND($A19&gt;=Lighting!F$30,$A19&lt;=Lighting!F$31),(Lighting!F$32*Lighting!F$33*Lighting!F$34),0)*'Data Entry Electricity'!$L20</f>
        <v>0</v>
      </c>
      <c r="H19" s="62">
        <f t="shared" si="0"/>
        <v>0</v>
      </c>
    </row>
    <row r="20" spans="1:8">
      <c r="A20" s="66" t="s">
        <v>44</v>
      </c>
      <c r="B20" s="738">
        <f>IF(AND($A20&gt;=Lighting!B$30,$A20&lt;=Lighting!B$31),(Lighting!B$32*Lighting!B$33*Lighting!B$34),0)*'Data Entry Electricity'!$L21</f>
        <v>0</v>
      </c>
      <c r="C20" s="738">
        <f>IF(AND($A20&gt;=Lighting!C$30,$A20&lt;=Lighting!C$31),(Lighting!C$32*Lighting!C$33*Lighting!C$34),0)*'Data Entry Electricity'!$L21</f>
        <v>0</v>
      </c>
      <c r="D20" s="738">
        <f>IF(AND($A20&gt;=Lighting!D$30,$A20&lt;=Lighting!D$31),(Lighting!D$32*Lighting!D$33*Lighting!D$34),0)*'Data Entry Electricity'!$L21</f>
        <v>0</v>
      </c>
      <c r="E20" s="738">
        <f>IF(AND($A20&gt;=Lighting!E$30,$A20&lt;=Lighting!E$31),(Lighting!E$32*Lighting!E$33*Lighting!E$34),0)*'Data Entry Electricity'!$L21</f>
        <v>0</v>
      </c>
      <c r="F20" s="738">
        <f>IF(AND($A20&gt;=Lighting!F$30,$A20&lt;=Lighting!F$31),(Lighting!F$32*Lighting!F$33*Lighting!F$34),0)*'Data Entry Electricity'!$L21</f>
        <v>0</v>
      </c>
      <c r="H20" s="62">
        <f t="shared" si="0"/>
        <v>0</v>
      </c>
    </row>
    <row r="21" spans="1:8">
      <c r="A21" s="66" t="s">
        <v>45</v>
      </c>
      <c r="B21" s="738">
        <f>IF(AND($A21&gt;=Lighting!B$30,$A21&lt;=Lighting!B$31),(Lighting!B$32*Lighting!B$33*Lighting!B$34),0)*'Data Entry Electricity'!$L22</f>
        <v>0</v>
      </c>
      <c r="C21" s="738">
        <f>IF(AND($A21&gt;=Lighting!C$30,$A21&lt;=Lighting!C$31),(Lighting!C$32*Lighting!C$33*Lighting!C$34),0)*'Data Entry Electricity'!$L22</f>
        <v>0</v>
      </c>
      <c r="D21" s="738">
        <f>IF(AND($A21&gt;=Lighting!D$30,$A21&lt;=Lighting!D$31),(Lighting!D$32*Lighting!D$33*Lighting!D$34),0)*'Data Entry Electricity'!$L22</f>
        <v>0</v>
      </c>
      <c r="E21" s="738">
        <f>IF(AND($A21&gt;=Lighting!E$30,$A21&lt;=Lighting!E$31),(Lighting!E$32*Lighting!E$33*Lighting!E$34),0)*'Data Entry Electricity'!$L22</f>
        <v>0</v>
      </c>
      <c r="F21" s="738">
        <f>IF(AND($A21&gt;=Lighting!F$30,$A21&lt;=Lighting!F$31),(Lighting!F$32*Lighting!F$33*Lighting!F$34),0)*'Data Entry Electricity'!$L22</f>
        <v>0</v>
      </c>
      <c r="H21" s="62">
        <f t="shared" si="0"/>
        <v>0</v>
      </c>
    </row>
    <row r="22" spans="1:8">
      <c r="A22" s="66" t="s">
        <v>46</v>
      </c>
      <c r="B22" s="738">
        <f>IF(AND($A22&gt;=Lighting!B$30,$A22&lt;=Lighting!B$31),(Lighting!B$32*Lighting!B$33*Lighting!B$34),0)*'Data Entry Electricity'!$L23</f>
        <v>0</v>
      </c>
      <c r="C22" s="738">
        <f>IF(AND($A22&gt;=Lighting!C$30,$A22&lt;=Lighting!C$31),(Lighting!C$32*Lighting!C$33*Lighting!C$34),0)*'Data Entry Electricity'!$L23</f>
        <v>0</v>
      </c>
      <c r="D22" s="738">
        <f>IF(AND($A22&gt;=Lighting!D$30,$A22&lt;=Lighting!D$31),(Lighting!D$32*Lighting!D$33*Lighting!D$34),0)*'Data Entry Electricity'!$L23</f>
        <v>0</v>
      </c>
      <c r="E22" s="738">
        <f>IF(AND($A22&gt;=Lighting!E$30,$A22&lt;=Lighting!E$31),(Lighting!E$32*Lighting!E$33*Lighting!E$34),0)*'Data Entry Electricity'!$L23</f>
        <v>0</v>
      </c>
      <c r="F22" s="738">
        <f>IF(AND($A22&gt;=Lighting!F$30,$A22&lt;=Lighting!F$31),(Lighting!F$32*Lighting!F$33*Lighting!F$34),0)*'Data Entry Electricity'!$L23</f>
        <v>0</v>
      </c>
      <c r="H22" s="62">
        <f t="shared" si="0"/>
        <v>0</v>
      </c>
    </row>
    <row r="23" spans="1:8">
      <c r="A23" s="66" t="s">
        <v>47</v>
      </c>
      <c r="B23" s="738">
        <f>IF(AND($A23&gt;=Lighting!B$30,$A23&lt;=Lighting!B$31),(Lighting!B$32*Lighting!B$33*Lighting!B$34),0)*'Data Entry Electricity'!$L24</f>
        <v>0</v>
      </c>
      <c r="C23" s="738">
        <f>IF(AND($A23&gt;=Lighting!C$30,$A23&lt;=Lighting!C$31),(Lighting!C$32*Lighting!C$33*Lighting!C$34),0)*'Data Entry Electricity'!$L24</f>
        <v>0</v>
      </c>
      <c r="D23" s="738">
        <f>IF(AND($A23&gt;=Lighting!D$30,$A23&lt;=Lighting!D$31),(Lighting!D$32*Lighting!D$33*Lighting!D$34),0)*'Data Entry Electricity'!$L24</f>
        <v>0</v>
      </c>
      <c r="E23" s="738">
        <f>IF(AND($A23&gt;=Lighting!E$30,$A23&lt;=Lighting!E$31),(Lighting!E$32*Lighting!E$33*Lighting!E$34),0)*'Data Entry Electricity'!$L24</f>
        <v>0</v>
      </c>
      <c r="F23" s="738">
        <f>IF(AND($A23&gt;=Lighting!F$30,$A23&lt;=Lighting!F$31),(Lighting!F$32*Lighting!F$33*Lighting!F$34),0)*'Data Entry Electricity'!$L24</f>
        <v>0</v>
      </c>
      <c r="H23" s="62">
        <f t="shared" si="0"/>
        <v>0</v>
      </c>
    </row>
    <row r="24" spans="1:8">
      <c r="A24" s="66" t="s">
        <v>48</v>
      </c>
      <c r="B24" s="738">
        <f>IF(AND($A24&gt;=Lighting!B$30,$A24&lt;=Lighting!B$31),(Lighting!B$32*Lighting!B$33*Lighting!B$34),0)*'Data Entry Electricity'!$L25</f>
        <v>0</v>
      </c>
      <c r="C24" s="738">
        <f>IF(AND($A24&gt;=Lighting!C$30,$A24&lt;=Lighting!C$31),(Lighting!C$32*Lighting!C$33*Lighting!C$34),0)*'Data Entry Electricity'!$L25</f>
        <v>0</v>
      </c>
      <c r="D24" s="738">
        <f>IF(AND($A24&gt;=Lighting!D$30,$A24&lt;=Lighting!D$31),(Lighting!D$32*Lighting!D$33*Lighting!D$34),0)*'Data Entry Electricity'!$L25</f>
        <v>0</v>
      </c>
      <c r="E24" s="738">
        <f>IF(AND($A24&gt;=Lighting!E$30,$A24&lt;=Lighting!E$31),(Lighting!E$32*Lighting!E$33*Lighting!E$34),0)*'Data Entry Electricity'!$L25</f>
        <v>0</v>
      </c>
      <c r="F24" s="738">
        <f>IF(AND($A24&gt;=Lighting!F$30,$A24&lt;=Lighting!F$31),(Lighting!F$32*Lighting!F$33*Lighting!F$34),0)*'Data Entry Electricity'!$L25</f>
        <v>0</v>
      </c>
      <c r="H24" s="62">
        <f t="shared" si="0"/>
        <v>0</v>
      </c>
    </row>
    <row r="25" spans="1:8">
      <c r="A25" s="66" t="s">
        <v>0</v>
      </c>
      <c r="B25" s="738">
        <f>IF(AND($A25&gt;=Lighting!B$30,$A25&lt;=Lighting!B$31),(Lighting!B$32*Lighting!B$33*Lighting!B$34),0)*'Data Entry Electricity'!$L26</f>
        <v>0</v>
      </c>
      <c r="C25" s="738">
        <f>IF(AND($A25&gt;=Lighting!C$30,$A25&lt;=Lighting!C$31),(Lighting!C$32*Lighting!C$33*Lighting!C$34),0)*'Data Entry Electricity'!$L26</f>
        <v>0</v>
      </c>
      <c r="D25" s="738">
        <f>IF(AND($A25&gt;=Lighting!D$30,$A25&lt;=Lighting!D$31),(Lighting!D$32*Lighting!D$33*Lighting!D$34),0)*'Data Entry Electricity'!$L26</f>
        <v>0</v>
      </c>
      <c r="E25" s="738">
        <f>IF(AND($A25&gt;=Lighting!E$30,$A25&lt;=Lighting!E$31),(Lighting!E$32*Lighting!E$33*Lighting!E$34),0)*'Data Entry Electricity'!$L26</f>
        <v>0</v>
      </c>
      <c r="F25" s="738">
        <f>IF(AND($A25&gt;=Lighting!F$30,$A25&lt;=Lighting!F$31),(Lighting!F$32*Lighting!F$33*Lighting!F$34),0)*'Data Entry Electricity'!$L26</f>
        <v>0</v>
      </c>
      <c r="H25" s="62">
        <f t="shared" si="0"/>
        <v>0</v>
      </c>
    </row>
    <row r="26" spans="1:8">
      <c r="A26" s="66" t="s">
        <v>1</v>
      </c>
      <c r="B26" s="738">
        <f>IF(AND($A26&gt;=Lighting!B$30,$A26&lt;=Lighting!B$31),(Lighting!B$32*Lighting!B$33*Lighting!B$34),0)*'Data Entry Electricity'!$L27</f>
        <v>0</v>
      </c>
      <c r="C26" s="738">
        <f>IF(AND($A26&gt;=Lighting!C$30,$A26&lt;=Lighting!C$31),(Lighting!C$32*Lighting!C$33*Lighting!C$34),0)*'Data Entry Electricity'!$L27</f>
        <v>0</v>
      </c>
      <c r="D26" s="738">
        <f>IF(AND($A26&gt;=Lighting!D$30,$A26&lt;=Lighting!D$31),(Lighting!D$32*Lighting!D$33*Lighting!D$34),0)*'Data Entry Electricity'!$L27</f>
        <v>0</v>
      </c>
      <c r="E26" s="738">
        <f>IF(AND($A26&gt;=Lighting!E$30,$A26&lt;=Lighting!E$31),(Lighting!E$32*Lighting!E$33*Lighting!E$34),0)*'Data Entry Electricity'!$L27</f>
        <v>0</v>
      </c>
      <c r="F26" s="738">
        <f>IF(AND($A26&gt;=Lighting!F$30,$A26&lt;=Lighting!F$31),(Lighting!F$32*Lighting!F$33*Lighting!F$34),0)*'Data Entry Electricity'!$L27</f>
        <v>0</v>
      </c>
      <c r="H26" s="62">
        <f t="shared" si="0"/>
        <v>0</v>
      </c>
    </row>
    <row r="27" spans="1:8">
      <c r="A27" s="66" t="s">
        <v>2</v>
      </c>
      <c r="B27" s="738">
        <f>IF(AND($A27&gt;=Lighting!B$30,$A27&lt;=Lighting!B$31),(Lighting!B$32*Lighting!B$33*Lighting!B$34),0)*'Data Entry Electricity'!$L28</f>
        <v>0</v>
      </c>
      <c r="C27" s="738">
        <f>IF(AND($A27&gt;=Lighting!C$30,$A27&lt;=Lighting!C$31),(Lighting!C$32*Lighting!C$33*Lighting!C$34),0)*'Data Entry Electricity'!$L28</f>
        <v>0</v>
      </c>
      <c r="D27" s="738">
        <f>IF(AND($A27&gt;=Lighting!D$30,$A27&lt;=Lighting!D$31),(Lighting!D$32*Lighting!D$33*Lighting!D$34),0)*'Data Entry Electricity'!$L28</f>
        <v>0</v>
      </c>
      <c r="E27" s="738">
        <f>IF(AND($A27&gt;=Lighting!E$30,$A27&lt;=Lighting!E$31),(Lighting!E$32*Lighting!E$33*Lighting!E$34),0)*'Data Entry Electricity'!$L28</f>
        <v>0</v>
      </c>
      <c r="F27" s="738">
        <f>IF(AND($A27&gt;=Lighting!F$30,$A27&lt;=Lighting!F$31),(Lighting!F$32*Lighting!F$33*Lighting!F$34),0)*'Data Entry Electricity'!$L28</f>
        <v>0</v>
      </c>
      <c r="H27" s="62">
        <f t="shared" si="0"/>
        <v>0</v>
      </c>
    </row>
    <row r="28" spans="1:8">
      <c r="A28" s="66" t="s">
        <v>3</v>
      </c>
      <c r="B28" s="738">
        <f>IF(AND($A28&gt;=Lighting!B$30,$A28&lt;=Lighting!B$31),(Lighting!B$32*Lighting!B$33*Lighting!B$34),0)*'Data Entry Electricity'!$L29</f>
        <v>0</v>
      </c>
      <c r="C28" s="738">
        <f>IF(AND($A28&gt;=Lighting!C$30,$A28&lt;=Lighting!C$31),(Lighting!C$32*Lighting!C$33*Lighting!C$34),0)*'Data Entry Electricity'!$L29</f>
        <v>0</v>
      </c>
      <c r="D28" s="738">
        <f>IF(AND($A28&gt;=Lighting!D$30,$A28&lt;=Lighting!D$31),(Lighting!D$32*Lighting!D$33*Lighting!D$34),0)*'Data Entry Electricity'!$L29</f>
        <v>0</v>
      </c>
      <c r="E28" s="738">
        <f>IF(AND($A28&gt;=Lighting!E$30,$A28&lt;=Lighting!E$31),(Lighting!E$32*Lighting!E$33*Lighting!E$34),0)*'Data Entry Electricity'!$L29</f>
        <v>0</v>
      </c>
      <c r="F28" s="738">
        <f>IF(AND($A28&gt;=Lighting!F$30,$A28&lt;=Lighting!F$31),(Lighting!F$32*Lighting!F$33*Lighting!F$34),0)*'Data Entry Electricity'!$L29</f>
        <v>0</v>
      </c>
      <c r="H28" s="62">
        <f t="shared" si="0"/>
        <v>0</v>
      </c>
    </row>
    <row r="29" spans="1:8">
      <c r="A29" s="66" t="s">
        <v>49</v>
      </c>
      <c r="B29" s="738">
        <f>IF(AND($A29&gt;=Lighting!B$30,$A29&lt;=Lighting!B$31),(Lighting!B$32*Lighting!B$33*Lighting!B$34),0)*'Data Entry Electricity'!$L30</f>
        <v>0</v>
      </c>
      <c r="C29" s="738">
        <f>IF(AND($A29&gt;=Lighting!C$30,$A29&lt;=Lighting!C$31),(Lighting!C$32*Lighting!C$33*Lighting!C$34),0)*'Data Entry Electricity'!$L30</f>
        <v>0</v>
      </c>
      <c r="D29" s="738">
        <f>IF(AND($A29&gt;=Lighting!D$30,$A29&lt;=Lighting!D$31),(Lighting!D$32*Lighting!D$33*Lighting!D$34),0)*'Data Entry Electricity'!$L30</f>
        <v>0</v>
      </c>
      <c r="E29" s="738">
        <f>IF(AND($A29&gt;=Lighting!E$30,$A29&lt;=Lighting!E$31),(Lighting!E$32*Lighting!E$33*Lighting!E$34),0)*'Data Entry Electricity'!$L30</f>
        <v>0</v>
      </c>
      <c r="F29" s="738">
        <f>IF(AND($A29&gt;=Lighting!F$30,$A29&lt;=Lighting!F$31),(Lighting!F$32*Lighting!F$33*Lighting!F$34),0)*'Data Entry Electricity'!$L30</f>
        <v>0</v>
      </c>
      <c r="H29" s="62">
        <f t="shared" si="0"/>
        <v>0</v>
      </c>
    </row>
    <row r="30" spans="1:8">
      <c r="A30" s="66" t="s">
        <v>50</v>
      </c>
      <c r="B30" s="738">
        <f>IF(AND($A30&gt;=Lighting!B$30,$A30&lt;=Lighting!B$31),(Lighting!B$32*Lighting!B$33*Lighting!B$34),0)*'Data Entry Electricity'!$L31</f>
        <v>0</v>
      </c>
      <c r="C30" s="738">
        <f>IF(AND($A30&gt;=Lighting!C$30,$A30&lt;=Lighting!C$31),(Lighting!C$32*Lighting!C$33*Lighting!C$34),0)*'Data Entry Electricity'!$L31</f>
        <v>0</v>
      </c>
      <c r="D30" s="738">
        <f>IF(AND($A30&gt;=Lighting!D$30,$A30&lt;=Lighting!D$31),(Lighting!D$32*Lighting!D$33*Lighting!D$34),0)*'Data Entry Electricity'!$L31</f>
        <v>0</v>
      </c>
      <c r="E30" s="738">
        <f>IF(AND($A30&gt;=Lighting!E$30,$A30&lt;=Lighting!E$31),(Lighting!E$32*Lighting!E$33*Lighting!E$34),0)*'Data Entry Electricity'!$L31</f>
        <v>0</v>
      </c>
      <c r="F30" s="738">
        <f>IF(AND($A30&gt;=Lighting!F$30,$A30&lt;=Lighting!F$31),(Lighting!F$32*Lighting!F$33*Lighting!F$34),0)*'Data Entry Electricity'!$L31</f>
        <v>0</v>
      </c>
      <c r="H30" s="62">
        <f t="shared" si="0"/>
        <v>0</v>
      </c>
    </row>
    <row r="31" spans="1:8">
      <c r="A31" s="66" t="s">
        <v>51</v>
      </c>
      <c r="B31" s="738">
        <f>IF(AND($A31&gt;=Lighting!B$30,$A31&lt;=Lighting!B$31),(Lighting!B$32*Lighting!B$33*Lighting!B$34),0)*'Data Entry Electricity'!$L32</f>
        <v>0</v>
      </c>
      <c r="C31" s="738">
        <f>IF(AND($A31&gt;=Lighting!C$30,$A31&lt;=Lighting!C$31),(Lighting!C$32*Lighting!C$33*Lighting!C$34),0)*'Data Entry Electricity'!$L32</f>
        <v>0</v>
      </c>
      <c r="D31" s="738">
        <f>IF(AND($A31&gt;=Lighting!D$30,$A31&lt;=Lighting!D$31),(Lighting!D$32*Lighting!D$33*Lighting!D$34),0)*'Data Entry Electricity'!$L32</f>
        <v>0</v>
      </c>
      <c r="E31" s="738">
        <f>IF(AND($A31&gt;=Lighting!E$30,$A31&lt;=Lighting!E$31),(Lighting!E$32*Lighting!E$33*Lighting!E$34),0)*'Data Entry Electricity'!$L32</f>
        <v>0</v>
      </c>
      <c r="F31" s="738">
        <f>IF(AND($A31&gt;=Lighting!F$30,$A31&lt;=Lighting!F$31),(Lighting!F$32*Lighting!F$33*Lighting!F$34),0)*'Data Entry Electricity'!$L32</f>
        <v>0</v>
      </c>
      <c r="H31" s="62">
        <f t="shared" si="0"/>
        <v>0</v>
      </c>
    </row>
    <row r="32" spans="1:8">
      <c r="A32" s="66" t="s">
        <v>52</v>
      </c>
      <c r="B32" s="738">
        <f>IF(AND($A32&gt;=Lighting!B$30,$A32&lt;=Lighting!B$31),(Lighting!B$32*Lighting!B$33*Lighting!B$34),0)*'Data Entry Electricity'!$L33</f>
        <v>0</v>
      </c>
      <c r="C32" s="738">
        <f>IF(AND($A32&gt;=Lighting!C$30,$A32&lt;=Lighting!C$31),(Lighting!C$32*Lighting!C$33*Lighting!C$34),0)*'Data Entry Electricity'!$L33</f>
        <v>0</v>
      </c>
      <c r="D32" s="738">
        <f>IF(AND($A32&gt;=Lighting!D$30,$A32&lt;=Lighting!D$31),(Lighting!D$32*Lighting!D$33*Lighting!D$34),0)*'Data Entry Electricity'!$L33</f>
        <v>0</v>
      </c>
      <c r="E32" s="738">
        <f>IF(AND($A32&gt;=Lighting!E$30,$A32&lt;=Lighting!E$31),(Lighting!E$32*Lighting!E$33*Lighting!E$34),0)*'Data Entry Electricity'!$L33</f>
        <v>0</v>
      </c>
      <c r="F32" s="738">
        <f>IF(AND($A32&gt;=Lighting!F$30,$A32&lt;=Lighting!F$31),(Lighting!F$32*Lighting!F$33*Lighting!F$34),0)*'Data Entry Electricity'!$L33</f>
        <v>0</v>
      </c>
      <c r="H32" s="62">
        <f t="shared" si="0"/>
        <v>0</v>
      </c>
    </row>
    <row r="33" spans="1:8">
      <c r="A33" s="66" t="s">
        <v>53</v>
      </c>
      <c r="B33" s="738">
        <f>IF(AND($A33&gt;=Lighting!B$30,$A33&lt;=Lighting!B$31),(Lighting!B$32*Lighting!B$33*Lighting!B$34),0)*'Data Entry Electricity'!$L34</f>
        <v>0</v>
      </c>
      <c r="C33" s="738">
        <f>IF(AND($A33&gt;=Lighting!C$30,$A33&lt;=Lighting!C$31),(Lighting!C$32*Lighting!C$33*Lighting!C$34),0)*'Data Entry Electricity'!$L34</f>
        <v>0</v>
      </c>
      <c r="D33" s="738">
        <f>IF(AND($A33&gt;=Lighting!D$30,$A33&lt;=Lighting!D$31),(Lighting!D$32*Lighting!D$33*Lighting!D$34),0)*'Data Entry Electricity'!$L34</f>
        <v>0</v>
      </c>
      <c r="E33" s="738">
        <f>IF(AND($A33&gt;=Lighting!E$30,$A33&lt;=Lighting!E$31),(Lighting!E$32*Lighting!E$33*Lighting!E$34),0)*'Data Entry Electricity'!$L34</f>
        <v>0</v>
      </c>
      <c r="F33" s="738">
        <f>IF(AND($A33&gt;=Lighting!F$30,$A33&lt;=Lighting!F$31),(Lighting!F$32*Lighting!F$33*Lighting!F$34),0)*'Data Entry Electricity'!$L34</f>
        <v>0</v>
      </c>
      <c r="H33" s="62">
        <f t="shared" si="0"/>
        <v>0</v>
      </c>
    </row>
    <row r="34" spans="1:8">
      <c r="A34" s="66" t="s">
        <v>54</v>
      </c>
      <c r="B34" s="738">
        <f>IF(AND($A34&gt;=Lighting!B$30,$A34&lt;=Lighting!B$31),(Lighting!B$32*Lighting!B$33*Lighting!B$34),0)*'Data Entry Electricity'!$L35</f>
        <v>0</v>
      </c>
      <c r="C34" s="738">
        <f>IF(AND($A34&gt;=Lighting!C$30,$A34&lt;=Lighting!C$31),(Lighting!C$32*Lighting!C$33*Lighting!C$34),0)*'Data Entry Electricity'!$L35</f>
        <v>0</v>
      </c>
      <c r="D34" s="738">
        <f>IF(AND($A34&gt;=Lighting!D$30,$A34&lt;=Lighting!D$31),(Lighting!D$32*Lighting!D$33*Lighting!D$34),0)*'Data Entry Electricity'!$L35</f>
        <v>0</v>
      </c>
      <c r="E34" s="738">
        <f>IF(AND($A34&gt;=Lighting!E$30,$A34&lt;=Lighting!E$31),(Lighting!E$32*Lighting!E$33*Lighting!E$34),0)*'Data Entry Electricity'!$L35</f>
        <v>0</v>
      </c>
      <c r="F34" s="738">
        <f>IF(AND($A34&gt;=Lighting!F$30,$A34&lt;=Lighting!F$31),(Lighting!F$32*Lighting!F$33*Lighting!F$34),0)*'Data Entry Electricity'!$L35</f>
        <v>0</v>
      </c>
      <c r="H34" s="62">
        <f t="shared" si="0"/>
        <v>0</v>
      </c>
    </row>
    <row r="35" spans="1:8">
      <c r="A35" s="66" t="s">
        <v>55</v>
      </c>
      <c r="B35" s="738">
        <f>IF(AND($A35&gt;=Lighting!B$30,$A35&lt;=Lighting!B$31),(Lighting!B$32*Lighting!B$33*Lighting!B$34),0)*'Data Entry Electricity'!$L36</f>
        <v>0</v>
      </c>
      <c r="C35" s="738">
        <f>IF(AND($A35&gt;=Lighting!C$30,$A35&lt;=Lighting!C$31),(Lighting!C$32*Lighting!C$33*Lighting!C$34),0)*'Data Entry Electricity'!$L36</f>
        <v>0</v>
      </c>
      <c r="D35" s="738">
        <f>IF(AND($A35&gt;=Lighting!D$30,$A35&lt;=Lighting!D$31),(Lighting!D$32*Lighting!D$33*Lighting!D$34),0)*'Data Entry Electricity'!$L36</f>
        <v>0</v>
      </c>
      <c r="E35" s="738">
        <f>IF(AND($A35&gt;=Lighting!E$30,$A35&lt;=Lighting!E$31),(Lighting!E$32*Lighting!E$33*Lighting!E$34),0)*'Data Entry Electricity'!$L36</f>
        <v>0</v>
      </c>
      <c r="F35" s="738">
        <f>IF(AND($A35&gt;=Lighting!F$30,$A35&lt;=Lighting!F$31),(Lighting!F$32*Lighting!F$33*Lighting!F$34),0)*'Data Entry Electricity'!$L36</f>
        <v>0</v>
      </c>
      <c r="H35" s="62">
        <f t="shared" si="0"/>
        <v>0</v>
      </c>
    </row>
    <row r="36" spans="1:8">
      <c r="A36" s="66" t="s">
        <v>56</v>
      </c>
      <c r="B36" s="738">
        <f>IF(AND($A36&gt;=Lighting!B$30,$A36&lt;=Lighting!B$31),(Lighting!B$32*Lighting!B$33*Lighting!B$34),0)*'Data Entry Electricity'!$L37</f>
        <v>0</v>
      </c>
      <c r="C36" s="738">
        <f>IF(AND($A36&gt;=Lighting!C$30,$A36&lt;=Lighting!C$31),(Lighting!C$32*Lighting!C$33*Lighting!C$34),0)*'Data Entry Electricity'!$L37</f>
        <v>0</v>
      </c>
      <c r="D36" s="738">
        <f>IF(AND($A36&gt;=Lighting!D$30,$A36&lt;=Lighting!D$31),(Lighting!D$32*Lighting!D$33*Lighting!D$34),0)*'Data Entry Electricity'!$L37</f>
        <v>0</v>
      </c>
      <c r="E36" s="738">
        <f>IF(AND($A36&gt;=Lighting!E$30,$A36&lt;=Lighting!E$31),(Lighting!E$32*Lighting!E$33*Lighting!E$34),0)*'Data Entry Electricity'!$L37</f>
        <v>0</v>
      </c>
      <c r="F36" s="738">
        <f>IF(AND($A36&gt;=Lighting!F$30,$A36&lt;=Lighting!F$31),(Lighting!F$32*Lighting!F$33*Lighting!F$34),0)*'Data Entry Electricity'!$L37</f>
        <v>0</v>
      </c>
      <c r="H36" s="62">
        <f t="shared" si="0"/>
        <v>0</v>
      </c>
    </row>
    <row r="37" spans="1:8">
      <c r="A37" s="66" t="s">
        <v>57</v>
      </c>
      <c r="B37" s="738">
        <f>IF(AND($A37&gt;=Lighting!B$30,$A37&lt;=Lighting!B$31),(Lighting!B$32*Lighting!B$33*Lighting!B$34),0)*'Data Entry Electricity'!$L38</f>
        <v>0</v>
      </c>
      <c r="C37" s="738">
        <f>IF(AND($A37&gt;=Lighting!C$30,$A37&lt;=Lighting!C$31),(Lighting!C$32*Lighting!C$33*Lighting!C$34),0)*'Data Entry Electricity'!$L38</f>
        <v>0</v>
      </c>
      <c r="D37" s="738">
        <f>IF(AND($A37&gt;=Lighting!D$30,$A37&lt;=Lighting!D$31),(Lighting!D$32*Lighting!D$33*Lighting!D$34),0)*'Data Entry Electricity'!$L38</f>
        <v>0</v>
      </c>
      <c r="E37" s="738">
        <f>IF(AND($A37&gt;=Lighting!E$30,$A37&lt;=Lighting!E$31),(Lighting!E$32*Lighting!E$33*Lighting!E$34),0)*'Data Entry Electricity'!$L38</f>
        <v>0</v>
      </c>
      <c r="F37" s="738">
        <f>IF(AND($A37&gt;=Lighting!F$30,$A37&lt;=Lighting!F$31),(Lighting!F$32*Lighting!F$33*Lighting!F$34),0)*'Data Entry Electricity'!$L38</f>
        <v>0</v>
      </c>
      <c r="H37" s="62">
        <f t="shared" si="0"/>
        <v>0</v>
      </c>
    </row>
    <row r="38" spans="1:8">
      <c r="A38" s="66" t="s">
        <v>4</v>
      </c>
      <c r="B38" s="738">
        <f>IF(AND($A38&gt;=Lighting!B$30,$A38&lt;=Lighting!B$31),(Lighting!B$32*Lighting!B$33*Lighting!B$34),0)*'Data Entry Electricity'!$L39</f>
        <v>0</v>
      </c>
      <c r="C38" s="738">
        <f>IF(AND($A38&gt;=Lighting!C$30,$A38&lt;=Lighting!C$31),(Lighting!C$32*Lighting!C$33*Lighting!C$34),0)*'Data Entry Electricity'!$L39</f>
        <v>0</v>
      </c>
      <c r="D38" s="738">
        <f>IF(AND($A38&gt;=Lighting!D$30,$A38&lt;=Lighting!D$31),(Lighting!D$32*Lighting!D$33*Lighting!D$34),0)*'Data Entry Electricity'!$L39</f>
        <v>0</v>
      </c>
      <c r="E38" s="738">
        <f>IF(AND($A38&gt;=Lighting!E$30,$A38&lt;=Lighting!E$31),(Lighting!E$32*Lighting!E$33*Lighting!E$34),0)*'Data Entry Electricity'!$L39</f>
        <v>0</v>
      </c>
      <c r="F38" s="738">
        <f>IF(AND($A38&gt;=Lighting!F$30,$A38&lt;=Lighting!F$31),(Lighting!F$32*Lighting!F$33*Lighting!F$34),0)*'Data Entry Electricity'!$L39</f>
        <v>0</v>
      </c>
      <c r="H38" s="62">
        <f t="shared" si="0"/>
        <v>0</v>
      </c>
    </row>
    <row r="39" spans="1:8">
      <c r="A39" s="66" t="s">
        <v>5</v>
      </c>
      <c r="B39" s="738">
        <f>IF(AND($A39&gt;=Lighting!B$30,$A39&lt;=Lighting!B$31),(Lighting!B$32*Lighting!B$33*Lighting!B$34),0)*'Data Entry Electricity'!$L40</f>
        <v>0</v>
      </c>
      <c r="C39" s="738">
        <f>IF(AND($A39&gt;=Lighting!C$30,$A39&lt;=Lighting!C$31),(Lighting!C$32*Lighting!C$33*Lighting!C$34),0)*'Data Entry Electricity'!$L40</f>
        <v>0</v>
      </c>
      <c r="D39" s="738">
        <f>IF(AND($A39&gt;=Lighting!D$30,$A39&lt;=Lighting!D$31),(Lighting!D$32*Lighting!D$33*Lighting!D$34),0)*'Data Entry Electricity'!$L40</f>
        <v>0</v>
      </c>
      <c r="E39" s="738">
        <f>IF(AND($A39&gt;=Lighting!E$30,$A39&lt;=Lighting!E$31),(Lighting!E$32*Lighting!E$33*Lighting!E$34),0)*'Data Entry Electricity'!$L40</f>
        <v>0</v>
      </c>
      <c r="F39" s="738">
        <f>IF(AND($A39&gt;=Lighting!F$30,$A39&lt;=Lighting!F$31),(Lighting!F$32*Lighting!F$33*Lighting!F$34),0)*'Data Entry Electricity'!$L40</f>
        <v>0</v>
      </c>
      <c r="H39" s="62">
        <f t="shared" si="0"/>
        <v>0</v>
      </c>
    </row>
    <row r="40" spans="1:8">
      <c r="A40" s="66" t="s">
        <v>6</v>
      </c>
      <c r="B40" s="738">
        <f>IF(AND($A40&gt;=Lighting!B$30,$A40&lt;=Lighting!B$31),(Lighting!B$32*Lighting!B$33*Lighting!B$34),0)*'Data Entry Electricity'!$L41</f>
        <v>0</v>
      </c>
      <c r="C40" s="738">
        <f>IF(AND($A40&gt;=Lighting!C$30,$A40&lt;=Lighting!C$31),(Lighting!C$32*Lighting!C$33*Lighting!C$34),0)*'Data Entry Electricity'!$L41</f>
        <v>0</v>
      </c>
      <c r="D40" s="738">
        <f>IF(AND($A40&gt;=Lighting!D$30,$A40&lt;=Lighting!D$31),(Lighting!D$32*Lighting!D$33*Lighting!D$34),0)*'Data Entry Electricity'!$L41</f>
        <v>0</v>
      </c>
      <c r="E40" s="738">
        <f>IF(AND($A40&gt;=Lighting!E$30,$A40&lt;=Lighting!E$31),(Lighting!E$32*Lighting!E$33*Lighting!E$34),0)*'Data Entry Electricity'!$L41</f>
        <v>0</v>
      </c>
      <c r="F40" s="738">
        <f>IF(AND($A40&gt;=Lighting!F$30,$A40&lt;=Lighting!F$31),(Lighting!F$32*Lighting!F$33*Lighting!F$34),0)*'Data Entry Electricity'!$L41</f>
        <v>0</v>
      </c>
      <c r="H40" s="62">
        <f t="shared" si="0"/>
        <v>0</v>
      </c>
    </row>
    <row r="41" spans="1:8">
      <c r="A41" s="66" t="s">
        <v>7</v>
      </c>
      <c r="B41" s="738">
        <f>IF(AND($A41&gt;=Lighting!B$30,$A41&lt;=Lighting!B$31),(Lighting!B$32*Lighting!B$33*Lighting!B$34),0)*'Data Entry Electricity'!$L42</f>
        <v>0</v>
      </c>
      <c r="C41" s="738">
        <f>IF(AND($A41&gt;=Lighting!C$30,$A41&lt;=Lighting!C$31),(Lighting!C$32*Lighting!C$33*Lighting!C$34),0)*'Data Entry Electricity'!$L42</f>
        <v>0</v>
      </c>
      <c r="D41" s="738">
        <f>IF(AND($A41&gt;=Lighting!D$30,$A41&lt;=Lighting!D$31),(Lighting!D$32*Lighting!D$33*Lighting!D$34),0)*'Data Entry Electricity'!$L42</f>
        <v>0</v>
      </c>
      <c r="E41" s="738">
        <f>IF(AND($A41&gt;=Lighting!E$30,$A41&lt;=Lighting!E$31),(Lighting!E$32*Lighting!E$33*Lighting!E$34),0)*'Data Entry Electricity'!$L42</f>
        <v>0</v>
      </c>
      <c r="F41" s="738">
        <f>IF(AND($A41&gt;=Lighting!F$30,$A41&lt;=Lighting!F$31),(Lighting!F$32*Lighting!F$33*Lighting!F$34),0)*'Data Entry Electricity'!$L42</f>
        <v>0</v>
      </c>
      <c r="H41" s="62">
        <f t="shared" si="0"/>
        <v>0</v>
      </c>
    </row>
    <row r="42" spans="1:8">
      <c r="A42" s="66" t="s">
        <v>58</v>
      </c>
      <c r="B42" s="738">
        <f>IF(AND($A42&gt;=Lighting!B$30,$A42&lt;=Lighting!B$31),(Lighting!B$32*Lighting!B$33*Lighting!B$34),0)*'Data Entry Electricity'!$L43</f>
        <v>0</v>
      </c>
      <c r="C42" s="738">
        <f>IF(AND($A42&gt;=Lighting!C$30,$A42&lt;=Lighting!C$31),(Lighting!C$32*Lighting!C$33*Lighting!C$34),0)*'Data Entry Electricity'!$L43</f>
        <v>0</v>
      </c>
      <c r="D42" s="738">
        <f>IF(AND($A42&gt;=Lighting!D$30,$A42&lt;=Lighting!D$31),(Lighting!D$32*Lighting!D$33*Lighting!D$34),0)*'Data Entry Electricity'!$L43</f>
        <v>0</v>
      </c>
      <c r="E42" s="738">
        <f>IF(AND($A42&gt;=Lighting!E$30,$A42&lt;=Lighting!E$31),(Lighting!E$32*Lighting!E$33*Lighting!E$34),0)*'Data Entry Electricity'!$L43</f>
        <v>0</v>
      </c>
      <c r="F42" s="738">
        <f>IF(AND($A42&gt;=Lighting!F$30,$A42&lt;=Lighting!F$31),(Lighting!F$32*Lighting!F$33*Lighting!F$34),0)*'Data Entry Electricity'!$L43</f>
        <v>0</v>
      </c>
      <c r="H42" s="62">
        <f t="shared" si="0"/>
        <v>0</v>
      </c>
    </row>
    <row r="43" spans="1:8">
      <c r="A43" s="66" t="s">
        <v>59</v>
      </c>
      <c r="B43" s="738">
        <f>IF(AND($A43&gt;=Lighting!B$30,$A43&lt;=Lighting!B$31),(Lighting!B$32*Lighting!B$33*Lighting!B$34),0)*'Data Entry Electricity'!$L44</f>
        <v>0</v>
      </c>
      <c r="C43" s="738">
        <f>IF(AND($A43&gt;=Lighting!C$30,$A43&lt;=Lighting!C$31),(Lighting!C$32*Lighting!C$33*Lighting!C$34),0)*'Data Entry Electricity'!$L44</f>
        <v>0</v>
      </c>
      <c r="D43" s="738">
        <f>IF(AND($A43&gt;=Lighting!D$30,$A43&lt;=Lighting!D$31),(Lighting!D$32*Lighting!D$33*Lighting!D$34),0)*'Data Entry Electricity'!$L44</f>
        <v>0</v>
      </c>
      <c r="E43" s="738">
        <f>IF(AND($A43&gt;=Lighting!E$30,$A43&lt;=Lighting!E$31),(Lighting!E$32*Lighting!E$33*Lighting!E$34),0)*'Data Entry Electricity'!$L44</f>
        <v>0</v>
      </c>
      <c r="F43" s="738">
        <f>IF(AND($A43&gt;=Lighting!F$30,$A43&lt;=Lighting!F$31),(Lighting!F$32*Lighting!F$33*Lighting!F$34),0)*'Data Entry Electricity'!$L44</f>
        <v>0</v>
      </c>
      <c r="H43" s="62">
        <f t="shared" si="0"/>
        <v>0</v>
      </c>
    </row>
    <row r="44" spans="1:8">
      <c r="A44" s="66" t="s">
        <v>60</v>
      </c>
      <c r="B44" s="738">
        <f>IF(AND($A44&gt;=Lighting!B$30,$A44&lt;=Lighting!B$31),(Lighting!B$32*Lighting!B$33*Lighting!B$34),0)*'Data Entry Electricity'!$L45</f>
        <v>0</v>
      </c>
      <c r="C44" s="738">
        <f>IF(AND($A44&gt;=Lighting!C$30,$A44&lt;=Lighting!C$31),(Lighting!C$32*Lighting!C$33*Lighting!C$34),0)*'Data Entry Electricity'!$L45</f>
        <v>0</v>
      </c>
      <c r="D44" s="738">
        <f>IF(AND($A44&gt;=Lighting!D$30,$A44&lt;=Lighting!D$31),(Lighting!D$32*Lighting!D$33*Lighting!D$34),0)*'Data Entry Electricity'!$L45</f>
        <v>0</v>
      </c>
      <c r="E44" s="738">
        <f>IF(AND($A44&gt;=Lighting!E$30,$A44&lt;=Lighting!E$31),(Lighting!E$32*Lighting!E$33*Lighting!E$34),0)*'Data Entry Electricity'!$L45</f>
        <v>0</v>
      </c>
      <c r="F44" s="738">
        <f>IF(AND($A44&gt;=Lighting!F$30,$A44&lt;=Lighting!F$31),(Lighting!F$32*Lighting!F$33*Lighting!F$34),0)*'Data Entry Electricity'!$L45</f>
        <v>0</v>
      </c>
      <c r="H44" s="62">
        <f t="shared" si="0"/>
        <v>0</v>
      </c>
    </row>
    <row r="45" spans="1:8">
      <c r="A45" s="66" t="s">
        <v>61</v>
      </c>
      <c r="B45" s="738">
        <f>IF(AND($A45&gt;=Lighting!B$30,$A45&lt;=Lighting!B$31),(Lighting!B$32*Lighting!B$33*Lighting!B$34),0)*'Data Entry Electricity'!$L46</f>
        <v>0</v>
      </c>
      <c r="C45" s="738">
        <f>IF(AND($A45&gt;=Lighting!C$30,$A45&lt;=Lighting!C$31),(Lighting!C$32*Lighting!C$33*Lighting!C$34),0)*'Data Entry Electricity'!$L46</f>
        <v>0</v>
      </c>
      <c r="D45" s="738">
        <f>IF(AND($A45&gt;=Lighting!D$30,$A45&lt;=Lighting!D$31),(Lighting!D$32*Lighting!D$33*Lighting!D$34),0)*'Data Entry Electricity'!$L46</f>
        <v>0</v>
      </c>
      <c r="E45" s="738">
        <f>IF(AND($A45&gt;=Lighting!E$30,$A45&lt;=Lighting!E$31),(Lighting!E$32*Lighting!E$33*Lighting!E$34),0)*'Data Entry Electricity'!$L46</f>
        <v>0</v>
      </c>
      <c r="F45" s="738">
        <f>IF(AND($A45&gt;=Lighting!F$30,$A45&lt;=Lighting!F$31),(Lighting!F$32*Lighting!F$33*Lighting!F$34),0)*'Data Entry Electricity'!$L46</f>
        <v>0</v>
      </c>
      <c r="H45" s="62">
        <f t="shared" si="0"/>
        <v>0</v>
      </c>
    </row>
    <row r="46" spans="1:8">
      <c r="A46" s="66" t="s">
        <v>62</v>
      </c>
      <c r="B46" s="738">
        <f>IF(AND($A46&gt;=Lighting!B$30,$A46&lt;=Lighting!B$31),(Lighting!B$32*Lighting!B$33*Lighting!B$34),0)*'Data Entry Electricity'!$L47</f>
        <v>0</v>
      </c>
      <c r="C46" s="738">
        <f>IF(AND($A46&gt;=Lighting!C$30,$A46&lt;=Lighting!C$31),(Lighting!C$32*Lighting!C$33*Lighting!C$34),0)*'Data Entry Electricity'!$L47</f>
        <v>0</v>
      </c>
      <c r="D46" s="738">
        <f>IF(AND($A46&gt;=Lighting!D$30,$A46&lt;=Lighting!D$31),(Lighting!D$32*Lighting!D$33*Lighting!D$34),0)*'Data Entry Electricity'!$L47</f>
        <v>0</v>
      </c>
      <c r="E46" s="738">
        <f>IF(AND($A46&gt;=Lighting!E$30,$A46&lt;=Lighting!E$31),(Lighting!E$32*Lighting!E$33*Lighting!E$34),0)*'Data Entry Electricity'!$L47</f>
        <v>0</v>
      </c>
      <c r="F46" s="738">
        <f>IF(AND($A46&gt;=Lighting!F$30,$A46&lt;=Lighting!F$31),(Lighting!F$32*Lighting!F$33*Lighting!F$34),0)*'Data Entry Electricity'!$L47</f>
        <v>0</v>
      </c>
      <c r="H46" s="62">
        <f t="shared" si="0"/>
        <v>0</v>
      </c>
    </row>
    <row r="47" spans="1:8">
      <c r="A47" s="66" t="s">
        <v>63</v>
      </c>
      <c r="B47" s="738">
        <f>IF(AND($A47&gt;=Lighting!B$30,$A47&lt;=Lighting!B$31),(Lighting!B$32*Lighting!B$33*Lighting!B$34),0)*'Data Entry Electricity'!$L48</f>
        <v>0</v>
      </c>
      <c r="C47" s="738">
        <f>IF(AND($A47&gt;=Lighting!C$30,$A47&lt;=Lighting!C$31),(Lighting!C$32*Lighting!C$33*Lighting!C$34),0)*'Data Entry Electricity'!$L48</f>
        <v>0</v>
      </c>
      <c r="D47" s="738">
        <f>IF(AND($A47&gt;=Lighting!D$30,$A47&lt;=Lighting!D$31),(Lighting!D$32*Lighting!D$33*Lighting!D$34),0)*'Data Entry Electricity'!$L48</f>
        <v>0</v>
      </c>
      <c r="E47" s="738">
        <f>IF(AND($A47&gt;=Lighting!E$30,$A47&lt;=Lighting!E$31),(Lighting!E$32*Lighting!E$33*Lighting!E$34),0)*'Data Entry Electricity'!$L48</f>
        <v>0</v>
      </c>
      <c r="F47" s="738">
        <f>IF(AND($A47&gt;=Lighting!F$30,$A47&lt;=Lighting!F$31),(Lighting!F$32*Lighting!F$33*Lighting!F$34),0)*'Data Entry Electricity'!$L48</f>
        <v>0</v>
      </c>
      <c r="H47" s="62">
        <f t="shared" si="0"/>
        <v>0</v>
      </c>
    </row>
    <row r="48" spans="1:8">
      <c r="A48" s="66" t="s">
        <v>64</v>
      </c>
      <c r="B48" s="738">
        <f>IF(AND($A48&gt;=Lighting!B$30,$A48&lt;=Lighting!B$31),(Lighting!B$32*Lighting!B$33*Lighting!B$34),0)*'Data Entry Electricity'!$L49</f>
        <v>0</v>
      </c>
      <c r="C48" s="738">
        <f>IF(AND($A48&gt;=Lighting!C$30,$A48&lt;=Lighting!C$31),(Lighting!C$32*Lighting!C$33*Lighting!C$34),0)*'Data Entry Electricity'!$L49</f>
        <v>0</v>
      </c>
      <c r="D48" s="738">
        <f>IF(AND($A48&gt;=Lighting!D$30,$A48&lt;=Lighting!D$31),(Lighting!D$32*Lighting!D$33*Lighting!D$34),0)*'Data Entry Electricity'!$L49</f>
        <v>0</v>
      </c>
      <c r="E48" s="738">
        <f>IF(AND($A48&gt;=Lighting!E$30,$A48&lt;=Lighting!E$31),(Lighting!E$32*Lighting!E$33*Lighting!E$34),0)*'Data Entry Electricity'!$L49</f>
        <v>0</v>
      </c>
      <c r="F48" s="738">
        <f>IF(AND($A48&gt;=Lighting!F$30,$A48&lt;=Lighting!F$31),(Lighting!F$32*Lighting!F$33*Lighting!F$34),0)*'Data Entry Electricity'!$L49</f>
        <v>0</v>
      </c>
      <c r="H48" s="62">
        <f t="shared" si="0"/>
        <v>0</v>
      </c>
    </row>
    <row r="49" spans="1:8">
      <c r="A49" s="66" t="s">
        <v>65</v>
      </c>
      <c r="B49" s="738">
        <f>IF(AND($A49&gt;=Lighting!B$30,$A49&lt;=Lighting!B$31),(Lighting!B$32*Lighting!B$33*Lighting!B$34),0)*'Data Entry Electricity'!$L50</f>
        <v>0</v>
      </c>
      <c r="C49" s="738">
        <f>IF(AND($A49&gt;=Lighting!C$30,$A49&lt;=Lighting!C$31),(Lighting!C$32*Lighting!C$33*Lighting!C$34),0)*'Data Entry Electricity'!$L50</f>
        <v>0</v>
      </c>
      <c r="D49" s="738">
        <f>IF(AND($A49&gt;=Lighting!D$30,$A49&lt;=Lighting!D$31),(Lighting!D$32*Lighting!D$33*Lighting!D$34),0)*'Data Entry Electricity'!$L50</f>
        <v>0</v>
      </c>
      <c r="E49" s="738">
        <f>IF(AND($A49&gt;=Lighting!E$30,$A49&lt;=Lighting!E$31),(Lighting!E$32*Lighting!E$33*Lighting!E$34),0)*'Data Entry Electricity'!$L50</f>
        <v>0</v>
      </c>
      <c r="F49" s="738">
        <f>IF(AND($A49&gt;=Lighting!F$30,$A49&lt;=Lighting!F$31),(Lighting!F$32*Lighting!F$33*Lighting!F$34),0)*'Data Entry Electricity'!$L50</f>
        <v>0</v>
      </c>
      <c r="H49" s="62">
        <f t="shared" si="0"/>
        <v>0</v>
      </c>
    </row>
    <row r="50" spans="1:8">
      <c r="A50" s="66" t="s">
        <v>66</v>
      </c>
      <c r="B50" s="738">
        <f>IF(AND($A50&gt;=Lighting!B$30,$A50&lt;=Lighting!B$31),(Lighting!B$32*Lighting!B$33*Lighting!B$34),0)*'Data Entry Electricity'!$L51</f>
        <v>0</v>
      </c>
      <c r="C50" s="738">
        <f>IF(AND($A50&gt;=Lighting!C$30,$A50&lt;=Lighting!C$31),(Lighting!C$32*Lighting!C$33*Lighting!C$34),0)*'Data Entry Electricity'!$L51</f>
        <v>0</v>
      </c>
      <c r="D50" s="738">
        <f>IF(AND($A50&gt;=Lighting!D$30,$A50&lt;=Lighting!D$31),(Lighting!D$32*Lighting!D$33*Lighting!D$34),0)*'Data Entry Electricity'!$L51</f>
        <v>0</v>
      </c>
      <c r="E50" s="738">
        <f>IF(AND($A50&gt;=Lighting!E$30,$A50&lt;=Lighting!E$31),(Lighting!E$32*Lighting!E$33*Lighting!E$34),0)*'Data Entry Electricity'!$L51</f>
        <v>0</v>
      </c>
      <c r="F50" s="738">
        <f>IF(AND($A50&gt;=Lighting!F$30,$A50&lt;=Lighting!F$31),(Lighting!F$32*Lighting!F$33*Lighting!F$34),0)*'Data Entry Electricity'!$L51</f>
        <v>0</v>
      </c>
      <c r="H50" s="62">
        <f t="shared" si="0"/>
        <v>0</v>
      </c>
    </row>
    <row r="51" spans="1:8">
      <c r="A51" s="66" t="s">
        <v>8</v>
      </c>
      <c r="B51" s="738">
        <f>IF(AND($A51&gt;=Lighting!B$30,$A51&lt;=Lighting!B$31),(Lighting!B$32*Lighting!B$33*Lighting!B$34),0)*'Data Entry Electricity'!$L52</f>
        <v>0</v>
      </c>
      <c r="C51" s="738">
        <f>IF(AND($A51&gt;=Lighting!C$30,$A51&lt;=Lighting!C$31),(Lighting!C$32*Lighting!C$33*Lighting!C$34),0)*'Data Entry Electricity'!$L52</f>
        <v>0</v>
      </c>
      <c r="D51" s="738">
        <f>IF(AND($A51&gt;=Lighting!D$30,$A51&lt;=Lighting!D$31),(Lighting!D$32*Lighting!D$33*Lighting!D$34),0)*'Data Entry Electricity'!$L52</f>
        <v>0</v>
      </c>
      <c r="E51" s="738">
        <f>IF(AND($A51&gt;=Lighting!E$30,$A51&lt;=Lighting!E$31),(Lighting!E$32*Lighting!E$33*Lighting!E$34),0)*'Data Entry Electricity'!$L52</f>
        <v>0</v>
      </c>
      <c r="F51" s="738">
        <f>IF(AND($A51&gt;=Lighting!F$30,$A51&lt;=Lighting!F$31),(Lighting!F$32*Lighting!F$33*Lighting!F$34),0)*'Data Entry Electricity'!$L52</f>
        <v>0</v>
      </c>
      <c r="H51" s="62">
        <f t="shared" si="0"/>
        <v>0</v>
      </c>
    </row>
    <row r="52" spans="1:8">
      <c r="A52" s="66" t="s">
        <v>9</v>
      </c>
      <c r="B52" s="738">
        <f>IF(AND($A52&gt;=Lighting!B$30,$A52&lt;=Lighting!B$31),(Lighting!B$32*Lighting!B$33*Lighting!B$34),0)*'Data Entry Electricity'!$L53</f>
        <v>0</v>
      </c>
      <c r="C52" s="738">
        <f>IF(AND($A52&gt;=Lighting!C$30,$A52&lt;=Lighting!C$31),(Lighting!C$32*Lighting!C$33*Lighting!C$34),0)*'Data Entry Electricity'!$L53</f>
        <v>0</v>
      </c>
      <c r="D52" s="738">
        <f>IF(AND($A52&gt;=Lighting!D$30,$A52&lt;=Lighting!D$31),(Lighting!D$32*Lighting!D$33*Lighting!D$34),0)*'Data Entry Electricity'!$L53</f>
        <v>0</v>
      </c>
      <c r="E52" s="738">
        <f>IF(AND($A52&gt;=Lighting!E$30,$A52&lt;=Lighting!E$31),(Lighting!E$32*Lighting!E$33*Lighting!E$34),0)*'Data Entry Electricity'!$L53</f>
        <v>0</v>
      </c>
      <c r="F52" s="738">
        <f>IF(AND($A52&gt;=Lighting!F$30,$A52&lt;=Lighting!F$31),(Lighting!F$32*Lighting!F$33*Lighting!F$34),0)*'Data Entry Electricity'!$L53</f>
        <v>0</v>
      </c>
      <c r="H52" s="62">
        <f t="shared" si="0"/>
        <v>0</v>
      </c>
    </row>
    <row r="53" spans="1:8">
      <c r="A53" s="66" t="s">
        <v>10</v>
      </c>
      <c r="B53" s="738">
        <f>IF(AND($A53&gt;=Lighting!B$30,$A53&lt;=Lighting!B$31),(Lighting!B$32*Lighting!B$33*Lighting!B$34),0)*'Data Entry Electricity'!$L54</f>
        <v>0</v>
      </c>
      <c r="C53" s="738">
        <f>IF(AND($A53&gt;=Lighting!C$30,$A53&lt;=Lighting!C$31),(Lighting!C$32*Lighting!C$33*Lighting!C$34),0)*'Data Entry Electricity'!$L54</f>
        <v>0</v>
      </c>
      <c r="D53" s="738">
        <f>IF(AND($A53&gt;=Lighting!D$30,$A53&lt;=Lighting!D$31),(Lighting!D$32*Lighting!D$33*Lighting!D$34),0)*'Data Entry Electricity'!$L54</f>
        <v>0</v>
      </c>
      <c r="E53" s="738">
        <f>IF(AND($A53&gt;=Lighting!E$30,$A53&lt;=Lighting!E$31),(Lighting!E$32*Lighting!E$33*Lighting!E$34),0)*'Data Entry Electricity'!$L54</f>
        <v>0</v>
      </c>
      <c r="F53" s="738">
        <f>IF(AND($A53&gt;=Lighting!F$30,$A53&lt;=Lighting!F$31),(Lighting!F$32*Lighting!F$33*Lighting!F$34),0)*'Data Entry Electricity'!$L54</f>
        <v>0</v>
      </c>
      <c r="H53" s="62">
        <f t="shared" si="0"/>
        <v>0</v>
      </c>
    </row>
    <row r="54" spans="1:8">
      <c r="A54" s="66" t="s">
        <v>11</v>
      </c>
      <c r="B54" s="738">
        <f>IF(AND($A54&gt;=Lighting!B$30,$A54&lt;=Lighting!B$31),(Lighting!B$32*Lighting!B$33*Lighting!B$34),0)*'Data Entry Electricity'!$L55</f>
        <v>0</v>
      </c>
      <c r="C54" s="738">
        <f>IF(AND($A54&gt;=Lighting!C$30,$A54&lt;=Lighting!C$31),(Lighting!C$32*Lighting!C$33*Lighting!C$34),0)*'Data Entry Electricity'!$L55</f>
        <v>0</v>
      </c>
      <c r="D54" s="738">
        <f>IF(AND($A54&gt;=Lighting!D$30,$A54&lt;=Lighting!D$31),(Lighting!D$32*Lighting!D$33*Lighting!D$34),0)*'Data Entry Electricity'!$L55</f>
        <v>0</v>
      </c>
      <c r="E54" s="738">
        <f>IF(AND($A54&gt;=Lighting!E$30,$A54&lt;=Lighting!E$31),(Lighting!E$32*Lighting!E$33*Lighting!E$34),0)*'Data Entry Electricity'!$L55</f>
        <v>0</v>
      </c>
      <c r="F54" s="738">
        <f>IF(AND($A54&gt;=Lighting!F$30,$A54&lt;=Lighting!F$31),(Lighting!F$32*Lighting!F$33*Lighting!F$34),0)*'Data Entry Electricity'!$L55</f>
        <v>0</v>
      </c>
      <c r="H54" s="62">
        <f t="shared" si="0"/>
        <v>0</v>
      </c>
    </row>
    <row r="55" spans="1:8">
      <c r="A55" s="66" t="s">
        <v>67</v>
      </c>
      <c r="B55" s="738">
        <f>IF(AND($A55&gt;=Lighting!B$30,$A55&lt;=Lighting!B$31),(Lighting!B$32*Lighting!B$33*Lighting!B$34),0)*'Data Entry Electricity'!$L56</f>
        <v>0</v>
      </c>
      <c r="C55" s="738">
        <f>IF(AND($A55&gt;=Lighting!C$30,$A55&lt;=Lighting!C$31),(Lighting!C$32*Lighting!C$33*Lighting!C$34),0)*'Data Entry Electricity'!$L56</f>
        <v>0</v>
      </c>
      <c r="D55" s="738">
        <f>IF(AND($A55&gt;=Lighting!D$30,$A55&lt;=Lighting!D$31),(Lighting!D$32*Lighting!D$33*Lighting!D$34),0)*'Data Entry Electricity'!$L56</f>
        <v>0</v>
      </c>
      <c r="E55" s="738">
        <f>IF(AND($A55&gt;=Lighting!E$30,$A55&lt;=Lighting!E$31),(Lighting!E$32*Lighting!E$33*Lighting!E$34),0)*'Data Entry Electricity'!$L56</f>
        <v>0</v>
      </c>
      <c r="F55" s="738">
        <f>IF(AND($A55&gt;=Lighting!F$30,$A55&lt;=Lighting!F$31),(Lighting!F$32*Lighting!F$33*Lighting!F$34),0)*'Data Entry Electricity'!$L56</f>
        <v>0</v>
      </c>
      <c r="H55" s="62">
        <f t="shared" si="0"/>
        <v>0</v>
      </c>
    </row>
    <row r="56" spans="1:8">
      <c r="A56" s="66" t="s">
        <v>68</v>
      </c>
      <c r="B56" s="738">
        <f>IF(AND($A56&gt;=Lighting!B$30,$A56&lt;=Lighting!B$31),(Lighting!B$32*Lighting!B$33*Lighting!B$34),0)*'Data Entry Electricity'!$L57</f>
        <v>0</v>
      </c>
      <c r="C56" s="738">
        <f>IF(AND($A56&gt;=Lighting!C$30,$A56&lt;=Lighting!C$31),(Lighting!C$32*Lighting!C$33*Lighting!C$34),0)*'Data Entry Electricity'!$L57</f>
        <v>0</v>
      </c>
      <c r="D56" s="738">
        <f>IF(AND($A56&gt;=Lighting!D$30,$A56&lt;=Lighting!D$31),(Lighting!D$32*Lighting!D$33*Lighting!D$34),0)*'Data Entry Electricity'!$L57</f>
        <v>0</v>
      </c>
      <c r="E56" s="738">
        <f>IF(AND($A56&gt;=Lighting!E$30,$A56&lt;=Lighting!E$31),(Lighting!E$32*Lighting!E$33*Lighting!E$34),0)*'Data Entry Electricity'!$L57</f>
        <v>0</v>
      </c>
      <c r="F56" s="738">
        <f>IF(AND($A56&gt;=Lighting!F$30,$A56&lt;=Lighting!F$31),(Lighting!F$32*Lighting!F$33*Lighting!F$34),0)*'Data Entry Electricity'!$L57</f>
        <v>0</v>
      </c>
      <c r="H56" s="62">
        <f t="shared" si="0"/>
        <v>0</v>
      </c>
    </row>
    <row r="57" spans="1:8">
      <c r="A57" s="66" t="s">
        <v>69</v>
      </c>
      <c r="B57" s="738">
        <f>IF(AND($A57&gt;=Lighting!B$30,$A57&lt;=Lighting!B$31),(Lighting!B$32*Lighting!B$33*Lighting!B$34),0)*'Data Entry Electricity'!$L58</f>
        <v>0</v>
      </c>
      <c r="C57" s="738">
        <f>IF(AND($A57&gt;=Lighting!C$30,$A57&lt;=Lighting!C$31),(Lighting!C$32*Lighting!C$33*Lighting!C$34),0)*'Data Entry Electricity'!$L58</f>
        <v>0</v>
      </c>
      <c r="D57" s="738">
        <f>IF(AND($A57&gt;=Lighting!D$30,$A57&lt;=Lighting!D$31),(Lighting!D$32*Lighting!D$33*Lighting!D$34),0)*'Data Entry Electricity'!$L58</f>
        <v>0</v>
      </c>
      <c r="E57" s="738">
        <f>IF(AND($A57&gt;=Lighting!E$30,$A57&lt;=Lighting!E$31),(Lighting!E$32*Lighting!E$33*Lighting!E$34),0)*'Data Entry Electricity'!$L58</f>
        <v>0</v>
      </c>
      <c r="F57" s="738">
        <f>IF(AND($A57&gt;=Lighting!F$30,$A57&lt;=Lighting!F$31),(Lighting!F$32*Lighting!F$33*Lighting!F$34),0)*'Data Entry Electricity'!$L58</f>
        <v>0</v>
      </c>
      <c r="H57" s="62">
        <f t="shared" si="0"/>
        <v>0</v>
      </c>
    </row>
    <row r="58" spans="1:8">
      <c r="A58" s="66" t="s">
        <v>70</v>
      </c>
      <c r="B58" s="738">
        <f>IF(AND($A58&gt;=Lighting!B$30,$A58&lt;=Lighting!B$31),(Lighting!B$32*Lighting!B$33*Lighting!B$34),0)*'Data Entry Electricity'!$L59</f>
        <v>0</v>
      </c>
      <c r="C58" s="738">
        <f>IF(AND($A58&gt;=Lighting!C$30,$A58&lt;=Lighting!C$31),(Lighting!C$32*Lighting!C$33*Lighting!C$34),0)*'Data Entry Electricity'!$L59</f>
        <v>0</v>
      </c>
      <c r="D58" s="738">
        <f>IF(AND($A58&gt;=Lighting!D$30,$A58&lt;=Lighting!D$31),(Lighting!D$32*Lighting!D$33*Lighting!D$34),0)*'Data Entry Electricity'!$L59</f>
        <v>0</v>
      </c>
      <c r="E58" s="738">
        <f>IF(AND($A58&gt;=Lighting!E$30,$A58&lt;=Lighting!E$31),(Lighting!E$32*Lighting!E$33*Lighting!E$34),0)*'Data Entry Electricity'!$L59</f>
        <v>0</v>
      </c>
      <c r="F58" s="738">
        <f>IF(AND($A58&gt;=Lighting!F$30,$A58&lt;=Lighting!F$31),(Lighting!F$32*Lighting!F$33*Lighting!F$34),0)*'Data Entry Electricity'!$L59</f>
        <v>0</v>
      </c>
      <c r="H58" s="62">
        <f t="shared" si="0"/>
        <v>0</v>
      </c>
    </row>
    <row r="59" spans="1:8">
      <c r="A59" s="66" t="s">
        <v>71</v>
      </c>
      <c r="B59" s="738">
        <f>IF(AND($A59&gt;=Lighting!B$30,$A59&lt;=Lighting!B$31),(Lighting!B$32*Lighting!B$33*Lighting!B$34),0)*'Data Entry Electricity'!$L60</f>
        <v>0</v>
      </c>
      <c r="C59" s="738">
        <f>IF(AND($A59&gt;=Lighting!C$30,$A59&lt;=Lighting!C$31),(Lighting!C$32*Lighting!C$33*Lighting!C$34),0)*'Data Entry Electricity'!$L60</f>
        <v>0</v>
      </c>
      <c r="D59" s="738">
        <f>IF(AND($A59&gt;=Lighting!D$30,$A59&lt;=Lighting!D$31),(Lighting!D$32*Lighting!D$33*Lighting!D$34),0)*'Data Entry Electricity'!$L60</f>
        <v>0</v>
      </c>
      <c r="E59" s="738">
        <f>IF(AND($A59&gt;=Lighting!E$30,$A59&lt;=Lighting!E$31),(Lighting!E$32*Lighting!E$33*Lighting!E$34),0)*'Data Entry Electricity'!$L60</f>
        <v>0</v>
      </c>
      <c r="F59" s="738">
        <f>IF(AND($A59&gt;=Lighting!F$30,$A59&lt;=Lighting!F$31),(Lighting!F$32*Lighting!F$33*Lighting!F$34),0)*'Data Entry Electricity'!$L60</f>
        <v>0</v>
      </c>
      <c r="H59" s="62">
        <f t="shared" si="0"/>
        <v>0</v>
      </c>
    </row>
    <row r="60" spans="1:8">
      <c r="A60" s="66" t="s">
        <v>72</v>
      </c>
      <c r="B60" s="738">
        <f>IF(AND($A60&gt;=Lighting!B$30,$A60&lt;=Lighting!B$31),(Lighting!B$32*Lighting!B$33*Lighting!B$34),0)*'Data Entry Electricity'!$L61</f>
        <v>0</v>
      </c>
      <c r="C60" s="738">
        <f>IF(AND($A60&gt;=Lighting!C$30,$A60&lt;=Lighting!C$31),(Lighting!C$32*Lighting!C$33*Lighting!C$34),0)*'Data Entry Electricity'!$L61</f>
        <v>0</v>
      </c>
      <c r="D60" s="738">
        <f>IF(AND($A60&gt;=Lighting!D$30,$A60&lt;=Lighting!D$31),(Lighting!D$32*Lighting!D$33*Lighting!D$34),0)*'Data Entry Electricity'!$L61</f>
        <v>0</v>
      </c>
      <c r="E60" s="738">
        <f>IF(AND($A60&gt;=Lighting!E$30,$A60&lt;=Lighting!E$31),(Lighting!E$32*Lighting!E$33*Lighting!E$34),0)*'Data Entry Electricity'!$L61</f>
        <v>0</v>
      </c>
      <c r="F60" s="738">
        <f>IF(AND($A60&gt;=Lighting!F$30,$A60&lt;=Lighting!F$31),(Lighting!F$32*Lighting!F$33*Lighting!F$34),0)*'Data Entry Electricity'!$L61</f>
        <v>0</v>
      </c>
      <c r="H60" s="62">
        <f t="shared" si="0"/>
        <v>0</v>
      </c>
    </row>
    <row r="61" spans="1:8">
      <c r="A61" s="66" t="s">
        <v>73</v>
      </c>
      <c r="B61" s="738">
        <f>IF(AND($A61&gt;=Lighting!B$30,$A61&lt;=Lighting!B$31),(Lighting!B$32*Lighting!B$33*Lighting!B$34),0)*'Data Entry Electricity'!$L62</f>
        <v>0</v>
      </c>
      <c r="C61" s="738">
        <f>IF(AND($A61&gt;=Lighting!C$30,$A61&lt;=Lighting!C$31),(Lighting!C$32*Lighting!C$33*Lighting!C$34),0)*'Data Entry Electricity'!$L62</f>
        <v>0</v>
      </c>
      <c r="D61" s="738">
        <f>IF(AND($A61&gt;=Lighting!D$30,$A61&lt;=Lighting!D$31),(Lighting!D$32*Lighting!D$33*Lighting!D$34),0)*'Data Entry Electricity'!$L62</f>
        <v>0</v>
      </c>
      <c r="E61" s="738">
        <f>IF(AND($A61&gt;=Lighting!E$30,$A61&lt;=Lighting!E$31),(Lighting!E$32*Lighting!E$33*Lighting!E$34),0)*'Data Entry Electricity'!$L62</f>
        <v>0</v>
      </c>
      <c r="F61" s="738">
        <f>IF(AND($A61&gt;=Lighting!F$30,$A61&lt;=Lighting!F$31),(Lighting!F$32*Lighting!F$33*Lighting!F$34),0)*'Data Entry Electricity'!$L62</f>
        <v>0</v>
      </c>
      <c r="H61" s="62">
        <f t="shared" si="0"/>
        <v>0</v>
      </c>
    </row>
    <row r="62" spans="1:8">
      <c r="A62" s="66" t="s">
        <v>74</v>
      </c>
      <c r="B62" s="738">
        <f>IF(AND($A62&gt;=Lighting!B$30,$A62&lt;=Lighting!B$31),(Lighting!B$32*Lighting!B$33*Lighting!B$34),0)*'Data Entry Electricity'!$L63</f>
        <v>0</v>
      </c>
      <c r="C62" s="738">
        <f>IF(AND($A62&gt;=Lighting!C$30,$A62&lt;=Lighting!C$31),(Lighting!C$32*Lighting!C$33*Lighting!C$34),0)*'Data Entry Electricity'!$L63</f>
        <v>0</v>
      </c>
      <c r="D62" s="738">
        <f>IF(AND($A62&gt;=Lighting!D$30,$A62&lt;=Lighting!D$31),(Lighting!D$32*Lighting!D$33*Lighting!D$34),0)*'Data Entry Electricity'!$L63</f>
        <v>0</v>
      </c>
      <c r="E62" s="738">
        <f>IF(AND($A62&gt;=Lighting!E$30,$A62&lt;=Lighting!E$31),(Lighting!E$32*Lighting!E$33*Lighting!E$34),0)*'Data Entry Electricity'!$L63</f>
        <v>0</v>
      </c>
      <c r="F62" s="738">
        <f>IF(AND($A62&gt;=Lighting!F$30,$A62&lt;=Lighting!F$31),(Lighting!F$32*Lighting!F$33*Lighting!F$34),0)*'Data Entry Electricity'!$L63</f>
        <v>0</v>
      </c>
      <c r="H62" s="62">
        <f t="shared" si="0"/>
        <v>0</v>
      </c>
    </row>
    <row r="63" spans="1:8">
      <c r="A63" s="66" t="s">
        <v>75</v>
      </c>
      <c r="B63" s="738">
        <f>IF(AND($A63&gt;=Lighting!B$30,$A63&lt;=Lighting!B$31),(Lighting!B$32*Lighting!B$33*Lighting!B$34),0)*'Data Entry Electricity'!$L64</f>
        <v>0</v>
      </c>
      <c r="C63" s="738">
        <f>IF(AND($A63&gt;=Lighting!C$30,$A63&lt;=Lighting!C$31),(Lighting!C$32*Lighting!C$33*Lighting!C$34),0)*'Data Entry Electricity'!$L64</f>
        <v>0</v>
      </c>
      <c r="D63" s="738">
        <f>IF(AND($A63&gt;=Lighting!D$30,$A63&lt;=Lighting!D$31),(Lighting!D$32*Lighting!D$33*Lighting!D$34),0)*'Data Entry Electricity'!$L64</f>
        <v>0</v>
      </c>
      <c r="E63" s="738">
        <f>IF(AND($A63&gt;=Lighting!E$30,$A63&lt;=Lighting!E$31),(Lighting!E$32*Lighting!E$33*Lighting!E$34),0)*'Data Entry Electricity'!$L64</f>
        <v>0</v>
      </c>
      <c r="F63" s="738">
        <f>IF(AND($A63&gt;=Lighting!F$30,$A63&lt;=Lighting!F$31),(Lighting!F$32*Lighting!F$33*Lighting!F$34),0)*'Data Entry Electricity'!$L64</f>
        <v>0</v>
      </c>
      <c r="H63" s="62">
        <f t="shared" si="0"/>
        <v>0</v>
      </c>
    </row>
    <row r="64" spans="1:8">
      <c r="A64" s="66" t="s">
        <v>12</v>
      </c>
      <c r="B64" s="738">
        <f>IF(AND($A64&gt;=Lighting!B$30,$A64&lt;=Lighting!B$31),(Lighting!B$32*Lighting!B$33*Lighting!B$34),0)*'Data Entry Electricity'!$L65</f>
        <v>29.892844799999999</v>
      </c>
      <c r="C64" s="738">
        <f>IF(AND($A64&gt;=Lighting!C$30,$A64&lt;=Lighting!C$31),(Lighting!C$32*Lighting!C$33*Lighting!C$34),0)*'Data Entry Electricity'!$L65</f>
        <v>0</v>
      </c>
      <c r="D64" s="738">
        <f>IF(AND($A64&gt;=Lighting!D$30,$A64&lt;=Lighting!D$31),(Lighting!D$32*Lighting!D$33*Lighting!D$34),0)*'Data Entry Electricity'!$L65</f>
        <v>0</v>
      </c>
      <c r="E64" s="738">
        <f>IF(AND($A64&gt;=Lighting!E$30,$A64&lt;=Lighting!E$31),(Lighting!E$32*Lighting!E$33*Lighting!E$34),0)*'Data Entry Electricity'!$L65</f>
        <v>0</v>
      </c>
      <c r="F64" s="738">
        <f>IF(AND($A64&gt;=Lighting!F$30,$A64&lt;=Lighting!F$31),(Lighting!F$32*Lighting!F$33*Lighting!F$34),0)*'Data Entry Electricity'!$L65</f>
        <v>0</v>
      </c>
      <c r="H64" s="62">
        <f t="shared" si="0"/>
        <v>29.892844799999999</v>
      </c>
    </row>
    <row r="65" spans="1:8">
      <c r="A65" s="66" t="s">
        <v>13</v>
      </c>
      <c r="B65" s="738">
        <f>IF(AND($A65&gt;=Lighting!B$30,$A65&lt;=Lighting!B$31),(Lighting!B$32*Lighting!B$33*Lighting!B$34),0)*'Data Entry Electricity'!$L66</f>
        <v>29.892844799999999</v>
      </c>
      <c r="C65" s="738">
        <f>IF(AND($A65&gt;=Lighting!C$30,$A65&lt;=Lighting!C$31),(Lighting!C$32*Lighting!C$33*Lighting!C$34),0)*'Data Entry Electricity'!$L66</f>
        <v>0</v>
      </c>
      <c r="D65" s="738">
        <f>IF(AND($A65&gt;=Lighting!D$30,$A65&lt;=Lighting!D$31),(Lighting!D$32*Lighting!D$33*Lighting!D$34),0)*'Data Entry Electricity'!$L66</f>
        <v>0</v>
      </c>
      <c r="E65" s="738">
        <f>IF(AND($A65&gt;=Lighting!E$30,$A65&lt;=Lighting!E$31),(Lighting!E$32*Lighting!E$33*Lighting!E$34),0)*'Data Entry Electricity'!$L66</f>
        <v>0</v>
      </c>
      <c r="F65" s="738">
        <f>IF(AND($A65&gt;=Lighting!F$30,$A65&lt;=Lighting!F$31),(Lighting!F$32*Lighting!F$33*Lighting!F$34),0)*'Data Entry Electricity'!$L66</f>
        <v>0</v>
      </c>
      <c r="H65" s="62">
        <f t="shared" si="0"/>
        <v>29.892844799999999</v>
      </c>
    </row>
    <row r="66" spans="1:8">
      <c r="A66" s="66" t="s">
        <v>14</v>
      </c>
      <c r="B66" s="738">
        <f>IF(AND($A66&gt;=Lighting!B$30,$A66&lt;=Lighting!B$31),(Lighting!B$32*Lighting!B$33*Lighting!B$34),0)*'Data Entry Electricity'!$L67</f>
        <v>29.892844799999999</v>
      </c>
      <c r="C66" s="738">
        <f>IF(AND($A66&gt;=Lighting!C$30,$A66&lt;=Lighting!C$31),(Lighting!C$32*Lighting!C$33*Lighting!C$34),0)*'Data Entry Electricity'!$L67</f>
        <v>0</v>
      </c>
      <c r="D66" s="738">
        <f>IF(AND($A66&gt;=Lighting!D$30,$A66&lt;=Lighting!D$31),(Lighting!D$32*Lighting!D$33*Lighting!D$34),0)*'Data Entry Electricity'!$L67</f>
        <v>0</v>
      </c>
      <c r="E66" s="738">
        <f>IF(AND($A66&gt;=Lighting!E$30,$A66&lt;=Lighting!E$31),(Lighting!E$32*Lighting!E$33*Lighting!E$34),0)*'Data Entry Electricity'!$L67</f>
        <v>0</v>
      </c>
      <c r="F66" s="738">
        <f>IF(AND($A66&gt;=Lighting!F$30,$A66&lt;=Lighting!F$31),(Lighting!F$32*Lighting!F$33*Lighting!F$34),0)*'Data Entry Electricity'!$L67</f>
        <v>0</v>
      </c>
      <c r="H66" s="62">
        <f t="shared" si="0"/>
        <v>29.892844799999999</v>
      </c>
    </row>
    <row r="67" spans="1:8">
      <c r="A67" s="66" t="s">
        <v>15</v>
      </c>
      <c r="B67" s="738">
        <f>IF(AND($A67&gt;=Lighting!B$30,$A67&lt;=Lighting!B$31),(Lighting!B$32*Lighting!B$33*Lighting!B$34),0)*'Data Entry Electricity'!$L68</f>
        <v>29.892844799999999</v>
      </c>
      <c r="C67" s="738">
        <f>IF(AND($A67&gt;=Lighting!C$30,$A67&lt;=Lighting!C$31),(Lighting!C$32*Lighting!C$33*Lighting!C$34),0)*'Data Entry Electricity'!$L68</f>
        <v>0</v>
      </c>
      <c r="D67" s="738">
        <f>IF(AND($A67&gt;=Lighting!D$30,$A67&lt;=Lighting!D$31),(Lighting!D$32*Lighting!D$33*Lighting!D$34),0)*'Data Entry Electricity'!$L68</f>
        <v>0</v>
      </c>
      <c r="E67" s="738">
        <f>IF(AND($A67&gt;=Lighting!E$30,$A67&lt;=Lighting!E$31),(Lighting!E$32*Lighting!E$33*Lighting!E$34),0)*'Data Entry Electricity'!$L68</f>
        <v>0</v>
      </c>
      <c r="F67" s="738">
        <f>IF(AND($A67&gt;=Lighting!F$30,$A67&lt;=Lighting!F$31),(Lighting!F$32*Lighting!F$33*Lighting!F$34),0)*'Data Entry Electricity'!$L68</f>
        <v>0</v>
      </c>
      <c r="H67" s="62">
        <f t="shared" si="0"/>
        <v>29.892844799999999</v>
      </c>
    </row>
    <row r="68" spans="1:8">
      <c r="A68" s="66" t="s">
        <v>76</v>
      </c>
      <c r="B68" s="738">
        <f>IF(AND($A68&gt;=Lighting!B$30,$A68&lt;=Lighting!B$31),(Lighting!B$32*Lighting!B$33*Lighting!B$34),0)*'Data Entry Electricity'!$L69</f>
        <v>0</v>
      </c>
      <c r="C68" s="738">
        <f>IF(AND($A68&gt;=Lighting!C$30,$A68&lt;=Lighting!C$31),(Lighting!C$32*Lighting!C$33*Lighting!C$34),0)*'Data Entry Electricity'!$L69</f>
        <v>2092.4991359999999</v>
      </c>
      <c r="D68" s="738">
        <f>IF(AND($A68&gt;=Lighting!D$30,$A68&lt;=Lighting!D$31),(Lighting!D$32*Lighting!D$33*Lighting!D$34),0)*'Data Entry Electricity'!$L69</f>
        <v>0</v>
      </c>
      <c r="E68" s="738">
        <f>IF(AND($A68&gt;=Lighting!E$30,$A68&lt;=Lighting!E$31),(Lighting!E$32*Lighting!E$33*Lighting!E$34),0)*'Data Entry Electricity'!$L69</f>
        <v>0</v>
      </c>
      <c r="F68" s="738">
        <f>IF(AND($A68&gt;=Lighting!F$30,$A68&lt;=Lighting!F$31),(Lighting!F$32*Lighting!F$33*Lighting!F$34),0)*'Data Entry Electricity'!$L69</f>
        <v>0</v>
      </c>
      <c r="H68" s="62">
        <f t="shared" ref="H68:H119" si="1">SUM(B68:F68)</f>
        <v>2092.4991359999999</v>
      </c>
    </row>
    <row r="69" spans="1:8">
      <c r="A69" s="66" t="s">
        <v>77</v>
      </c>
      <c r="B69" s="738">
        <f>IF(AND($A69&gt;=Lighting!B$30,$A69&lt;=Lighting!B$31),(Lighting!B$32*Lighting!B$33*Lighting!B$34),0)*'Data Entry Electricity'!$L70</f>
        <v>0</v>
      </c>
      <c r="C69" s="738">
        <f>IF(AND($A69&gt;=Lighting!C$30,$A69&lt;=Lighting!C$31),(Lighting!C$32*Lighting!C$33*Lighting!C$34),0)*'Data Entry Electricity'!$L70</f>
        <v>2092.4991359999999</v>
      </c>
      <c r="D69" s="738">
        <f>IF(AND($A69&gt;=Lighting!D$30,$A69&lt;=Lighting!D$31),(Lighting!D$32*Lighting!D$33*Lighting!D$34),0)*'Data Entry Electricity'!$L70</f>
        <v>0</v>
      </c>
      <c r="E69" s="738">
        <f>IF(AND($A69&gt;=Lighting!E$30,$A69&lt;=Lighting!E$31),(Lighting!E$32*Lighting!E$33*Lighting!E$34),0)*'Data Entry Electricity'!$L70</f>
        <v>0</v>
      </c>
      <c r="F69" s="738">
        <f>IF(AND($A69&gt;=Lighting!F$30,$A69&lt;=Lighting!F$31),(Lighting!F$32*Lighting!F$33*Lighting!F$34),0)*'Data Entry Electricity'!$L70</f>
        <v>0</v>
      </c>
      <c r="H69" s="62">
        <f t="shared" si="1"/>
        <v>2092.4991359999999</v>
      </c>
    </row>
    <row r="70" spans="1:8">
      <c r="A70" s="66" t="s">
        <v>78</v>
      </c>
      <c r="B70" s="738">
        <f>IF(AND($A70&gt;=Lighting!B$30,$A70&lt;=Lighting!B$31),(Lighting!B$32*Lighting!B$33*Lighting!B$34),0)*'Data Entry Electricity'!$L71</f>
        <v>0</v>
      </c>
      <c r="C70" s="738">
        <f>IF(AND($A70&gt;=Lighting!C$30,$A70&lt;=Lighting!C$31),(Lighting!C$32*Lighting!C$33*Lighting!C$34),0)*'Data Entry Electricity'!$L71</f>
        <v>1956.7618761600002</v>
      </c>
      <c r="D70" s="738">
        <f>IF(AND($A70&gt;=Lighting!D$30,$A70&lt;=Lighting!D$31),(Lighting!D$32*Lighting!D$33*Lighting!D$34),0)*'Data Entry Electricity'!$L71</f>
        <v>0</v>
      </c>
      <c r="E70" s="738">
        <f>IF(AND($A70&gt;=Lighting!E$30,$A70&lt;=Lighting!E$31),(Lighting!E$32*Lighting!E$33*Lighting!E$34),0)*'Data Entry Electricity'!$L71</f>
        <v>0</v>
      </c>
      <c r="F70" s="738">
        <f>IF(AND($A70&gt;=Lighting!F$30,$A70&lt;=Lighting!F$31),(Lighting!F$32*Lighting!F$33*Lighting!F$34),0)*'Data Entry Electricity'!$L71</f>
        <v>0</v>
      </c>
      <c r="H70" s="62">
        <f t="shared" si="1"/>
        <v>1956.7618761600002</v>
      </c>
    </row>
    <row r="71" spans="1:8">
      <c r="A71" s="66" t="s">
        <v>79</v>
      </c>
      <c r="B71" s="738">
        <f>IF(AND($A71&gt;=Lighting!B$30,$A71&lt;=Lighting!B$31),(Lighting!B$32*Lighting!B$33*Lighting!B$34),0)*'Data Entry Electricity'!$L72</f>
        <v>0</v>
      </c>
      <c r="C71" s="738">
        <f>IF(AND($A71&gt;=Lighting!C$30,$A71&lt;=Lighting!C$31),(Lighting!C$32*Lighting!C$33*Lighting!C$34),0)*'Data Entry Electricity'!$L72</f>
        <v>1956.7618761600002</v>
      </c>
      <c r="D71" s="738">
        <f>IF(AND($A71&gt;=Lighting!D$30,$A71&lt;=Lighting!D$31),(Lighting!D$32*Lighting!D$33*Lighting!D$34),0)*'Data Entry Electricity'!$L72</f>
        <v>0</v>
      </c>
      <c r="E71" s="738">
        <f>IF(AND($A71&gt;=Lighting!E$30,$A71&lt;=Lighting!E$31),(Lighting!E$32*Lighting!E$33*Lighting!E$34),0)*'Data Entry Electricity'!$L72</f>
        <v>0</v>
      </c>
      <c r="F71" s="738">
        <f>IF(AND($A71&gt;=Lighting!F$30,$A71&lt;=Lighting!F$31),(Lighting!F$32*Lighting!F$33*Lighting!F$34),0)*'Data Entry Electricity'!$L72</f>
        <v>0</v>
      </c>
      <c r="H71" s="62">
        <f t="shared" si="1"/>
        <v>1956.7618761600002</v>
      </c>
    </row>
    <row r="72" spans="1:8">
      <c r="A72" s="66" t="s">
        <v>80</v>
      </c>
      <c r="B72" s="738">
        <f>IF(AND($A72&gt;=Lighting!B$30,$A72&lt;=Lighting!B$31),(Lighting!B$32*Lighting!B$33*Lighting!B$34),0)*'Data Entry Electricity'!$L73</f>
        <v>0</v>
      </c>
      <c r="C72" s="738">
        <f>IF(AND($A72&gt;=Lighting!C$30,$A72&lt;=Lighting!C$31),(Lighting!C$32*Lighting!C$33*Lighting!C$34),0)*'Data Entry Electricity'!$L73</f>
        <v>1956.7618761600002</v>
      </c>
      <c r="D72" s="738">
        <f>IF(AND($A72&gt;=Lighting!D$30,$A72&lt;=Lighting!D$31),(Lighting!D$32*Lighting!D$33*Lighting!D$34),0)*'Data Entry Electricity'!$L73</f>
        <v>0</v>
      </c>
      <c r="E72" s="738">
        <f>IF(AND($A72&gt;=Lighting!E$30,$A72&lt;=Lighting!E$31),(Lighting!E$32*Lighting!E$33*Lighting!E$34),0)*'Data Entry Electricity'!$L73</f>
        <v>0</v>
      </c>
      <c r="F72" s="738">
        <f>IF(AND($A72&gt;=Lighting!F$30,$A72&lt;=Lighting!F$31),(Lighting!F$32*Lighting!F$33*Lighting!F$34),0)*'Data Entry Electricity'!$L73</f>
        <v>0</v>
      </c>
      <c r="H72" s="62">
        <f t="shared" si="1"/>
        <v>1956.7618761600002</v>
      </c>
    </row>
    <row r="73" spans="1:8">
      <c r="A73" s="66" t="s">
        <v>81</v>
      </c>
      <c r="B73" s="738">
        <f>IF(AND($A73&gt;=Lighting!B$30,$A73&lt;=Lighting!B$31),(Lighting!B$32*Lighting!B$33*Lighting!B$34),0)*'Data Entry Electricity'!$L74</f>
        <v>0</v>
      </c>
      <c r="C73" s="738">
        <f>IF(AND($A73&gt;=Lighting!C$30,$A73&lt;=Lighting!C$31),(Lighting!C$32*Lighting!C$33*Lighting!C$34),0)*'Data Entry Electricity'!$L74</f>
        <v>1956.7618761600002</v>
      </c>
      <c r="D73" s="738">
        <f>IF(AND($A73&gt;=Lighting!D$30,$A73&lt;=Lighting!D$31),(Lighting!D$32*Lighting!D$33*Lighting!D$34),0)*'Data Entry Electricity'!$L74</f>
        <v>0</v>
      </c>
      <c r="E73" s="738">
        <f>IF(AND($A73&gt;=Lighting!E$30,$A73&lt;=Lighting!E$31),(Lighting!E$32*Lighting!E$33*Lighting!E$34),0)*'Data Entry Electricity'!$L74</f>
        <v>0</v>
      </c>
      <c r="F73" s="738">
        <f>IF(AND($A73&gt;=Lighting!F$30,$A73&lt;=Lighting!F$31),(Lighting!F$32*Lighting!F$33*Lighting!F$34),0)*'Data Entry Electricity'!$L74</f>
        <v>0</v>
      </c>
      <c r="H73" s="62">
        <f t="shared" si="1"/>
        <v>1956.7618761600002</v>
      </c>
    </row>
    <row r="74" spans="1:8">
      <c r="A74" s="66" t="s">
        <v>82</v>
      </c>
      <c r="B74" s="738">
        <f>IF(AND($A74&gt;=Lighting!B$30,$A74&lt;=Lighting!B$31),(Lighting!B$32*Lighting!B$33*Lighting!B$34),0)*'Data Entry Electricity'!$L75</f>
        <v>0</v>
      </c>
      <c r="C74" s="738">
        <f>IF(AND($A74&gt;=Lighting!C$30,$A74&lt;=Lighting!C$31),(Lighting!C$32*Lighting!C$33*Lighting!C$34),0)*'Data Entry Electricity'!$L75</f>
        <v>1956.7618761600002</v>
      </c>
      <c r="D74" s="738">
        <f>IF(AND($A74&gt;=Lighting!D$30,$A74&lt;=Lighting!D$31),(Lighting!D$32*Lighting!D$33*Lighting!D$34),0)*'Data Entry Electricity'!$L75</f>
        <v>0</v>
      </c>
      <c r="E74" s="738">
        <f>IF(AND($A74&gt;=Lighting!E$30,$A74&lt;=Lighting!E$31),(Lighting!E$32*Lighting!E$33*Lighting!E$34),0)*'Data Entry Electricity'!$L75</f>
        <v>0</v>
      </c>
      <c r="F74" s="738">
        <f>IF(AND($A74&gt;=Lighting!F$30,$A74&lt;=Lighting!F$31),(Lighting!F$32*Lighting!F$33*Lighting!F$34),0)*'Data Entry Electricity'!$L75</f>
        <v>0</v>
      </c>
      <c r="H74" s="62">
        <f t="shared" si="1"/>
        <v>1956.7618761600002</v>
      </c>
    </row>
    <row r="75" spans="1:8">
      <c r="A75" s="66" t="s">
        <v>83</v>
      </c>
      <c r="B75" s="738">
        <f>IF(AND($A75&gt;=Lighting!B$30,$A75&lt;=Lighting!B$31),(Lighting!B$32*Lighting!B$33*Lighting!B$34),0)*'Data Entry Electricity'!$L76</f>
        <v>0</v>
      </c>
      <c r="C75" s="738">
        <f>IF(AND($A75&gt;=Lighting!C$30,$A75&lt;=Lighting!C$31),(Lighting!C$32*Lighting!C$33*Lighting!C$34),0)*'Data Entry Electricity'!$L76</f>
        <v>1956.7618761600002</v>
      </c>
      <c r="D75" s="738">
        <f>IF(AND($A75&gt;=Lighting!D$30,$A75&lt;=Lighting!D$31),(Lighting!D$32*Lighting!D$33*Lighting!D$34),0)*'Data Entry Electricity'!$L76</f>
        <v>0</v>
      </c>
      <c r="E75" s="738">
        <f>IF(AND($A75&gt;=Lighting!E$30,$A75&lt;=Lighting!E$31),(Lighting!E$32*Lighting!E$33*Lighting!E$34),0)*'Data Entry Electricity'!$L76</f>
        <v>0</v>
      </c>
      <c r="F75" s="738">
        <f>IF(AND($A75&gt;=Lighting!F$30,$A75&lt;=Lighting!F$31),(Lighting!F$32*Lighting!F$33*Lighting!F$34),0)*'Data Entry Electricity'!$L76</f>
        <v>0</v>
      </c>
      <c r="H75" s="62">
        <f t="shared" si="1"/>
        <v>1956.7618761600002</v>
      </c>
    </row>
    <row r="76" spans="1:8">
      <c r="A76" s="66" t="s">
        <v>84</v>
      </c>
      <c r="B76" s="738">
        <f>IF(AND($A76&gt;=Lighting!B$30,$A76&lt;=Lighting!B$31),(Lighting!B$32*Lighting!B$33*Lighting!B$34),0)*'Data Entry Electricity'!$L77</f>
        <v>0</v>
      </c>
      <c r="C76" s="738">
        <f>IF(AND($A76&gt;=Lighting!C$30,$A76&lt;=Lighting!C$31),(Lighting!C$32*Lighting!C$33*Lighting!C$34),0)*'Data Entry Electricity'!$L77</f>
        <v>1956.7618761600002</v>
      </c>
      <c r="D76" s="738">
        <f>IF(AND($A76&gt;=Lighting!D$30,$A76&lt;=Lighting!D$31),(Lighting!D$32*Lighting!D$33*Lighting!D$34),0)*'Data Entry Electricity'!$L77</f>
        <v>0</v>
      </c>
      <c r="E76" s="738">
        <f>IF(AND($A76&gt;=Lighting!E$30,$A76&lt;=Lighting!E$31),(Lighting!E$32*Lighting!E$33*Lighting!E$34),0)*'Data Entry Electricity'!$L77</f>
        <v>0</v>
      </c>
      <c r="F76" s="738">
        <f>IF(AND($A76&gt;=Lighting!F$30,$A76&lt;=Lighting!F$31),(Lighting!F$32*Lighting!F$33*Lighting!F$34),0)*'Data Entry Electricity'!$L77</f>
        <v>0</v>
      </c>
      <c r="H76" s="62">
        <f t="shared" si="1"/>
        <v>1956.7618761600002</v>
      </c>
    </row>
    <row r="77" spans="1:8">
      <c r="A77" s="66" t="s">
        <v>16</v>
      </c>
      <c r="B77" s="738">
        <f>IF(AND($A77&gt;=Lighting!B$30,$A77&lt;=Lighting!B$31),(Lighting!B$32*Lighting!B$33*Lighting!B$34),0)*'Data Entry Electricity'!$L78</f>
        <v>0</v>
      </c>
      <c r="C77" s="738">
        <f>IF(AND($A77&gt;=Lighting!C$30,$A77&lt;=Lighting!C$31),(Lighting!C$32*Lighting!C$33*Lighting!C$34),0)*'Data Entry Electricity'!$L78</f>
        <v>1956.7618761600002</v>
      </c>
      <c r="D77" s="738">
        <f>IF(AND($A77&gt;=Lighting!D$30,$A77&lt;=Lighting!D$31),(Lighting!D$32*Lighting!D$33*Lighting!D$34),0)*'Data Entry Electricity'!$L78</f>
        <v>0</v>
      </c>
      <c r="E77" s="738">
        <f>IF(AND($A77&gt;=Lighting!E$30,$A77&lt;=Lighting!E$31),(Lighting!E$32*Lighting!E$33*Lighting!E$34),0)*'Data Entry Electricity'!$L78</f>
        <v>0</v>
      </c>
      <c r="F77" s="738">
        <f>IF(AND($A77&gt;=Lighting!F$30,$A77&lt;=Lighting!F$31),(Lighting!F$32*Lighting!F$33*Lighting!F$34),0)*'Data Entry Electricity'!$L78</f>
        <v>0</v>
      </c>
      <c r="H77" s="62">
        <f t="shared" si="1"/>
        <v>1956.7618761600002</v>
      </c>
    </row>
    <row r="78" spans="1:8">
      <c r="A78" s="66" t="s">
        <v>17</v>
      </c>
      <c r="B78" s="738">
        <f>IF(AND($A78&gt;=Lighting!B$30,$A78&lt;=Lighting!B$31),(Lighting!B$32*Lighting!B$33*Lighting!B$34),0)*'Data Entry Electricity'!$L79</f>
        <v>0</v>
      </c>
      <c r="C78" s="738">
        <f>IF(AND($A78&gt;=Lighting!C$30,$A78&lt;=Lighting!C$31),(Lighting!C$32*Lighting!C$33*Lighting!C$34),0)*'Data Entry Electricity'!$L79</f>
        <v>1956.7618761600002</v>
      </c>
      <c r="D78" s="738">
        <f>IF(AND($A78&gt;=Lighting!D$30,$A78&lt;=Lighting!D$31),(Lighting!D$32*Lighting!D$33*Lighting!D$34),0)*'Data Entry Electricity'!$L79</f>
        <v>0</v>
      </c>
      <c r="E78" s="738">
        <f>IF(AND($A78&gt;=Lighting!E$30,$A78&lt;=Lighting!E$31),(Lighting!E$32*Lighting!E$33*Lighting!E$34),0)*'Data Entry Electricity'!$L79</f>
        <v>0</v>
      </c>
      <c r="F78" s="738">
        <f>IF(AND($A78&gt;=Lighting!F$30,$A78&lt;=Lighting!F$31),(Lighting!F$32*Lighting!F$33*Lighting!F$34),0)*'Data Entry Electricity'!$L79</f>
        <v>0</v>
      </c>
      <c r="H78" s="62">
        <f t="shared" si="1"/>
        <v>1956.7618761600002</v>
      </c>
    </row>
    <row r="79" spans="1:8">
      <c r="A79" s="66" t="s">
        <v>18</v>
      </c>
      <c r="B79" s="738">
        <f>IF(AND($A79&gt;=Lighting!B$30,$A79&lt;=Lighting!B$31),(Lighting!B$32*Lighting!B$33*Lighting!B$34),0)*'Data Entry Electricity'!$L80</f>
        <v>0</v>
      </c>
      <c r="C79" s="738">
        <f>IF(AND($A79&gt;=Lighting!C$30,$A79&lt;=Lighting!C$31),(Lighting!C$32*Lighting!C$33*Lighting!C$34),0)*'Data Entry Electricity'!$L80</f>
        <v>1956.7618761600002</v>
      </c>
      <c r="D79" s="738">
        <f>IF(AND($A79&gt;=Lighting!D$30,$A79&lt;=Lighting!D$31),(Lighting!D$32*Lighting!D$33*Lighting!D$34),0)*'Data Entry Electricity'!$L80</f>
        <v>0</v>
      </c>
      <c r="E79" s="738">
        <f>IF(AND($A79&gt;=Lighting!E$30,$A79&lt;=Lighting!E$31),(Lighting!E$32*Lighting!E$33*Lighting!E$34),0)*'Data Entry Electricity'!$L80</f>
        <v>0</v>
      </c>
      <c r="F79" s="738">
        <f>IF(AND($A79&gt;=Lighting!F$30,$A79&lt;=Lighting!F$31),(Lighting!F$32*Lighting!F$33*Lighting!F$34),0)*'Data Entry Electricity'!$L80</f>
        <v>0</v>
      </c>
      <c r="H79" s="62">
        <f t="shared" si="1"/>
        <v>1956.7618761600002</v>
      </c>
    </row>
    <row r="80" spans="1:8">
      <c r="A80" s="66" t="s">
        <v>19</v>
      </c>
      <c r="B80" s="738">
        <f>IF(AND($A80&gt;=Lighting!B$30,$A80&lt;=Lighting!B$31),(Lighting!B$32*Lighting!B$33*Lighting!B$34),0)*'Data Entry Electricity'!$L81</f>
        <v>0</v>
      </c>
      <c r="C80" s="738">
        <f>IF(AND($A80&gt;=Lighting!C$30,$A80&lt;=Lighting!C$31),(Lighting!C$32*Lighting!C$33*Lighting!C$34),0)*'Data Entry Electricity'!$L81</f>
        <v>1956.7618761600002</v>
      </c>
      <c r="D80" s="738">
        <f>IF(AND($A80&gt;=Lighting!D$30,$A80&lt;=Lighting!D$31),(Lighting!D$32*Lighting!D$33*Lighting!D$34),0)*'Data Entry Electricity'!$L81</f>
        <v>0</v>
      </c>
      <c r="E80" s="738">
        <f>IF(AND($A80&gt;=Lighting!E$30,$A80&lt;=Lighting!E$31),(Lighting!E$32*Lighting!E$33*Lighting!E$34),0)*'Data Entry Electricity'!$L81</f>
        <v>0</v>
      </c>
      <c r="F80" s="738">
        <f>IF(AND($A80&gt;=Lighting!F$30,$A80&lt;=Lighting!F$31),(Lighting!F$32*Lighting!F$33*Lighting!F$34),0)*'Data Entry Electricity'!$L81</f>
        <v>0</v>
      </c>
      <c r="H80" s="62">
        <f t="shared" si="1"/>
        <v>1956.7618761600002</v>
      </c>
    </row>
    <row r="81" spans="1:8">
      <c r="A81" s="66" t="s">
        <v>85</v>
      </c>
      <c r="B81" s="738">
        <f>IF(AND($A81&gt;=Lighting!B$30,$A81&lt;=Lighting!B$31),(Lighting!B$32*Lighting!B$33*Lighting!B$34),0)*'Data Entry Electricity'!$L82</f>
        <v>0</v>
      </c>
      <c r="C81" s="738">
        <f>IF(AND($A81&gt;=Lighting!C$30,$A81&lt;=Lighting!C$31),(Lighting!C$32*Lighting!C$33*Lighting!C$34),0)*'Data Entry Electricity'!$L82</f>
        <v>0</v>
      </c>
      <c r="D81" s="738">
        <f>IF(AND($A81&gt;=Lighting!D$30,$A81&lt;=Lighting!D$31),(Lighting!D$32*Lighting!D$33*Lighting!D$34),0)*'Data Entry Electricity'!$L82</f>
        <v>0</v>
      </c>
      <c r="E81" s="738">
        <f>IF(AND($A81&gt;=Lighting!E$30,$A81&lt;=Lighting!E$31),(Lighting!E$32*Lighting!E$33*Lighting!E$34),0)*'Data Entry Electricity'!$L82</f>
        <v>0</v>
      </c>
      <c r="F81" s="738">
        <f>IF(AND($A81&gt;=Lighting!F$30,$A81&lt;=Lighting!F$31),(Lighting!F$32*Lighting!F$33*Lighting!F$34),0)*'Data Entry Electricity'!$L82</f>
        <v>0</v>
      </c>
      <c r="H81" s="62">
        <f t="shared" si="1"/>
        <v>0</v>
      </c>
    </row>
    <row r="82" spans="1:8">
      <c r="A82" s="66" t="s">
        <v>86</v>
      </c>
      <c r="B82" s="738">
        <f>IF(AND($A82&gt;=Lighting!B$30,$A82&lt;=Lighting!B$31),(Lighting!B$32*Lighting!B$33*Lighting!B$34),0)*'Data Entry Electricity'!$L83</f>
        <v>0</v>
      </c>
      <c r="C82" s="738">
        <f>IF(AND($A82&gt;=Lighting!C$30,$A82&lt;=Lighting!C$31),(Lighting!C$32*Lighting!C$33*Lighting!C$34),0)*'Data Entry Electricity'!$L83</f>
        <v>0</v>
      </c>
      <c r="D82" s="738">
        <f>IF(AND($A82&gt;=Lighting!D$30,$A82&lt;=Lighting!D$31),(Lighting!D$32*Lighting!D$33*Lighting!D$34),0)*'Data Entry Electricity'!$L83</f>
        <v>0</v>
      </c>
      <c r="E82" s="738">
        <f>IF(AND($A82&gt;=Lighting!E$30,$A82&lt;=Lighting!E$31),(Lighting!E$32*Lighting!E$33*Lighting!E$34),0)*'Data Entry Electricity'!$L83</f>
        <v>0</v>
      </c>
      <c r="F82" s="738">
        <f>IF(AND($A82&gt;=Lighting!F$30,$A82&lt;=Lighting!F$31),(Lighting!F$32*Lighting!F$33*Lighting!F$34),0)*'Data Entry Electricity'!$L83</f>
        <v>0</v>
      </c>
      <c r="H82" s="62">
        <f t="shared" si="1"/>
        <v>0</v>
      </c>
    </row>
    <row r="83" spans="1:8">
      <c r="A83" s="66" t="s">
        <v>87</v>
      </c>
      <c r="B83" s="738">
        <f>IF(AND($A83&gt;=Lighting!B$30,$A83&lt;=Lighting!B$31),(Lighting!B$32*Lighting!B$33*Lighting!B$34),0)*'Data Entry Electricity'!$L84</f>
        <v>0</v>
      </c>
      <c r="C83" s="738">
        <f>IF(AND($A83&gt;=Lighting!C$30,$A83&lt;=Lighting!C$31),(Lighting!C$32*Lighting!C$33*Lighting!C$34),0)*'Data Entry Electricity'!$L84</f>
        <v>0</v>
      </c>
      <c r="D83" s="738">
        <f>IF(AND($A83&gt;=Lighting!D$30,$A83&lt;=Lighting!D$31),(Lighting!D$32*Lighting!D$33*Lighting!D$34),0)*'Data Entry Electricity'!$L84</f>
        <v>0</v>
      </c>
      <c r="E83" s="738">
        <f>IF(AND($A83&gt;=Lighting!E$30,$A83&lt;=Lighting!E$31),(Lighting!E$32*Lighting!E$33*Lighting!E$34),0)*'Data Entry Electricity'!$L84</f>
        <v>0</v>
      </c>
      <c r="F83" s="738">
        <f>IF(AND($A83&gt;=Lighting!F$30,$A83&lt;=Lighting!F$31),(Lighting!F$32*Lighting!F$33*Lighting!F$34),0)*'Data Entry Electricity'!$L84</f>
        <v>0</v>
      </c>
      <c r="H83" s="62">
        <f t="shared" si="1"/>
        <v>0</v>
      </c>
    </row>
    <row r="84" spans="1:8">
      <c r="A84" s="66" t="s">
        <v>88</v>
      </c>
      <c r="B84" s="738">
        <f>IF(AND($A84&gt;=Lighting!B$30,$A84&lt;=Lighting!B$31),(Lighting!B$32*Lighting!B$33*Lighting!B$34),0)*'Data Entry Electricity'!$L85</f>
        <v>0</v>
      </c>
      <c r="C84" s="738">
        <f>IF(AND($A84&gt;=Lighting!C$30,$A84&lt;=Lighting!C$31),(Lighting!C$32*Lighting!C$33*Lighting!C$34),0)*'Data Entry Electricity'!$L85</f>
        <v>0</v>
      </c>
      <c r="D84" s="738">
        <f>IF(AND($A84&gt;=Lighting!D$30,$A84&lt;=Lighting!D$31),(Lighting!D$32*Lighting!D$33*Lighting!D$34),0)*'Data Entry Electricity'!$L85</f>
        <v>0</v>
      </c>
      <c r="E84" s="738">
        <f>IF(AND($A84&gt;=Lighting!E$30,$A84&lt;=Lighting!E$31),(Lighting!E$32*Lighting!E$33*Lighting!E$34),0)*'Data Entry Electricity'!$L85</f>
        <v>0</v>
      </c>
      <c r="F84" s="738">
        <f>IF(AND($A84&gt;=Lighting!F$30,$A84&lt;=Lighting!F$31),(Lighting!F$32*Lighting!F$33*Lighting!F$34),0)*'Data Entry Electricity'!$L85</f>
        <v>0</v>
      </c>
      <c r="H84" s="62">
        <f t="shared" si="1"/>
        <v>0</v>
      </c>
    </row>
    <row r="85" spans="1:8">
      <c r="A85" s="66" t="s">
        <v>89</v>
      </c>
      <c r="B85" s="738">
        <f>IF(AND($A85&gt;=Lighting!B$30,$A85&lt;=Lighting!B$31),(Lighting!B$32*Lighting!B$33*Lighting!B$34),0)*'Data Entry Electricity'!$L86</f>
        <v>0</v>
      </c>
      <c r="C85" s="738">
        <f>IF(AND($A85&gt;=Lighting!C$30,$A85&lt;=Lighting!C$31),(Lighting!C$32*Lighting!C$33*Lighting!C$34),0)*'Data Entry Electricity'!$L86</f>
        <v>0</v>
      </c>
      <c r="D85" s="738">
        <f>IF(AND($A85&gt;=Lighting!D$30,$A85&lt;=Lighting!D$31),(Lighting!D$32*Lighting!D$33*Lighting!D$34),0)*'Data Entry Electricity'!$L86</f>
        <v>0</v>
      </c>
      <c r="E85" s="738">
        <f>IF(AND($A85&gt;=Lighting!E$30,$A85&lt;=Lighting!E$31),(Lighting!E$32*Lighting!E$33*Lighting!E$34),0)*'Data Entry Electricity'!$L86</f>
        <v>0</v>
      </c>
      <c r="F85" s="738">
        <f>IF(AND($A85&gt;=Lighting!F$30,$A85&lt;=Lighting!F$31),(Lighting!F$32*Lighting!F$33*Lighting!F$34),0)*'Data Entry Electricity'!$L86</f>
        <v>0</v>
      </c>
      <c r="H85" s="62">
        <f t="shared" si="1"/>
        <v>0</v>
      </c>
    </row>
    <row r="86" spans="1:8">
      <c r="A86" s="66" t="s">
        <v>90</v>
      </c>
      <c r="B86" s="738">
        <f>IF(AND($A86&gt;=Lighting!B$30,$A86&lt;=Lighting!B$31),(Lighting!B$32*Lighting!B$33*Lighting!B$34),0)*'Data Entry Electricity'!$L87</f>
        <v>0</v>
      </c>
      <c r="C86" s="738">
        <f>IF(AND($A86&gt;=Lighting!C$30,$A86&lt;=Lighting!C$31),(Lighting!C$32*Lighting!C$33*Lighting!C$34),0)*'Data Entry Electricity'!$L87</f>
        <v>0</v>
      </c>
      <c r="D86" s="738">
        <f>IF(AND($A86&gt;=Lighting!D$30,$A86&lt;=Lighting!D$31),(Lighting!D$32*Lighting!D$33*Lighting!D$34),0)*'Data Entry Electricity'!$L87</f>
        <v>0</v>
      </c>
      <c r="E86" s="738">
        <f>IF(AND($A86&gt;=Lighting!E$30,$A86&lt;=Lighting!E$31),(Lighting!E$32*Lighting!E$33*Lighting!E$34),0)*'Data Entry Electricity'!$L87</f>
        <v>0</v>
      </c>
      <c r="F86" s="738">
        <f>IF(AND($A86&gt;=Lighting!F$30,$A86&lt;=Lighting!F$31),(Lighting!F$32*Lighting!F$33*Lighting!F$34),0)*'Data Entry Electricity'!$L87</f>
        <v>0</v>
      </c>
      <c r="H86" s="62">
        <f t="shared" si="1"/>
        <v>0</v>
      </c>
    </row>
    <row r="87" spans="1:8">
      <c r="A87" s="66" t="s">
        <v>91</v>
      </c>
      <c r="B87" s="738">
        <f>IF(AND($A87&gt;=Lighting!B$30,$A87&lt;=Lighting!B$31),(Lighting!B$32*Lighting!B$33*Lighting!B$34),0)*'Data Entry Electricity'!$L88</f>
        <v>0</v>
      </c>
      <c r="C87" s="738">
        <f>IF(AND($A87&gt;=Lighting!C$30,$A87&lt;=Lighting!C$31),(Lighting!C$32*Lighting!C$33*Lighting!C$34),0)*'Data Entry Electricity'!$L88</f>
        <v>0</v>
      </c>
      <c r="D87" s="738">
        <f>IF(AND($A87&gt;=Lighting!D$30,$A87&lt;=Lighting!D$31),(Lighting!D$32*Lighting!D$33*Lighting!D$34),0)*'Data Entry Electricity'!$L88</f>
        <v>0</v>
      </c>
      <c r="E87" s="738">
        <f>IF(AND($A87&gt;=Lighting!E$30,$A87&lt;=Lighting!E$31),(Lighting!E$32*Lighting!E$33*Lighting!E$34),0)*'Data Entry Electricity'!$L88</f>
        <v>0</v>
      </c>
      <c r="F87" s="738">
        <f>IF(AND($A87&gt;=Lighting!F$30,$A87&lt;=Lighting!F$31),(Lighting!F$32*Lighting!F$33*Lighting!F$34),0)*'Data Entry Electricity'!$L88</f>
        <v>0</v>
      </c>
      <c r="H87" s="62">
        <f t="shared" si="1"/>
        <v>0</v>
      </c>
    </row>
    <row r="88" spans="1:8">
      <c r="A88" s="66" t="s">
        <v>92</v>
      </c>
      <c r="B88" s="738">
        <f>IF(AND($A88&gt;=Lighting!B$30,$A88&lt;=Lighting!B$31),(Lighting!B$32*Lighting!B$33*Lighting!B$34),0)*'Data Entry Electricity'!$L89</f>
        <v>0</v>
      </c>
      <c r="C88" s="738">
        <f>IF(AND($A88&gt;=Lighting!C$30,$A88&lt;=Lighting!C$31),(Lighting!C$32*Lighting!C$33*Lighting!C$34),0)*'Data Entry Electricity'!$L89</f>
        <v>0</v>
      </c>
      <c r="D88" s="738">
        <f>IF(AND($A88&gt;=Lighting!D$30,$A88&lt;=Lighting!D$31),(Lighting!D$32*Lighting!D$33*Lighting!D$34),0)*'Data Entry Electricity'!$L89</f>
        <v>0</v>
      </c>
      <c r="E88" s="738">
        <f>IF(AND($A88&gt;=Lighting!E$30,$A88&lt;=Lighting!E$31),(Lighting!E$32*Lighting!E$33*Lighting!E$34),0)*'Data Entry Electricity'!$L89</f>
        <v>0</v>
      </c>
      <c r="F88" s="738">
        <f>IF(AND($A88&gt;=Lighting!F$30,$A88&lt;=Lighting!F$31),(Lighting!F$32*Lighting!F$33*Lighting!F$34),0)*'Data Entry Electricity'!$L89</f>
        <v>0</v>
      </c>
      <c r="H88" s="62">
        <f t="shared" si="1"/>
        <v>0</v>
      </c>
    </row>
    <row r="89" spans="1:8">
      <c r="A89" s="66" t="s">
        <v>93</v>
      </c>
      <c r="B89" s="738">
        <f>IF(AND($A89&gt;=Lighting!B$30,$A89&lt;=Lighting!B$31),(Lighting!B$32*Lighting!B$33*Lighting!B$34),0)*'Data Entry Electricity'!$L90</f>
        <v>0</v>
      </c>
      <c r="C89" s="738">
        <f>IF(AND($A89&gt;=Lighting!C$30,$A89&lt;=Lighting!C$31),(Lighting!C$32*Lighting!C$33*Lighting!C$34),0)*'Data Entry Electricity'!$L90</f>
        <v>0</v>
      </c>
      <c r="D89" s="738">
        <f>IF(AND($A89&gt;=Lighting!D$30,$A89&lt;=Lighting!D$31),(Lighting!D$32*Lighting!D$33*Lighting!D$34),0)*'Data Entry Electricity'!$L90</f>
        <v>0</v>
      </c>
      <c r="E89" s="738">
        <f>IF(AND($A89&gt;=Lighting!E$30,$A89&lt;=Lighting!E$31),(Lighting!E$32*Lighting!E$33*Lighting!E$34),0)*'Data Entry Electricity'!$L90</f>
        <v>0</v>
      </c>
      <c r="F89" s="738">
        <f>IF(AND($A89&gt;=Lighting!F$30,$A89&lt;=Lighting!F$31),(Lighting!F$32*Lighting!F$33*Lighting!F$34),0)*'Data Entry Electricity'!$L90</f>
        <v>0</v>
      </c>
      <c r="H89" s="62">
        <f t="shared" si="1"/>
        <v>0</v>
      </c>
    </row>
    <row r="90" spans="1:8">
      <c r="A90" s="66" t="s">
        <v>20</v>
      </c>
      <c r="B90" s="738">
        <f>IF(AND($A90&gt;=Lighting!B$30,$A90&lt;=Lighting!B$31),(Lighting!B$32*Lighting!B$33*Lighting!B$34),0)*'Data Entry Electricity'!$L91</f>
        <v>0</v>
      </c>
      <c r="C90" s="738">
        <f>IF(AND($A90&gt;=Lighting!C$30,$A90&lt;=Lighting!C$31),(Lighting!C$32*Lighting!C$33*Lighting!C$34),0)*'Data Entry Electricity'!$L91</f>
        <v>0</v>
      </c>
      <c r="D90" s="738">
        <f>IF(AND($A90&gt;=Lighting!D$30,$A90&lt;=Lighting!D$31),(Lighting!D$32*Lighting!D$33*Lighting!D$34),0)*'Data Entry Electricity'!$L91</f>
        <v>0</v>
      </c>
      <c r="E90" s="738">
        <f>IF(AND($A90&gt;=Lighting!E$30,$A90&lt;=Lighting!E$31),(Lighting!E$32*Lighting!E$33*Lighting!E$34),0)*'Data Entry Electricity'!$L91</f>
        <v>0</v>
      </c>
      <c r="F90" s="738">
        <f>IF(AND($A90&gt;=Lighting!F$30,$A90&lt;=Lighting!F$31),(Lighting!F$32*Lighting!F$33*Lighting!F$34),0)*'Data Entry Electricity'!$L91</f>
        <v>0</v>
      </c>
      <c r="H90" s="62">
        <f t="shared" si="1"/>
        <v>0</v>
      </c>
    </row>
    <row r="91" spans="1:8">
      <c r="A91" s="66" t="s">
        <v>21</v>
      </c>
      <c r="B91" s="738">
        <f>IF(AND($A91&gt;=Lighting!B$30,$A91&lt;=Lighting!B$31),(Lighting!B$32*Lighting!B$33*Lighting!B$34),0)*'Data Entry Electricity'!$L92</f>
        <v>0</v>
      </c>
      <c r="C91" s="738">
        <f>IF(AND($A91&gt;=Lighting!C$30,$A91&lt;=Lighting!C$31),(Lighting!C$32*Lighting!C$33*Lighting!C$34),0)*'Data Entry Electricity'!$L92</f>
        <v>0</v>
      </c>
      <c r="D91" s="738">
        <f>IF(AND($A91&gt;=Lighting!D$30,$A91&lt;=Lighting!D$31),(Lighting!D$32*Lighting!D$33*Lighting!D$34),0)*'Data Entry Electricity'!$L92</f>
        <v>0</v>
      </c>
      <c r="E91" s="738">
        <f>IF(AND($A91&gt;=Lighting!E$30,$A91&lt;=Lighting!E$31),(Lighting!E$32*Lighting!E$33*Lighting!E$34),0)*'Data Entry Electricity'!$L92</f>
        <v>0</v>
      </c>
      <c r="F91" s="738">
        <f>IF(AND($A91&gt;=Lighting!F$30,$A91&lt;=Lighting!F$31),(Lighting!F$32*Lighting!F$33*Lighting!F$34),0)*'Data Entry Electricity'!$L92</f>
        <v>0</v>
      </c>
      <c r="H91" s="62">
        <f t="shared" si="1"/>
        <v>0</v>
      </c>
    </row>
    <row r="92" spans="1:8">
      <c r="A92" s="66" t="s">
        <v>22</v>
      </c>
      <c r="B92" s="738">
        <f>IF(AND($A92&gt;=Lighting!B$30,$A92&lt;=Lighting!B$31),(Lighting!B$32*Lighting!B$33*Lighting!B$34),0)*'Data Entry Electricity'!$L93</f>
        <v>0</v>
      </c>
      <c r="C92" s="738">
        <f>IF(AND($A92&gt;=Lighting!C$30,$A92&lt;=Lighting!C$31),(Lighting!C$32*Lighting!C$33*Lighting!C$34),0)*'Data Entry Electricity'!$L93</f>
        <v>0</v>
      </c>
      <c r="D92" s="738">
        <f>IF(AND($A92&gt;=Lighting!D$30,$A92&lt;=Lighting!D$31),(Lighting!D$32*Lighting!D$33*Lighting!D$34),0)*'Data Entry Electricity'!$L93</f>
        <v>0</v>
      </c>
      <c r="E92" s="738">
        <f>IF(AND($A92&gt;=Lighting!E$30,$A92&lt;=Lighting!E$31),(Lighting!E$32*Lighting!E$33*Lighting!E$34),0)*'Data Entry Electricity'!$L93</f>
        <v>0</v>
      </c>
      <c r="F92" s="738">
        <f>IF(AND($A92&gt;=Lighting!F$30,$A92&lt;=Lighting!F$31),(Lighting!F$32*Lighting!F$33*Lighting!F$34),0)*'Data Entry Electricity'!$L93</f>
        <v>0</v>
      </c>
      <c r="H92" s="62">
        <f t="shared" si="1"/>
        <v>0</v>
      </c>
    </row>
    <row r="93" spans="1:8">
      <c r="A93" s="66" t="s">
        <v>23</v>
      </c>
      <c r="B93" s="738">
        <f>IF(AND($A93&gt;=Lighting!B$30,$A93&lt;=Lighting!B$31),(Lighting!B$32*Lighting!B$33*Lighting!B$34),0)*'Data Entry Electricity'!$L94</f>
        <v>0</v>
      </c>
      <c r="C93" s="738">
        <f>IF(AND($A93&gt;=Lighting!C$30,$A93&lt;=Lighting!C$31),(Lighting!C$32*Lighting!C$33*Lighting!C$34),0)*'Data Entry Electricity'!$L94</f>
        <v>0</v>
      </c>
      <c r="D93" s="738">
        <f>IF(AND($A93&gt;=Lighting!D$30,$A93&lt;=Lighting!D$31),(Lighting!D$32*Lighting!D$33*Lighting!D$34),0)*'Data Entry Electricity'!$L94</f>
        <v>0</v>
      </c>
      <c r="E93" s="738">
        <f>IF(AND($A93&gt;=Lighting!E$30,$A93&lt;=Lighting!E$31),(Lighting!E$32*Lighting!E$33*Lighting!E$34),0)*'Data Entry Electricity'!$L94</f>
        <v>0</v>
      </c>
      <c r="F93" s="738">
        <f>IF(AND($A93&gt;=Lighting!F$30,$A93&lt;=Lighting!F$31),(Lighting!F$32*Lighting!F$33*Lighting!F$34),0)*'Data Entry Electricity'!$L94</f>
        <v>0</v>
      </c>
      <c r="H93" s="62">
        <f t="shared" si="1"/>
        <v>0</v>
      </c>
    </row>
    <row r="94" spans="1:8" s="179" customFormat="1">
      <c r="A94" s="66" t="s">
        <v>974</v>
      </c>
      <c r="B94" s="738">
        <f>IF(AND($A94&gt;=Lighting!B$30,$A94&lt;=Lighting!B$31),(Lighting!B$32*Lighting!B$33*Lighting!B$34),0)*'Data Entry Electricity'!$L95</f>
        <v>0</v>
      </c>
      <c r="C94" s="738">
        <f>IF(AND($A94&gt;=Lighting!C$30,$A94&lt;=Lighting!C$31),(Lighting!C$32*Lighting!C$33*Lighting!C$34),0)*'Data Entry Electricity'!$L95</f>
        <v>0</v>
      </c>
      <c r="D94" s="738">
        <f>IF(AND($A94&gt;=Lighting!D$30,$A94&lt;=Lighting!D$31),(Lighting!D$32*Lighting!D$33*Lighting!D$34),0)*'Data Entry Electricity'!$L95</f>
        <v>0</v>
      </c>
      <c r="E94" s="738">
        <f>IF(AND($A94&gt;=Lighting!E$30,$A94&lt;=Lighting!E$31),(Lighting!E$32*Lighting!E$33*Lighting!E$34),0)*'Data Entry Electricity'!$L95</f>
        <v>0</v>
      </c>
      <c r="F94" s="738">
        <f>IF(AND($A94&gt;=Lighting!F$30,$A94&lt;=Lighting!F$31),(Lighting!F$32*Lighting!F$33*Lighting!F$34),0)*'Data Entry Electricity'!$L95</f>
        <v>0</v>
      </c>
      <c r="H94" s="62">
        <f t="shared" si="1"/>
        <v>0</v>
      </c>
    </row>
    <row r="95" spans="1:8" s="179" customFormat="1">
      <c r="A95" s="66" t="s">
        <v>975</v>
      </c>
      <c r="B95" s="738">
        <f>IF(AND($A95&gt;=Lighting!B$30,$A95&lt;=Lighting!B$31),(Lighting!B$32*Lighting!B$33*Lighting!B$34),0)*'Data Entry Electricity'!$L96</f>
        <v>0</v>
      </c>
      <c r="C95" s="738">
        <f>IF(AND($A95&gt;=Lighting!C$30,$A95&lt;=Lighting!C$31),(Lighting!C$32*Lighting!C$33*Lighting!C$34),0)*'Data Entry Electricity'!$L96</f>
        <v>0</v>
      </c>
      <c r="D95" s="738">
        <f>IF(AND($A95&gt;=Lighting!D$30,$A95&lt;=Lighting!D$31),(Lighting!D$32*Lighting!D$33*Lighting!D$34),0)*'Data Entry Electricity'!$L96</f>
        <v>0</v>
      </c>
      <c r="E95" s="738">
        <f>IF(AND($A95&gt;=Lighting!E$30,$A95&lt;=Lighting!E$31),(Lighting!E$32*Lighting!E$33*Lighting!E$34),0)*'Data Entry Electricity'!$L96</f>
        <v>0</v>
      </c>
      <c r="F95" s="738">
        <f>IF(AND($A95&gt;=Lighting!F$30,$A95&lt;=Lighting!F$31),(Lighting!F$32*Lighting!F$33*Lighting!F$34),0)*'Data Entry Electricity'!$L96</f>
        <v>0</v>
      </c>
      <c r="H95" s="62">
        <f t="shared" si="1"/>
        <v>0</v>
      </c>
    </row>
    <row r="96" spans="1:8" s="179" customFormat="1">
      <c r="A96" s="66" t="s">
        <v>976</v>
      </c>
      <c r="B96" s="738">
        <f>IF(AND($A96&gt;=Lighting!B$30,$A96&lt;=Lighting!B$31),(Lighting!B$32*Lighting!B$33*Lighting!B$34),0)*'Data Entry Electricity'!$L97</f>
        <v>0</v>
      </c>
      <c r="C96" s="738">
        <f>IF(AND($A96&gt;=Lighting!C$30,$A96&lt;=Lighting!C$31),(Lighting!C$32*Lighting!C$33*Lighting!C$34),0)*'Data Entry Electricity'!$L97</f>
        <v>0</v>
      </c>
      <c r="D96" s="738">
        <f>IF(AND($A96&gt;=Lighting!D$30,$A96&lt;=Lighting!D$31),(Lighting!D$32*Lighting!D$33*Lighting!D$34),0)*'Data Entry Electricity'!$L97</f>
        <v>0</v>
      </c>
      <c r="E96" s="738">
        <f>IF(AND($A96&gt;=Lighting!E$30,$A96&lt;=Lighting!E$31),(Lighting!E$32*Lighting!E$33*Lighting!E$34),0)*'Data Entry Electricity'!$L97</f>
        <v>0</v>
      </c>
      <c r="F96" s="738">
        <f>IF(AND($A96&gt;=Lighting!F$30,$A96&lt;=Lighting!F$31),(Lighting!F$32*Lighting!F$33*Lighting!F$34),0)*'Data Entry Electricity'!$L97</f>
        <v>0</v>
      </c>
      <c r="H96" s="62">
        <f t="shared" si="1"/>
        <v>0</v>
      </c>
    </row>
    <row r="97" spans="1:8" s="179" customFormat="1">
      <c r="A97" s="66" t="s">
        <v>977</v>
      </c>
      <c r="B97" s="738">
        <f>IF(AND($A97&gt;=Lighting!B$30,$A97&lt;=Lighting!B$31),(Lighting!B$32*Lighting!B$33*Lighting!B$34),0)*'Data Entry Electricity'!$L98</f>
        <v>0</v>
      </c>
      <c r="C97" s="738">
        <f>IF(AND($A97&gt;=Lighting!C$30,$A97&lt;=Lighting!C$31),(Lighting!C$32*Lighting!C$33*Lighting!C$34),0)*'Data Entry Electricity'!$L98</f>
        <v>0</v>
      </c>
      <c r="D97" s="738">
        <f>IF(AND($A97&gt;=Lighting!D$30,$A97&lt;=Lighting!D$31),(Lighting!D$32*Lighting!D$33*Lighting!D$34),0)*'Data Entry Electricity'!$L98</f>
        <v>0</v>
      </c>
      <c r="E97" s="738">
        <f>IF(AND($A97&gt;=Lighting!E$30,$A97&lt;=Lighting!E$31),(Lighting!E$32*Lighting!E$33*Lighting!E$34),0)*'Data Entry Electricity'!$L98</f>
        <v>0</v>
      </c>
      <c r="F97" s="738">
        <f>IF(AND($A97&gt;=Lighting!F$30,$A97&lt;=Lighting!F$31),(Lighting!F$32*Lighting!F$33*Lighting!F$34),0)*'Data Entry Electricity'!$L98</f>
        <v>0</v>
      </c>
      <c r="H97" s="62">
        <f t="shared" si="1"/>
        <v>0</v>
      </c>
    </row>
    <row r="98" spans="1:8" s="179" customFormat="1">
      <c r="A98" s="66" t="s">
        <v>978</v>
      </c>
      <c r="B98" s="738">
        <f>IF(AND($A98&gt;=Lighting!B$30,$A98&lt;=Lighting!B$31),(Lighting!B$32*Lighting!B$33*Lighting!B$34),0)*'Data Entry Electricity'!$L99</f>
        <v>0</v>
      </c>
      <c r="C98" s="738">
        <f>IF(AND($A98&gt;=Lighting!C$30,$A98&lt;=Lighting!C$31),(Lighting!C$32*Lighting!C$33*Lighting!C$34),0)*'Data Entry Electricity'!$L99</f>
        <v>0</v>
      </c>
      <c r="D98" s="738">
        <f>IF(AND($A98&gt;=Lighting!D$30,$A98&lt;=Lighting!D$31),(Lighting!D$32*Lighting!D$33*Lighting!D$34),0)*'Data Entry Electricity'!$L99</f>
        <v>0</v>
      </c>
      <c r="E98" s="738">
        <f>IF(AND($A98&gt;=Lighting!E$30,$A98&lt;=Lighting!E$31),(Lighting!E$32*Lighting!E$33*Lighting!E$34),0)*'Data Entry Electricity'!$L99</f>
        <v>0</v>
      </c>
      <c r="F98" s="738">
        <f>IF(AND($A98&gt;=Lighting!F$30,$A98&lt;=Lighting!F$31),(Lighting!F$32*Lighting!F$33*Lighting!F$34),0)*'Data Entry Electricity'!$L99</f>
        <v>0</v>
      </c>
      <c r="H98" s="62">
        <f t="shared" si="1"/>
        <v>0</v>
      </c>
    </row>
    <row r="99" spans="1:8" s="179" customFormat="1">
      <c r="A99" s="66" t="s">
        <v>979</v>
      </c>
      <c r="B99" s="738">
        <f>IF(AND($A99&gt;=Lighting!B$30,$A99&lt;=Lighting!B$31),(Lighting!B$32*Lighting!B$33*Lighting!B$34),0)*'Data Entry Electricity'!$L100</f>
        <v>0</v>
      </c>
      <c r="C99" s="738">
        <f>IF(AND($A99&gt;=Lighting!C$30,$A99&lt;=Lighting!C$31),(Lighting!C$32*Lighting!C$33*Lighting!C$34),0)*'Data Entry Electricity'!$L100</f>
        <v>0</v>
      </c>
      <c r="D99" s="738">
        <f>IF(AND($A99&gt;=Lighting!D$30,$A99&lt;=Lighting!D$31),(Lighting!D$32*Lighting!D$33*Lighting!D$34),0)*'Data Entry Electricity'!$L100</f>
        <v>0</v>
      </c>
      <c r="E99" s="738">
        <f>IF(AND($A99&gt;=Lighting!E$30,$A99&lt;=Lighting!E$31),(Lighting!E$32*Lighting!E$33*Lighting!E$34),0)*'Data Entry Electricity'!$L100</f>
        <v>0</v>
      </c>
      <c r="F99" s="738">
        <f>IF(AND($A99&gt;=Lighting!F$30,$A99&lt;=Lighting!F$31),(Lighting!F$32*Lighting!F$33*Lighting!F$34),0)*'Data Entry Electricity'!$L100</f>
        <v>0</v>
      </c>
      <c r="H99" s="62">
        <f t="shared" si="1"/>
        <v>0</v>
      </c>
    </row>
    <row r="100" spans="1:8" s="179" customFormat="1">
      <c r="A100" s="66" t="s">
        <v>980</v>
      </c>
      <c r="B100" s="738">
        <f>IF(AND($A100&gt;=Lighting!B$30,$A100&lt;=Lighting!B$31),(Lighting!B$32*Lighting!B$33*Lighting!B$34),0)*'Data Entry Electricity'!$L101</f>
        <v>0</v>
      </c>
      <c r="C100" s="738">
        <f>IF(AND($A100&gt;=Lighting!C$30,$A100&lt;=Lighting!C$31),(Lighting!C$32*Lighting!C$33*Lighting!C$34),0)*'Data Entry Electricity'!$L101</f>
        <v>0</v>
      </c>
      <c r="D100" s="738">
        <f>IF(AND($A100&gt;=Lighting!D$30,$A100&lt;=Lighting!D$31),(Lighting!D$32*Lighting!D$33*Lighting!D$34),0)*'Data Entry Electricity'!$L101</f>
        <v>0</v>
      </c>
      <c r="E100" s="738">
        <f>IF(AND($A100&gt;=Lighting!E$30,$A100&lt;=Lighting!E$31),(Lighting!E$32*Lighting!E$33*Lighting!E$34),0)*'Data Entry Electricity'!$L101</f>
        <v>0</v>
      </c>
      <c r="F100" s="738">
        <f>IF(AND($A100&gt;=Lighting!F$30,$A100&lt;=Lighting!F$31),(Lighting!F$32*Lighting!F$33*Lighting!F$34),0)*'Data Entry Electricity'!$L101</f>
        <v>0</v>
      </c>
      <c r="H100" s="62">
        <f t="shared" si="1"/>
        <v>0</v>
      </c>
    </row>
    <row r="101" spans="1:8" s="179" customFormat="1">
      <c r="A101" s="66" t="s">
        <v>981</v>
      </c>
      <c r="B101" s="738">
        <f>IF(AND($A101&gt;=Lighting!B$30,$A101&lt;=Lighting!B$31),(Lighting!B$32*Lighting!B$33*Lighting!B$34),0)*'Data Entry Electricity'!$L102</f>
        <v>0</v>
      </c>
      <c r="C101" s="738">
        <f>IF(AND($A101&gt;=Lighting!C$30,$A101&lt;=Lighting!C$31),(Lighting!C$32*Lighting!C$33*Lighting!C$34),0)*'Data Entry Electricity'!$L102</f>
        <v>0</v>
      </c>
      <c r="D101" s="738">
        <f>IF(AND($A101&gt;=Lighting!D$30,$A101&lt;=Lighting!D$31),(Lighting!D$32*Lighting!D$33*Lighting!D$34),0)*'Data Entry Electricity'!$L102</f>
        <v>0</v>
      </c>
      <c r="E101" s="738">
        <f>IF(AND($A101&gt;=Lighting!E$30,$A101&lt;=Lighting!E$31),(Lighting!E$32*Lighting!E$33*Lighting!E$34),0)*'Data Entry Electricity'!$L102</f>
        <v>0</v>
      </c>
      <c r="F101" s="738">
        <f>IF(AND($A101&gt;=Lighting!F$30,$A101&lt;=Lighting!F$31),(Lighting!F$32*Lighting!F$33*Lighting!F$34),0)*'Data Entry Electricity'!$L102</f>
        <v>0</v>
      </c>
      <c r="H101" s="62">
        <f t="shared" si="1"/>
        <v>0</v>
      </c>
    </row>
    <row r="102" spans="1:8" s="179" customFormat="1">
      <c r="A102" s="66" t="s">
        <v>982</v>
      </c>
      <c r="B102" s="738">
        <f>IF(AND($A102&gt;=Lighting!B$30,$A102&lt;=Lighting!B$31),(Lighting!B$32*Lighting!B$33*Lighting!B$34),0)*'Data Entry Electricity'!$L103</f>
        <v>0</v>
      </c>
      <c r="C102" s="738">
        <f>IF(AND($A102&gt;=Lighting!C$30,$A102&lt;=Lighting!C$31),(Lighting!C$32*Lighting!C$33*Lighting!C$34),0)*'Data Entry Electricity'!$L103</f>
        <v>0</v>
      </c>
      <c r="D102" s="738">
        <f>IF(AND($A102&gt;=Lighting!D$30,$A102&lt;=Lighting!D$31),(Lighting!D$32*Lighting!D$33*Lighting!D$34),0)*'Data Entry Electricity'!$L103</f>
        <v>0</v>
      </c>
      <c r="E102" s="738">
        <f>IF(AND($A102&gt;=Lighting!E$30,$A102&lt;=Lighting!E$31),(Lighting!E$32*Lighting!E$33*Lighting!E$34),0)*'Data Entry Electricity'!$L103</f>
        <v>0</v>
      </c>
      <c r="F102" s="738">
        <f>IF(AND($A102&gt;=Lighting!F$30,$A102&lt;=Lighting!F$31),(Lighting!F$32*Lighting!F$33*Lighting!F$34),0)*'Data Entry Electricity'!$L103</f>
        <v>0</v>
      </c>
      <c r="H102" s="62">
        <f t="shared" si="1"/>
        <v>0</v>
      </c>
    </row>
    <row r="103" spans="1:8" s="179" customFormat="1">
      <c r="A103" s="66" t="s">
        <v>983</v>
      </c>
      <c r="B103" s="738">
        <f>IF(AND($A103&gt;=Lighting!B$30,$A103&lt;=Lighting!B$31),(Lighting!B$32*Lighting!B$33*Lighting!B$34),0)*'Data Entry Electricity'!$L104</f>
        <v>0</v>
      </c>
      <c r="C103" s="738">
        <f>IF(AND($A103&gt;=Lighting!C$30,$A103&lt;=Lighting!C$31),(Lighting!C$32*Lighting!C$33*Lighting!C$34),0)*'Data Entry Electricity'!$L104</f>
        <v>0</v>
      </c>
      <c r="D103" s="738">
        <f>IF(AND($A103&gt;=Lighting!D$30,$A103&lt;=Lighting!D$31),(Lighting!D$32*Lighting!D$33*Lighting!D$34),0)*'Data Entry Electricity'!$L104</f>
        <v>0</v>
      </c>
      <c r="E103" s="738">
        <f>IF(AND($A103&gt;=Lighting!E$30,$A103&lt;=Lighting!E$31),(Lighting!E$32*Lighting!E$33*Lighting!E$34),0)*'Data Entry Electricity'!$L104</f>
        <v>0</v>
      </c>
      <c r="F103" s="738">
        <f>IF(AND($A103&gt;=Lighting!F$30,$A103&lt;=Lighting!F$31),(Lighting!F$32*Lighting!F$33*Lighting!F$34),0)*'Data Entry Electricity'!$L104</f>
        <v>0</v>
      </c>
      <c r="H103" s="62">
        <f t="shared" si="1"/>
        <v>0</v>
      </c>
    </row>
    <row r="104" spans="1:8" s="179" customFormat="1">
      <c r="A104" s="66" t="s">
        <v>984</v>
      </c>
      <c r="B104" s="738">
        <f>IF(AND($A104&gt;=Lighting!B$30,$A104&lt;=Lighting!B$31),(Lighting!B$32*Lighting!B$33*Lighting!B$34),0)*'Data Entry Electricity'!$L105</f>
        <v>0</v>
      </c>
      <c r="C104" s="738">
        <f>IF(AND($A104&gt;=Lighting!C$30,$A104&lt;=Lighting!C$31),(Lighting!C$32*Lighting!C$33*Lighting!C$34),0)*'Data Entry Electricity'!$L105</f>
        <v>0</v>
      </c>
      <c r="D104" s="738">
        <f>IF(AND($A104&gt;=Lighting!D$30,$A104&lt;=Lighting!D$31),(Lighting!D$32*Lighting!D$33*Lighting!D$34),0)*'Data Entry Electricity'!$L105</f>
        <v>0</v>
      </c>
      <c r="E104" s="738">
        <f>IF(AND($A104&gt;=Lighting!E$30,$A104&lt;=Lighting!E$31),(Lighting!E$32*Lighting!E$33*Lighting!E$34),0)*'Data Entry Electricity'!$L105</f>
        <v>0</v>
      </c>
      <c r="F104" s="738">
        <f>IF(AND($A104&gt;=Lighting!F$30,$A104&lt;=Lighting!F$31),(Lighting!F$32*Lighting!F$33*Lighting!F$34),0)*'Data Entry Electricity'!$L105</f>
        <v>0</v>
      </c>
      <c r="H104" s="62">
        <f t="shared" si="1"/>
        <v>0</v>
      </c>
    </row>
    <row r="105" spans="1:8" s="179" customFormat="1">
      <c r="A105" s="66" t="s">
        <v>985</v>
      </c>
      <c r="B105" s="738">
        <f>IF(AND($A105&gt;=Lighting!B$30,$A105&lt;=Lighting!B$31),(Lighting!B$32*Lighting!B$33*Lighting!B$34),0)*'Data Entry Electricity'!$L106</f>
        <v>0</v>
      </c>
      <c r="C105" s="738">
        <f>IF(AND($A105&gt;=Lighting!C$30,$A105&lt;=Lighting!C$31),(Lighting!C$32*Lighting!C$33*Lighting!C$34),0)*'Data Entry Electricity'!$L106</f>
        <v>0</v>
      </c>
      <c r="D105" s="738">
        <f>IF(AND($A105&gt;=Lighting!D$30,$A105&lt;=Lighting!D$31),(Lighting!D$32*Lighting!D$33*Lighting!D$34),0)*'Data Entry Electricity'!$L106</f>
        <v>0</v>
      </c>
      <c r="E105" s="738">
        <f>IF(AND($A105&gt;=Lighting!E$30,$A105&lt;=Lighting!E$31),(Lighting!E$32*Lighting!E$33*Lighting!E$34),0)*'Data Entry Electricity'!$L106</f>
        <v>0</v>
      </c>
      <c r="F105" s="738">
        <f>IF(AND($A105&gt;=Lighting!F$30,$A105&lt;=Lighting!F$31),(Lighting!F$32*Lighting!F$33*Lighting!F$34),0)*'Data Entry Electricity'!$L106</f>
        <v>0</v>
      </c>
      <c r="H105" s="62">
        <f t="shared" si="1"/>
        <v>0</v>
      </c>
    </row>
    <row r="106" spans="1:8" s="179" customFormat="1">
      <c r="A106" s="66" t="s">
        <v>986</v>
      </c>
      <c r="B106" s="738">
        <f>IF(AND($A106&gt;=Lighting!B$30,$A106&lt;=Lighting!B$31),(Lighting!B$32*Lighting!B$33*Lighting!B$34),0)*'Data Entry Electricity'!$L107</f>
        <v>0</v>
      </c>
      <c r="C106" s="738">
        <f>IF(AND($A106&gt;=Lighting!C$30,$A106&lt;=Lighting!C$31),(Lighting!C$32*Lighting!C$33*Lighting!C$34),0)*'Data Entry Electricity'!$L107</f>
        <v>0</v>
      </c>
      <c r="D106" s="738">
        <f>IF(AND($A106&gt;=Lighting!D$30,$A106&lt;=Lighting!D$31),(Lighting!D$32*Lighting!D$33*Lighting!D$34),0)*'Data Entry Electricity'!$L107</f>
        <v>0</v>
      </c>
      <c r="E106" s="738">
        <f>IF(AND($A106&gt;=Lighting!E$30,$A106&lt;=Lighting!E$31),(Lighting!E$32*Lighting!E$33*Lighting!E$34),0)*'Data Entry Electricity'!$L107</f>
        <v>0</v>
      </c>
      <c r="F106" s="738">
        <f>IF(AND($A106&gt;=Lighting!F$30,$A106&lt;=Lighting!F$31),(Lighting!F$32*Lighting!F$33*Lighting!F$34),0)*'Data Entry Electricity'!$L107</f>
        <v>0</v>
      </c>
      <c r="H106" s="62">
        <f t="shared" si="1"/>
        <v>0</v>
      </c>
    </row>
    <row r="107" spans="1:8" s="179" customFormat="1">
      <c r="A107" s="66" t="s">
        <v>987</v>
      </c>
      <c r="B107" s="738">
        <f>IF(AND($A107&gt;=Lighting!B$30,$A107&lt;=Lighting!B$31),(Lighting!B$32*Lighting!B$33*Lighting!B$34),0)*'Data Entry Electricity'!$L108</f>
        <v>0</v>
      </c>
      <c r="C107" s="738">
        <f>IF(AND($A107&gt;=Lighting!C$30,$A107&lt;=Lighting!C$31),(Lighting!C$32*Lighting!C$33*Lighting!C$34),0)*'Data Entry Electricity'!$L108</f>
        <v>0</v>
      </c>
      <c r="D107" s="738">
        <f>IF(AND($A107&gt;=Lighting!D$30,$A107&lt;=Lighting!D$31),(Lighting!D$32*Lighting!D$33*Lighting!D$34),0)*'Data Entry Electricity'!$L108</f>
        <v>0</v>
      </c>
      <c r="E107" s="738">
        <f>IF(AND($A107&gt;=Lighting!E$30,$A107&lt;=Lighting!E$31),(Lighting!E$32*Lighting!E$33*Lighting!E$34),0)*'Data Entry Electricity'!$L108</f>
        <v>0</v>
      </c>
      <c r="F107" s="738">
        <f>IF(AND($A107&gt;=Lighting!F$30,$A107&lt;=Lighting!F$31),(Lighting!F$32*Lighting!F$33*Lighting!F$34),0)*'Data Entry Electricity'!$L108</f>
        <v>0</v>
      </c>
      <c r="H107" s="62">
        <f t="shared" si="1"/>
        <v>0</v>
      </c>
    </row>
    <row r="108" spans="1:8" s="179" customFormat="1">
      <c r="A108" s="66" t="s">
        <v>988</v>
      </c>
      <c r="B108" s="738">
        <f>IF(AND($A108&gt;=Lighting!B$30,$A108&lt;=Lighting!B$31),(Lighting!B$32*Lighting!B$33*Lighting!B$34),0)*'Data Entry Electricity'!$L109</f>
        <v>0</v>
      </c>
      <c r="C108" s="738">
        <f>IF(AND($A108&gt;=Lighting!C$30,$A108&lt;=Lighting!C$31),(Lighting!C$32*Lighting!C$33*Lighting!C$34),0)*'Data Entry Electricity'!$L109</f>
        <v>0</v>
      </c>
      <c r="D108" s="738">
        <f>IF(AND($A108&gt;=Lighting!D$30,$A108&lt;=Lighting!D$31),(Lighting!D$32*Lighting!D$33*Lighting!D$34),0)*'Data Entry Electricity'!$L109</f>
        <v>0</v>
      </c>
      <c r="E108" s="738">
        <f>IF(AND($A108&gt;=Lighting!E$30,$A108&lt;=Lighting!E$31),(Lighting!E$32*Lighting!E$33*Lighting!E$34),0)*'Data Entry Electricity'!$L109</f>
        <v>0</v>
      </c>
      <c r="F108" s="738">
        <f>IF(AND($A108&gt;=Lighting!F$30,$A108&lt;=Lighting!F$31),(Lighting!F$32*Lighting!F$33*Lighting!F$34),0)*'Data Entry Electricity'!$L109</f>
        <v>0</v>
      </c>
      <c r="H108" s="62">
        <f t="shared" si="1"/>
        <v>0</v>
      </c>
    </row>
    <row r="109" spans="1:8" s="179" customFormat="1">
      <c r="A109" s="66" t="s">
        <v>989</v>
      </c>
      <c r="B109" s="738">
        <f>IF(AND($A109&gt;=Lighting!B$30,$A109&lt;=Lighting!B$31),(Lighting!B$32*Lighting!B$33*Lighting!B$34),0)*'Data Entry Electricity'!$L110</f>
        <v>0</v>
      </c>
      <c r="C109" s="738">
        <f>IF(AND($A109&gt;=Lighting!C$30,$A109&lt;=Lighting!C$31),(Lighting!C$32*Lighting!C$33*Lighting!C$34),0)*'Data Entry Electricity'!$L110</f>
        <v>0</v>
      </c>
      <c r="D109" s="738">
        <f>IF(AND($A109&gt;=Lighting!D$30,$A109&lt;=Lighting!D$31),(Lighting!D$32*Lighting!D$33*Lighting!D$34),0)*'Data Entry Electricity'!$L110</f>
        <v>0</v>
      </c>
      <c r="E109" s="738">
        <f>IF(AND($A109&gt;=Lighting!E$30,$A109&lt;=Lighting!E$31),(Lighting!E$32*Lighting!E$33*Lighting!E$34),0)*'Data Entry Electricity'!$L110</f>
        <v>0</v>
      </c>
      <c r="F109" s="738">
        <f>IF(AND($A109&gt;=Lighting!F$30,$A109&lt;=Lighting!F$31),(Lighting!F$32*Lighting!F$33*Lighting!F$34),0)*'Data Entry Electricity'!$L110</f>
        <v>0</v>
      </c>
      <c r="H109" s="62">
        <f t="shared" si="1"/>
        <v>0</v>
      </c>
    </row>
    <row r="110" spans="1:8" s="179" customFormat="1">
      <c r="A110" s="66" t="s">
        <v>990</v>
      </c>
      <c r="B110" s="738">
        <f>IF(AND($A110&gt;=Lighting!B$30,$A110&lt;=Lighting!B$31),(Lighting!B$32*Lighting!B$33*Lighting!B$34),0)*'Data Entry Electricity'!$L111</f>
        <v>0</v>
      </c>
      <c r="C110" s="738">
        <f>IF(AND($A110&gt;=Lighting!C$30,$A110&lt;=Lighting!C$31),(Lighting!C$32*Lighting!C$33*Lighting!C$34),0)*'Data Entry Electricity'!$L111</f>
        <v>0</v>
      </c>
      <c r="D110" s="738">
        <f>IF(AND($A110&gt;=Lighting!D$30,$A110&lt;=Lighting!D$31),(Lighting!D$32*Lighting!D$33*Lighting!D$34),0)*'Data Entry Electricity'!$L111</f>
        <v>0</v>
      </c>
      <c r="E110" s="738">
        <f>IF(AND($A110&gt;=Lighting!E$30,$A110&lt;=Lighting!E$31),(Lighting!E$32*Lighting!E$33*Lighting!E$34),0)*'Data Entry Electricity'!$L111</f>
        <v>0</v>
      </c>
      <c r="F110" s="738">
        <f>IF(AND($A110&gt;=Lighting!F$30,$A110&lt;=Lighting!F$31),(Lighting!F$32*Lighting!F$33*Lighting!F$34),0)*'Data Entry Electricity'!$L111</f>
        <v>0</v>
      </c>
      <c r="H110" s="62">
        <f t="shared" si="1"/>
        <v>0</v>
      </c>
    </row>
    <row r="111" spans="1:8" s="179" customFormat="1">
      <c r="A111" s="66" t="s">
        <v>991</v>
      </c>
      <c r="B111" s="738">
        <f>IF(AND($A111&gt;=Lighting!B$30,$A111&lt;=Lighting!B$31),(Lighting!B$32*Lighting!B$33*Lighting!B$34),0)*'Data Entry Electricity'!$L112</f>
        <v>0</v>
      </c>
      <c r="C111" s="738">
        <f>IF(AND($A111&gt;=Lighting!C$30,$A111&lt;=Lighting!C$31),(Lighting!C$32*Lighting!C$33*Lighting!C$34),0)*'Data Entry Electricity'!$L112</f>
        <v>0</v>
      </c>
      <c r="D111" s="738">
        <f>IF(AND($A111&gt;=Lighting!D$30,$A111&lt;=Lighting!D$31),(Lighting!D$32*Lighting!D$33*Lighting!D$34),0)*'Data Entry Electricity'!$L112</f>
        <v>0</v>
      </c>
      <c r="E111" s="738">
        <f>IF(AND($A111&gt;=Lighting!E$30,$A111&lt;=Lighting!E$31),(Lighting!E$32*Lighting!E$33*Lighting!E$34),0)*'Data Entry Electricity'!$L112</f>
        <v>0</v>
      </c>
      <c r="F111" s="738">
        <f>IF(AND($A111&gt;=Lighting!F$30,$A111&lt;=Lighting!F$31),(Lighting!F$32*Lighting!F$33*Lighting!F$34),0)*'Data Entry Electricity'!$L112</f>
        <v>0</v>
      </c>
      <c r="H111" s="62">
        <f t="shared" si="1"/>
        <v>0</v>
      </c>
    </row>
    <row r="112" spans="1:8" s="179" customFormat="1">
      <c r="A112" s="66" t="s">
        <v>992</v>
      </c>
      <c r="B112" s="738">
        <f>IF(AND($A112&gt;=Lighting!B$30,$A112&lt;=Lighting!B$31),(Lighting!B$32*Lighting!B$33*Lighting!B$34),0)*'Data Entry Electricity'!$L113</f>
        <v>0</v>
      </c>
      <c r="C112" s="738">
        <f>IF(AND($A112&gt;=Lighting!C$30,$A112&lt;=Lighting!C$31),(Lighting!C$32*Lighting!C$33*Lighting!C$34),0)*'Data Entry Electricity'!$L113</f>
        <v>0</v>
      </c>
      <c r="D112" s="738">
        <f>IF(AND($A112&gt;=Lighting!D$30,$A112&lt;=Lighting!D$31),(Lighting!D$32*Lighting!D$33*Lighting!D$34),0)*'Data Entry Electricity'!$L113</f>
        <v>0</v>
      </c>
      <c r="E112" s="738">
        <f>IF(AND($A112&gt;=Lighting!E$30,$A112&lt;=Lighting!E$31),(Lighting!E$32*Lighting!E$33*Lighting!E$34),0)*'Data Entry Electricity'!$L113</f>
        <v>0</v>
      </c>
      <c r="F112" s="738">
        <f>IF(AND($A112&gt;=Lighting!F$30,$A112&lt;=Lighting!F$31),(Lighting!F$32*Lighting!F$33*Lighting!F$34),0)*'Data Entry Electricity'!$L113</f>
        <v>0</v>
      </c>
      <c r="H112" s="62">
        <f t="shared" si="1"/>
        <v>0</v>
      </c>
    </row>
    <row r="113" spans="1:8" s="179" customFormat="1">
      <c r="A113" s="66" t="s">
        <v>993</v>
      </c>
      <c r="B113" s="738">
        <f>IF(AND($A113&gt;=Lighting!B$30,$A113&lt;=Lighting!B$31),(Lighting!B$32*Lighting!B$33*Lighting!B$34),0)*'Data Entry Electricity'!$L114</f>
        <v>0</v>
      </c>
      <c r="C113" s="738">
        <f>IF(AND($A113&gt;=Lighting!C$30,$A113&lt;=Lighting!C$31),(Lighting!C$32*Lighting!C$33*Lighting!C$34),0)*'Data Entry Electricity'!$L114</f>
        <v>0</v>
      </c>
      <c r="D113" s="738">
        <f>IF(AND($A113&gt;=Lighting!D$30,$A113&lt;=Lighting!D$31),(Lighting!D$32*Lighting!D$33*Lighting!D$34),0)*'Data Entry Electricity'!$L114</f>
        <v>0</v>
      </c>
      <c r="E113" s="738">
        <f>IF(AND($A113&gt;=Lighting!E$30,$A113&lt;=Lighting!E$31),(Lighting!E$32*Lighting!E$33*Lighting!E$34),0)*'Data Entry Electricity'!$L114</f>
        <v>0</v>
      </c>
      <c r="F113" s="738">
        <f>IF(AND($A113&gt;=Lighting!F$30,$A113&lt;=Lighting!F$31),(Lighting!F$32*Lighting!F$33*Lighting!F$34),0)*'Data Entry Electricity'!$L114</f>
        <v>0</v>
      </c>
      <c r="H113" s="62">
        <f t="shared" si="1"/>
        <v>0</v>
      </c>
    </row>
    <row r="114" spans="1:8" s="179" customFormat="1">
      <c r="A114" s="66" t="s">
        <v>994</v>
      </c>
      <c r="B114" s="738">
        <f>IF(AND($A114&gt;=Lighting!B$30,$A114&lt;=Lighting!B$31),(Lighting!B$32*Lighting!B$33*Lighting!B$34),0)*'Data Entry Electricity'!$L115</f>
        <v>0</v>
      </c>
      <c r="C114" s="738">
        <f>IF(AND($A114&gt;=Lighting!C$30,$A114&lt;=Lighting!C$31),(Lighting!C$32*Lighting!C$33*Lighting!C$34),0)*'Data Entry Electricity'!$L115</f>
        <v>0</v>
      </c>
      <c r="D114" s="738">
        <f>IF(AND($A114&gt;=Lighting!D$30,$A114&lt;=Lighting!D$31),(Lighting!D$32*Lighting!D$33*Lighting!D$34),0)*'Data Entry Electricity'!$L115</f>
        <v>0</v>
      </c>
      <c r="E114" s="738">
        <f>IF(AND($A114&gt;=Lighting!E$30,$A114&lt;=Lighting!E$31),(Lighting!E$32*Lighting!E$33*Lighting!E$34),0)*'Data Entry Electricity'!$L115</f>
        <v>0</v>
      </c>
      <c r="F114" s="738">
        <f>IF(AND($A114&gt;=Lighting!F$30,$A114&lt;=Lighting!F$31),(Lighting!F$32*Lighting!F$33*Lighting!F$34),0)*'Data Entry Electricity'!$L115</f>
        <v>0</v>
      </c>
      <c r="H114" s="62">
        <f t="shared" si="1"/>
        <v>0</v>
      </c>
    </row>
    <row r="115" spans="1:8" s="179" customFormat="1">
      <c r="A115" s="66" t="s">
        <v>995</v>
      </c>
      <c r="B115" s="738">
        <f>IF(AND($A115&gt;=Lighting!B$30,$A115&lt;=Lighting!B$31),(Lighting!B$32*Lighting!B$33*Lighting!B$34),0)*'Data Entry Electricity'!$L116</f>
        <v>0</v>
      </c>
      <c r="C115" s="738">
        <f>IF(AND($A115&gt;=Lighting!C$30,$A115&lt;=Lighting!C$31),(Lighting!C$32*Lighting!C$33*Lighting!C$34),0)*'Data Entry Electricity'!$L116</f>
        <v>0</v>
      </c>
      <c r="D115" s="738">
        <f>IF(AND($A115&gt;=Lighting!D$30,$A115&lt;=Lighting!D$31),(Lighting!D$32*Lighting!D$33*Lighting!D$34),0)*'Data Entry Electricity'!$L116</f>
        <v>0</v>
      </c>
      <c r="E115" s="738">
        <f>IF(AND($A115&gt;=Lighting!E$30,$A115&lt;=Lighting!E$31),(Lighting!E$32*Lighting!E$33*Lighting!E$34),0)*'Data Entry Electricity'!$L116</f>
        <v>0</v>
      </c>
      <c r="F115" s="738">
        <f>IF(AND($A115&gt;=Lighting!F$30,$A115&lt;=Lighting!F$31),(Lighting!F$32*Lighting!F$33*Lighting!F$34),0)*'Data Entry Electricity'!$L116</f>
        <v>0</v>
      </c>
      <c r="H115" s="62">
        <f t="shared" si="1"/>
        <v>0</v>
      </c>
    </row>
    <row r="116" spans="1:8" s="179" customFormat="1">
      <c r="A116" s="66" t="s">
        <v>996</v>
      </c>
      <c r="B116" s="738">
        <f>IF(AND($A116&gt;=Lighting!B$30,$A116&lt;=Lighting!B$31),(Lighting!B$32*Lighting!B$33*Lighting!B$34),0)*'Data Entry Electricity'!$L117</f>
        <v>0</v>
      </c>
      <c r="C116" s="738">
        <f>IF(AND($A116&gt;=Lighting!C$30,$A116&lt;=Lighting!C$31),(Lighting!C$32*Lighting!C$33*Lighting!C$34),0)*'Data Entry Electricity'!$L117</f>
        <v>0</v>
      </c>
      <c r="D116" s="738">
        <f>IF(AND($A116&gt;=Lighting!D$30,$A116&lt;=Lighting!D$31),(Lighting!D$32*Lighting!D$33*Lighting!D$34),0)*'Data Entry Electricity'!$L117</f>
        <v>0</v>
      </c>
      <c r="E116" s="738">
        <f>IF(AND($A116&gt;=Lighting!E$30,$A116&lt;=Lighting!E$31),(Lighting!E$32*Lighting!E$33*Lighting!E$34),0)*'Data Entry Electricity'!$L117</f>
        <v>0</v>
      </c>
      <c r="F116" s="738">
        <f>IF(AND($A116&gt;=Lighting!F$30,$A116&lt;=Lighting!F$31),(Lighting!F$32*Lighting!F$33*Lighting!F$34),0)*'Data Entry Electricity'!$L117</f>
        <v>0</v>
      </c>
      <c r="H116" s="62">
        <f t="shared" si="1"/>
        <v>0</v>
      </c>
    </row>
    <row r="117" spans="1:8" s="179" customFormat="1">
      <c r="A117" s="66" t="s">
        <v>997</v>
      </c>
      <c r="B117" s="738">
        <f>IF(AND($A117&gt;=Lighting!B$30,$A117&lt;=Lighting!B$31),(Lighting!B$32*Lighting!B$33*Lighting!B$34),0)*'Data Entry Electricity'!$L118</f>
        <v>0</v>
      </c>
      <c r="C117" s="738">
        <f>IF(AND($A117&gt;=Lighting!C$30,$A117&lt;=Lighting!C$31),(Lighting!C$32*Lighting!C$33*Lighting!C$34),0)*'Data Entry Electricity'!$L118</f>
        <v>0</v>
      </c>
      <c r="D117" s="738">
        <f>IF(AND($A117&gt;=Lighting!D$30,$A117&lt;=Lighting!D$31),(Lighting!D$32*Lighting!D$33*Lighting!D$34),0)*'Data Entry Electricity'!$L118</f>
        <v>0</v>
      </c>
      <c r="E117" s="738">
        <f>IF(AND($A117&gt;=Lighting!E$30,$A117&lt;=Lighting!E$31),(Lighting!E$32*Lighting!E$33*Lighting!E$34),0)*'Data Entry Electricity'!$L118</f>
        <v>0</v>
      </c>
      <c r="F117" s="738">
        <f>IF(AND($A117&gt;=Lighting!F$30,$A117&lt;=Lighting!F$31),(Lighting!F$32*Lighting!F$33*Lighting!F$34),0)*'Data Entry Electricity'!$L118</f>
        <v>0</v>
      </c>
      <c r="H117" s="62">
        <f t="shared" si="1"/>
        <v>0</v>
      </c>
    </row>
    <row r="118" spans="1:8" s="179" customFormat="1">
      <c r="A118" s="66" t="s">
        <v>998</v>
      </c>
      <c r="B118" s="738">
        <f>IF(AND($A118&gt;=Lighting!B$30,$A118&lt;=Lighting!B$31),(Lighting!B$32*Lighting!B$33*Lighting!B$34),0)*'Data Entry Electricity'!$L119</f>
        <v>0</v>
      </c>
      <c r="C118" s="738">
        <f>IF(AND($A118&gt;=Lighting!C$30,$A118&lt;=Lighting!C$31),(Lighting!C$32*Lighting!C$33*Lighting!C$34),0)*'Data Entry Electricity'!$L119</f>
        <v>0</v>
      </c>
      <c r="D118" s="738">
        <f>IF(AND($A118&gt;=Lighting!D$30,$A118&lt;=Lighting!D$31),(Lighting!D$32*Lighting!D$33*Lighting!D$34),0)*'Data Entry Electricity'!$L119</f>
        <v>0</v>
      </c>
      <c r="E118" s="738">
        <f>IF(AND($A118&gt;=Lighting!E$30,$A118&lt;=Lighting!E$31),(Lighting!E$32*Lighting!E$33*Lighting!E$34),0)*'Data Entry Electricity'!$L119</f>
        <v>0</v>
      </c>
      <c r="F118" s="738">
        <f>IF(AND($A118&gt;=Lighting!F$30,$A118&lt;=Lighting!F$31),(Lighting!F$32*Lighting!F$33*Lighting!F$34),0)*'Data Entry Electricity'!$L119</f>
        <v>0</v>
      </c>
      <c r="H118" s="62">
        <f t="shared" si="1"/>
        <v>0</v>
      </c>
    </row>
    <row r="119" spans="1:8" s="179" customFormat="1">
      <c r="A119" s="66" t="s">
        <v>999</v>
      </c>
      <c r="B119" s="738">
        <f>IF(AND($A119&gt;=Lighting!B$30,$A119&lt;=Lighting!B$31),(Lighting!B$32*Lighting!B$33*Lighting!B$34),0)*'Data Entry Electricity'!$L120</f>
        <v>0</v>
      </c>
      <c r="C119" s="738">
        <f>IF(AND($A119&gt;=Lighting!C$30,$A119&lt;=Lighting!C$31),(Lighting!C$32*Lighting!C$33*Lighting!C$34),0)*'Data Entry Electricity'!$L120</f>
        <v>0</v>
      </c>
      <c r="D119" s="738">
        <f>IF(AND($A119&gt;=Lighting!D$30,$A119&lt;=Lighting!D$31),(Lighting!D$32*Lighting!D$33*Lighting!D$34),0)*'Data Entry Electricity'!$L120</f>
        <v>0</v>
      </c>
      <c r="E119" s="738">
        <f>IF(AND($A119&gt;=Lighting!E$30,$A119&lt;=Lighting!E$31),(Lighting!E$32*Lighting!E$33*Lighting!E$34),0)*'Data Entry Electricity'!$L120</f>
        <v>0</v>
      </c>
      <c r="F119" s="738">
        <f>IF(AND($A119&gt;=Lighting!F$30,$A119&lt;=Lighting!F$31),(Lighting!F$32*Lighting!F$33*Lighting!F$34),0)*'Data Entry Electricity'!$L120</f>
        <v>0</v>
      </c>
      <c r="H119" s="62">
        <f t="shared" si="1"/>
        <v>0</v>
      </c>
    </row>
    <row r="122" spans="1:8">
      <c r="A122" s="67" t="s">
        <v>112</v>
      </c>
      <c r="B122">
        <f>SUM(B3:B119)</f>
        <v>119.5713792</v>
      </c>
      <c r="C122" s="179">
        <f t="shared" ref="C122:F122" si="2">SUM(C3:C119)</f>
        <v>25709.378909759998</v>
      </c>
      <c r="D122" s="179">
        <f t="shared" si="2"/>
        <v>0</v>
      </c>
      <c r="E122" s="179">
        <f t="shared" si="2"/>
        <v>0</v>
      </c>
      <c r="F122" s="179">
        <f t="shared" si="2"/>
        <v>0</v>
      </c>
    </row>
  </sheetData>
  <mergeCells count="1">
    <mergeCell ref="H1:H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6"/>
  <sheetViews>
    <sheetView workbookViewId="0">
      <selection activeCell="B7" sqref="B7:F123"/>
    </sheetView>
  </sheetViews>
  <sheetFormatPr defaultRowHeight="15"/>
  <cols>
    <col min="1" max="1" width="31.7109375" style="20" customWidth="1"/>
    <col min="2" max="2" width="20.7109375" customWidth="1"/>
    <col min="3" max="3" width="24.140625" bestFit="1" customWidth="1"/>
    <col min="4" max="6" width="20.7109375" bestFit="1" customWidth="1"/>
  </cols>
  <sheetData>
    <row r="1" spans="1:8" s="60" customFormat="1">
      <c r="A1" s="20" t="s">
        <v>190</v>
      </c>
    </row>
    <row r="2" spans="1:8" s="60" customFormat="1">
      <c r="A2" s="61" t="s">
        <v>191</v>
      </c>
    </row>
    <row r="3" spans="1:8" s="60" customFormat="1" ht="20.25">
      <c r="A3" s="63"/>
      <c r="B3" s="60" t="s">
        <v>962</v>
      </c>
      <c r="C3" s="179" t="s">
        <v>962</v>
      </c>
      <c r="D3" s="179" t="s">
        <v>962</v>
      </c>
      <c r="E3" s="179" t="s">
        <v>962</v>
      </c>
      <c r="F3" s="179" t="s">
        <v>962</v>
      </c>
    </row>
    <row r="4" spans="1:8" s="179" customFormat="1" ht="20.25">
      <c r="A4" s="63"/>
      <c r="B4" s="179">
        <f>IF(Lighting!B50&gt;0,Lighting!B50,(16-1.5)/12)</f>
        <v>1.2083333333333333</v>
      </c>
      <c r="C4" s="179">
        <f>IF(Lighting!C50&gt;0,Lighting!C50,(16-1.5)/12)</f>
        <v>1.2083333333333333</v>
      </c>
      <c r="D4" s="179">
        <f>IF(Lighting!D50&gt;0,Lighting!D50,(16-1.5)/12)</f>
        <v>1.2083333333333333</v>
      </c>
      <c r="E4" s="179">
        <f>IF(Lighting!E50&gt;0,Lighting!E50,(16-1.5)/12)</f>
        <v>1.2083333333333333</v>
      </c>
      <c r="F4" s="179">
        <f>IF(Lighting!F50&gt;0,Lighting!F50,(16-1.5)/12)</f>
        <v>1.2083333333333333</v>
      </c>
    </row>
    <row r="5" spans="1:8" s="60" customFormat="1">
      <c r="A5" s="20"/>
    </row>
    <row r="6" spans="1:8" ht="18">
      <c r="A6" s="25" t="s">
        <v>189</v>
      </c>
      <c r="B6" t="str">
        <f>Lighting!B42</f>
        <v>VT hybrid LED Tower</v>
      </c>
      <c r="C6" s="72">
        <f>Lighting!C42</f>
        <v>0</v>
      </c>
      <c r="D6" s="72">
        <f>Lighting!D42</f>
        <v>0</v>
      </c>
      <c r="E6" s="72">
        <f>Lighting!E42</f>
        <v>0</v>
      </c>
      <c r="F6" s="72">
        <f>Lighting!F42</f>
        <v>0</v>
      </c>
      <c r="H6" s="660" t="s">
        <v>112</v>
      </c>
    </row>
    <row r="7" spans="1:8">
      <c r="A7" s="22" t="s">
        <v>31</v>
      </c>
      <c r="B7">
        <f>IF(AND($A7&gt;=Lighting!B$44,$A7&lt;=Lighting!B$45),B$4*Lighting!B$47*Lighting!B$48*Lighting!B$49*(VLOOKUP(IF(Lighting!B$46=Report!$A$25,Report!$A$19,Lighting!B$46),Report!$A$18:$L$34,'Actual-CO2 Calculations'!$AK5,FALSE)),0)</f>
        <v>0</v>
      </c>
      <c r="C7" s="738">
        <f>IF(AND($A7&gt;=Lighting!C$44,$A7&lt;=Lighting!C$45),C$4*Lighting!C$47*Lighting!C$48*Lighting!C$49*(VLOOKUP(IF(Lighting!C$46=Report!$A$25,Report!$A$19,Lighting!C$46),Report!$A$18:$L$34,'Actual-CO2 Calculations'!$AK5,FALSE)),0)</f>
        <v>0</v>
      </c>
      <c r="D7" s="738">
        <f>IF(AND($A7&gt;=Lighting!D$44,$A7&lt;=Lighting!D$45),D$4*Lighting!D$47*Lighting!D$48*Lighting!D$49*(VLOOKUP(IF(Lighting!D$46=Report!$A$25,Report!$A$19,Lighting!D$46),Report!$A$18:$L$34,'Actual-CO2 Calculations'!$AK5,FALSE)),0)</f>
        <v>0</v>
      </c>
      <c r="E7" s="738">
        <f>IF(AND($A7&gt;=Lighting!E$44,$A7&lt;=Lighting!E$45),E$4*Lighting!E$47*Lighting!E$48*Lighting!E$49*(VLOOKUP(IF(Lighting!E$46=Report!$A$25,Report!$A$19,Lighting!E$46),Report!$A$18:$L$34,'Actual-CO2 Calculations'!$AK5,FALSE)),0)</f>
        <v>0</v>
      </c>
      <c r="F7" s="738">
        <f>IF(AND($A7&gt;=Lighting!F$44,$A7&lt;=Lighting!F$45),F$4*Lighting!F$47*Lighting!F$48*Lighting!F$49*(VLOOKUP(IF(Lighting!F$46=Report!$A$25,Report!$A$19,Lighting!F$46),Report!$A$18:$L$34,'Actual-CO2 Calculations'!$AK5,FALSE)),0)</f>
        <v>0</v>
      </c>
      <c r="H7" s="660">
        <f t="shared" ref="H7:H70" si="0">SUM(B7:F7)</f>
        <v>0</v>
      </c>
    </row>
    <row r="8" spans="1:8">
      <c r="A8" s="22" t="s">
        <v>32</v>
      </c>
      <c r="B8" s="738">
        <f>IF(AND($A8&gt;=Lighting!B$44,$A8&lt;=Lighting!B$45),B$4*Lighting!B$47*Lighting!B$48*Lighting!B$49*(VLOOKUP(IF(Lighting!B$46=Report!$A$25,Report!$A$19,Lighting!B$46),Report!$A$18:$L$34,'Actual-CO2 Calculations'!$AK6,FALSE)),0)</f>
        <v>0</v>
      </c>
      <c r="C8" s="738">
        <f>IF(AND($A8&gt;=Lighting!C$44,$A8&lt;=Lighting!C$45),C$4*Lighting!C$47*Lighting!C$48*Lighting!C$49*(VLOOKUP(IF(Lighting!C$46=Report!$A$25,Report!$A$19,Lighting!C$46),Report!$A$18:$L$34,'Actual-CO2 Calculations'!$AK6,FALSE)),0)</f>
        <v>0</v>
      </c>
      <c r="D8" s="738">
        <f>IF(AND($A8&gt;=Lighting!D$44,$A8&lt;=Lighting!D$45),D$4*Lighting!D$47*Lighting!D$48*Lighting!D$49*(VLOOKUP(IF(Lighting!D$46=Report!$A$25,Report!$A$19,Lighting!D$46),Report!$A$18:$L$34,'Actual-CO2 Calculations'!$AK6,FALSE)),0)</f>
        <v>0</v>
      </c>
      <c r="E8" s="738">
        <f>IF(AND($A8&gt;=Lighting!E$44,$A8&lt;=Lighting!E$45),E$4*Lighting!E$47*Lighting!E$48*Lighting!E$49*(VLOOKUP(IF(Lighting!E$46=Report!$A$25,Report!$A$19,Lighting!E$46),Report!$A$18:$L$34,'Actual-CO2 Calculations'!$AK6,FALSE)),0)</f>
        <v>0</v>
      </c>
      <c r="F8" s="738">
        <f>IF(AND($A8&gt;=Lighting!F$44,$A8&lt;=Lighting!F$45),F$4*Lighting!F$47*Lighting!F$48*Lighting!F$49*(VLOOKUP(IF(Lighting!F$46=Report!$A$25,Report!$A$19,Lighting!F$46),Report!$A$18:$L$34,'Actual-CO2 Calculations'!$AK6,FALSE)),0)</f>
        <v>0</v>
      </c>
      <c r="H8" s="660">
        <f t="shared" si="0"/>
        <v>0</v>
      </c>
    </row>
    <row r="9" spans="1:8">
      <c r="A9" s="22" t="s">
        <v>33</v>
      </c>
      <c r="B9" s="738">
        <f>IF(AND($A9&gt;=Lighting!B$44,$A9&lt;=Lighting!B$45),B$4*Lighting!B$47*Lighting!B$48*Lighting!B$49*(VLOOKUP(IF(Lighting!B$46=Report!$A$25,Report!$A$19,Lighting!B$46),Report!$A$18:$L$34,'Actual-CO2 Calculations'!$AK7,FALSE)),0)</f>
        <v>0</v>
      </c>
      <c r="C9" s="738">
        <f>IF(AND($A9&gt;=Lighting!C$44,$A9&lt;=Lighting!C$45),C$4*Lighting!C$47*Lighting!C$48*Lighting!C$49*(VLOOKUP(IF(Lighting!C$46=Report!$A$25,Report!$A$19,Lighting!C$46),Report!$A$18:$L$34,'Actual-CO2 Calculations'!$AK7,FALSE)),0)</f>
        <v>0</v>
      </c>
      <c r="D9" s="738">
        <f>IF(AND($A9&gt;=Lighting!D$44,$A9&lt;=Lighting!D$45),D$4*Lighting!D$47*Lighting!D$48*Lighting!D$49*(VLOOKUP(IF(Lighting!D$46=Report!$A$25,Report!$A$19,Lighting!D$46),Report!$A$18:$L$34,'Actual-CO2 Calculations'!$AK7,FALSE)),0)</f>
        <v>0</v>
      </c>
      <c r="E9" s="738">
        <f>IF(AND($A9&gt;=Lighting!E$44,$A9&lt;=Lighting!E$45),E$4*Lighting!E$47*Lighting!E$48*Lighting!E$49*(VLOOKUP(IF(Lighting!E$46=Report!$A$25,Report!$A$19,Lighting!E$46),Report!$A$18:$L$34,'Actual-CO2 Calculations'!$AK7,FALSE)),0)</f>
        <v>0</v>
      </c>
      <c r="F9" s="738">
        <f>IF(AND($A9&gt;=Lighting!F$44,$A9&lt;=Lighting!F$45),F$4*Lighting!F$47*Lighting!F$48*Lighting!F$49*(VLOOKUP(IF(Lighting!F$46=Report!$A$25,Report!$A$19,Lighting!F$46),Report!$A$18:$L$34,'Actual-CO2 Calculations'!$AK7,FALSE)),0)</f>
        <v>0</v>
      </c>
      <c r="H9" s="660">
        <f t="shared" si="0"/>
        <v>0</v>
      </c>
    </row>
    <row r="10" spans="1:8">
      <c r="A10" s="22" t="s">
        <v>34</v>
      </c>
      <c r="B10" s="738">
        <f>IF(AND($A10&gt;=Lighting!B$44,$A10&lt;=Lighting!B$45),B$4*Lighting!B$47*Lighting!B$48*Lighting!B$49*(VLOOKUP(IF(Lighting!B$46=Report!$A$25,Report!$A$19,Lighting!B$46),Report!$A$18:$L$34,'Actual-CO2 Calculations'!$AK8,FALSE)),0)</f>
        <v>0</v>
      </c>
      <c r="C10" s="738">
        <f>IF(AND($A10&gt;=Lighting!C$44,$A10&lt;=Lighting!C$45),C$4*Lighting!C$47*Lighting!C$48*Lighting!C$49*(VLOOKUP(IF(Lighting!C$46=Report!$A$25,Report!$A$19,Lighting!C$46),Report!$A$18:$L$34,'Actual-CO2 Calculations'!$AK8,FALSE)),0)</f>
        <v>0</v>
      </c>
      <c r="D10" s="738">
        <f>IF(AND($A10&gt;=Lighting!D$44,$A10&lt;=Lighting!D$45),D$4*Lighting!D$47*Lighting!D$48*Lighting!D$49*(VLOOKUP(IF(Lighting!D$46=Report!$A$25,Report!$A$19,Lighting!D$46),Report!$A$18:$L$34,'Actual-CO2 Calculations'!$AK8,FALSE)),0)</f>
        <v>0</v>
      </c>
      <c r="E10" s="738">
        <f>IF(AND($A10&gt;=Lighting!E$44,$A10&lt;=Lighting!E$45),E$4*Lighting!E$47*Lighting!E$48*Lighting!E$49*(VLOOKUP(IF(Lighting!E$46=Report!$A$25,Report!$A$19,Lighting!E$46),Report!$A$18:$L$34,'Actual-CO2 Calculations'!$AK8,FALSE)),0)</f>
        <v>0</v>
      </c>
      <c r="F10" s="738">
        <f>IF(AND($A10&gt;=Lighting!F$44,$A10&lt;=Lighting!F$45),F$4*Lighting!F$47*Lighting!F$48*Lighting!F$49*(VLOOKUP(IF(Lighting!F$46=Report!$A$25,Report!$A$19,Lighting!F$46),Report!$A$18:$L$34,'Actual-CO2 Calculations'!$AK8,FALSE)),0)</f>
        <v>0</v>
      </c>
      <c r="H10" s="660">
        <f t="shared" si="0"/>
        <v>0</v>
      </c>
    </row>
    <row r="11" spans="1:8">
      <c r="A11" s="22" t="s">
        <v>35</v>
      </c>
      <c r="B11" s="738">
        <f>IF(AND($A11&gt;=Lighting!B$44,$A11&lt;=Lighting!B$45),B$4*Lighting!B$47*Lighting!B$48*Lighting!B$49*(VLOOKUP(IF(Lighting!B$46=Report!$A$25,Report!$A$19,Lighting!B$46),Report!$A$18:$L$34,'Actual-CO2 Calculations'!$AK9,FALSE)),0)</f>
        <v>0</v>
      </c>
      <c r="C11" s="738">
        <f>IF(AND($A11&gt;=Lighting!C$44,$A11&lt;=Lighting!C$45),C$4*Lighting!C$47*Lighting!C$48*Lighting!C$49*(VLOOKUP(IF(Lighting!C$46=Report!$A$25,Report!$A$19,Lighting!C$46),Report!$A$18:$L$34,'Actual-CO2 Calculations'!$AK9,FALSE)),0)</f>
        <v>0</v>
      </c>
      <c r="D11" s="738">
        <f>IF(AND($A11&gt;=Lighting!D$44,$A11&lt;=Lighting!D$45),D$4*Lighting!D$47*Lighting!D$48*Lighting!D$49*(VLOOKUP(IF(Lighting!D$46=Report!$A$25,Report!$A$19,Lighting!D$46),Report!$A$18:$L$34,'Actual-CO2 Calculations'!$AK9,FALSE)),0)</f>
        <v>0</v>
      </c>
      <c r="E11" s="738">
        <f>IF(AND($A11&gt;=Lighting!E$44,$A11&lt;=Lighting!E$45),E$4*Lighting!E$47*Lighting!E$48*Lighting!E$49*(VLOOKUP(IF(Lighting!E$46=Report!$A$25,Report!$A$19,Lighting!E$46),Report!$A$18:$L$34,'Actual-CO2 Calculations'!$AK9,FALSE)),0)</f>
        <v>0</v>
      </c>
      <c r="F11" s="738">
        <f>IF(AND($A11&gt;=Lighting!F$44,$A11&lt;=Lighting!F$45),F$4*Lighting!F$47*Lighting!F$48*Lighting!F$49*(VLOOKUP(IF(Lighting!F$46=Report!$A$25,Report!$A$19,Lighting!F$46),Report!$A$18:$L$34,'Actual-CO2 Calculations'!$AK9,FALSE)),0)</f>
        <v>0</v>
      </c>
      <c r="H11" s="660">
        <f t="shared" si="0"/>
        <v>0</v>
      </c>
    </row>
    <row r="12" spans="1:8">
      <c r="A12" s="22" t="s">
        <v>36</v>
      </c>
      <c r="B12" s="738">
        <f>IF(AND($A12&gt;=Lighting!B$44,$A12&lt;=Lighting!B$45),B$4*Lighting!B$47*Lighting!B$48*Lighting!B$49*(VLOOKUP(IF(Lighting!B$46=Report!$A$25,Report!$A$19,Lighting!B$46),Report!$A$18:$L$34,'Actual-CO2 Calculations'!$AK10,FALSE)),0)</f>
        <v>0</v>
      </c>
      <c r="C12" s="738">
        <f>IF(AND($A12&gt;=Lighting!C$44,$A12&lt;=Lighting!C$45),C$4*Lighting!C$47*Lighting!C$48*Lighting!C$49*(VLOOKUP(IF(Lighting!C$46=Report!$A$25,Report!$A$19,Lighting!C$46),Report!$A$18:$L$34,'Actual-CO2 Calculations'!$AK10,FALSE)),0)</f>
        <v>0</v>
      </c>
      <c r="D12" s="738">
        <f>IF(AND($A12&gt;=Lighting!D$44,$A12&lt;=Lighting!D$45),D$4*Lighting!D$47*Lighting!D$48*Lighting!D$49*(VLOOKUP(IF(Lighting!D$46=Report!$A$25,Report!$A$19,Lighting!D$46),Report!$A$18:$L$34,'Actual-CO2 Calculations'!$AK10,FALSE)),0)</f>
        <v>0</v>
      </c>
      <c r="E12" s="738">
        <f>IF(AND($A12&gt;=Lighting!E$44,$A12&lt;=Lighting!E$45),E$4*Lighting!E$47*Lighting!E$48*Lighting!E$49*(VLOOKUP(IF(Lighting!E$46=Report!$A$25,Report!$A$19,Lighting!E$46),Report!$A$18:$L$34,'Actual-CO2 Calculations'!$AK10,FALSE)),0)</f>
        <v>0</v>
      </c>
      <c r="F12" s="738">
        <f>IF(AND($A12&gt;=Lighting!F$44,$A12&lt;=Lighting!F$45),F$4*Lighting!F$47*Lighting!F$48*Lighting!F$49*(VLOOKUP(IF(Lighting!F$46=Report!$A$25,Report!$A$19,Lighting!F$46),Report!$A$18:$L$34,'Actual-CO2 Calculations'!$AK10,FALSE)),0)</f>
        <v>0</v>
      </c>
      <c r="H12" s="660">
        <f t="shared" si="0"/>
        <v>0</v>
      </c>
    </row>
    <row r="13" spans="1:8">
      <c r="A13" s="22" t="s">
        <v>37</v>
      </c>
      <c r="B13" s="738">
        <f>IF(AND($A13&gt;=Lighting!B$44,$A13&lt;=Lighting!B$45),B$4*Lighting!B$47*Lighting!B$48*Lighting!B$49*(VLOOKUP(IF(Lighting!B$46=Report!$A$25,Report!$A$19,Lighting!B$46),Report!$A$18:$L$34,'Actual-CO2 Calculations'!$AK11,FALSE)),0)</f>
        <v>0</v>
      </c>
      <c r="C13" s="738">
        <f>IF(AND($A13&gt;=Lighting!C$44,$A13&lt;=Lighting!C$45),C$4*Lighting!C$47*Lighting!C$48*Lighting!C$49*(VLOOKUP(IF(Lighting!C$46=Report!$A$25,Report!$A$19,Lighting!C$46),Report!$A$18:$L$34,'Actual-CO2 Calculations'!$AK11,FALSE)),0)</f>
        <v>0</v>
      </c>
      <c r="D13" s="738">
        <f>IF(AND($A13&gt;=Lighting!D$44,$A13&lt;=Lighting!D$45),D$4*Lighting!D$47*Lighting!D$48*Lighting!D$49*(VLOOKUP(IF(Lighting!D$46=Report!$A$25,Report!$A$19,Lighting!D$46),Report!$A$18:$L$34,'Actual-CO2 Calculations'!$AK11,FALSE)),0)</f>
        <v>0</v>
      </c>
      <c r="E13" s="738">
        <f>IF(AND($A13&gt;=Lighting!E$44,$A13&lt;=Lighting!E$45),E$4*Lighting!E$47*Lighting!E$48*Lighting!E$49*(VLOOKUP(IF(Lighting!E$46=Report!$A$25,Report!$A$19,Lighting!E$46),Report!$A$18:$L$34,'Actual-CO2 Calculations'!$AK11,FALSE)),0)</f>
        <v>0</v>
      </c>
      <c r="F13" s="738">
        <f>IF(AND($A13&gt;=Lighting!F$44,$A13&lt;=Lighting!F$45),F$4*Lighting!F$47*Lighting!F$48*Lighting!F$49*(VLOOKUP(IF(Lighting!F$46=Report!$A$25,Report!$A$19,Lighting!F$46),Report!$A$18:$L$34,'Actual-CO2 Calculations'!$AK11,FALSE)),0)</f>
        <v>0</v>
      </c>
      <c r="H13" s="660">
        <f t="shared" si="0"/>
        <v>0</v>
      </c>
    </row>
    <row r="14" spans="1:8">
      <c r="A14" s="22" t="s">
        <v>38</v>
      </c>
      <c r="B14" s="738">
        <f>IF(AND($A14&gt;=Lighting!B$44,$A14&lt;=Lighting!B$45),B$4*Lighting!B$47*Lighting!B$48*Lighting!B$49*(VLOOKUP(IF(Lighting!B$46=Report!$A$25,Report!$A$19,Lighting!B$46),Report!$A$18:$L$34,'Actual-CO2 Calculations'!$AK12,FALSE)),0)</f>
        <v>0</v>
      </c>
      <c r="C14" s="738">
        <f>IF(AND($A14&gt;=Lighting!C$44,$A14&lt;=Lighting!C$45),C$4*Lighting!C$47*Lighting!C$48*Lighting!C$49*(VLOOKUP(IF(Lighting!C$46=Report!$A$25,Report!$A$19,Lighting!C$46),Report!$A$18:$L$34,'Actual-CO2 Calculations'!$AK12,FALSE)),0)</f>
        <v>0</v>
      </c>
      <c r="D14" s="738">
        <f>IF(AND($A14&gt;=Lighting!D$44,$A14&lt;=Lighting!D$45),D$4*Lighting!D$47*Lighting!D$48*Lighting!D$49*(VLOOKUP(IF(Lighting!D$46=Report!$A$25,Report!$A$19,Lighting!D$46),Report!$A$18:$L$34,'Actual-CO2 Calculations'!$AK12,FALSE)),0)</f>
        <v>0</v>
      </c>
      <c r="E14" s="738">
        <f>IF(AND($A14&gt;=Lighting!E$44,$A14&lt;=Lighting!E$45),E$4*Lighting!E$47*Lighting!E$48*Lighting!E$49*(VLOOKUP(IF(Lighting!E$46=Report!$A$25,Report!$A$19,Lighting!E$46),Report!$A$18:$L$34,'Actual-CO2 Calculations'!$AK12,FALSE)),0)</f>
        <v>0</v>
      </c>
      <c r="F14" s="738">
        <f>IF(AND($A14&gt;=Lighting!F$44,$A14&lt;=Lighting!F$45),F$4*Lighting!F$47*Lighting!F$48*Lighting!F$49*(VLOOKUP(IF(Lighting!F$46=Report!$A$25,Report!$A$19,Lighting!F$46),Report!$A$18:$L$34,'Actual-CO2 Calculations'!$AK12,FALSE)),0)</f>
        <v>0</v>
      </c>
      <c r="H14" s="660">
        <f t="shared" si="0"/>
        <v>0</v>
      </c>
    </row>
    <row r="15" spans="1:8">
      <c r="A15" s="22" t="s">
        <v>39</v>
      </c>
      <c r="B15" s="738">
        <f>IF(AND($A15&gt;=Lighting!B$44,$A15&lt;=Lighting!B$45),B$4*Lighting!B$47*Lighting!B$48*Lighting!B$49*(VLOOKUP(IF(Lighting!B$46=Report!$A$25,Report!$A$19,Lighting!B$46),Report!$A$18:$L$34,'Actual-CO2 Calculations'!$AK13,FALSE)),0)</f>
        <v>0</v>
      </c>
      <c r="C15" s="738">
        <f>IF(AND($A15&gt;=Lighting!C$44,$A15&lt;=Lighting!C$45),C$4*Lighting!C$47*Lighting!C$48*Lighting!C$49*(VLOOKUP(IF(Lighting!C$46=Report!$A$25,Report!$A$19,Lighting!C$46),Report!$A$18:$L$34,'Actual-CO2 Calculations'!$AK13,FALSE)),0)</f>
        <v>0</v>
      </c>
      <c r="D15" s="738">
        <f>IF(AND($A15&gt;=Lighting!D$44,$A15&lt;=Lighting!D$45),D$4*Lighting!D$47*Lighting!D$48*Lighting!D$49*(VLOOKUP(IF(Lighting!D$46=Report!$A$25,Report!$A$19,Lighting!D$46),Report!$A$18:$L$34,'Actual-CO2 Calculations'!$AK13,FALSE)),0)</f>
        <v>0</v>
      </c>
      <c r="E15" s="738">
        <f>IF(AND($A15&gt;=Lighting!E$44,$A15&lt;=Lighting!E$45),E$4*Lighting!E$47*Lighting!E$48*Lighting!E$49*(VLOOKUP(IF(Lighting!E$46=Report!$A$25,Report!$A$19,Lighting!E$46),Report!$A$18:$L$34,'Actual-CO2 Calculations'!$AK13,FALSE)),0)</f>
        <v>0</v>
      </c>
      <c r="F15" s="738">
        <f>IF(AND($A15&gt;=Lighting!F$44,$A15&lt;=Lighting!F$45),F$4*Lighting!F$47*Lighting!F$48*Lighting!F$49*(VLOOKUP(IF(Lighting!F$46=Report!$A$25,Report!$A$19,Lighting!F$46),Report!$A$18:$L$34,'Actual-CO2 Calculations'!$AK13,FALSE)),0)</f>
        <v>0</v>
      </c>
      <c r="H15" s="660">
        <f t="shared" si="0"/>
        <v>0</v>
      </c>
    </row>
    <row r="16" spans="1:8">
      <c r="A16" s="23" t="s">
        <v>25</v>
      </c>
      <c r="B16" s="738">
        <f>IF(AND($A16&gt;=Lighting!B$44,$A16&lt;=Lighting!B$45),B$4*Lighting!B$47*Lighting!B$48*Lighting!B$49*(VLOOKUP(IF(Lighting!B$46=Report!$A$25,Report!$A$19,Lighting!B$46),Report!$A$18:$L$34,'Actual-CO2 Calculations'!$AK14,FALSE)),0)</f>
        <v>0</v>
      </c>
      <c r="C16" s="738">
        <f>IF(AND($A16&gt;=Lighting!C$44,$A16&lt;=Lighting!C$45),C$4*Lighting!C$47*Lighting!C$48*Lighting!C$49*(VLOOKUP(IF(Lighting!C$46=Report!$A$25,Report!$A$19,Lighting!C$46),Report!$A$18:$L$34,'Actual-CO2 Calculations'!$AK14,FALSE)),0)</f>
        <v>0</v>
      </c>
      <c r="D16" s="738">
        <f>IF(AND($A16&gt;=Lighting!D$44,$A16&lt;=Lighting!D$45),D$4*Lighting!D$47*Lighting!D$48*Lighting!D$49*(VLOOKUP(IF(Lighting!D$46=Report!$A$25,Report!$A$19,Lighting!D$46),Report!$A$18:$L$34,'Actual-CO2 Calculations'!$AK14,FALSE)),0)</f>
        <v>0</v>
      </c>
      <c r="E16" s="738">
        <f>IF(AND($A16&gt;=Lighting!E$44,$A16&lt;=Lighting!E$45),E$4*Lighting!E$47*Lighting!E$48*Lighting!E$49*(VLOOKUP(IF(Lighting!E$46=Report!$A$25,Report!$A$19,Lighting!E$46),Report!$A$18:$L$34,'Actual-CO2 Calculations'!$AK14,FALSE)),0)</f>
        <v>0</v>
      </c>
      <c r="F16" s="738">
        <f>IF(AND($A16&gt;=Lighting!F$44,$A16&lt;=Lighting!F$45),F$4*Lighting!F$47*Lighting!F$48*Lighting!F$49*(VLOOKUP(IF(Lighting!F$46=Report!$A$25,Report!$A$19,Lighting!F$46),Report!$A$18:$L$34,'Actual-CO2 Calculations'!$AK14,FALSE)),0)</f>
        <v>0</v>
      </c>
      <c r="H16" s="660">
        <f t="shared" si="0"/>
        <v>0</v>
      </c>
    </row>
    <row r="17" spans="1:8">
      <c r="A17" s="23" t="s">
        <v>26</v>
      </c>
      <c r="B17" s="738">
        <f>IF(AND($A17&gt;=Lighting!B$44,$A17&lt;=Lighting!B$45),B$4*Lighting!B$47*Lighting!B$48*Lighting!B$49*(VLOOKUP(IF(Lighting!B$46=Report!$A$25,Report!$A$19,Lighting!B$46),Report!$A$18:$L$34,'Actual-CO2 Calculations'!$AK15,FALSE)),0)</f>
        <v>0</v>
      </c>
      <c r="C17" s="738">
        <f>IF(AND($A17&gt;=Lighting!C$44,$A17&lt;=Lighting!C$45),C$4*Lighting!C$47*Lighting!C$48*Lighting!C$49*(VLOOKUP(IF(Lighting!C$46=Report!$A$25,Report!$A$19,Lighting!C$46),Report!$A$18:$L$34,'Actual-CO2 Calculations'!$AK15,FALSE)),0)</f>
        <v>0</v>
      </c>
      <c r="D17" s="738">
        <f>IF(AND($A17&gt;=Lighting!D$44,$A17&lt;=Lighting!D$45),D$4*Lighting!D$47*Lighting!D$48*Lighting!D$49*(VLOOKUP(IF(Lighting!D$46=Report!$A$25,Report!$A$19,Lighting!D$46),Report!$A$18:$L$34,'Actual-CO2 Calculations'!$AK15,FALSE)),0)</f>
        <v>0</v>
      </c>
      <c r="E17" s="738">
        <f>IF(AND($A17&gt;=Lighting!E$44,$A17&lt;=Lighting!E$45),E$4*Lighting!E$47*Lighting!E$48*Lighting!E$49*(VLOOKUP(IF(Lighting!E$46=Report!$A$25,Report!$A$19,Lighting!E$46),Report!$A$18:$L$34,'Actual-CO2 Calculations'!$AK15,FALSE)),0)</f>
        <v>0</v>
      </c>
      <c r="F17" s="738">
        <f>IF(AND($A17&gt;=Lighting!F$44,$A17&lt;=Lighting!F$45),F$4*Lighting!F$47*Lighting!F$48*Lighting!F$49*(VLOOKUP(IF(Lighting!F$46=Report!$A$25,Report!$A$19,Lighting!F$46),Report!$A$18:$L$34,'Actual-CO2 Calculations'!$AK15,FALSE)),0)</f>
        <v>0</v>
      </c>
      <c r="H17" s="660">
        <f t="shared" si="0"/>
        <v>0</v>
      </c>
    </row>
    <row r="18" spans="1:8">
      <c r="A18" s="23" t="s">
        <v>27</v>
      </c>
      <c r="B18" s="738">
        <f>IF(AND($A18&gt;=Lighting!B$44,$A18&lt;=Lighting!B$45),B$4*Lighting!B$47*Lighting!B$48*Lighting!B$49*(VLOOKUP(IF(Lighting!B$46=Report!$A$25,Report!$A$19,Lighting!B$46),Report!$A$18:$L$34,'Actual-CO2 Calculations'!$AK16,FALSE)),0)</f>
        <v>0</v>
      </c>
      <c r="C18" s="738">
        <f>IF(AND($A18&gt;=Lighting!C$44,$A18&lt;=Lighting!C$45),C$4*Lighting!C$47*Lighting!C$48*Lighting!C$49*(VLOOKUP(IF(Lighting!C$46=Report!$A$25,Report!$A$19,Lighting!C$46),Report!$A$18:$L$34,'Actual-CO2 Calculations'!$AK16,FALSE)),0)</f>
        <v>0</v>
      </c>
      <c r="D18" s="738">
        <f>IF(AND($A18&gt;=Lighting!D$44,$A18&lt;=Lighting!D$45),D$4*Lighting!D$47*Lighting!D$48*Lighting!D$49*(VLOOKUP(IF(Lighting!D$46=Report!$A$25,Report!$A$19,Lighting!D$46),Report!$A$18:$L$34,'Actual-CO2 Calculations'!$AK16,FALSE)),0)</f>
        <v>0</v>
      </c>
      <c r="E18" s="738">
        <f>IF(AND($A18&gt;=Lighting!E$44,$A18&lt;=Lighting!E$45),E$4*Lighting!E$47*Lighting!E$48*Lighting!E$49*(VLOOKUP(IF(Lighting!E$46=Report!$A$25,Report!$A$19,Lighting!E$46),Report!$A$18:$L$34,'Actual-CO2 Calculations'!$AK16,FALSE)),0)</f>
        <v>0</v>
      </c>
      <c r="F18" s="738">
        <f>IF(AND($A18&gt;=Lighting!F$44,$A18&lt;=Lighting!F$45),F$4*Lighting!F$47*Lighting!F$48*Lighting!F$49*(VLOOKUP(IF(Lighting!F$46=Report!$A$25,Report!$A$19,Lighting!F$46),Report!$A$18:$L$34,'Actual-CO2 Calculations'!$AK16,FALSE)),0)</f>
        <v>0</v>
      </c>
      <c r="H18" s="660">
        <f t="shared" si="0"/>
        <v>0</v>
      </c>
    </row>
    <row r="19" spans="1:8">
      <c r="A19" s="23" t="s">
        <v>24</v>
      </c>
      <c r="B19" s="738">
        <f>IF(AND($A19&gt;=Lighting!B$44,$A19&lt;=Lighting!B$45),B$4*Lighting!B$47*Lighting!B$48*Lighting!B$49*(VLOOKUP(IF(Lighting!B$46=Report!$A$25,Report!$A$19,Lighting!B$46),Report!$A$18:$L$34,'Actual-CO2 Calculations'!$AK17,FALSE)),0)</f>
        <v>0</v>
      </c>
      <c r="C19" s="738">
        <f>IF(AND($A19&gt;=Lighting!C$44,$A19&lt;=Lighting!C$45),C$4*Lighting!C$47*Lighting!C$48*Lighting!C$49*(VLOOKUP(IF(Lighting!C$46=Report!$A$25,Report!$A$19,Lighting!C$46),Report!$A$18:$L$34,'Actual-CO2 Calculations'!$AK17,FALSE)),0)</f>
        <v>0</v>
      </c>
      <c r="D19" s="738">
        <f>IF(AND($A19&gt;=Lighting!D$44,$A19&lt;=Lighting!D$45),D$4*Lighting!D$47*Lighting!D$48*Lighting!D$49*(VLOOKUP(IF(Lighting!D$46=Report!$A$25,Report!$A$19,Lighting!D$46),Report!$A$18:$L$34,'Actual-CO2 Calculations'!$AK17,FALSE)),0)</f>
        <v>0</v>
      </c>
      <c r="E19" s="738">
        <f>IF(AND($A19&gt;=Lighting!E$44,$A19&lt;=Lighting!E$45),E$4*Lighting!E$47*Lighting!E$48*Lighting!E$49*(VLOOKUP(IF(Lighting!E$46=Report!$A$25,Report!$A$19,Lighting!E$46),Report!$A$18:$L$34,'Actual-CO2 Calculations'!$AK17,FALSE)),0)</f>
        <v>0</v>
      </c>
      <c r="F19" s="738">
        <f>IF(AND($A19&gt;=Lighting!F$44,$A19&lt;=Lighting!F$45),F$4*Lighting!F$47*Lighting!F$48*Lighting!F$49*(VLOOKUP(IF(Lighting!F$46=Report!$A$25,Report!$A$19,Lighting!F$46),Report!$A$18:$L$34,'Actual-CO2 Calculations'!$AK17,FALSE)),0)</f>
        <v>0</v>
      </c>
      <c r="H19" s="660">
        <f t="shared" si="0"/>
        <v>0</v>
      </c>
    </row>
    <row r="20" spans="1:8">
      <c r="A20" s="23" t="s">
        <v>40</v>
      </c>
      <c r="B20" s="738">
        <f>IF(AND($A20&gt;=Lighting!B$44,$A20&lt;=Lighting!B$45),B$4*Lighting!B$47*Lighting!B$48*Lighting!B$49*(VLOOKUP(IF(Lighting!B$46=Report!$A$25,Report!$A$19,Lighting!B$46),Report!$A$18:$L$34,'Actual-CO2 Calculations'!$AK18,FALSE)),0)</f>
        <v>0</v>
      </c>
      <c r="C20" s="738">
        <f>IF(AND($A20&gt;=Lighting!C$44,$A20&lt;=Lighting!C$45),C$4*Lighting!C$47*Lighting!C$48*Lighting!C$49*(VLOOKUP(IF(Lighting!C$46=Report!$A$25,Report!$A$19,Lighting!C$46),Report!$A$18:$L$34,'Actual-CO2 Calculations'!$AK18,FALSE)),0)</f>
        <v>0</v>
      </c>
      <c r="D20" s="738">
        <f>IF(AND($A20&gt;=Lighting!D$44,$A20&lt;=Lighting!D$45),D$4*Lighting!D$47*Lighting!D$48*Lighting!D$49*(VLOOKUP(IF(Lighting!D$46=Report!$A$25,Report!$A$19,Lighting!D$46),Report!$A$18:$L$34,'Actual-CO2 Calculations'!$AK18,FALSE)),0)</f>
        <v>0</v>
      </c>
      <c r="E20" s="738">
        <f>IF(AND($A20&gt;=Lighting!E$44,$A20&lt;=Lighting!E$45),E$4*Lighting!E$47*Lighting!E$48*Lighting!E$49*(VLOOKUP(IF(Lighting!E$46=Report!$A$25,Report!$A$19,Lighting!E$46),Report!$A$18:$L$34,'Actual-CO2 Calculations'!$AK18,FALSE)),0)</f>
        <v>0</v>
      </c>
      <c r="F20" s="738">
        <f>IF(AND($A20&gt;=Lighting!F$44,$A20&lt;=Lighting!F$45),F$4*Lighting!F$47*Lighting!F$48*Lighting!F$49*(VLOOKUP(IF(Lighting!F$46=Report!$A$25,Report!$A$19,Lighting!F$46),Report!$A$18:$L$34,'Actual-CO2 Calculations'!$AK18,FALSE)),0)</f>
        <v>0</v>
      </c>
      <c r="H20" s="660">
        <f t="shared" si="0"/>
        <v>0</v>
      </c>
    </row>
    <row r="21" spans="1:8">
      <c r="A21" s="23" t="s">
        <v>41</v>
      </c>
      <c r="B21" s="738">
        <f>IF(AND($A21&gt;=Lighting!B$44,$A21&lt;=Lighting!B$45),B$4*Lighting!B$47*Lighting!B$48*Lighting!B$49*(VLOOKUP(IF(Lighting!B$46=Report!$A$25,Report!$A$19,Lighting!B$46),Report!$A$18:$L$34,'Actual-CO2 Calculations'!$AK19,FALSE)),0)</f>
        <v>0</v>
      </c>
      <c r="C21" s="738">
        <f>IF(AND($A21&gt;=Lighting!C$44,$A21&lt;=Lighting!C$45),C$4*Lighting!C$47*Lighting!C$48*Lighting!C$49*(VLOOKUP(IF(Lighting!C$46=Report!$A$25,Report!$A$19,Lighting!C$46),Report!$A$18:$L$34,'Actual-CO2 Calculations'!$AK19,FALSE)),0)</f>
        <v>0</v>
      </c>
      <c r="D21" s="738">
        <f>IF(AND($A21&gt;=Lighting!D$44,$A21&lt;=Lighting!D$45),D$4*Lighting!D$47*Lighting!D$48*Lighting!D$49*(VLOOKUP(IF(Lighting!D$46=Report!$A$25,Report!$A$19,Lighting!D$46),Report!$A$18:$L$34,'Actual-CO2 Calculations'!$AK19,FALSE)),0)</f>
        <v>0</v>
      </c>
      <c r="E21" s="738">
        <f>IF(AND($A21&gt;=Lighting!E$44,$A21&lt;=Lighting!E$45),E$4*Lighting!E$47*Lighting!E$48*Lighting!E$49*(VLOOKUP(IF(Lighting!E$46=Report!$A$25,Report!$A$19,Lighting!E$46),Report!$A$18:$L$34,'Actual-CO2 Calculations'!$AK19,FALSE)),0)</f>
        <v>0</v>
      </c>
      <c r="F21" s="738">
        <f>IF(AND($A21&gt;=Lighting!F$44,$A21&lt;=Lighting!F$45),F$4*Lighting!F$47*Lighting!F$48*Lighting!F$49*(VLOOKUP(IF(Lighting!F$46=Report!$A$25,Report!$A$19,Lighting!F$46),Report!$A$18:$L$34,'Actual-CO2 Calculations'!$AK19,FALSE)),0)</f>
        <v>0</v>
      </c>
      <c r="H21" s="660">
        <f t="shared" si="0"/>
        <v>0</v>
      </c>
    </row>
    <row r="22" spans="1:8">
      <c r="A22" s="23" t="s">
        <v>42</v>
      </c>
      <c r="B22" s="738">
        <f>IF(AND($A22&gt;=Lighting!B$44,$A22&lt;=Lighting!B$45),B$4*Lighting!B$47*Lighting!B$48*Lighting!B$49*(VLOOKUP(IF(Lighting!B$46=Report!$A$25,Report!$A$19,Lighting!B$46),Report!$A$18:$L$34,'Actual-CO2 Calculations'!$AK20,FALSE)),0)</f>
        <v>0</v>
      </c>
      <c r="C22" s="738">
        <f>IF(AND($A22&gt;=Lighting!C$44,$A22&lt;=Lighting!C$45),C$4*Lighting!C$47*Lighting!C$48*Lighting!C$49*(VLOOKUP(IF(Lighting!C$46=Report!$A$25,Report!$A$19,Lighting!C$46),Report!$A$18:$L$34,'Actual-CO2 Calculations'!$AK20,FALSE)),0)</f>
        <v>0</v>
      </c>
      <c r="D22" s="738">
        <f>IF(AND($A22&gt;=Lighting!D$44,$A22&lt;=Lighting!D$45),D$4*Lighting!D$47*Lighting!D$48*Lighting!D$49*(VLOOKUP(IF(Lighting!D$46=Report!$A$25,Report!$A$19,Lighting!D$46),Report!$A$18:$L$34,'Actual-CO2 Calculations'!$AK20,FALSE)),0)</f>
        <v>0</v>
      </c>
      <c r="E22" s="738">
        <f>IF(AND($A22&gt;=Lighting!E$44,$A22&lt;=Lighting!E$45),E$4*Lighting!E$47*Lighting!E$48*Lighting!E$49*(VLOOKUP(IF(Lighting!E$46=Report!$A$25,Report!$A$19,Lighting!E$46),Report!$A$18:$L$34,'Actual-CO2 Calculations'!$AK20,FALSE)),0)</f>
        <v>0</v>
      </c>
      <c r="F22" s="738">
        <f>IF(AND($A22&gt;=Lighting!F$44,$A22&lt;=Lighting!F$45),F$4*Lighting!F$47*Lighting!F$48*Lighting!F$49*(VLOOKUP(IF(Lighting!F$46=Report!$A$25,Report!$A$19,Lighting!F$46),Report!$A$18:$L$34,'Actual-CO2 Calculations'!$AK20,FALSE)),0)</f>
        <v>0</v>
      </c>
      <c r="H22" s="660">
        <f t="shared" si="0"/>
        <v>0</v>
      </c>
    </row>
    <row r="23" spans="1:8">
      <c r="A23" s="23" t="s">
        <v>43</v>
      </c>
      <c r="B23" s="738">
        <f>IF(AND($A23&gt;=Lighting!B$44,$A23&lt;=Lighting!B$45),B$4*Lighting!B$47*Lighting!B$48*Lighting!B$49*(VLOOKUP(IF(Lighting!B$46=Report!$A$25,Report!$A$19,Lighting!B$46),Report!$A$18:$L$34,'Actual-CO2 Calculations'!$AK21,FALSE)),0)</f>
        <v>0</v>
      </c>
      <c r="C23" s="738">
        <f>IF(AND($A23&gt;=Lighting!C$44,$A23&lt;=Lighting!C$45),C$4*Lighting!C$47*Lighting!C$48*Lighting!C$49*(VLOOKUP(IF(Lighting!C$46=Report!$A$25,Report!$A$19,Lighting!C$46),Report!$A$18:$L$34,'Actual-CO2 Calculations'!$AK21,FALSE)),0)</f>
        <v>0</v>
      </c>
      <c r="D23" s="738">
        <f>IF(AND($A23&gt;=Lighting!D$44,$A23&lt;=Lighting!D$45),D$4*Lighting!D$47*Lighting!D$48*Lighting!D$49*(VLOOKUP(IF(Lighting!D$46=Report!$A$25,Report!$A$19,Lighting!D$46),Report!$A$18:$L$34,'Actual-CO2 Calculations'!$AK21,FALSE)),0)</f>
        <v>0</v>
      </c>
      <c r="E23" s="738">
        <f>IF(AND($A23&gt;=Lighting!E$44,$A23&lt;=Lighting!E$45),E$4*Lighting!E$47*Lighting!E$48*Lighting!E$49*(VLOOKUP(IF(Lighting!E$46=Report!$A$25,Report!$A$19,Lighting!E$46),Report!$A$18:$L$34,'Actual-CO2 Calculations'!$AK21,FALSE)),0)</f>
        <v>0</v>
      </c>
      <c r="F23" s="738">
        <f>IF(AND($A23&gt;=Lighting!F$44,$A23&lt;=Lighting!F$45),F$4*Lighting!F$47*Lighting!F$48*Lighting!F$49*(VLOOKUP(IF(Lighting!F$46=Report!$A$25,Report!$A$19,Lighting!F$46),Report!$A$18:$L$34,'Actual-CO2 Calculations'!$AK21,FALSE)),0)</f>
        <v>0</v>
      </c>
      <c r="H23" s="660">
        <f t="shared" si="0"/>
        <v>0</v>
      </c>
    </row>
    <row r="24" spans="1:8">
      <c r="A24" s="23" t="s">
        <v>44</v>
      </c>
      <c r="B24" s="738">
        <f>IF(AND($A24&gt;=Lighting!B$44,$A24&lt;=Lighting!B$45),B$4*Lighting!B$47*Lighting!B$48*Lighting!B$49*(VLOOKUP(IF(Lighting!B$46=Report!$A$25,Report!$A$19,Lighting!B$46),Report!$A$18:$L$34,'Actual-CO2 Calculations'!$AK22,FALSE)),0)</f>
        <v>0</v>
      </c>
      <c r="C24" s="738">
        <f>IF(AND($A24&gt;=Lighting!C$44,$A24&lt;=Lighting!C$45),C$4*Lighting!C$47*Lighting!C$48*Lighting!C$49*(VLOOKUP(IF(Lighting!C$46=Report!$A$25,Report!$A$19,Lighting!C$46),Report!$A$18:$L$34,'Actual-CO2 Calculations'!$AK22,FALSE)),0)</f>
        <v>0</v>
      </c>
      <c r="D24" s="738">
        <f>IF(AND($A24&gt;=Lighting!D$44,$A24&lt;=Lighting!D$45),D$4*Lighting!D$47*Lighting!D$48*Lighting!D$49*(VLOOKUP(IF(Lighting!D$46=Report!$A$25,Report!$A$19,Lighting!D$46),Report!$A$18:$L$34,'Actual-CO2 Calculations'!$AK22,FALSE)),0)</f>
        <v>0</v>
      </c>
      <c r="E24" s="738">
        <f>IF(AND($A24&gt;=Lighting!E$44,$A24&lt;=Lighting!E$45),E$4*Lighting!E$47*Lighting!E$48*Lighting!E$49*(VLOOKUP(IF(Lighting!E$46=Report!$A$25,Report!$A$19,Lighting!E$46),Report!$A$18:$L$34,'Actual-CO2 Calculations'!$AK22,FALSE)),0)</f>
        <v>0</v>
      </c>
      <c r="F24" s="738">
        <f>IF(AND($A24&gt;=Lighting!F$44,$A24&lt;=Lighting!F$45),F$4*Lighting!F$47*Lighting!F$48*Lighting!F$49*(VLOOKUP(IF(Lighting!F$46=Report!$A$25,Report!$A$19,Lighting!F$46),Report!$A$18:$L$34,'Actual-CO2 Calculations'!$AK22,FALSE)),0)</f>
        <v>0</v>
      </c>
      <c r="H24" s="660">
        <f t="shared" si="0"/>
        <v>0</v>
      </c>
    </row>
    <row r="25" spans="1:8">
      <c r="A25" s="23" t="s">
        <v>45</v>
      </c>
      <c r="B25" s="738">
        <f>IF(AND($A25&gt;=Lighting!B$44,$A25&lt;=Lighting!B$45),B$4*Lighting!B$47*Lighting!B$48*Lighting!B$49*(VLOOKUP(IF(Lighting!B$46=Report!$A$25,Report!$A$19,Lighting!B$46),Report!$A$18:$L$34,'Actual-CO2 Calculations'!$AK23,FALSE)),0)</f>
        <v>0</v>
      </c>
      <c r="C25" s="738">
        <f>IF(AND($A25&gt;=Lighting!C$44,$A25&lt;=Lighting!C$45),C$4*Lighting!C$47*Lighting!C$48*Lighting!C$49*(VLOOKUP(IF(Lighting!C$46=Report!$A$25,Report!$A$19,Lighting!C$46),Report!$A$18:$L$34,'Actual-CO2 Calculations'!$AK23,FALSE)),0)</f>
        <v>0</v>
      </c>
      <c r="D25" s="738">
        <f>IF(AND($A25&gt;=Lighting!D$44,$A25&lt;=Lighting!D$45),D$4*Lighting!D$47*Lighting!D$48*Lighting!D$49*(VLOOKUP(IF(Lighting!D$46=Report!$A$25,Report!$A$19,Lighting!D$46),Report!$A$18:$L$34,'Actual-CO2 Calculations'!$AK23,FALSE)),0)</f>
        <v>0</v>
      </c>
      <c r="E25" s="738">
        <f>IF(AND($A25&gt;=Lighting!E$44,$A25&lt;=Lighting!E$45),E$4*Lighting!E$47*Lighting!E$48*Lighting!E$49*(VLOOKUP(IF(Lighting!E$46=Report!$A$25,Report!$A$19,Lighting!E$46),Report!$A$18:$L$34,'Actual-CO2 Calculations'!$AK23,FALSE)),0)</f>
        <v>0</v>
      </c>
      <c r="F25" s="738">
        <f>IF(AND($A25&gt;=Lighting!F$44,$A25&lt;=Lighting!F$45),F$4*Lighting!F$47*Lighting!F$48*Lighting!F$49*(VLOOKUP(IF(Lighting!F$46=Report!$A$25,Report!$A$19,Lighting!F$46),Report!$A$18:$L$34,'Actual-CO2 Calculations'!$AK23,FALSE)),0)</f>
        <v>0</v>
      </c>
      <c r="H25" s="660">
        <f t="shared" si="0"/>
        <v>0</v>
      </c>
    </row>
    <row r="26" spans="1:8">
      <c r="A26" s="23" t="s">
        <v>46</v>
      </c>
      <c r="B26" s="738">
        <f>IF(AND($A26&gt;=Lighting!B$44,$A26&lt;=Lighting!B$45),B$4*Lighting!B$47*Lighting!B$48*Lighting!B$49*(VLOOKUP(IF(Lighting!B$46=Report!$A$25,Report!$A$19,Lighting!B$46),Report!$A$18:$L$34,'Actual-CO2 Calculations'!$AK24,FALSE)),0)</f>
        <v>0</v>
      </c>
      <c r="C26" s="738">
        <f>IF(AND($A26&gt;=Lighting!C$44,$A26&lt;=Lighting!C$45),C$4*Lighting!C$47*Lighting!C$48*Lighting!C$49*(VLOOKUP(IF(Lighting!C$46=Report!$A$25,Report!$A$19,Lighting!C$46),Report!$A$18:$L$34,'Actual-CO2 Calculations'!$AK24,FALSE)),0)</f>
        <v>0</v>
      </c>
      <c r="D26" s="738">
        <f>IF(AND($A26&gt;=Lighting!D$44,$A26&lt;=Lighting!D$45),D$4*Lighting!D$47*Lighting!D$48*Lighting!D$49*(VLOOKUP(IF(Lighting!D$46=Report!$A$25,Report!$A$19,Lighting!D$46),Report!$A$18:$L$34,'Actual-CO2 Calculations'!$AK24,FALSE)),0)</f>
        <v>0</v>
      </c>
      <c r="E26" s="738">
        <f>IF(AND($A26&gt;=Lighting!E$44,$A26&lt;=Lighting!E$45),E$4*Lighting!E$47*Lighting!E$48*Lighting!E$49*(VLOOKUP(IF(Lighting!E$46=Report!$A$25,Report!$A$19,Lighting!E$46),Report!$A$18:$L$34,'Actual-CO2 Calculations'!$AK24,FALSE)),0)</f>
        <v>0</v>
      </c>
      <c r="F26" s="738">
        <f>IF(AND($A26&gt;=Lighting!F$44,$A26&lt;=Lighting!F$45),F$4*Lighting!F$47*Lighting!F$48*Lighting!F$49*(VLOOKUP(IF(Lighting!F$46=Report!$A$25,Report!$A$19,Lighting!F$46),Report!$A$18:$L$34,'Actual-CO2 Calculations'!$AK24,FALSE)),0)</f>
        <v>0</v>
      </c>
      <c r="H26" s="660">
        <f t="shared" si="0"/>
        <v>0</v>
      </c>
    </row>
    <row r="27" spans="1:8">
      <c r="A27" s="23" t="s">
        <v>47</v>
      </c>
      <c r="B27" s="738">
        <f>IF(AND($A27&gt;=Lighting!B$44,$A27&lt;=Lighting!B$45),B$4*Lighting!B$47*Lighting!B$48*Lighting!B$49*(VLOOKUP(IF(Lighting!B$46=Report!$A$25,Report!$A$19,Lighting!B$46),Report!$A$18:$L$34,'Actual-CO2 Calculations'!$AK25,FALSE)),0)</f>
        <v>0</v>
      </c>
      <c r="C27" s="738">
        <f>IF(AND($A27&gt;=Lighting!C$44,$A27&lt;=Lighting!C$45),C$4*Lighting!C$47*Lighting!C$48*Lighting!C$49*(VLOOKUP(IF(Lighting!C$46=Report!$A$25,Report!$A$19,Lighting!C$46),Report!$A$18:$L$34,'Actual-CO2 Calculations'!$AK25,FALSE)),0)</f>
        <v>0</v>
      </c>
      <c r="D27" s="738">
        <f>IF(AND($A27&gt;=Lighting!D$44,$A27&lt;=Lighting!D$45),D$4*Lighting!D$47*Lighting!D$48*Lighting!D$49*(VLOOKUP(IF(Lighting!D$46=Report!$A$25,Report!$A$19,Lighting!D$46),Report!$A$18:$L$34,'Actual-CO2 Calculations'!$AK25,FALSE)),0)</f>
        <v>0</v>
      </c>
      <c r="E27" s="738">
        <f>IF(AND($A27&gt;=Lighting!E$44,$A27&lt;=Lighting!E$45),E$4*Lighting!E$47*Lighting!E$48*Lighting!E$49*(VLOOKUP(IF(Lighting!E$46=Report!$A$25,Report!$A$19,Lighting!E$46),Report!$A$18:$L$34,'Actual-CO2 Calculations'!$AK25,FALSE)),0)</f>
        <v>0</v>
      </c>
      <c r="F27" s="738">
        <f>IF(AND($A27&gt;=Lighting!F$44,$A27&lt;=Lighting!F$45),F$4*Lighting!F$47*Lighting!F$48*Lighting!F$49*(VLOOKUP(IF(Lighting!F$46=Report!$A$25,Report!$A$19,Lighting!F$46),Report!$A$18:$L$34,'Actual-CO2 Calculations'!$AK25,FALSE)),0)</f>
        <v>0</v>
      </c>
      <c r="H27" s="660">
        <f t="shared" si="0"/>
        <v>0</v>
      </c>
    </row>
    <row r="28" spans="1:8">
      <c r="A28" s="23" t="s">
        <v>48</v>
      </c>
      <c r="B28" s="738">
        <f>IF(AND($A28&gt;=Lighting!B$44,$A28&lt;=Lighting!B$45),B$4*Lighting!B$47*Lighting!B$48*Lighting!B$49*(VLOOKUP(IF(Lighting!B$46=Report!$A$25,Report!$A$19,Lighting!B$46),Report!$A$18:$L$34,'Actual-CO2 Calculations'!$AK26,FALSE)),0)</f>
        <v>0</v>
      </c>
      <c r="C28" s="738">
        <f>IF(AND($A28&gt;=Lighting!C$44,$A28&lt;=Lighting!C$45),C$4*Lighting!C$47*Lighting!C$48*Lighting!C$49*(VLOOKUP(IF(Lighting!C$46=Report!$A$25,Report!$A$19,Lighting!C$46),Report!$A$18:$L$34,'Actual-CO2 Calculations'!$AK26,FALSE)),0)</f>
        <v>0</v>
      </c>
      <c r="D28" s="738">
        <f>IF(AND($A28&gt;=Lighting!D$44,$A28&lt;=Lighting!D$45),D$4*Lighting!D$47*Lighting!D$48*Lighting!D$49*(VLOOKUP(IF(Lighting!D$46=Report!$A$25,Report!$A$19,Lighting!D$46),Report!$A$18:$L$34,'Actual-CO2 Calculations'!$AK26,FALSE)),0)</f>
        <v>0</v>
      </c>
      <c r="E28" s="738">
        <f>IF(AND($A28&gt;=Lighting!E$44,$A28&lt;=Lighting!E$45),E$4*Lighting!E$47*Lighting!E$48*Lighting!E$49*(VLOOKUP(IF(Lighting!E$46=Report!$A$25,Report!$A$19,Lighting!E$46),Report!$A$18:$L$34,'Actual-CO2 Calculations'!$AK26,FALSE)),0)</f>
        <v>0</v>
      </c>
      <c r="F28" s="738">
        <f>IF(AND($A28&gt;=Lighting!F$44,$A28&lt;=Lighting!F$45),F$4*Lighting!F$47*Lighting!F$48*Lighting!F$49*(VLOOKUP(IF(Lighting!F$46=Report!$A$25,Report!$A$19,Lighting!F$46),Report!$A$18:$L$34,'Actual-CO2 Calculations'!$AK26,FALSE)),0)</f>
        <v>0</v>
      </c>
      <c r="H28" s="660">
        <f t="shared" si="0"/>
        <v>0</v>
      </c>
    </row>
    <row r="29" spans="1:8">
      <c r="A29" s="23" t="s">
        <v>0</v>
      </c>
      <c r="B29" s="738">
        <f>IF(AND($A29&gt;=Lighting!B$44,$A29&lt;=Lighting!B$45),B$4*Lighting!B$47*Lighting!B$48*Lighting!B$49*(VLOOKUP(IF(Lighting!B$46=Report!$A$25,Report!$A$19,Lighting!B$46),Report!$A$18:$L$34,'Actual-CO2 Calculations'!$AK27,FALSE)),0)</f>
        <v>0</v>
      </c>
      <c r="C29" s="738">
        <f>IF(AND($A29&gt;=Lighting!C$44,$A29&lt;=Lighting!C$45),C$4*Lighting!C$47*Lighting!C$48*Lighting!C$49*(VLOOKUP(IF(Lighting!C$46=Report!$A$25,Report!$A$19,Lighting!C$46),Report!$A$18:$L$34,'Actual-CO2 Calculations'!$AK27,FALSE)),0)</f>
        <v>0</v>
      </c>
      <c r="D29" s="738">
        <f>IF(AND($A29&gt;=Lighting!D$44,$A29&lt;=Lighting!D$45),D$4*Lighting!D$47*Lighting!D$48*Lighting!D$49*(VLOOKUP(IF(Lighting!D$46=Report!$A$25,Report!$A$19,Lighting!D$46),Report!$A$18:$L$34,'Actual-CO2 Calculations'!$AK27,FALSE)),0)</f>
        <v>0</v>
      </c>
      <c r="E29" s="738">
        <f>IF(AND($A29&gt;=Lighting!E$44,$A29&lt;=Lighting!E$45),E$4*Lighting!E$47*Lighting!E$48*Lighting!E$49*(VLOOKUP(IF(Lighting!E$46=Report!$A$25,Report!$A$19,Lighting!E$46),Report!$A$18:$L$34,'Actual-CO2 Calculations'!$AK27,FALSE)),0)</f>
        <v>0</v>
      </c>
      <c r="F29" s="738">
        <f>IF(AND($A29&gt;=Lighting!F$44,$A29&lt;=Lighting!F$45),F$4*Lighting!F$47*Lighting!F$48*Lighting!F$49*(VLOOKUP(IF(Lighting!F$46=Report!$A$25,Report!$A$19,Lighting!F$46),Report!$A$18:$L$34,'Actual-CO2 Calculations'!$AK27,FALSE)),0)</f>
        <v>0</v>
      </c>
      <c r="H29" s="660">
        <f t="shared" si="0"/>
        <v>0</v>
      </c>
    </row>
    <row r="30" spans="1:8">
      <c r="A30" s="23" t="s">
        <v>1</v>
      </c>
      <c r="B30" s="738">
        <f>IF(AND($A30&gt;=Lighting!B$44,$A30&lt;=Lighting!B$45),B$4*Lighting!B$47*Lighting!B$48*Lighting!B$49*(VLOOKUP(IF(Lighting!B$46=Report!$A$25,Report!$A$19,Lighting!B$46),Report!$A$18:$L$34,'Actual-CO2 Calculations'!$AK28,FALSE)),0)</f>
        <v>0</v>
      </c>
      <c r="C30" s="738">
        <f>IF(AND($A30&gt;=Lighting!C$44,$A30&lt;=Lighting!C$45),C$4*Lighting!C$47*Lighting!C$48*Lighting!C$49*(VLOOKUP(IF(Lighting!C$46=Report!$A$25,Report!$A$19,Lighting!C$46),Report!$A$18:$L$34,'Actual-CO2 Calculations'!$AK28,FALSE)),0)</f>
        <v>0</v>
      </c>
      <c r="D30" s="738">
        <f>IF(AND($A30&gt;=Lighting!D$44,$A30&lt;=Lighting!D$45),D$4*Lighting!D$47*Lighting!D$48*Lighting!D$49*(VLOOKUP(IF(Lighting!D$46=Report!$A$25,Report!$A$19,Lighting!D$46),Report!$A$18:$L$34,'Actual-CO2 Calculations'!$AK28,FALSE)),0)</f>
        <v>0</v>
      </c>
      <c r="E30" s="738">
        <f>IF(AND($A30&gt;=Lighting!E$44,$A30&lt;=Lighting!E$45),E$4*Lighting!E$47*Lighting!E$48*Lighting!E$49*(VLOOKUP(IF(Lighting!E$46=Report!$A$25,Report!$A$19,Lighting!E$46),Report!$A$18:$L$34,'Actual-CO2 Calculations'!$AK28,FALSE)),0)</f>
        <v>0</v>
      </c>
      <c r="F30" s="738">
        <f>IF(AND($A30&gt;=Lighting!F$44,$A30&lt;=Lighting!F$45),F$4*Lighting!F$47*Lighting!F$48*Lighting!F$49*(VLOOKUP(IF(Lighting!F$46=Report!$A$25,Report!$A$19,Lighting!F$46),Report!$A$18:$L$34,'Actual-CO2 Calculations'!$AK28,FALSE)),0)</f>
        <v>0</v>
      </c>
      <c r="H30" s="660">
        <f t="shared" si="0"/>
        <v>0</v>
      </c>
    </row>
    <row r="31" spans="1:8">
      <c r="A31" s="23" t="s">
        <v>2</v>
      </c>
      <c r="B31" s="738">
        <f>IF(AND($A31&gt;=Lighting!B$44,$A31&lt;=Lighting!B$45),B$4*Lighting!B$47*Lighting!B$48*Lighting!B$49*(VLOOKUP(IF(Lighting!B$46=Report!$A$25,Report!$A$19,Lighting!B$46),Report!$A$18:$L$34,'Actual-CO2 Calculations'!$AK29,FALSE)),0)</f>
        <v>0</v>
      </c>
      <c r="C31" s="738">
        <f>IF(AND($A31&gt;=Lighting!C$44,$A31&lt;=Lighting!C$45),C$4*Lighting!C$47*Lighting!C$48*Lighting!C$49*(VLOOKUP(IF(Lighting!C$46=Report!$A$25,Report!$A$19,Lighting!C$46),Report!$A$18:$L$34,'Actual-CO2 Calculations'!$AK29,FALSE)),0)</f>
        <v>0</v>
      </c>
      <c r="D31" s="738">
        <f>IF(AND($A31&gt;=Lighting!D$44,$A31&lt;=Lighting!D$45),D$4*Lighting!D$47*Lighting!D$48*Lighting!D$49*(VLOOKUP(IF(Lighting!D$46=Report!$A$25,Report!$A$19,Lighting!D$46),Report!$A$18:$L$34,'Actual-CO2 Calculations'!$AK29,FALSE)),0)</f>
        <v>0</v>
      </c>
      <c r="E31" s="738">
        <f>IF(AND($A31&gt;=Lighting!E$44,$A31&lt;=Lighting!E$45),E$4*Lighting!E$47*Lighting!E$48*Lighting!E$49*(VLOOKUP(IF(Lighting!E$46=Report!$A$25,Report!$A$19,Lighting!E$46),Report!$A$18:$L$34,'Actual-CO2 Calculations'!$AK29,FALSE)),0)</f>
        <v>0</v>
      </c>
      <c r="F31" s="738">
        <f>IF(AND($A31&gt;=Lighting!F$44,$A31&lt;=Lighting!F$45),F$4*Lighting!F$47*Lighting!F$48*Lighting!F$49*(VLOOKUP(IF(Lighting!F$46=Report!$A$25,Report!$A$19,Lighting!F$46),Report!$A$18:$L$34,'Actual-CO2 Calculations'!$AK29,FALSE)),0)</f>
        <v>0</v>
      </c>
      <c r="H31" s="660">
        <f t="shared" si="0"/>
        <v>0</v>
      </c>
    </row>
    <row r="32" spans="1:8">
      <c r="A32" s="23" t="s">
        <v>3</v>
      </c>
      <c r="B32" s="738">
        <f>IF(AND($A32&gt;=Lighting!B$44,$A32&lt;=Lighting!B$45),B$4*Lighting!B$47*Lighting!B$48*Lighting!B$49*(VLOOKUP(IF(Lighting!B$46=Report!$A$25,Report!$A$19,Lighting!B$46),Report!$A$18:$L$34,'Actual-CO2 Calculations'!$AK30,FALSE)),0)</f>
        <v>0</v>
      </c>
      <c r="C32" s="738">
        <f>IF(AND($A32&gt;=Lighting!C$44,$A32&lt;=Lighting!C$45),C$4*Lighting!C$47*Lighting!C$48*Lighting!C$49*(VLOOKUP(IF(Lighting!C$46=Report!$A$25,Report!$A$19,Lighting!C$46),Report!$A$18:$L$34,'Actual-CO2 Calculations'!$AK30,FALSE)),0)</f>
        <v>0</v>
      </c>
      <c r="D32" s="738">
        <f>IF(AND($A32&gt;=Lighting!D$44,$A32&lt;=Lighting!D$45),D$4*Lighting!D$47*Lighting!D$48*Lighting!D$49*(VLOOKUP(IF(Lighting!D$46=Report!$A$25,Report!$A$19,Lighting!D$46),Report!$A$18:$L$34,'Actual-CO2 Calculations'!$AK30,FALSE)),0)</f>
        <v>0</v>
      </c>
      <c r="E32" s="738">
        <f>IF(AND($A32&gt;=Lighting!E$44,$A32&lt;=Lighting!E$45),E$4*Lighting!E$47*Lighting!E$48*Lighting!E$49*(VLOOKUP(IF(Lighting!E$46=Report!$A$25,Report!$A$19,Lighting!E$46),Report!$A$18:$L$34,'Actual-CO2 Calculations'!$AK30,FALSE)),0)</f>
        <v>0</v>
      </c>
      <c r="F32" s="738">
        <f>IF(AND($A32&gt;=Lighting!F$44,$A32&lt;=Lighting!F$45),F$4*Lighting!F$47*Lighting!F$48*Lighting!F$49*(VLOOKUP(IF(Lighting!F$46=Report!$A$25,Report!$A$19,Lighting!F$46),Report!$A$18:$L$34,'Actual-CO2 Calculations'!$AK30,FALSE)),0)</f>
        <v>0</v>
      </c>
      <c r="H32" s="660">
        <f t="shared" si="0"/>
        <v>0</v>
      </c>
    </row>
    <row r="33" spans="1:8">
      <c r="A33" s="23" t="s">
        <v>49</v>
      </c>
      <c r="B33" s="738">
        <f>IF(AND($A33&gt;=Lighting!B$44,$A33&lt;=Lighting!B$45),B$4*Lighting!B$47*Lighting!B$48*Lighting!B$49*(VLOOKUP(IF(Lighting!B$46=Report!$A$25,Report!$A$19,Lighting!B$46),Report!$A$18:$L$34,'Actual-CO2 Calculations'!$AK31,FALSE)),0)</f>
        <v>0</v>
      </c>
      <c r="C33" s="738">
        <f>IF(AND($A33&gt;=Lighting!C$44,$A33&lt;=Lighting!C$45),C$4*Lighting!C$47*Lighting!C$48*Lighting!C$49*(VLOOKUP(IF(Lighting!C$46=Report!$A$25,Report!$A$19,Lighting!C$46),Report!$A$18:$L$34,'Actual-CO2 Calculations'!$AK31,FALSE)),0)</f>
        <v>0</v>
      </c>
      <c r="D33" s="738">
        <f>IF(AND($A33&gt;=Lighting!D$44,$A33&lt;=Lighting!D$45),D$4*Lighting!D$47*Lighting!D$48*Lighting!D$49*(VLOOKUP(IF(Lighting!D$46=Report!$A$25,Report!$A$19,Lighting!D$46),Report!$A$18:$L$34,'Actual-CO2 Calculations'!$AK31,FALSE)),0)</f>
        <v>0</v>
      </c>
      <c r="E33" s="738">
        <f>IF(AND($A33&gt;=Lighting!E$44,$A33&lt;=Lighting!E$45),E$4*Lighting!E$47*Lighting!E$48*Lighting!E$49*(VLOOKUP(IF(Lighting!E$46=Report!$A$25,Report!$A$19,Lighting!E$46),Report!$A$18:$L$34,'Actual-CO2 Calculations'!$AK31,FALSE)),0)</f>
        <v>0</v>
      </c>
      <c r="F33" s="738">
        <f>IF(AND($A33&gt;=Lighting!F$44,$A33&lt;=Lighting!F$45),F$4*Lighting!F$47*Lighting!F$48*Lighting!F$49*(VLOOKUP(IF(Lighting!F$46=Report!$A$25,Report!$A$19,Lighting!F$46),Report!$A$18:$L$34,'Actual-CO2 Calculations'!$AK31,FALSE)),0)</f>
        <v>0</v>
      </c>
      <c r="H33" s="660">
        <f t="shared" si="0"/>
        <v>0</v>
      </c>
    </row>
    <row r="34" spans="1:8">
      <c r="A34" s="23" t="s">
        <v>50</v>
      </c>
      <c r="B34" s="738">
        <f>IF(AND($A34&gt;=Lighting!B$44,$A34&lt;=Lighting!B$45),B$4*Lighting!B$47*Lighting!B$48*Lighting!B$49*(VLOOKUP(IF(Lighting!B$46=Report!$A$25,Report!$A$19,Lighting!B$46),Report!$A$18:$L$34,'Actual-CO2 Calculations'!$AK32,FALSE)),0)</f>
        <v>0</v>
      </c>
      <c r="C34" s="738">
        <f>IF(AND($A34&gt;=Lighting!C$44,$A34&lt;=Lighting!C$45),C$4*Lighting!C$47*Lighting!C$48*Lighting!C$49*(VLOOKUP(IF(Lighting!C$46=Report!$A$25,Report!$A$19,Lighting!C$46),Report!$A$18:$L$34,'Actual-CO2 Calculations'!$AK32,FALSE)),0)</f>
        <v>0</v>
      </c>
      <c r="D34" s="738">
        <f>IF(AND($A34&gt;=Lighting!D$44,$A34&lt;=Lighting!D$45),D$4*Lighting!D$47*Lighting!D$48*Lighting!D$49*(VLOOKUP(IF(Lighting!D$46=Report!$A$25,Report!$A$19,Lighting!D$46),Report!$A$18:$L$34,'Actual-CO2 Calculations'!$AK32,FALSE)),0)</f>
        <v>0</v>
      </c>
      <c r="E34" s="738">
        <f>IF(AND($A34&gt;=Lighting!E$44,$A34&lt;=Lighting!E$45),E$4*Lighting!E$47*Lighting!E$48*Lighting!E$49*(VLOOKUP(IF(Lighting!E$46=Report!$A$25,Report!$A$19,Lighting!E$46),Report!$A$18:$L$34,'Actual-CO2 Calculations'!$AK32,FALSE)),0)</f>
        <v>0</v>
      </c>
      <c r="F34" s="738">
        <f>IF(AND($A34&gt;=Lighting!F$44,$A34&lt;=Lighting!F$45),F$4*Lighting!F$47*Lighting!F$48*Lighting!F$49*(VLOOKUP(IF(Lighting!F$46=Report!$A$25,Report!$A$19,Lighting!F$46),Report!$A$18:$L$34,'Actual-CO2 Calculations'!$AK32,FALSE)),0)</f>
        <v>0</v>
      </c>
      <c r="H34" s="660">
        <f t="shared" si="0"/>
        <v>0</v>
      </c>
    </row>
    <row r="35" spans="1:8">
      <c r="A35" s="23" t="s">
        <v>51</v>
      </c>
      <c r="B35" s="738">
        <f>IF(AND($A35&gt;=Lighting!B$44,$A35&lt;=Lighting!B$45),B$4*Lighting!B$47*Lighting!B$48*Lighting!B$49*(VLOOKUP(IF(Lighting!B$46=Report!$A$25,Report!$A$19,Lighting!B$46),Report!$A$18:$L$34,'Actual-CO2 Calculations'!$AK33,FALSE)),0)</f>
        <v>0</v>
      </c>
      <c r="C35" s="738">
        <f>IF(AND($A35&gt;=Lighting!C$44,$A35&lt;=Lighting!C$45),C$4*Lighting!C$47*Lighting!C$48*Lighting!C$49*(VLOOKUP(IF(Lighting!C$46=Report!$A$25,Report!$A$19,Lighting!C$46),Report!$A$18:$L$34,'Actual-CO2 Calculations'!$AK33,FALSE)),0)</f>
        <v>0</v>
      </c>
      <c r="D35" s="738">
        <f>IF(AND($A35&gt;=Lighting!D$44,$A35&lt;=Lighting!D$45),D$4*Lighting!D$47*Lighting!D$48*Lighting!D$49*(VLOOKUP(IF(Lighting!D$46=Report!$A$25,Report!$A$19,Lighting!D$46),Report!$A$18:$L$34,'Actual-CO2 Calculations'!$AK33,FALSE)),0)</f>
        <v>0</v>
      </c>
      <c r="E35" s="738">
        <f>IF(AND($A35&gt;=Lighting!E$44,$A35&lt;=Lighting!E$45),E$4*Lighting!E$47*Lighting!E$48*Lighting!E$49*(VLOOKUP(IF(Lighting!E$46=Report!$A$25,Report!$A$19,Lighting!E$46),Report!$A$18:$L$34,'Actual-CO2 Calculations'!$AK33,FALSE)),0)</f>
        <v>0</v>
      </c>
      <c r="F35" s="738">
        <f>IF(AND($A35&gt;=Lighting!F$44,$A35&lt;=Lighting!F$45),F$4*Lighting!F$47*Lighting!F$48*Lighting!F$49*(VLOOKUP(IF(Lighting!F$46=Report!$A$25,Report!$A$19,Lighting!F$46),Report!$A$18:$L$34,'Actual-CO2 Calculations'!$AK33,FALSE)),0)</f>
        <v>0</v>
      </c>
      <c r="H35" s="660">
        <f t="shared" si="0"/>
        <v>0</v>
      </c>
    </row>
    <row r="36" spans="1:8">
      <c r="A36" s="23" t="s">
        <v>52</v>
      </c>
      <c r="B36" s="738">
        <f>IF(AND($A36&gt;=Lighting!B$44,$A36&lt;=Lighting!B$45),B$4*Lighting!B$47*Lighting!B$48*Lighting!B$49*(VLOOKUP(IF(Lighting!B$46=Report!$A$25,Report!$A$19,Lighting!B$46),Report!$A$18:$L$34,'Actual-CO2 Calculations'!$AK34,FALSE)),0)</f>
        <v>0</v>
      </c>
      <c r="C36" s="738">
        <f>IF(AND($A36&gt;=Lighting!C$44,$A36&lt;=Lighting!C$45),C$4*Lighting!C$47*Lighting!C$48*Lighting!C$49*(VLOOKUP(IF(Lighting!C$46=Report!$A$25,Report!$A$19,Lighting!C$46),Report!$A$18:$L$34,'Actual-CO2 Calculations'!$AK34,FALSE)),0)</f>
        <v>0</v>
      </c>
      <c r="D36" s="738">
        <f>IF(AND($A36&gt;=Lighting!D$44,$A36&lt;=Lighting!D$45),D$4*Lighting!D$47*Lighting!D$48*Lighting!D$49*(VLOOKUP(IF(Lighting!D$46=Report!$A$25,Report!$A$19,Lighting!D$46),Report!$A$18:$L$34,'Actual-CO2 Calculations'!$AK34,FALSE)),0)</f>
        <v>0</v>
      </c>
      <c r="E36" s="738">
        <f>IF(AND($A36&gt;=Lighting!E$44,$A36&lt;=Lighting!E$45),E$4*Lighting!E$47*Lighting!E$48*Lighting!E$49*(VLOOKUP(IF(Lighting!E$46=Report!$A$25,Report!$A$19,Lighting!E$46),Report!$A$18:$L$34,'Actual-CO2 Calculations'!$AK34,FALSE)),0)</f>
        <v>0</v>
      </c>
      <c r="F36" s="738">
        <f>IF(AND($A36&gt;=Lighting!F$44,$A36&lt;=Lighting!F$45),F$4*Lighting!F$47*Lighting!F$48*Lighting!F$49*(VLOOKUP(IF(Lighting!F$46=Report!$A$25,Report!$A$19,Lighting!F$46),Report!$A$18:$L$34,'Actual-CO2 Calculations'!$AK34,FALSE)),0)</f>
        <v>0</v>
      </c>
      <c r="H36" s="660">
        <f t="shared" si="0"/>
        <v>0</v>
      </c>
    </row>
    <row r="37" spans="1:8">
      <c r="A37" s="23" t="s">
        <v>53</v>
      </c>
      <c r="B37" s="738">
        <f>IF(AND($A37&gt;=Lighting!B$44,$A37&lt;=Lighting!B$45),B$4*Lighting!B$47*Lighting!B$48*Lighting!B$49*(VLOOKUP(IF(Lighting!B$46=Report!$A$25,Report!$A$19,Lighting!B$46),Report!$A$18:$L$34,'Actual-CO2 Calculations'!$AK35,FALSE)),0)</f>
        <v>0</v>
      </c>
      <c r="C37" s="738">
        <f>IF(AND($A37&gt;=Lighting!C$44,$A37&lt;=Lighting!C$45),C$4*Lighting!C$47*Lighting!C$48*Lighting!C$49*(VLOOKUP(IF(Lighting!C$46=Report!$A$25,Report!$A$19,Lighting!C$46),Report!$A$18:$L$34,'Actual-CO2 Calculations'!$AK35,FALSE)),0)</f>
        <v>0</v>
      </c>
      <c r="D37" s="738">
        <f>IF(AND($A37&gt;=Lighting!D$44,$A37&lt;=Lighting!D$45),D$4*Lighting!D$47*Lighting!D$48*Lighting!D$49*(VLOOKUP(IF(Lighting!D$46=Report!$A$25,Report!$A$19,Lighting!D$46),Report!$A$18:$L$34,'Actual-CO2 Calculations'!$AK35,FALSE)),0)</f>
        <v>0</v>
      </c>
      <c r="E37" s="738">
        <f>IF(AND($A37&gt;=Lighting!E$44,$A37&lt;=Lighting!E$45),E$4*Lighting!E$47*Lighting!E$48*Lighting!E$49*(VLOOKUP(IF(Lighting!E$46=Report!$A$25,Report!$A$19,Lighting!E$46),Report!$A$18:$L$34,'Actual-CO2 Calculations'!$AK35,FALSE)),0)</f>
        <v>0</v>
      </c>
      <c r="F37" s="738">
        <f>IF(AND($A37&gt;=Lighting!F$44,$A37&lt;=Lighting!F$45),F$4*Lighting!F$47*Lighting!F$48*Lighting!F$49*(VLOOKUP(IF(Lighting!F$46=Report!$A$25,Report!$A$19,Lighting!F$46),Report!$A$18:$L$34,'Actual-CO2 Calculations'!$AK35,FALSE)),0)</f>
        <v>0</v>
      </c>
      <c r="H37" s="660">
        <f t="shared" si="0"/>
        <v>0</v>
      </c>
    </row>
    <row r="38" spans="1:8">
      <c r="A38" s="23" t="s">
        <v>54</v>
      </c>
      <c r="B38" s="738">
        <f>IF(AND($A38&gt;=Lighting!B$44,$A38&lt;=Lighting!B$45),B$4*Lighting!B$47*Lighting!B$48*Lighting!B$49*(VLOOKUP(IF(Lighting!B$46=Report!$A$25,Report!$A$19,Lighting!B$46),Report!$A$18:$L$34,'Actual-CO2 Calculations'!$AK36,FALSE)),0)</f>
        <v>0</v>
      </c>
      <c r="C38" s="738">
        <f>IF(AND($A38&gt;=Lighting!C$44,$A38&lt;=Lighting!C$45),C$4*Lighting!C$47*Lighting!C$48*Lighting!C$49*(VLOOKUP(IF(Lighting!C$46=Report!$A$25,Report!$A$19,Lighting!C$46),Report!$A$18:$L$34,'Actual-CO2 Calculations'!$AK36,FALSE)),0)</f>
        <v>0</v>
      </c>
      <c r="D38" s="738">
        <f>IF(AND($A38&gt;=Lighting!D$44,$A38&lt;=Lighting!D$45),D$4*Lighting!D$47*Lighting!D$48*Lighting!D$49*(VLOOKUP(IF(Lighting!D$46=Report!$A$25,Report!$A$19,Lighting!D$46),Report!$A$18:$L$34,'Actual-CO2 Calculations'!$AK36,FALSE)),0)</f>
        <v>0</v>
      </c>
      <c r="E38" s="738">
        <f>IF(AND($A38&gt;=Lighting!E$44,$A38&lt;=Lighting!E$45),E$4*Lighting!E$47*Lighting!E$48*Lighting!E$49*(VLOOKUP(IF(Lighting!E$46=Report!$A$25,Report!$A$19,Lighting!E$46),Report!$A$18:$L$34,'Actual-CO2 Calculations'!$AK36,FALSE)),0)</f>
        <v>0</v>
      </c>
      <c r="F38" s="738">
        <f>IF(AND($A38&gt;=Lighting!F$44,$A38&lt;=Lighting!F$45),F$4*Lighting!F$47*Lighting!F$48*Lighting!F$49*(VLOOKUP(IF(Lighting!F$46=Report!$A$25,Report!$A$19,Lighting!F$46),Report!$A$18:$L$34,'Actual-CO2 Calculations'!$AK36,FALSE)),0)</f>
        <v>0</v>
      </c>
      <c r="H38" s="660">
        <f t="shared" si="0"/>
        <v>0</v>
      </c>
    </row>
    <row r="39" spans="1:8">
      <c r="A39" s="23" t="s">
        <v>55</v>
      </c>
      <c r="B39" s="738">
        <f>IF(AND($A39&gt;=Lighting!B$44,$A39&lt;=Lighting!B$45),B$4*Lighting!B$47*Lighting!B$48*Lighting!B$49*(VLOOKUP(IF(Lighting!B$46=Report!$A$25,Report!$A$19,Lighting!B$46),Report!$A$18:$L$34,'Actual-CO2 Calculations'!$AK37,FALSE)),0)</f>
        <v>0</v>
      </c>
      <c r="C39" s="738">
        <f>IF(AND($A39&gt;=Lighting!C$44,$A39&lt;=Lighting!C$45),C$4*Lighting!C$47*Lighting!C$48*Lighting!C$49*(VLOOKUP(IF(Lighting!C$46=Report!$A$25,Report!$A$19,Lighting!C$46),Report!$A$18:$L$34,'Actual-CO2 Calculations'!$AK37,FALSE)),0)</f>
        <v>0</v>
      </c>
      <c r="D39" s="738">
        <f>IF(AND($A39&gt;=Lighting!D$44,$A39&lt;=Lighting!D$45),D$4*Lighting!D$47*Lighting!D$48*Lighting!D$49*(VLOOKUP(IF(Lighting!D$46=Report!$A$25,Report!$A$19,Lighting!D$46),Report!$A$18:$L$34,'Actual-CO2 Calculations'!$AK37,FALSE)),0)</f>
        <v>0</v>
      </c>
      <c r="E39" s="738">
        <f>IF(AND($A39&gt;=Lighting!E$44,$A39&lt;=Lighting!E$45),E$4*Lighting!E$47*Lighting!E$48*Lighting!E$49*(VLOOKUP(IF(Lighting!E$46=Report!$A$25,Report!$A$19,Lighting!E$46),Report!$A$18:$L$34,'Actual-CO2 Calculations'!$AK37,FALSE)),0)</f>
        <v>0</v>
      </c>
      <c r="F39" s="738">
        <f>IF(AND($A39&gt;=Lighting!F$44,$A39&lt;=Lighting!F$45),F$4*Lighting!F$47*Lighting!F$48*Lighting!F$49*(VLOOKUP(IF(Lighting!F$46=Report!$A$25,Report!$A$19,Lighting!F$46),Report!$A$18:$L$34,'Actual-CO2 Calculations'!$AK37,FALSE)),0)</f>
        <v>0</v>
      </c>
      <c r="H39" s="660">
        <f t="shared" si="0"/>
        <v>0</v>
      </c>
    </row>
    <row r="40" spans="1:8">
      <c r="A40" s="23" t="s">
        <v>56</v>
      </c>
      <c r="B40" s="738">
        <f>IF(AND($A40&gt;=Lighting!B$44,$A40&lt;=Lighting!B$45),B$4*Lighting!B$47*Lighting!B$48*Lighting!B$49*(VLOOKUP(IF(Lighting!B$46=Report!$A$25,Report!$A$19,Lighting!B$46),Report!$A$18:$L$34,'Actual-CO2 Calculations'!$AK38,FALSE)),0)</f>
        <v>0</v>
      </c>
      <c r="C40" s="738">
        <f>IF(AND($A40&gt;=Lighting!C$44,$A40&lt;=Lighting!C$45),C$4*Lighting!C$47*Lighting!C$48*Lighting!C$49*(VLOOKUP(IF(Lighting!C$46=Report!$A$25,Report!$A$19,Lighting!C$46),Report!$A$18:$L$34,'Actual-CO2 Calculations'!$AK38,FALSE)),0)</f>
        <v>0</v>
      </c>
      <c r="D40" s="738">
        <f>IF(AND($A40&gt;=Lighting!D$44,$A40&lt;=Lighting!D$45),D$4*Lighting!D$47*Lighting!D$48*Lighting!D$49*(VLOOKUP(IF(Lighting!D$46=Report!$A$25,Report!$A$19,Lighting!D$46),Report!$A$18:$L$34,'Actual-CO2 Calculations'!$AK38,FALSE)),0)</f>
        <v>0</v>
      </c>
      <c r="E40" s="738">
        <f>IF(AND($A40&gt;=Lighting!E$44,$A40&lt;=Lighting!E$45),E$4*Lighting!E$47*Lighting!E$48*Lighting!E$49*(VLOOKUP(IF(Lighting!E$46=Report!$A$25,Report!$A$19,Lighting!E$46),Report!$A$18:$L$34,'Actual-CO2 Calculations'!$AK38,FALSE)),0)</f>
        <v>0</v>
      </c>
      <c r="F40" s="738">
        <f>IF(AND($A40&gt;=Lighting!F$44,$A40&lt;=Lighting!F$45),F$4*Lighting!F$47*Lighting!F$48*Lighting!F$49*(VLOOKUP(IF(Lighting!F$46=Report!$A$25,Report!$A$19,Lighting!F$46),Report!$A$18:$L$34,'Actual-CO2 Calculations'!$AK38,FALSE)),0)</f>
        <v>0</v>
      </c>
      <c r="H40" s="660">
        <f t="shared" si="0"/>
        <v>0</v>
      </c>
    </row>
    <row r="41" spans="1:8">
      <c r="A41" s="23" t="s">
        <v>57</v>
      </c>
      <c r="B41" s="738">
        <f>IF(AND($A41&gt;=Lighting!B$44,$A41&lt;=Lighting!B$45),B$4*Lighting!B$47*Lighting!B$48*Lighting!B$49*(VLOOKUP(IF(Lighting!B$46=Report!$A$25,Report!$A$19,Lighting!B$46),Report!$A$18:$L$34,'Actual-CO2 Calculations'!$AK39,FALSE)),0)</f>
        <v>0</v>
      </c>
      <c r="C41" s="738">
        <f>IF(AND($A41&gt;=Lighting!C$44,$A41&lt;=Lighting!C$45),C$4*Lighting!C$47*Lighting!C$48*Lighting!C$49*(VLOOKUP(IF(Lighting!C$46=Report!$A$25,Report!$A$19,Lighting!C$46),Report!$A$18:$L$34,'Actual-CO2 Calculations'!$AK39,FALSE)),0)</f>
        <v>0</v>
      </c>
      <c r="D41" s="738">
        <f>IF(AND($A41&gt;=Lighting!D$44,$A41&lt;=Lighting!D$45),D$4*Lighting!D$47*Lighting!D$48*Lighting!D$49*(VLOOKUP(IF(Lighting!D$46=Report!$A$25,Report!$A$19,Lighting!D$46),Report!$A$18:$L$34,'Actual-CO2 Calculations'!$AK39,FALSE)),0)</f>
        <v>0</v>
      </c>
      <c r="E41" s="738">
        <f>IF(AND($A41&gt;=Lighting!E$44,$A41&lt;=Lighting!E$45),E$4*Lighting!E$47*Lighting!E$48*Lighting!E$49*(VLOOKUP(IF(Lighting!E$46=Report!$A$25,Report!$A$19,Lighting!E$46),Report!$A$18:$L$34,'Actual-CO2 Calculations'!$AK39,FALSE)),0)</f>
        <v>0</v>
      </c>
      <c r="F41" s="738">
        <f>IF(AND($A41&gt;=Lighting!F$44,$A41&lt;=Lighting!F$45),F$4*Lighting!F$47*Lighting!F$48*Lighting!F$49*(VLOOKUP(IF(Lighting!F$46=Report!$A$25,Report!$A$19,Lighting!F$46),Report!$A$18:$L$34,'Actual-CO2 Calculations'!$AK39,FALSE)),0)</f>
        <v>0</v>
      </c>
      <c r="H41" s="660">
        <f t="shared" si="0"/>
        <v>0</v>
      </c>
    </row>
    <row r="42" spans="1:8">
      <c r="A42" s="23" t="s">
        <v>4</v>
      </c>
      <c r="B42" s="738">
        <f>IF(AND($A42&gt;=Lighting!B$44,$A42&lt;=Lighting!B$45),B$4*Lighting!B$47*Lighting!B$48*Lighting!B$49*(VLOOKUP(IF(Lighting!B$46=Report!$A$25,Report!$A$19,Lighting!B$46),Report!$A$18:$L$34,'Actual-CO2 Calculations'!$AK40,FALSE)),0)</f>
        <v>0</v>
      </c>
      <c r="C42" s="738">
        <f>IF(AND($A42&gt;=Lighting!C$44,$A42&lt;=Lighting!C$45),C$4*Lighting!C$47*Lighting!C$48*Lighting!C$49*(VLOOKUP(IF(Lighting!C$46=Report!$A$25,Report!$A$19,Lighting!C$46),Report!$A$18:$L$34,'Actual-CO2 Calculations'!$AK40,FALSE)),0)</f>
        <v>0</v>
      </c>
      <c r="D42" s="738">
        <f>IF(AND($A42&gt;=Lighting!D$44,$A42&lt;=Lighting!D$45),D$4*Lighting!D$47*Lighting!D$48*Lighting!D$49*(VLOOKUP(IF(Lighting!D$46=Report!$A$25,Report!$A$19,Lighting!D$46),Report!$A$18:$L$34,'Actual-CO2 Calculations'!$AK40,FALSE)),0)</f>
        <v>0</v>
      </c>
      <c r="E42" s="738">
        <f>IF(AND($A42&gt;=Lighting!E$44,$A42&lt;=Lighting!E$45),E$4*Lighting!E$47*Lighting!E$48*Lighting!E$49*(VLOOKUP(IF(Lighting!E$46=Report!$A$25,Report!$A$19,Lighting!E$46),Report!$A$18:$L$34,'Actual-CO2 Calculations'!$AK40,FALSE)),0)</f>
        <v>0</v>
      </c>
      <c r="F42" s="738">
        <f>IF(AND($A42&gt;=Lighting!F$44,$A42&lt;=Lighting!F$45),F$4*Lighting!F$47*Lighting!F$48*Lighting!F$49*(VLOOKUP(IF(Lighting!F$46=Report!$A$25,Report!$A$19,Lighting!F$46),Report!$A$18:$L$34,'Actual-CO2 Calculations'!$AK40,FALSE)),0)</f>
        <v>0</v>
      </c>
      <c r="H42" s="660">
        <f t="shared" si="0"/>
        <v>0</v>
      </c>
    </row>
    <row r="43" spans="1:8">
      <c r="A43" s="23" t="s">
        <v>5</v>
      </c>
      <c r="B43" s="738">
        <f>IF(AND($A43&gt;=Lighting!B$44,$A43&lt;=Lighting!B$45),B$4*Lighting!B$47*Lighting!B$48*Lighting!B$49*(VLOOKUP(IF(Lighting!B$46=Report!$A$25,Report!$A$19,Lighting!B$46),Report!$A$18:$L$34,'Actual-CO2 Calculations'!$AK41,FALSE)),0)</f>
        <v>0</v>
      </c>
      <c r="C43" s="738">
        <f>IF(AND($A43&gt;=Lighting!C$44,$A43&lt;=Lighting!C$45),C$4*Lighting!C$47*Lighting!C$48*Lighting!C$49*(VLOOKUP(IF(Lighting!C$46=Report!$A$25,Report!$A$19,Lighting!C$46),Report!$A$18:$L$34,'Actual-CO2 Calculations'!$AK41,FALSE)),0)</f>
        <v>0</v>
      </c>
      <c r="D43" s="738">
        <f>IF(AND($A43&gt;=Lighting!D$44,$A43&lt;=Lighting!D$45),D$4*Lighting!D$47*Lighting!D$48*Lighting!D$49*(VLOOKUP(IF(Lighting!D$46=Report!$A$25,Report!$A$19,Lighting!D$46),Report!$A$18:$L$34,'Actual-CO2 Calculations'!$AK41,FALSE)),0)</f>
        <v>0</v>
      </c>
      <c r="E43" s="738">
        <f>IF(AND($A43&gt;=Lighting!E$44,$A43&lt;=Lighting!E$45),E$4*Lighting!E$47*Lighting!E$48*Lighting!E$49*(VLOOKUP(IF(Lighting!E$46=Report!$A$25,Report!$A$19,Lighting!E$46),Report!$A$18:$L$34,'Actual-CO2 Calculations'!$AK41,FALSE)),0)</f>
        <v>0</v>
      </c>
      <c r="F43" s="738">
        <f>IF(AND($A43&gt;=Lighting!F$44,$A43&lt;=Lighting!F$45),F$4*Lighting!F$47*Lighting!F$48*Lighting!F$49*(VLOOKUP(IF(Lighting!F$46=Report!$A$25,Report!$A$19,Lighting!F$46),Report!$A$18:$L$34,'Actual-CO2 Calculations'!$AK41,FALSE)),0)</f>
        <v>0</v>
      </c>
      <c r="H43" s="660">
        <f t="shared" si="0"/>
        <v>0</v>
      </c>
    </row>
    <row r="44" spans="1:8">
      <c r="A44" s="23" t="s">
        <v>6</v>
      </c>
      <c r="B44" s="738">
        <f>IF(AND($A44&gt;=Lighting!B$44,$A44&lt;=Lighting!B$45),B$4*Lighting!B$47*Lighting!B$48*Lighting!B$49*(VLOOKUP(IF(Lighting!B$46=Report!$A$25,Report!$A$19,Lighting!B$46),Report!$A$18:$L$34,'Actual-CO2 Calculations'!$AK42,FALSE)),0)</f>
        <v>0</v>
      </c>
      <c r="C44" s="738">
        <f>IF(AND($A44&gt;=Lighting!C$44,$A44&lt;=Lighting!C$45),C$4*Lighting!C$47*Lighting!C$48*Lighting!C$49*(VLOOKUP(IF(Lighting!C$46=Report!$A$25,Report!$A$19,Lighting!C$46),Report!$A$18:$L$34,'Actual-CO2 Calculations'!$AK42,FALSE)),0)</f>
        <v>0</v>
      </c>
      <c r="D44" s="738">
        <f>IF(AND($A44&gt;=Lighting!D$44,$A44&lt;=Lighting!D$45),D$4*Lighting!D$47*Lighting!D$48*Lighting!D$49*(VLOOKUP(IF(Lighting!D$46=Report!$A$25,Report!$A$19,Lighting!D$46),Report!$A$18:$L$34,'Actual-CO2 Calculations'!$AK42,FALSE)),0)</f>
        <v>0</v>
      </c>
      <c r="E44" s="738">
        <f>IF(AND($A44&gt;=Lighting!E$44,$A44&lt;=Lighting!E$45),E$4*Lighting!E$47*Lighting!E$48*Lighting!E$49*(VLOOKUP(IF(Lighting!E$46=Report!$A$25,Report!$A$19,Lighting!E$46),Report!$A$18:$L$34,'Actual-CO2 Calculations'!$AK42,FALSE)),0)</f>
        <v>0</v>
      </c>
      <c r="F44" s="738">
        <f>IF(AND($A44&gt;=Lighting!F$44,$A44&lt;=Lighting!F$45),F$4*Lighting!F$47*Lighting!F$48*Lighting!F$49*(VLOOKUP(IF(Lighting!F$46=Report!$A$25,Report!$A$19,Lighting!F$46),Report!$A$18:$L$34,'Actual-CO2 Calculations'!$AK42,FALSE)),0)</f>
        <v>0</v>
      </c>
      <c r="H44" s="660">
        <f t="shared" si="0"/>
        <v>0</v>
      </c>
    </row>
    <row r="45" spans="1:8">
      <c r="A45" s="23" t="s">
        <v>7</v>
      </c>
      <c r="B45" s="738">
        <f>IF(AND($A45&gt;=Lighting!B$44,$A45&lt;=Lighting!B$45),B$4*Lighting!B$47*Lighting!B$48*Lighting!B$49*(VLOOKUP(IF(Lighting!B$46=Report!$A$25,Report!$A$19,Lighting!B$46),Report!$A$18:$L$34,'Actual-CO2 Calculations'!$AK43,FALSE)),0)</f>
        <v>0</v>
      </c>
      <c r="C45" s="738">
        <f>IF(AND($A45&gt;=Lighting!C$44,$A45&lt;=Lighting!C$45),C$4*Lighting!C$47*Lighting!C$48*Lighting!C$49*(VLOOKUP(IF(Lighting!C$46=Report!$A$25,Report!$A$19,Lighting!C$46),Report!$A$18:$L$34,'Actual-CO2 Calculations'!$AK43,FALSE)),0)</f>
        <v>0</v>
      </c>
      <c r="D45" s="738">
        <f>IF(AND($A45&gt;=Lighting!D$44,$A45&lt;=Lighting!D$45),D$4*Lighting!D$47*Lighting!D$48*Lighting!D$49*(VLOOKUP(IF(Lighting!D$46=Report!$A$25,Report!$A$19,Lighting!D$46),Report!$A$18:$L$34,'Actual-CO2 Calculations'!$AK43,FALSE)),0)</f>
        <v>0</v>
      </c>
      <c r="E45" s="738">
        <f>IF(AND($A45&gt;=Lighting!E$44,$A45&lt;=Lighting!E$45),E$4*Lighting!E$47*Lighting!E$48*Lighting!E$49*(VLOOKUP(IF(Lighting!E$46=Report!$A$25,Report!$A$19,Lighting!E$46),Report!$A$18:$L$34,'Actual-CO2 Calculations'!$AK43,FALSE)),0)</f>
        <v>0</v>
      </c>
      <c r="F45" s="738">
        <f>IF(AND($A45&gt;=Lighting!F$44,$A45&lt;=Lighting!F$45),F$4*Lighting!F$47*Lighting!F$48*Lighting!F$49*(VLOOKUP(IF(Lighting!F$46=Report!$A$25,Report!$A$19,Lighting!F$46),Report!$A$18:$L$34,'Actual-CO2 Calculations'!$AK43,FALSE)),0)</f>
        <v>0</v>
      </c>
      <c r="H45" s="660">
        <f t="shared" si="0"/>
        <v>0</v>
      </c>
    </row>
    <row r="46" spans="1:8">
      <c r="A46" s="23" t="s">
        <v>58</v>
      </c>
      <c r="B46" s="738">
        <f>IF(AND($A46&gt;=Lighting!B$44,$A46&lt;=Lighting!B$45),B$4*Lighting!B$47*Lighting!B$48*Lighting!B$49*(VLOOKUP(IF(Lighting!B$46=Report!$A$25,Report!$A$19,Lighting!B$46),Report!$A$18:$L$34,'Actual-CO2 Calculations'!$AK44,FALSE)),0)</f>
        <v>0</v>
      </c>
      <c r="C46" s="738">
        <f>IF(AND($A46&gt;=Lighting!C$44,$A46&lt;=Lighting!C$45),C$4*Lighting!C$47*Lighting!C$48*Lighting!C$49*(VLOOKUP(IF(Lighting!C$46=Report!$A$25,Report!$A$19,Lighting!C$46),Report!$A$18:$L$34,'Actual-CO2 Calculations'!$AK44,FALSE)),0)</f>
        <v>0</v>
      </c>
      <c r="D46" s="738">
        <f>IF(AND($A46&gt;=Lighting!D$44,$A46&lt;=Lighting!D$45),D$4*Lighting!D$47*Lighting!D$48*Lighting!D$49*(VLOOKUP(IF(Lighting!D$46=Report!$A$25,Report!$A$19,Lighting!D$46),Report!$A$18:$L$34,'Actual-CO2 Calculations'!$AK44,FALSE)),0)</f>
        <v>0</v>
      </c>
      <c r="E46" s="738">
        <f>IF(AND($A46&gt;=Lighting!E$44,$A46&lt;=Lighting!E$45),E$4*Lighting!E$47*Lighting!E$48*Lighting!E$49*(VLOOKUP(IF(Lighting!E$46=Report!$A$25,Report!$A$19,Lighting!E$46),Report!$A$18:$L$34,'Actual-CO2 Calculations'!$AK44,FALSE)),0)</f>
        <v>0</v>
      </c>
      <c r="F46" s="738">
        <f>IF(AND($A46&gt;=Lighting!F$44,$A46&lt;=Lighting!F$45),F$4*Lighting!F$47*Lighting!F$48*Lighting!F$49*(VLOOKUP(IF(Lighting!F$46=Report!$A$25,Report!$A$19,Lighting!F$46),Report!$A$18:$L$34,'Actual-CO2 Calculations'!$AK44,FALSE)),0)</f>
        <v>0</v>
      </c>
      <c r="H46" s="660">
        <f t="shared" si="0"/>
        <v>0</v>
      </c>
    </row>
    <row r="47" spans="1:8">
      <c r="A47" s="23" t="s">
        <v>59</v>
      </c>
      <c r="B47" s="738">
        <f>IF(AND($A47&gt;=Lighting!B$44,$A47&lt;=Lighting!B$45),B$4*Lighting!B$47*Lighting!B$48*Lighting!B$49*(VLOOKUP(IF(Lighting!B$46=Report!$A$25,Report!$A$19,Lighting!B$46),Report!$A$18:$L$34,'Actual-CO2 Calculations'!$AK45,FALSE)),0)</f>
        <v>0</v>
      </c>
      <c r="C47" s="738">
        <f>IF(AND($A47&gt;=Lighting!C$44,$A47&lt;=Lighting!C$45),C$4*Lighting!C$47*Lighting!C$48*Lighting!C$49*(VLOOKUP(IF(Lighting!C$46=Report!$A$25,Report!$A$19,Lighting!C$46),Report!$A$18:$L$34,'Actual-CO2 Calculations'!$AK45,FALSE)),0)</f>
        <v>0</v>
      </c>
      <c r="D47" s="738">
        <f>IF(AND($A47&gt;=Lighting!D$44,$A47&lt;=Lighting!D$45),D$4*Lighting!D$47*Lighting!D$48*Lighting!D$49*(VLOOKUP(IF(Lighting!D$46=Report!$A$25,Report!$A$19,Lighting!D$46),Report!$A$18:$L$34,'Actual-CO2 Calculations'!$AK45,FALSE)),0)</f>
        <v>0</v>
      </c>
      <c r="E47" s="738">
        <f>IF(AND($A47&gt;=Lighting!E$44,$A47&lt;=Lighting!E$45),E$4*Lighting!E$47*Lighting!E$48*Lighting!E$49*(VLOOKUP(IF(Lighting!E$46=Report!$A$25,Report!$A$19,Lighting!E$46),Report!$A$18:$L$34,'Actual-CO2 Calculations'!$AK45,FALSE)),0)</f>
        <v>0</v>
      </c>
      <c r="F47" s="738">
        <f>IF(AND($A47&gt;=Lighting!F$44,$A47&lt;=Lighting!F$45),F$4*Lighting!F$47*Lighting!F$48*Lighting!F$49*(VLOOKUP(IF(Lighting!F$46=Report!$A$25,Report!$A$19,Lighting!F$46),Report!$A$18:$L$34,'Actual-CO2 Calculations'!$AK45,FALSE)),0)</f>
        <v>0</v>
      </c>
      <c r="H47" s="660">
        <f t="shared" si="0"/>
        <v>0</v>
      </c>
    </row>
    <row r="48" spans="1:8">
      <c r="A48" s="23" t="s">
        <v>60</v>
      </c>
      <c r="B48" s="738">
        <f>IF(AND($A48&gt;=Lighting!B$44,$A48&lt;=Lighting!B$45),B$4*Lighting!B$47*Lighting!B$48*Lighting!B$49*(VLOOKUP(IF(Lighting!B$46=Report!$A$25,Report!$A$19,Lighting!B$46),Report!$A$18:$L$34,'Actual-CO2 Calculations'!$AK46,FALSE)),0)</f>
        <v>0</v>
      </c>
      <c r="C48" s="738">
        <f>IF(AND($A48&gt;=Lighting!C$44,$A48&lt;=Lighting!C$45),C$4*Lighting!C$47*Lighting!C$48*Lighting!C$49*(VLOOKUP(IF(Lighting!C$46=Report!$A$25,Report!$A$19,Lighting!C$46),Report!$A$18:$L$34,'Actual-CO2 Calculations'!$AK46,FALSE)),0)</f>
        <v>0</v>
      </c>
      <c r="D48" s="738">
        <f>IF(AND($A48&gt;=Lighting!D$44,$A48&lt;=Lighting!D$45),D$4*Lighting!D$47*Lighting!D$48*Lighting!D$49*(VLOOKUP(IF(Lighting!D$46=Report!$A$25,Report!$A$19,Lighting!D$46),Report!$A$18:$L$34,'Actual-CO2 Calculations'!$AK46,FALSE)),0)</f>
        <v>0</v>
      </c>
      <c r="E48" s="738">
        <f>IF(AND($A48&gt;=Lighting!E$44,$A48&lt;=Lighting!E$45),E$4*Lighting!E$47*Lighting!E$48*Lighting!E$49*(VLOOKUP(IF(Lighting!E$46=Report!$A$25,Report!$A$19,Lighting!E$46),Report!$A$18:$L$34,'Actual-CO2 Calculations'!$AK46,FALSE)),0)</f>
        <v>0</v>
      </c>
      <c r="F48" s="738">
        <f>IF(AND($A48&gt;=Lighting!F$44,$A48&lt;=Lighting!F$45),F$4*Lighting!F$47*Lighting!F$48*Lighting!F$49*(VLOOKUP(IF(Lighting!F$46=Report!$A$25,Report!$A$19,Lighting!F$46),Report!$A$18:$L$34,'Actual-CO2 Calculations'!$AK46,FALSE)),0)</f>
        <v>0</v>
      </c>
      <c r="H48" s="660">
        <f t="shared" si="0"/>
        <v>0</v>
      </c>
    </row>
    <row r="49" spans="1:8">
      <c r="A49" s="23" t="s">
        <v>61</v>
      </c>
      <c r="B49" s="738">
        <f>IF(AND($A49&gt;=Lighting!B$44,$A49&lt;=Lighting!B$45),B$4*Lighting!B$47*Lighting!B$48*Lighting!B$49*(VLOOKUP(IF(Lighting!B$46=Report!$A$25,Report!$A$19,Lighting!B$46),Report!$A$18:$L$34,'Actual-CO2 Calculations'!$AK47,FALSE)),0)</f>
        <v>0</v>
      </c>
      <c r="C49" s="738">
        <f>IF(AND($A49&gt;=Lighting!C$44,$A49&lt;=Lighting!C$45),C$4*Lighting!C$47*Lighting!C$48*Lighting!C$49*(VLOOKUP(IF(Lighting!C$46=Report!$A$25,Report!$A$19,Lighting!C$46),Report!$A$18:$L$34,'Actual-CO2 Calculations'!$AK47,FALSE)),0)</f>
        <v>0</v>
      </c>
      <c r="D49" s="738">
        <f>IF(AND($A49&gt;=Lighting!D$44,$A49&lt;=Lighting!D$45),D$4*Lighting!D$47*Lighting!D$48*Lighting!D$49*(VLOOKUP(IF(Lighting!D$46=Report!$A$25,Report!$A$19,Lighting!D$46),Report!$A$18:$L$34,'Actual-CO2 Calculations'!$AK47,FALSE)),0)</f>
        <v>0</v>
      </c>
      <c r="E49" s="738">
        <f>IF(AND($A49&gt;=Lighting!E$44,$A49&lt;=Lighting!E$45),E$4*Lighting!E$47*Lighting!E$48*Lighting!E$49*(VLOOKUP(IF(Lighting!E$46=Report!$A$25,Report!$A$19,Lighting!E$46),Report!$A$18:$L$34,'Actual-CO2 Calculations'!$AK47,FALSE)),0)</f>
        <v>0</v>
      </c>
      <c r="F49" s="738">
        <f>IF(AND($A49&gt;=Lighting!F$44,$A49&lt;=Lighting!F$45),F$4*Lighting!F$47*Lighting!F$48*Lighting!F$49*(VLOOKUP(IF(Lighting!F$46=Report!$A$25,Report!$A$19,Lighting!F$46),Report!$A$18:$L$34,'Actual-CO2 Calculations'!$AK47,FALSE)),0)</f>
        <v>0</v>
      </c>
      <c r="H49" s="660">
        <f t="shared" si="0"/>
        <v>0</v>
      </c>
    </row>
    <row r="50" spans="1:8">
      <c r="A50" s="23" t="s">
        <v>62</v>
      </c>
      <c r="B50" s="738">
        <f>IF(AND($A50&gt;=Lighting!B$44,$A50&lt;=Lighting!B$45),B$4*Lighting!B$47*Lighting!B$48*Lighting!B$49*(VLOOKUP(IF(Lighting!B$46=Report!$A$25,Report!$A$19,Lighting!B$46),Report!$A$18:$L$34,'Actual-CO2 Calculations'!$AK48,FALSE)),0)</f>
        <v>0</v>
      </c>
      <c r="C50" s="738">
        <f>IF(AND($A50&gt;=Lighting!C$44,$A50&lt;=Lighting!C$45),C$4*Lighting!C$47*Lighting!C$48*Lighting!C$49*(VLOOKUP(IF(Lighting!C$46=Report!$A$25,Report!$A$19,Lighting!C$46),Report!$A$18:$L$34,'Actual-CO2 Calculations'!$AK48,FALSE)),0)</f>
        <v>0</v>
      </c>
      <c r="D50" s="738">
        <f>IF(AND($A50&gt;=Lighting!D$44,$A50&lt;=Lighting!D$45),D$4*Lighting!D$47*Lighting!D$48*Lighting!D$49*(VLOOKUP(IF(Lighting!D$46=Report!$A$25,Report!$A$19,Lighting!D$46),Report!$A$18:$L$34,'Actual-CO2 Calculations'!$AK48,FALSE)),0)</f>
        <v>0</v>
      </c>
      <c r="E50" s="738">
        <f>IF(AND($A50&gt;=Lighting!E$44,$A50&lt;=Lighting!E$45),E$4*Lighting!E$47*Lighting!E$48*Lighting!E$49*(VLOOKUP(IF(Lighting!E$46=Report!$A$25,Report!$A$19,Lighting!E$46),Report!$A$18:$L$34,'Actual-CO2 Calculations'!$AK48,FALSE)),0)</f>
        <v>0</v>
      </c>
      <c r="F50" s="738">
        <f>IF(AND($A50&gt;=Lighting!F$44,$A50&lt;=Lighting!F$45),F$4*Lighting!F$47*Lighting!F$48*Lighting!F$49*(VLOOKUP(IF(Lighting!F$46=Report!$A$25,Report!$A$19,Lighting!F$46),Report!$A$18:$L$34,'Actual-CO2 Calculations'!$AK48,FALSE)),0)</f>
        <v>0</v>
      </c>
      <c r="H50" s="660">
        <f t="shared" si="0"/>
        <v>0</v>
      </c>
    </row>
    <row r="51" spans="1:8">
      <c r="A51" s="23" t="s">
        <v>63</v>
      </c>
      <c r="B51" s="738">
        <f>IF(AND($A51&gt;=Lighting!B$44,$A51&lt;=Lighting!B$45),B$4*Lighting!B$47*Lighting!B$48*Lighting!B$49*(VLOOKUP(IF(Lighting!B$46=Report!$A$25,Report!$A$19,Lighting!B$46),Report!$A$18:$L$34,'Actual-CO2 Calculations'!$AK49,FALSE)),0)</f>
        <v>0</v>
      </c>
      <c r="C51" s="738">
        <f>IF(AND($A51&gt;=Lighting!C$44,$A51&lt;=Lighting!C$45),C$4*Lighting!C$47*Lighting!C$48*Lighting!C$49*(VLOOKUP(IF(Lighting!C$46=Report!$A$25,Report!$A$19,Lighting!C$46),Report!$A$18:$L$34,'Actual-CO2 Calculations'!$AK49,FALSE)),0)</f>
        <v>0</v>
      </c>
      <c r="D51" s="738">
        <f>IF(AND($A51&gt;=Lighting!D$44,$A51&lt;=Lighting!D$45),D$4*Lighting!D$47*Lighting!D$48*Lighting!D$49*(VLOOKUP(IF(Lighting!D$46=Report!$A$25,Report!$A$19,Lighting!D$46),Report!$A$18:$L$34,'Actual-CO2 Calculations'!$AK49,FALSE)),0)</f>
        <v>0</v>
      </c>
      <c r="E51" s="738">
        <f>IF(AND($A51&gt;=Lighting!E$44,$A51&lt;=Lighting!E$45),E$4*Lighting!E$47*Lighting!E$48*Lighting!E$49*(VLOOKUP(IF(Lighting!E$46=Report!$A$25,Report!$A$19,Lighting!E$46),Report!$A$18:$L$34,'Actual-CO2 Calculations'!$AK49,FALSE)),0)</f>
        <v>0</v>
      </c>
      <c r="F51" s="738">
        <f>IF(AND($A51&gt;=Lighting!F$44,$A51&lt;=Lighting!F$45),F$4*Lighting!F$47*Lighting!F$48*Lighting!F$49*(VLOOKUP(IF(Lighting!F$46=Report!$A$25,Report!$A$19,Lighting!F$46),Report!$A$18:$L$34,'Actual-CO2 Calculations'!$AK49,FALSE)),0)</f>
        <v>0</v>
      </c>
      <c r="H51" s="660">
        <f t="shared" si="0"/>
        <v>0</v>
      </c>
    </row>
    <row r="52" spans="1:8">
      <c r="A52" s="23" t="s">
        <v>64</v>
      </c>
      <c r="B52" s="738">
        <f>IF(AND($A52&gt;=Lighting!B$44,$A52&lt;=Lighting!B$45),B$4*Lighting!B$47*Lighting!B$48*Lighting!B$49*(VLOOKUP(IF(Lighting!B$46=Report!$A$25,Report!$A$19,Lighting!B$46),Report!$A$18:$L$34,'Actual-CO2 Calculations'!$AK50,FALSE)),0)</f>
        <v>0</v>
      </c>
      <c r="C52" s="738">
        <f>IF(AND($A52&gt;=Lighting!C$44,$A52&lt;=Lighting!C$45),C$4*Lighting!C$47*Lighting!C$48*Lighting!C$49*(VLOOKUP(IF(Lighting!C$46=Report!$A$25,Report!$A$19,Lighting!C$46),Report!$A$18:$L$34,'Actual-CO2 Calculations'!$AK50,FALSE)),0)</f>
        <v>0</v>
      </c>
      <c r="D52" s="738">
        <f>IF(AND($A52&gt;=Lighting!D$44,$A52&lt;=Lighting!D$45),D$4*Lighting!D$47*Lighting!D$48*Lighting!D$49*(VLOOKUP(IF(Lighting!D$46=Report!$A$25,Report!$A$19,Lighting!D$46),Report!$A$18:$L$34,'Actual-CO2 Calculations'!$AK50,FALSE)),0)</f>
        <v>0</v>
      </c>
      <c r="E52" s="738">
        <f>IF(AND($A52&gt;=Lighting!E$44,$A52&lt;=Lighting!E$45),E$4*Lighting!E$47*Lighting!E$48*Lighting!E$49*(VLOOKUP(IF(Lighting!E$46=Report!$A$25,Report!$A$19,Lighting!E$46),Report!$A$18:$L$34,'Actual-CO2 Calculations'!$AK50,FALSE)),0)</f>
        <v>0</v>
      </c>
      <c r="F52" s="738">
        <f>IF(AND($A52&gt;=Lighting!F$44,$A52&lt;=Lighting!F$45),F$4*Lighting!F$47*Lighting!F$48*Lighting!F$49*(VLOOKUP(IF(Lighting!F$46=Report!$A$25,Report!$A$19,Lighting!F$46),Report!$A$18:$L$34,'Actual-CO2 Calculations'!$AK50,FALSE)),0)</f>
        <v>0</v>
      </c>
      <c r="H52" s="660">
        <f t="shared" si="0"/>
        <v>0</v>
      </c>
    </row>
    <row r="53" spans="1:8">
      <c r="A53" s="23" t="s">
        <v>65</v>
      </c>
      <c r="B53" s="738">
        <f>IF(AND($A53&gt;=Lighting!B$44,$A53&lt;=Lighting!B$45),B$4*Lighting!B$47*Lighting!B$48*Lighting!B$49*(VLOOKUP(IF(Lighting!B$46=Report!$A$25,Report!$A$19,Lighting!B$46),Report!$A$18:$L$34,'Actual-CO2 Calculations'!$AK51,FALSE)),0)</f>
        <v>0</v>
      </c>
      <c r="C53" s="738">
        <f>IF(AND($A53&gt;=Lighting!C$44,$A53&lt;=Lighting!C$45),C$4*Lighting!C$47*Lighting!C$48*Lighting!C$49*(VLOOKUP(IF(Lighting!C$46=Report!$A$25,Report!$A$19,Lighting!C$46),Report!$A$18:$L$34,'Actual-CO2 Calculations'!$AK51,FALSE)),0)</f>
        <v>0</v>
      </c>
      <c r="D53" s="738">
        <f>IF(AND($A53&gt;=Lighting!D$44,$A53&lt;=Lighting!D$45),D$4*Lighting!D$47*Lighting!D$48*Lighting!D$49*(VLOOKUP(IF(Lighting!D$46=Report!$A$25,Report!$A$19,Lighting!D$46),Report!$A$18:$L$34,'Actual-CO2 Calculations'!$AK51,FALSE)),0)</f>
        <v>0</v>
      </c>
      <c r="E53" s="738">
        <f>IF(AND($A53&gt;=Lighting!E$44,$A53&lt;=Lighting!E$45),E$4*Lighting!E$47*Lighting!E$48*Lighting!E$49*(VLOOKUP(IF(Lighting!E$46=Report!$A$25,Report!$A$19,Lighting!E$46),Report!$A$18:$L$34,'Actual-CO2 Calculations'!$AK51,FALSE)),0)</f>
        <v>0</v>
      </c>
      <c r="F53" s="738">
        <f>IF(AND($A53&gt;=Lighting!F$44,$A53&lt;=Lighting!F$45),F$4*Lighting!F$47*Lighting!F$48*Lighting!F$49*(VLOOKUP(IF(Lighting!F$46=Report!$A$25,Report!$A$19,Lighting!F$46),Report!$A$18:$L$34,'Actual-CO2 Calculations'!$AK51,FALSE)),0)</f>
        <v>0</v>
      </c>
      <c r="H53" s="660">
        <f t="shared" si="0"/>
        <v>0</v>
      </c>
    </row>
    <row r="54" spans="1:8">
      <c r="A54" s="23" t="s">
        <v>66</v>
      </c>
      <c r="B54" s="738">
        <f>IF(AND($A54&gt;=Lighting!B$44,$A54&lt;=Lighting!B$45),B$4*Lighting!B$47*Lighting!B$48*Lighting!B$49*(VLOOKUP(IF(Lighting!B$46=Report!$A$25,Report!$A$19,Lighting!B$46),Report!$A$18:$L$34,'Actual-CO2 Calculations'!$AK52,FALSE)),0)</f>
        <v>0</v>
      </c>
      <c r="C54" s="738">
        <f>IF(AND($A54&gt;=Lighting!C$44,$A54&lt;=Lighting!C$45),C$4*Lighting!C$47*Lighting!C$48*Lighting!C$49*(VLOOKUP(IF(Lighting!C$46=Report!$A$25,Report!$A$19,Lighting!C$46),Report!$A$18:$L$34,'Actual-CO2 Calculations'!$AK52,FALSE)),0)</f>
        <v>0</v>
      </c>
      <c r="D54" s="738">
        <f>IF(AND($A54&gt;=Lighting!D$44,$A54&lt;=Lighting!D$45),D$4*Lighting!D$47*Lighting!D$48*Lighting!D$49*(VLOOKUP(IF(Lighting!D$46=Report!$A$25,Report!$A$19,Lighting!D$46),Report!$A$18:$L$34,'Actual-CO2 Calculations'!$AK52,FALSE)),0)</f>
        <v>0</v>
      </c>
      <c r="E54" s="738">
        <f>IF(AND($A54&gt;=Lighting!E$44,$A54&lt;=Lighting!E$45),E$4*Lighting!E$47*Lighting!E$48*Lighting!E$49*(VLOOKUP(IF(Lighting!E$46=Report!$A$25,Report!$A$19,Lighting!E$46),Report!$A$18:$L$34,'Actual-CO2 Calculations'!$AK52,FALSE)),0)</f>
        <v>0</v>
      </c>
      <c r="F54" s="738">
        <f>IF(AND($A54&gt;=Lighting!F$44,$A54&lt;=Lighting!F$45),F$4*Lighting!F$47*Lighting!F$48*Lighting!F$49*(VLOOKUP(IF(Lighting!F$46=Report!$A$25,Report!$A$19,Lighting!F$46),Report!$A$18:$L$34,'Actual-CO2 Calculations'!$AK52,FALSE)),0)</f>
        <v>0</v>
      </c>
      <c r="H54" s="660">
        <f t="shared" si="0"/>
        <v>0</v>
      </c>
    </row>
    <row r="55" spans="1:8">
      <c r="A55" s="23" t="s">
        <v>8</v>
      </c>
      <c r="B55" s="738">
        <f>IF(AND($A55&gt;=Lighting!B$44,$A55&lt;=Lighting!B$45),B$4*Lighting!B$47*Lighting!B$48*Lighting!B$49*(VLOOKUP(IF(Lighting!B$46=Report!$A$25,Report!$A$19,Lighting!B$46),Report!$A$18:$L$34,'Actual-CO2 Calculations'!$AK53,FALSE)),0)</f>
        <v>0</v>
      </c>
      <c r="C55" s="738">
        <f>IF(AND($A55&gt;=Lighting!C$44,$A55&lt;=Lighting!C$45),C$4*Lighting!C$47*Lighting!C$48*Lighting!C$49*(VLOOKUP(IF(Lighting!C$46=Report!$A$25,Report!$A$19,Lighting!C$46),Report!$A$18:$L$34,'Actual-CO2 Calculations'!$AK53,FALSE)),0)</f>
        <v>0</v>
      </c>
      <c r="D55" s="738">
        <f>IF(AND($A55&gt;=Lighting!D$44,$A55&lt;=Lighting!D$45),D$4*Lighting!D$47*Lighting!D$48*Lighting!D$49*(VLOOKUP(IF(Lighting!D$46=Report!$A$25,Report!$A$19,Lighting!D$46),Report!$A$18:$L$34,'Actual-CO2 Calculations'!$AK53,FALSE)),0)</f>
        <v>0</v>
      </c>
      <c r="E55" s="738">
        <f>IF(AND($A55&gt;=Lighting!E$44,$A55&lt;=Lighting!E$45),E$4*Lighting!E$47*Lighting!E$48*Lighting!E$49*(VLOOKUP(IF(Lighting!E$46=Report!$A$25,Report!$A$19,Lighting!E$46),Report!$A$18:$L$34,'Actual-CO2 Calculations'!$AK53,FALSE)),0)</f>
        <v>0</v>
      </c>
      <c r="F55" s="738">
        <f>IF(AND($A55&gt;=Lighting!F$44,$A55&lt;=Lighting!F$45),F$4*Lighting!F$47*Lighting!F$48*Lighting!F$49*(VLOOKUP(IF(Lighting!F$46=Report!$A$25,Report!$A$19,Lighting!F$46),Report!$A$18:$L$34,'Actual-CO2 Calculations'!$AK53,FALSE)),0)</f>
        <v>0</v>
      </c>
      <c r="H55" s="660">
        <f t="shared" si="0"/>
        <v>0</v>
      </c>
    </row>
    <row r="56" spans="1:8">
      <c r="A56" s="23" t="s">
        <v>9</v>
      </c>
      <c r="B56" s="738">
        <f>IF(AND($A56&gt;=Lighting!B$44,$A56&lt;=Lighting!B$45),B$4*Lighting!B$47*Lighting!B$48*Lighting!B$49*(VLOOKUP(IF(Lighting!B$46=Report!$A$25,Report!$A$19,Lighting!B$46),Report!$A$18:$L$34,'Actual-CO2 Calculations'!$AK54,FALSE)),0)</f>
        <v>0</v>
      </c>
      <c r="C56" s="738">
        <f>IF(AND($A56&gt;=Lighting!C$44,$A56&lt;=Lighting!C$45),C$4*Lighting!C$47*Lighting!C$48*Lighting!C$49*(VLOOKUP(IF(Lighting!C$46=Report!$A$25,Report!$A$19,Lighting!C$46),Report!$A$18:$L$34,'Actual-CO2 Calculations'!$AK54,FALSE)),0)</f>
        <v>0</v>
      </c>
      <c r="D56" s="738">
        <f>IF(AND($A56&gt;=Lighting!D$44,$A56&lt;=Lighting!D$45),D$4*Lighting!D$47*Lighting!D$48*Lighting!D$49*(VLOOKUP(IF(Lighting!D$46=Report!$A$25,Report!$A$19,Lighting!D$46),Report!$A$18:$L$34,'Actual-CO2 Calculations'!$AK54,FALSE)),0)</f>
        <v>0</v>
      </c>
      <c r="E56" s="738">
        <f>IF(AND($A56&gt;=Lighting!E$44,$A56&lt;=Lighting!E$45),E$4*Lighting!E$47*Lighting!E$48*Lighting!E$49*(VLOOKUP(IF(Lighting!E$46=Report!$A$25,Report!$A$19,Lighting!E$46),Report!$A$18:$L$34,'Actual-CO2 Calculations'!$AK54,FALSE)),0)</f>
        <v>0</v>
      </c>
      <c r="F56" s="738">
        <f>IF(AND($A56&gt;=Lighting!F$44,$A56&lt;=Lighting!F$45),F$4*Lighting!F$47*Lighting!F$48*Lighting!F$49*(VLOOKUP(IF(Lighting!F$46=Report!$A$25,Report!$A$19,Lighting!F$46),Report!$A$18:$L$34,'Actual-CO2 Calculations'!$AK54,FALSE)),0)</f>
        <v>0</v>
      </c>
      <c r="H56" s="660">
        <f t="shared" si="0"/>
        <v>0</v>
      </c>
    </row>
    <row r="57" spans="1:8">
      <c r="A57" s="23" t="s">
        <v>10</v>
      </c>
      <c r="B57" s="738">
        <f>IF(AND($A57&gt;=Lighting!B$44,$A57&lt;=Lighting!B$45),B$4*Lighting!B$47*Lighting!B$48*Lighting!B$49*(VLOOKUP(IF(Lighting!B$46=Report!$A$25,Report!$A$19,Lighting!B$46),Report!$A$18:$L$34,'Actual-CO2 Calculations'!$AK55,FALSE)),0)</f>
        <v>0</v>
      </c>
      <c r="C57" s="738">
        <f>IF(AND($A57&gt;=Lighting!C$44,$A57&lt;=Lighting!C$45),C$4*Lighting!C$47*Lighting!C$48*Lighting!C$49*(VLOOKUP(IF(Lighting!C$46=Report!$A$25,Report!$A$19,Lighting!C$46),Report!$A$18:$L$34,'Actual-CO2 Calculations'!$AK55,FALSE)),0)</f>
        <v>0</v>
      </c>
      <c r="D57" s="738">
        <f>IF(AND($A57&gt;=Lighting!D$44,$A57&lt;=Lighting!D$45),D$4*Lighting!D$47*Lighting!D$48*Lighting!D$49*(VLOOKUP(IF(Lighting!D$46=Report!$A$25,Report!$A$19,Lighting!D$46),Report!$A$18:$L$34,'Actual-CO2 Calculations'!$AK55,FALSE)),0)</f>
        <v>0</v>
      </c>
      <c r="E57" s="738">
        <f>IF(AND($A57&gt;=Lighting!E$44,$A57&lt;=Lighting!E$45),E$4*Lighting!E$47*Lighting!E$48*Lighting!E$49*(VLOOKUP(IF(Lighting!E$46=Report!$A$25,Report!$A$19,Lighting!E$46),Report!$A$18:$L$34,'Actual-CO2 Calculations'!$AK55,FALSE)),0)</f>
        <v>0</v>
      </c>
      <c r="F57" s="738">
        <f>IF(AND($A57&gt;=Lighting!F$44,$A57&lt;=Lighting!F$45),F$4*Lighting!F$47*Lighting!F$48*Lighting!F$49*(VLOOKUP(IF(Lighting!F$46=Report!$A$25,Report!$A$19,Lighting!F$46),Report!$A$18:$L$34,'Actual-CO2 Calculations'!$AK55,FALSE)),0)</f>
        <v>0</v>
      </c>
      <c r="H57" s="660">
        <f t="shared" si="0"/>
        <v>0</v>
      </c>
    </row>
    <row r="58" spans="1:8">
      <c r="A58" s="23" t="s">
        <v>11</v>
      </c>
      <c r="B58" s="738">
        <f>IF(AND($A58&gt;=Lighting!B$44,$A58&lt;=Lighting!B$45),B$4*Lighting!B$47*Lighting!B$48*Lighting!B$49*(VLOOKUP(IF(Lighting!B$46=Report!$A$25,Report!$A$19,Lighting!B$46),Report!$A$18:$L$34,'Actual-CO2 Calculations'!$AK56,FALSE)),0)</f>
        <v>0</v>
      </c>
      <c r="C58" s="738">
        <f>IF(AND($A58&gt;=Lighting!C$44,$A58&lt;=Lighting!C$45),C$4*Lighting!C$47*Lighting!C$48*Lighting!C$49*(VLOOKUP(IF(Lighting!C$46=Report!$A$25,Report!$A$19,Lighting!C$46),Report!$A$18:$L$34,'Actual-CO2 Calculations'!$AK56,FALSE)),0)</f>
        <v>0</v>
      </c>
      <c r="D58" s="738">
        <f>IF(AND($A58&gt;=Lighting!D$44,$A58&lt;=Lighting!D$45),D$4*Lighting!D$47*Lighting!D$48*Lighting!D$49*(VLOOKUP(IF(Lighting!D$46=Report!$A$25,Report!$A$19,Lighting!D$46),Report!$A$18:$L$34,'Actual-CO2 Calculations'!$AK56,FALSE)),0)</f>
        <v>0</v>
      </c>
      <c r="E58" s="738">
        <f>IF(AND($A58&gt;=Lighting!E$44,$A58&lt;=Lighting!E$45),E$4*Lighting!E$47*Lighting!E$48*Lighting!E$49*(VLOOKUP(IF(Lighting!E$46=Report!$A$25,Report!$A$19,Lighting!E$46),Report!$A$18:$L$34,'Actual-CO2 Calculations'!$AK56,FALSE)),0)</f>
        <v>0</v>
      </c>
      <c r="F58" s="738">
        <f>IF(AND($A58&gt;=Lighting!F$44,$A58&lt;=Lighting!F$45),F$4*Lighting!F$47*Lighting!F$48*Lighting!F$49*(VLOOKUP(IF(Lighting!F$46=Report!$A$25,Report!$A$19,Lighting!F$46),Report!$A$18:$L$34,'Actual-CO2 Calculations'!$AK56,FALSE)),0)</f>
        <v>0</v>
      </c>
      <c r="H58" s="660">
        <f t="shared" si="0"/>
        <v>0</v>
      </c>
    </row>
    <row r="59" spans="1:8">
      <c r="A59" s="23" t="s">
        <v>67</v>
      </c>
      <c r="B59" s="738">
        <f>IF(AND($A59&gt;=Lighting!B$44,$A59&lt;=Lighting!B$45),B$4*Lighting!B$47*Lighting!B$48*Lighting!B$49*(VLOOKUP(IF(Lighting!B$46=Report!$A$25,Report!$A$19,Lighting!B$46),Report!$A$18:$L$34,'Actual-CO2 Calculations'!$AK57,FALSE)),0)</f>
        <v>0</v>
      </c>
      <c r="C59" s="738">
        <f>IF(AND($A59&gt;=Lighting!C$44,$A59&lt;=Lighting!C$45),C$4*Lighting!C$47*Lighting!C$48*Lighting!C$49*(VLOOKUP(IF(Lighting!C$46=Report!$A$25,Report!$A$19,Lighting!C$46),Report!$A$18:$L$34,'Actual-CO2 Calculations'!$AK57,FALSE)),0)</f>
        <v>0</v>
      </c>
      <c r="D59" s="738">
        <f>IF(AND($A59&gt;=Lighting!D$44,$A59&lt;=Lighting!D$45),D$4*Lighting!D$47*Lighting!D$48*Lighting!D$49*(VLOOKUP(IF(Lighting!D$46=Report!$A$25,Report!$A$19,Lighting!D$46),Report!$A$18:$L$34,'Actual-CO2 Calculations'!$AK57,FALSE)),0)</f>
        <v>0</v>
      </c>
      <c r="E59" s="738">
        <f>IF(AND($A59&gt;=Lighting!E$44,$A59&lt;=Lighting!E$45),E$4*Lighting!E$47*Lighting!E$48*Lighting!E$49*(VLOOKUP(IF(Lighting!E$46=Report!$A$25,Report!$A$19,Lighting!E$46),Report!$A$18:$L$34,'Actual-CO2 Calculations'!$AK57,FALSE)),0)</f>
        <v>0</v>
      </c>
      <c r="F59" s="738">
        <f>IF(AND($A59&gt;=Lighting!F$44,$A59&lt;=Lighting!F$45),F$4*Lighting!F$47*Lighting!F$48*Lighting!F$49*(VLOOKUP(IF(Lighting!F$46=Report!$A$25,Report!$A$19,Lighting!F$46),Report!$A$18:$L$34,'Actual-CO2 Calculations'!$AK57,FALSE)),0)</f>
        <v>0</v>
      </c>
      <c r="H59" s="660">
        <f t="shared" si="0"/>
        <v>0</v>
      </c>
    </row>
    <row r="60" spans="1:8">
      <c r="A60" s="23" t="s">
        <v>68</v>
      </c>
      <c r="B60" s="738">
        <f>IF(AND($A60&gt;=Lighting!B$44,$A60&lt;=Lighting!B$45),B$4*Lighting!B$47*Lighting!B$48*Lighting!B$49*(VLOOKUP(IF(Lighting!B$46=Report!$A$25,Report!$A$19,Lighting!B$46),Report!$A$18:$L$34,'Actual-CO2 Calculations'!$AK58,FALSE)),0)</f>
        <v>0</v>
      </c>
      <c r="C60" s="738">
        <f>IF(AND($A60&gt;=Lighting!C$44,$A60&lt;=Lighting!C$45),C$4*Lighting!C$47*Lighting!C$48*Lighting!C$49*(VLOOKUP(IF(Lighting!C$46=Report!$A$25,Report!$A$19,Lighting!C$46),Report!$A$18:$L$34,'Actual-CO2 Calculations'!$AK58,FALSE)),0)</f>
        <v>0</v>
      </c>
      <c r="D60" s="738">
        <f>IF(AND($A60&gt;=Lighting!D$44,$A60&lt;=Lighting!D$45),D$4*Lighting!D$47*Lighting!D$48*Lighting!D$49*(VLOOKUP(IF(Lighting!D$46=Report!$A$25,Report!$A$19,Lighting!D$46),Report!$A$18:$L$34,'Actual-CO2 Calculations'!$AK58,FALSE)),0)</f>
        <v>0</v>
      </c>
      <c r="E60" s="738">
        <f>IF(AND($A60&gt;=Lighting!E$44,$A60&lt;=Lighting!E$45),E$4*Lighting!E$47*Lighting!E$48*Lighting!E$49*(VLOOKUP(IF(Lighting!E$46=Report!$A$25,Report!$A$19,Lighting!E$46),Report!$A$18:$L$34,'Actual-CO2 Calculations'!$AK58,FALSE)),0)</f>
        <v>0</v>
      </c>
      <c r="F60" s="738">
        <f>IF(AND($A60&gt;=Lighting!F$44,$A60&lt;=Lighting!F$45),F$4*Lighting!F$47*Lighting!F$48*Lighting!F$49*(VLOOKUP(IF(Lighting!F$46=Report!$A$25,Report!$A$19,Lighting!F$46),Report!$A$18:$L$34,'Actual-CO2 Calculations'!$AK58,FALSE)),0)</f>
        <v>0</v>
      </c>
      <c r="H60" s="660">
        <f t="shared" si="0"/>
        <v>0</v>
      </c>
    </row>
    <row r="61" spans="1:8">
      <c r="A61" s="23" t="s">
        <v>69</v>
      </c>
      <c r="B61" s="738">
        <f>IF(AND($A61&gt;=Lighting!B$44,$A61&lt;=Lighting!B$45),B$4*Lighting!B$47*Lighting!B$48*Lighting!B$49*(VLOOKUP(IF(Lighting!B$46=Report!$A$25,Report!$A$19,Lighting!B$46),Report!$A$18:$L$34,'Actual-CO2 Calculations'!$AK59,FALSE)),0)</f>
        <v>0</v>
      </c>
      <c r="C61" s="738">
        <f>IF(AND($A61&gt;=Lighting!C$44,$A61&lt;=Lighting!C$45),C$4*Lighting!C$47*Lighting!C$48*Lighting!C$49*(VLOOKUP(IF(Lighting!C$46=Report!$A$25,Report!$A$19,Lighting!C$46),Report!$A$18:$L$34,'Actual-CO2 Calculations'!$AK59,FALSE)),0)</f>
        <v>0</v>
      </c>
      <c r="D61" s="738">
        <f>IF(AND($A61&gt;=Lighting!D$44,$A61&lt;=Lighting!D$45),D$4*Lighting!D$47*Lighting!D$48*Lighting!D$49*(VLOOKUP(IF(Lighting!D$46=Report!$A$25,Report!$A$19,Lighting!D$46),Report!$A$18:$L$34,'Actual-CO2 Calculations'!$AK59,FALSE)),0)</f>
        <v>0</v>
      </c>
      <c r="E61" s="738">
        <f>IF(AND($A61&gt;=Lighting!E$44,$A61&lt;=Lighting!E$45),E$4*Lighting!E$47*Lighting!E$48*Lighting!E$49*(VLOOKUP(IF(Lighting!E$46=Report!$A$25,Report!$A$19,Lighting!E$46),Report!$A$18:$L$34,'Actual-CO2 Calculations'!$AK59,FALSE)),0)</f>
        <v>0</v>
      </c>
      <c r="F61" s="738">
        <f>IF(AND($A61&gt;=Lighting!F$44,$A61&lt;=Lighting!F$45),F$4*Lighting!F$47*Lighting!F$48*Lighting!F$49*(VLOOKUP(IF(Lighting!F$46=Report!$A$25,Report!$A$19,Lighting!F$46),Report!$A$18:$L$34,'Actual-CO2 Calculations'!$AK59,FALSE)),0)</f>
        <v>0</v>
      </c>
      <c r="H61" s="660">
        <f t="shared" si="0"/>
        <v>0</v>
      </c>
    </row>
    <row r="62" spans="1:8">
      <c r="A62" s="23" t="s">
        <v>70</v>
      </c>
      <c r="B62" s="738">
        <f>IF(AND($A62&gt;=Lighting!B$44,$A62&lt;=Lighting!B$45),B$4*Lighting!B$47*Lighting!B$48*Lighting!B$49*(VLOOKUP(IF(Lighting!B$46=Report!$A$25,Report!$A$19,Lighting!B$46),Report!$A$18:$L$34,'Actual-CO2 Calculations'!$AK60,FALSE)),0)</f>
        <v>0</v>
      </c>
      <c r="C62" s="738">
        <f>IF(AND($A62&gt;=Lighting!C$44,$A62&lt;=Lighting!C$45),C$4*Lighting!C$47*Lighting!C$48*Lighting!C$49*(VLOOKUP(IF(Lighting!C$46=Report!$A$25,Report!$A$19,Lighting!C$46),Report!$A$18:$L$34,'Actual-CO2 Calculations'!$AK60,FALSE)),0)</f>
        <v>0</v>
      </c>
      <c r="D62" s="738">
        <f>IF(AND($A62&gt;=Lighting!D$44,$A62&lt;=Lighting!D$45),D$4*Lighting!D$47*Lighting!D$48*Lighting!D$49*(VLOOKUP(IF(Lighting!D$46=Report!$A$25,Report!$A$19,Lighting!D$46),Report!$A$18:$L$34,'Actual-CO2 Calculations'!$AK60,FALSE)),0)</f>
        <v>0</v>
      </c>
      <c r="E62" s="738">
        <f>IF(AND($A62&gt;=Lighting!E$44,$A62&lt;=Lighting!E$45),E$4*Lighting!E$47*Lighting!E$48*Lighting!E$49*(VLOOKUP(IF(Lighting!E$46=Report!$A$25,Report!$A$19,Lighting!E$46),Report!$A$18:$L$34,'Actual-CO2 Calculations'!$AK60,FALSE)),0)</f>
        <v>0</v>
      </c>
      <c r="F62" s="738">
        <f>IF(AND($A62&gt;=Lighting!F$44,$A62&lt;=Lighting!F$45),F$4*Lighting!F$47*Lighting!F$48*Lighting!F$49*(VLOOKUP(IF(Lighting!F$46=Report!$A$25,Report!$A$19,Lighting!F$46),Report!$A$18:$L$34,'Actual-CO2 Calculations'!$AK60,FALSE)),0)</f>
        <v>0</v>
      </c>
      <c r="H62" s="660">
        <f t="shared" si="0"/>
        <v>0</v>
      </c>
    </row>
    <row r="63" spans="1:8">
      <c r="A63" s="23" t="s">
        <v>71</v>
      </c>
      <c r="B63" s="738">
        <f>IF(AND($A63&gt;=Lighting!B$44,$A63&lt;=Lighting!B$45),B$4*Lighting!B$47*Lighting!B$48*Lighting!B$49*(VLOOKUP(IF(Lighting!B$46=Report!$A$25,Report!$A$19,Lighting!B$46),Report!$A$18:$L$34,'Actual-CO2 Calculations'!$AK61,FALSE)),0)</f>
        <v>0</v>
      </c>
      <c r="C63" s="738">
        <f>IF(AND($A63&gt;=Lighting!C$44,$A63&lt;=Lighting!C$45),C$4*Lighting!C$47*Lighting!C$48*Lighting!C$49*(VLOOKUP(IF(Lighting!C$46=Report!$A$25,Report!$A$19,Lighting!C$46),Report!$A$18:$L$34,'Actual-CO2 Calculations'!$AK61,FALSE)),0)</f>
        <v>0</v>
      </c>
      <c r="D63" s="738">
        <f>IF(AND($A63&gt;=Lighting!D$44,$A63&lt;=Lighting!D$45),D$4*Lighting!D$47*Lighting!D$48*Lighting!D$49*(VLOOKUP(IF(Lighting!D$46=Report!$A$25,Report!$A$19,Lighting!D$46),Report!$A$18:$L$34,'Actual-CO2 Calculations'!$AK61,FALSE)),0)</f>
        <v>0</v>
      </c>
      <c r="E63" s="738">
        <f>IF(AND($A63&gt;=Lighting!E$44,$A63&lt;=Lighting!E$45),E$4*Lighting!E$47*Lighting!E$48*Lighting!E$49*(VLOOKUP(IF(Lighting!E$46=Report!$A$25,Report!$A$19,Lighting!E$46),Report!$A$18:$L$34,'Actual-CO2 Calculations'!$AK61,FALSE)),0)</f>
        <v>0</v>
      </c>
      <c r="F63" s="738">
        <f>IF(AND($A63&gt;=Lighting!F$44,$A63&lt;=Lighting!F$45),F$4*Lighting!F$47*Lighting!F$48*Lighting!F$49*(VLOOKUP(IF(Lighting!F$46=Report!$A$25,Report!$A$19,Lighting!F$46),Report!$A$18:$L$34,'Actual-CO2 Calculations'!$AK61,FALSE)),0)</f>
        <v>0</v>
      </c>
      <c r="H63" s="660">
        <f t="shared" si="0"/>
        <v>0</v>
      </c>
    </row>
    <row r="64" spans="1:8">
      <c r="A64" s="23" t="s">
        <v>72</v>
      </c>
      <c r="B64" s="738">
        <f>IF(AND($A64&gt;=Lighting!B$44,$A64&lt;=Lighting!B$45),B$4*Lighting!B$47*Lighting!B$48*Lighting!B$49*(VLOOKUP(IF(Lighting!B$46=Report!$A$25,Report!$A$19,Lighting!B$46),Report!$A$18:$L$34,'Actual-CO2 Calculations'!$AK62,FALSE)),0)</f>
        <v>0</v>
      </c>
      <c r="C64" s="738">
        <f>IF(AND($A64&gt;=Lighting!C$44,$A64&lt;=Lighting!C$45),C$4*Lighting!C$47*Lighting!C$48*Lighting!C$49*(VLOOKUP(IF(Lighting!C$46=Report!$A$25,Report!$A$19,Lighting!C$46),Report!$A$18:$L$34,'Actual-CO2 Calculations'!$AK62,FALSE)),0)</f>
        <v>0</v>
      </c>
      <c r="D64" s="738">
        <f>IF(AND($A64&gt;=Lighting!D$44,$A64&lt;=Lighting!D$45),D$4*Lighting!D$47*Lighting!D$48*Lighting!D$49*(VLOOKUP(IF(Lighting!D$46=Report!$A$25,Report!$A$19,Lighting!D$46),Report!$A$18:$L$34,'Actual-CO2 Calculations'!$AK62,FALSE)),0)</f>
        <v>0</v>
      </c>
      <c r="E64" s="738">
        <f>IF(AND($A64&gt;=Lighting!E$44,$A64&lt;=Lighting!E$45),E$4*Lighting!E$47*Lighting!E$48*Lighting!E$49*(VLOOKUP(IF(Lighting!E$46=Report!$A$25,Report!$A$19,Lighting!E$46),Report!$A$18:$L$34,'Actual-CO2 Calculations'!$AK62,FALSE)),0)</f>
        <v>0</v>
      </c>
      <c r="F64" s="738">
        <f>IF(AND($A64&gt;=Lighting!F$44,$A64&lt;=Lighting!F$45),F$4*Lighting!F$47*Lighting!F$48*Lighting!F$49*(VLOOKUP(IF(Lighting!F$46=Report!$A$25,Report!$A$19,Lighting!F$46),Report!$A$18:$L$34,'Actual-CO2 Calculations'!$AK62,FALSE)),0)</f>
        <v>0</v>
      </c>
      <c r="H64" s="660">
        <f t="shared" si="0"/>
        <v>0</v>
      </c>
    </row>
    <row r="65" spans="1:8">
      <c r="A65" s="23" t="s">
        <v>73</v>
      </c>
      <c r="B65" s="738">
        <f>IF(AND($A65&gt;=Lighting!B$44,$A65&lt;=Lighting!B$45),B$4*Lighting!B$47*Lighting!B$48*Lighting!B$49*(VLOOKUP(IF(Lighting!B$46=Report!$A$25,Report!$A$19,Lighting!B$46),Report!$A$18:$L$34,'Actual-CO2 Calculations'!$AK63,FALSE)),0)</f>
        <v>0</v>
      </c>
      <c r="C65" s="738">
        <f>IF(AND($A65&gt;=Lighting!C$44,$A65&lt;=Lighting!C$45),C$4*Lighting!C$47*Lighting!C$48*Lighting!C$49*(VLOOKUP(IF(Lighting!C$46=Report!$A$25,Report!$A$19,Lighting!C$46),Report!$A$18:$L$34,'Actual-CO2 Calculations'!$AK63,FALSE)),0)</f>
        <v>0</v>
      </c>
      <c r="D65" s="738">
        <f>IF(AND($A65&gt;=Lighting!D$44,$A65&lt;=Lighting!D$45),D$4*Lighting!D$47*Lighting!D$48*Lighting!D$49*(VLOOKUP(IF(Lighting!D$46=Report!$A$25,Report!$A$19,Lighting!D$46),Report!$A$18:$L$34,'Actual-CO2 Calculations'!$AK63,FALSE)),0)</f>
        <v>0</v>
      </c>
      <c r="E65" s="738">
        <f>IF(AND($A65&gt;=Lighting!E$44,$A65&lt;=Lighting!E$45),E$4*Lighting!E$47*Lighting!E$48*Lighting!E$49*(VLOOKUP(IF(Lighting!E$46=Report!$A$25,Report!$A$19,Lighting!E$46),Report!$A$18:$L$34,'Actual-CO2 Calculations'!$AK63,FALSE)),0)</f>
        <v>0</v>
      </c>
      <c r="F65" s="738">
        <f>IF(AND($A65&gt;=Lighting!F$44,$A65&lt;=Lighting!F$45),F$4*Lighting!F$47*Lighting!F$48*Lighting!F$49*(VLOOKUP(IF(Lighting!F$46=Report!$A$25,Report!$A$19,Lighting!F$46),Report!$A$18:$L$34,'Actual-CO2 Calculations'!$AK63,FALSE)),0)</f>
        <v>0</v>
      </c>
      <c r="H65" s="660">
        <f t="shared" si="0"/>
        <v>0</v>
      </c>
    </row>
    <row r="66" spans="1:8">
      <c r="A66" s="23" t="s">
        <v>74</v>
      </c>
      <c r="B66" s="738">
        <f>IF(AND($A66&gt;=Lighting!B$44,$A66&lt;=Lighting!B$45),B$4*Lighting!B$47*Lighting!B$48*Lighting!B$49*(VLOOKUP(IF(Lighting!B$46=Report!$A$25,Report!$A$19,Lighting!B$46),Report!$A$18:$L$34,'Actual-CO2 Calculations'!$AK64,FALSE)),0)</f>
        <v>6037.5679999999993</v>
      </c>
      <c r="C66" s="738">
        <f>IF(AND($A66&gt;=Lighting!C$44,$A66&lt;=Lighting!C$45),C$4*Lighting!C$47*Lighting!C$48*Lighting!C$49*(VLOOKUP(IF(Lighting!C$46=Report!$A$25,Report!$A$19,Lighting!C$46),Report!$A$18:$L$34,'Actual-CO2 Calculations'!$AK64,FALSE)),0)</f>
        <v>0</v>
      </c>
      <c r="D66" s="738">
        <f>IF(AND($A66&gt;=Lighting!D$44,$A66&lt;=Lighting!D$45),D$4*Lighting!D$47*Lighting!D$48*Lighting!D$49*(VLOOKUP(IF(Lighting!D$46=Report!$A$25,Report!$A$19,Lighting!D$46),Report!$A$18:$L$34,'Actual-CO2 Calculations'!$AK64,FALSE)),0)</f>
        <v>0</v>
      </c>
      <c r="E66" s="738">
        <f>IF(AND($A66&gt;=Lighting!E$44,$A66&lt;=Lighting!E$45),E$4*Lighting!E$47*Lighting!E$48*Lighting!E$49*(VLOOKUP(IF(Lighting!E$46=Report!$A$25,Report!$A$19,Lighting!E$46),Report!$A$18:$L$34,'Actual-CO2 Calculations'!$AK64,FALSE)),0)</f>
        <v>0</v>
      </c>
      <c r="F66" s="738">
        <f>IF(AND($A66&gt;=Lighting!F$44,$A66&lt;=Lighting!F$45),F$4*Lighting!F$47*Lighting!F$48*Lighting!F$49*(VLOOKUP(IF(Lighting!F$46=Report!$A$25,Report!$A$19,Lighting!F$46),Report!$A$18:$L$34,'Actual-CO2 Calculations'!$AK64,FALSE)),0)</f>
        <v>0</v>
      </c>
      <c r="H66" s="660">
        <f t="shared" si="0"/>
        <v>6037.5679999999993</v>
      </c>
    </row>
    <row r="67" spans="1:8">
      <c r="A67" s="23" t="s">
        <v>75</v>
      </c>
      <c r="B67" s="738">
        <f>IF(AND($A67&gt;=Lighting!B$44,$A67&lt;=Lighting!B$45),B$4*Lighting!B$47*Lighting!B$48*Lighting!B$49*(VLOOKUP(IF(Lighting!B$46=Report!$A$25,Report!$A$19,Lighting!B$46),Report!$A$18:$L$34,'Actual-CO2 Calculations'!$AK65,FALSE)),0)</f>
        <v>6037.5679999999993</v>
      </c>
      <c r="C67" s="738">
        <f>IF(AND($A67&gt;=Lighting!C$44,$A67&lt;=Lighting!C$45),C$4*Lighting!C$47*Lighting!C$48*Lighting!C$49*(VLOOKUP(IF(Lighting!C$46=Report!$A$25,Report!$A$19,Lighting!C$46),Report!$A$18:$L$34,'Actual-CO2 Calculations'!$AK65,FALSE)),0)</f>
        <v>0</v>
      </c>
      <c r="D67" s="738">
        <f>IF(AND($A67&gt;=Lighting!D$44,$A67&lt;=Lighting!D$45),D$4*Lighting!D$47*Lighting!D$48*Lighting!D$49*(VLOOKUP(IF(Lighting!D$46=Report!$A$25,Report!$A$19,Lighting!D$46),Report!$A$18:$L$34,'Actual-CO2 Calculations'!$AK65,FALSE)),0)</f>
        <v>0</v>
      </c>
      <c r="E67" s="738">
        <f>IF(AND($A67&gt;=Lighting!E$44,$A67&lt;=Lighting!E$45),E$4*Lighting!E$47*Lighting!E$48*Lighting!E$49*(VLOOKUP(IF(Lighting!E$46=Report!$A$25,Report!$A$19,Lighting!E$46),Report!$A$18:$L$34,'Actual-CO2 Calculations'!$AK65,FALSE)),0)</f>
        <v>0</v>
      </c>
      <c r="F67" s="738">
        <f>IF(AND($A67&gt;=Lighting!F$44,$A67&lt;=Lighting!F$45),F$4*Lighting!F$47*Lighting!F$48*Lighting!F$49*(VLOOKUP(IF(Lighting!F$46=Report!$A$25,Report!$A$19,Lighting!F$46),Report!$A$18:$L$34,'Actual-CO2 Calculations'!$AK65,FALSE)),0)</f>
        <v>0</v>
      </c>
      <c r="H67" s="660">
        <f t="shared" si="0"/>
        <v>6037.5679999999993</v>
      </c>
    </row>
    <row r="68" spans="1:8">
      <c r="A68" s="23" t="s">
        <v>12</v>
      </c>
      <c r="B68" s="738">
        <f>IF(AND($A68&gt;=Lighting!B$44,$A68&lt;=Lighting!B$45),B$4*Lighting!B$47*Lighting!B$48*Lighting!B$49*(VLOOKUP(IF(Lighting!B$46=Report!$A$25,Report!$A$19,Lighting!B$46),Report!$A$18:$L$34,'Actual-CO2 Calculations'!$AK66,FALSE)),0)</f>
        <v>6037.5679999999993</v>
      </c>
      <c r="C68" s="738">
        <f>IF(AND($A68&gt;=Lighting!C$44,$A68&lt;=Lighting!C$45),C$4*Lighting!C$47*Lighting!C$48*Lighting!C$49*(VLOOKUP(IF(Lighting!C$46=Report!$A$25,Report!$A$19,Lighting!C$46),Report!$A$18:$L$34,'Actual-CO2 Calculations'!$AK66,FALSE)),0)</f>
        <v>0</v>
      </c>
      <c r="D68" s="738">
        <f>IF(AND($A68&gt;=Lighting!D$44,$A68&lt;=Lighting!D$45),D$4*Lighting!D$47*Lighting!D$48*Lighting!D$49*(VLOOKUP(IF(Lighting!D$46=Report!$A$25,Report!$A$19,Lighting!D$46),Report!$A$18:$L$34,'Actual-CO2 Calculations'!$AK66,FALSE)),0)</f>
        <v>0</v>
      </c>
      <c r="E68" s="738">
        <f>IF(AND($A68&gt;=Lighting!E$44,$A68&lt;=Lighting!E$45),E$4*Lighting!E$47*Lighting!E$48*Lighting!E$49*(VLOOKUP(IF(Lighting!E$46=Report!$A$25,Report!$A$19,Lighting!E$46),Report!$A$18:$L$34,'Actual-CO2 Calculations'!$AK66,FALSE)),0)</f>
        <v>0</v>
      </c>
      <c r="F68" s="738">
        <f>IF(AND($A68&gt;=Lighting!F$44,$A68&lt;=Lighting!F$45),F$4*Lighting!F$47*Lighting!F$48*Lighting!F$49*(VLOOKUP(IF(Lighting!F$46=Report!$A$25,Report!$A$19,Lighting!F$46),Report!$A$18:$L$34,'Actual-CO2 Calculations'!$AK66,FALSE)),0)</f>
        <v>0</v>
      </c>
      <c r="H68" s="660">
        <f t="shared" si="0"/>
        <v>6037.5679999999993</v>
      </c>
    </row>
    <row r="69" spans="1:8">
      <c r="A69" s="23" t="s">
        <v>13</v>
      </c>
      <c r="B69" s="738">
        <f>IF(AND($A69&gt;=Lighting!B$44,$A69&lt;=Lighting!B$45),B$4*Lighting!B$47*Lighting!B$48*Lighting!B$49*(VLOOKUP(IF(Lighting!B$46=Report!$A$25,Report!$A$19,Lighting!B$46),Report!$A$18:$L$34,'Actual-CO2 Calculations'!$AK67,FALSE)),0)</f>
        <v>6037.5679999999993</v>
      </c>
      <c r="C69" s="738">
        <f>IF(AND($A69&gt;=Lighting!C$44,$A69&lt;=Lighting!C$45),C$4*Lighting!C$47*Lighting!C$48*Lighting!C$49*(VLOOKUP(IF(Lighting!C$46=Report!$A$25,Report!$A$19,Lighting!C$46),Report!$A$18:$L$34,'Actual-CO2 Calculations'!$AK67,FALSE)),0)</f>
        <v>0</v>
      </c>
      <c r="D69" s="738">
        <f>IF(AND($A69&gt;=Lighting!D$44,$A69&lt;=Lighting!D$45),D$4*Lighting!D$47*Lighting!D$48*Lighting!D$49*(VLOOKUP(IF(Lighting!D$46=Report!$A$25,Report!$A$19,Lighting!D$46),Report!$A$18:$L$34,'Actual-CO2 Calculations'!$AK67,FALSE)),0)</f>
        <v>0</v>
      </c>
      <c r="E69" s="738">
        <f>IF(AND($A69&gt;=Lighting!E$44,$A69&lt;=Lighting!E$45),E$4*Lighting!E$47*Lighting!E$48*Lighting!E$49*(VLOOKUP(IF(Lighting!E$46=Report!$A$25,Report!$A$19,Lighting!E$46),Report!$A$18:$L$34,'Actual-CO2 Calculations'!$AK67,FALSE)),0)</f>
        <v>0</v>
      </c>
      <c r="F69" s="738">
        <f>IF(AND($A69&gt;=Lighting!F$44,$A69&lt;=Lighting!F$45),F$4*Lighting!F$47*Lighting!F$48*Lighting!F$49*(VLOOKUP(IF(Lighting!F$46=Report!$A$25,Report!$A$19,Lighting!F$46),Report!$A$18:$L$34,'Actual-CO2 Calculations'!$AK67,FALSE)),0)</f>
        <v>0</v>
      </c>
      <c r="H69" s="660">
        <f t="shared" si="0"/>
        <v>6037.5679999999993</v>
      </c>
    </row>
    <row r="70" spans="1:8">
      <c r="A70" s="23" t="s">
        <v>14</v>
      </c>
      <c r="B70" s="738">
        <f>IF(AND($A70&gt;=Lighting!B$44,$A70&lt;=Lighting!B$45),B$4*Lighting!B$47*Lighting!B$48*Lighting!B$49*(VLOOKUP(IF(Lighting!B$46=Report!$A$25,Report!$A$19,Lighting!B$46),Report!$A$18:$L$34,'Actual-CO2 Calculations'!$AK68,FALSE)),0)</f>
        <v>6037.5679999999993</v>
      </c>
      <c r="C70" s="738">
        <f>IF(AND($A70&gt;=Lighting!C$44,$A70&lt;=Lighting!C$45),C$4*Lighting!C$47*Lighting!C$48*Lighting!C$49*(VLOOKUP(IF(Lighting!C$46=Report!$A$25,Report!$A$19,Lighting!C$46),Report!$A$18:$L$34,'Actual-CO2 Calculations'!$AK68,FALSE)),0)</f>
        <v>0</v>
      </c>
      <c r="D70" s="738">
        <f>IF(AND($A70&gt;=Lighting!D$44,$A70&lt;=Lighting!D$45),D$4*Lighting!D$47*Lighting!D$48*Lighting!D$49*(VLOOKUP(IF(Lighting!D$46=Report!$A$25,Report!$A$19,Lighting!D$46),Report!$A$18:$L$34,'Actual-CO2 Calculations'!$AK68,FALSE)),0)</f>
        <v>0</v>
      </c>
      <c r="E70" s="738">
        <f>IF(AND($A70&gt;=Lighting!E$44,$A70&lt;=Lighting!E$45),E$4*Lighting!E$47*Lighting!E$48*Lighting!E$49*(VLOOKUP(IF(Lighting!E$46=Report!$A$25,Report!$A$19,Lighting!E$46),Report!$A$18:$L$34,'Actual-CO2 Calculations'!$AK68,FALSE)),0)</f>
        <v>0</v>
      </c>
      <c r="F70" s="738">
        <f>IF(AND($A70&gt;=Lighting!F$44,$A70&lt;=Lighting!F$45),F$4*Lighting!F$47*Lighting!F$48*Lighting!F$49*(VLOOKUP(IF(Lighting!F$46=Report!$A$25,Report!$A$19,Lighting!F$46),Report!$A$18:$L$34,'Actual-CO2 Calculations'!$AK68,FALSE)),0)</f>
        <v>0</v>
      </c>
      <c r="H70" s="660">
        <f t="shared" si="0"/>
        <v>6037.5679999999993</v>
      </c>
    </row>
    <row r="71" spans="1:8">
      <c r="A71" s="23" t="s">
        <v>15</v>
      </c>
      <c r="B71" s="738">
        <f>IF(AND($A71&gt;=Lighting!B$44,$A71&lt;=Lighting!B$45),B$4*Lighting!B$47*Lighting!B$48*Lighting!B$49*(VLOOKUP(IF(Lighting!B$46=Report!$A$25,Report!$A$19,Lighting!B$46),Report!$A$18:$L$34,'Actual-CO2 Calculations'!$AK69,FALSE)),0)</f>
        <v>6037.5679999999993</v>
      </c>
      <c r="C71" s="738">
        <f>IF(AND($A71&gt;=Lighting!C$44,$A71&lt;=Lighting!C$45),C$4*Lighting!C$47*Lighting!C$48*Lighting!C$49*(VLOOKUP(IF(Lighting!C$46=Report!$A$25,Report!$A$19,Lighting!C$46),Report!$A$18:$L$34,'Actual-CO2 Calculations'!$AK69,FALSE)),0)</f>
        <v>0</v>
      </c>
      <c r="D71" s="738">
        <f>IF(AND($A71&gt;=Lighting!D$44,$A71&lt;=Lighting!D$45),D$4*Lighting!D$47*Lighting!D$48*Lighting!D$49*(VLOOKUP(IF(Lighting!D$46=Report!$A$25,Report!$A$19,Lighting!D$46),Report!$A$18:$L$34,'Actual-CO2 Calculations'!$AK69,FALSE)),0)</f>
        <v>0</v>
      </c>
      <c r="E71" s="738">
        <f>IF(AND($A71&gt;=Lighting!E$44,$A71&lt;=Lighting!E$45),E$4*Lighting!E$47*Lighting!E$48*Lighting!E$49*(VLOOKUP(IF(Lighting!E$46=Report!$A$25,Report!$A$19,Lighting!E$46),Report!$A$18:$L$34,'Actual-CO2 Calculations'!$AK69,FALSE)),0)</f>
        <v>0</v>
      </c>
      <c r="F71" s="738">
        <f>IF(AND($A71&gt;=Lighting!F$44,$A71&lt;=Lighting!F$45),F$4*Lighting!F$47*Lighting!F$48*Lighting!F$49*(VLOOKUP(IF(Lighting!F$46=Report!$A$25,Report!$A$19,Lighting!F$46),Report!$A$18:$L$34,'Actual-CO2 Calculations'!$AK69,FALSE)),0)</f>
        <v>0</v>
      </c>
      <c r="H71" s="660">
        <f t="shared" ref="H71:H126" si="1">SUM(B71:F71)</f>
        <v>6037.5679999999993</v>
      </c>
    </row>
    <row r="72" spans="1:8">
      <c r="A72" s="23" t="s">
        <v>76</v>
      </c>
      <c r="B72" s="738">
        <f>IF(AND($A72&gt;=Lighting!B$44,$A72&lt;=Lighting!B$45),B$4*Lighting!B$47*Lighting!B$48*Lighting!B$49*(VLOOKUP(IF(Lighting!B$46=Report!$A$25,Report!$A$19,Lighting!B$46),Report!$A$18:$L$34,'Actual-CO2 Calculations'!$AK70,FALSE)),0)</f>
        <v>6037.5679999999993</v>
      </c>
      <c r="C72" s="738">
        <f>IF(AND($A72&gt;=Lighting!C$44,$A72&lt;=Lighting!C$45),C$4*Lighting!C$47*Lighting!C$48*Lighting!C$49*(VLOOKUP(IF(Lighting!C$46=Report!$A$25,Report!$A$19,Lighting!C$46),Report!$A$18:$L$34,'Actual-CO2 Calculations'!$AK70,FALSE)),0)</f>
        <v>0</v>
      </c>
      <c r="D72" s="738">
        <f>IF(AND($A72&gt;=Lighting!D$44,$A72&lt;=Lighting!D$45),D$4*Lighting!D$47*Lighting!D$48*Lighting!D$49*(VLOOKUP(IF(Lighting!D$46=Report!$A$25,Report!$A$19,Lighting!D$46),Report!$A$18:$L$34,'Actual-CO2 Calculations'!$AK70,FALSE)),0)</f>
        <v>0</v>
      </c>
      <c r="E72" s="738">
        <f>IF(AND($A72&gt;=Lighting!E$44,$A72&lt;=Lighting!E$45),E$4*Lighting!E$47*Lighting!E$48*Lighting!E$49*(VLOOKUP(IF(Lighting!E$46=Report!$A$25,Report!$A$19,Lighting!E$46),Report!$A$18:$L$34,'Actual-CO2 Calculations'!$AK70,FALSE)),0)</f>
        <v>0</v>
      </c>
      <c r="F72" s="738">
        <f>IF(AND($A72&gt;=Lighting!F$44,$A72&lt;=Lighting!F$45),F$4*Lighting!F$47*Lighting!F$48*Lighting!F$49*(VLOOKUP(IF(Lighting!F$46=Report!$A$25,Report!$A$19,Lighting!F$46),Report!$A$18:$L$34,'Actual-CO2 Calculations'!$AK70,FALSE)),0)</f>
        <v>0</v>
      </c>
      <c r="H72" s="660">
        <f t="shared" si="1"/>
        <v>6037.5679999999993</v>
      </c>
    </row>
    <row r="73" spans="1:8">
      <c r="A73" s="23" t="s">
        <v>77</v>
      </c>
      <c r="B73" s="738">
        <f>IF(AND($A73&gt;=Lighting!B$44,$A73&lt;=Lighting!B$45),B$4*Lighting!B$47*Lighting!B$48*Lighting!B$49*(VLOOKUP(IF(Lighting!B$46=Report!$A$25,Report!$A$19,Lighting!B$46),Report!$A$18:$L$34,'Actual-CO2 Calculations'!$AK71,FALSE)),0)</f>
        <v>6037.5679999999993</v>
      </c>
      <c r="C73" s="738">
        <f>IF(AND($A73&gt;=Lighting!C$44,$A73&lt;=Lighting!C$45),C$4*Lighting!C$47*Lighting!C$48*Lighting!C$49*(VLOOKUP(IF(Lighting!C$46=Report!$A$25,Report!$A$19,Lighting!C$46),Report!$A$18:$L$34,'Actual-CO2 Calculations'!$AK71,FALSE)),0)</f>
        <v>0</v>
      </c>
      <c r="D73" s="738">
        <f>IF(AND($A73&gt;=Lighting!D$44,$A73&lt;=Lighting!D$45),D$4*Lighting!D$47*Lighting!D$48*Lighting!D$49*(VLOOKUP(IF(Lighting!D$46=Report!$A$25,Report!$A$19,Lighting!D$46),Report!$A$18:$L$34,'Actual-CO2 Calculations'!$AK71,FALSE)),0)</f>
        <v>0</v>
      </c>
      <c r="E73" s="738">
        <f>IF(AND($A73&gt;=Lighting!E$44,$A73&lt;=Lighting!E$45),E$4*Lighting!E$47*Lighting!E$48*Lighting!E$49*(VLOOKUP(IF(Lighting!E$46=Report!$A$25,Report!$A$19,Lighting!E$46),Report!$A$18:$L$34,'Actual-CO2 Calculations'!$AK71,FALSE)),0)</f>
        <v>0</v>
      </c>
      <c r="F73" s="738">
        <f>IF(AND($A73&gt;=Lighting!F$44,$A73&lt;=Lighting!F$45),F$4*Lighting!F$47*Lighting!F$48*Lighting!F$49*(VLOOKUP(IF(Lighting!F$46=Report!$A$25,Report!$A$19,Lighting!F$46),Report!$A$18:$L$34,'Actual-CO2 Calculations'!$AK71,FALSE)),0)</f>
        <v>0</v>
      </c>
      <c r="H73" s="660">
        <f t="shared" si="1"/>
        <v>6037.5679999999993</v>
      </c>
    </row>
    <row r="74" spans="1:8">
      <c r="A74" s="23" t="s">
        <v>78</v>
      </c>
      <c r="B74" s="738">
        <f>IF(AND($A74&gt;=Lighting!B$44,$A74&lt;=Lighting!B$45),B$4*Lighting!B$47*Lighting!B$48*Lighting!B$49*(VLOOKUP(IF(Lighting!B$46=Report!$A$25,Report!$A$19,Lighting!B$46),Report!$A$18:$L$34,'Actual-CO2 Calculations'!$AK72,FALSE)),0)</f>
        <v>5994.6479999999992</v>
      </c>
      <c r="C74" s="738">
        <f>IF(AND($A74&gt;=Lighting!C$44,$A74&lt;=Lighting!C$45),C$4*Lighting!C$47*Lighting!C$48*Lighting!C$49*(VLOOKUP(IF(Lighting!C$46=Report!$A$25,Report!$A$19,Lighting!C$46),Report!$A$18:$L$34,'Actual-CO2 Calculations'!$AK72,FALSE)),0)</f>
        <v>0</v>
      </c>
      <c r="D74" s="738">
        <f>IF(AND($A74&gt;=Lighting!D$44,$A74&lt;=Lighting!D$45),D$4*Lighting!D$47*Lighting!D$48*Lighting!D$49*(VLOOKUP(IF(Lighting!D$46=Report!$A$25,Report!$A$19,Lighting!D$46),Report!$A$18:$L$34,'Actual-CO2 Calculations'!$AK72,FALSE)),0)</f>
        <v>0</v>
      </c>
      <c r="E74" s="738">
        <f>IF(AND($A74&gt;=Lighting!E$44,$A74&lt;=Lighting!E$45),E$4*Lighting!E$47*Lighting!E$48*Lighting!E$49*(VLOOKUP(IF(Lighting!E$46=Report!$A$25,Report!$A$19,Lighting!E$46),Report!$A$18:$L$34,'Actual-CO2 Calculations'!$AK72,FALSE)),0)</f>
        <v>0</v>
      </c>
      <c r="F74" s="738">
        <f>IF(AND($A74&gt;=Lighting!F$44,$A74&lt;=Lighting!F$45),F$4*Lighting!F$47*Lighting!F$48*Lighting!F$49*(VLOOKUP(IF(Lighting!F$46=Report!$A$25,Report!$A$19,Lighting!F$46),Report!$A$18:$L$34,'Actual-CO2 Calculations'!$AK72,FALSE)),0)</f>
        <v>0</v>
      </c>
      <c r="H74" s="660">
        <f t="shared" si="1"/>
        <v>5994.6479999999992</v>
      </c>
    </row>
    <row r="75" spans="1:8">
      <c r="A75" s="23" t="s">
        <v>79</v>
      </c>
      <c r="B75" s="738">
        <f>IF(AND($A75&gt;=Lighting!B$44,$A75&lt;=Lighting!B$45),B$4*Lighting!B$47*Lighting!B$48*Lighting!B$49*(VLOOKUP(IF(Lighting!B$46=Report!$A$25,Report!$A$19,Lighting!B$46),Report!$A$18:$L$34,'Actual-CO2 Calculations'!$AK73,FALSE)),0)</f>
        <v>0</v>
      </c>
      <c r="C75" s="738">
        <f>IF(AND($A75&gt;=Lighting!C$44,$A75&lt;=Lighting!C$45),C$4*Lighting!C$47*Lighting!C$48*Lighting!C$49*(VLOOKUP(IF(Lighting!C$46=Report!$A$25,Report!$A$19,Lighting!C$46),Report!$A$18:$L$34,'Actual-CO2 Calculations'!$AK73,FALSE)),0)</f>
        <v>0</v>
      </c>
      <c r="D75" s="738">
        <f>IF(AND($A75&gt;=Lighting!D$44,$A75&lt;=Lighting!D$45),D$4*Lighting!D$47*Lighting!D$48*Lighting!D$49*(VLOOKUP(IF(Lighting!D$46=Report!$A$25,Report!$A$19,Lighting!D$46),Report!$A$18:$L$34,'Actual-CO2 Calculations'!$AK73,FALSE)),0)</f>
        <v>0</v>
      </c>
      <c r="E75" s="738">
        <f>IF(AND($A75&gt;=Lighting!E$44,$A75&lt;=Lighting!E$45),E$4*Lighting!E$47*Lighting!E$48*Lighting!E$49*(VLOOKUP(IF(Lighting!E$46=Report!$A$25,Report!$A$19,Lighting!E$46),Report!$A$18:$L$34,'Actual-CO2 Calculations'!$AK73,FALSE)),0)</f>
        <v>0</v>
      </c>
      <c r="F75" s="738">
        <f>IF(AND($A75&gt;=Lighting!F$44,$A75&lt;=Lighting!F$45),F$4*Lighting!F$47*Lighting!F$48*Lighting!F$49*(VLOOKUP(IF(Lighting!F$46=Report!$A$25,Report!$A$19,Lighting!F$46),Report!$A$18:$L$34,'Actual-CO2 Calculations'!$AK73,FALSE)),0)</f>
        <v>0</v>
      </c>
      <c r="H75" s="660">
        <f t="shared" si="1"/>
        <v>0</v>
      </c>
    </row>
    <row r="76" spans="1:8">
      <c r="A76" s="23" t="s">
        <v>80</v>
      </c>
      <c r="B76" s="738">
        <f>IF(AND($A76&gt;=Lighting!B$44,$A76&lt;=Lighting!B$45),B$4*Lighting!B$47*Lighting!B$48*Lighting!B$49*(VLOOKUP(IF(Lighting!B$46=Report!$A$25,Report!$A$19,Lighting!B$46),Report!$A$18:$L$34,'Actual-CO2 Calculations'!$AK74,FALSE)),0)</f>
        <v>0</v>
      </c>
      <c r="C76" s="738">
        <f>IF(AND($A76&gt;=Lighting!C$44,$A76&lt;=Lighting!C$45),C$4*Lighting!C$47*Lighting!C$48*Lighting!C$49*(VLOOKUP(IF(Lighting!C$46=Report!$A$25,Report!$A$19,Lighting!C$46),Report!$A$18:$L$34,'Actual-CO2 Calculations'!$AK74,FALSE)),0)</f>
        <v>0</v>
      </c>
      <c r="D76" s="738">
        <f>IF(AND($A76&gt;=Lighting!D$44,$A76&lt;=Lighting!D$45),D$4*Lighting!D$47*Lighting!D$48*Lighting!D$49*(VLOOKUP(IF(Lighting!D$46=Report!$A$25,Report!$A$19,Lighting!D$46),Report!$A$18:$L$34,'Actual-CO2 Calculations'!$AK74,FALSE)),0)</f>
        <v>0</v>
      </c>
      <c r="E76" s="738">
        <f>IF(AND($A76&gt;=Lighting!E$44,$A76&lt;=Lighting!E$45),E$4*Lighting!E$47*Lighting!E$48*Lighting!E$49*(VLOOKUP(IF(Lighting!E$46=Report!$A$25,Report!$A$19,Lighting!E$46),Report!$A$18:$L$34,'Actual-CO2 Calculations'!$AK74,FALSE)),0)</f>
        <v>0</v>
      </c>
      <c r="F76" s="738">
        <f>IF(AND($A76&gt;=Lighting!F$44,$A76&lt;=Lighting!F$45),F$4*Lighting!F$47*Lighting!F$48*Lighting!F$49*(VLOOKUP(IF(Lighting!F$46=Report!$A$25,Report!$A$19,Lighting!F$46),Report!$A$18:$L$34,'Actual-CO2 Calculations'!$AK74,FALSE)),0)</f>
        <v>0</v>
      </c>
      <c r="H76" s="660">
        <f t="shared" si="1"/>
        <v>0</v>
      </c>
    </row>
    <row r="77" spans="1:8">
      <c r="A77" s="23" t="s">
        <v>81</v>
      </c>
      <c r="B77" s="738">
        <f>IF(AND($A77&gt;=Lighting!B$44,$A77&lt;=Lighting!B$45),B$4*Lighting!B$47*Lighting!B$48*Lighting!B$49*(VLOOKUP(IF(Lighting!B$46=Report!$A$25,Report!$A$19,Lighting!B$46),Report!$A$18:$L$34,'Actual-CO2 Calculations'!$AK75,FALSE)),0)</f>
        <v>0</v>
      </c>
      <c r="C77" s="738">
        <f>IF(AND($A77&gt;=Lighting!C$44,$A77&lt;=Lighting!C$45),C$4*Lighting!C$47*Lighting!C$48*Lighting!C$49*(VLOOKUP(IF(Lighting!C$46=Report!$A$25,Report!$A$19,Lighting!C$46),Report!$A$18:$L$34,'Actual-CO2 Calculations'!$AK75,FALSE)),0)</f>
        <v>0</v>
      </c>
      <c r="D77" s="738">
        <f>IF(AND($A77&gt;=Lighting!D$44,$A77&lt;=Lighting!D$45),D$4*Lighting!D$47*Lighting!D$48*Lighting!D$49*(VLOOKUP(IF(Lighting!D$46=Report!$A$25,Report!$A$19,Lighting!D$46),Report!$A$18:$L$34,'Actual-CO2 Calculations'!$AK75,FALSE)),0)</f>
        <v>0</v>
      </c>
      <c r="E77" s="738">
        <f>IF(AND($A77&gt;=Lighting!E$44,$A77&lt;=Lighting!E$45),E$4*Lighting!E$47*Lighting!E$48*Lighting!E$49*(VLOOKUP(IF(Lighting!E$46=Report!$A$25,Report!$A$19,Lighting!E$46),Report!$A$18:$L$34,'Actual-CO2 Calculations'!$AK75,FALSE)),0)</f>
        <v>0</v>
      </c>
      <c r="F77" s="738">
        <f>IF(AND($A77&gt;=Lighting!F$44,$A77&lt;=Lighting!F$45),F$4*Lighting!F$47*Lighting!F$48*Lighting!F$49*(VLOOKUP(IF(Lighting!F$46=Report!$A$25,Report!$A$19,Lighting!F$46),Report!$A$18:$L$34,'Actual-CO2 Calculations'!$AK75,FALSE)),0)</f>
        <v>0</v>
      </c>
      <c r="H77" s="660">
        <f t="shared" si="1"/>
        <v>0</v>
      </c>
    </row>
    <row r="78" spans="1:8">
      <c r="A78" s="23" t="s">
        <v>82</v>
      </c>
      <c r="B78" s="738">
        <f>IF(AND($A78&gt;=Lighting!B$44,$A78&lt;=Lighting!B$45),B$4*Lighting!B$47*Lighting!B$48*Lighting!B$49*(VLOOKUP(IF(Lighting!B$46=Report!$A$25,Report!$A$19,Lighting!B$46),Report!$A$18:$L$34,'Actual-CO2 Calculations'!$AK76,FALSE)),0)</f>
        <v>0</v>
      </c>
      <c r="C78" s="738">
        <f>IF(AND($A78&gt;=Lighting!C$44,$A78&lt;=Lighting!C$45),C$4*Lighting!C$47*Lighting!C$48*Lighting!C$49*(VLOOKUP(IF(Lighting!C$46=Report!$A$25,Report!$A$19,Lighting!C$46),Report!$A$18:$L$34,'Actual-CO2 Calculations'!$AK76,FALSE)),0)</f>
        <v>0</v>
      </c>
      <c r="D78" s="738">
        <f>IF(AND($A78&gt;=Lighting!D$44,$A78&lt;=Lighting!D$45),D$4*Lighting!D$47*Lighting!D$48*Lighting!D$49*(VLOOKUP(IF(Lighting!D$46=Report!$A$25,Report!$A$19,Lighting!D$46),Report!$A$18:$L$34,'Actual-CO2 Calculations'!$AK76,FALSE)),0)</f>
        <v>0</v>
      </c>
      <c r="E78" s="738">
        <f>IF(AND($A78&gt;=Lighting!E$44,$A78&lt;=Lighting!E$45),E$4*Lighting!E$47*Lighting!E$48*Lighting!E$49*(VLOOKUP(IF(Lighting!E$46=Report!$A$25,Report!$A$19,Lighting!E$46),Report!$A$18:$L$34,'Actual-CO2 Calculations'!$AK76,FALSE)),0)</f>
        <v>0</v>
      </c>
      <c r="F78" s="738">
        <f>IF(AND($A78&gt;=Lighting!F$44,$A78&lt;=Lighting!F$45),F$4*Lighting!F$47*Lighting!F$48*Lighting!F$49*(VLOOKUP(IF(Lighting!F$46=Report!$A$25,Report!$A$19,Lighting!F$46),Report!$A$18:$L$34,'Actual-CO2 Calculations'!$AK76,FALSE)),0)</f>
        <v>0</v>
      </c>
      <c r="H78" s="660">
        <f t="shared" si="1"/>
        <v>0</v>
      </c>
    </row>
    <row r="79" spans="1:8">
      <c r="A79" s="23" t="s">
        <v>83</v>
      </c>
      <c r="B79" s="738">
        <f>IF(AND($A79&gt;=Lighting!B$44,$A79&lt;=Lighting!B$45),B$4*Lighting!B$47*Lighting!B$48*Lighting!B$49*(VLOOKUP(IF(Lighting!B$46=Report!$A$25,Report!$A$19,Lighting!B$46),Report!$A$18:$L$34,'Actual-CO2 Calculations'!$AK77,FALSE)),0)</f>
        <v>0</v>
      </c>
      <c r="C79" s="738">
        <f>IF(AND($A79&gt;=Lighting!C$44,$A79&lt;=Lighting!C$45),C$4*Lighting!C$47*Lighting!C$48*Lighting!C$49*(VLOOKUP(IF(Lighting!C$46=Report!$A$25,Report!$A$19,Lighting!C$46),Report!$A$18:$L$34,'Actual-CO2 Calculations'!$AK77,FALSE)),0)</f>
        <v>0</v>
      </c>
      <c r="D79" s="738">
        <f>IF(AND($A79&gt;=Lighting!D$44,$A79&lt;=Lighting!D$45),D$4*Lighting!D$47*Lighting!D$48*Lighting!D$49*(VLOOKUP(IF(Lighting!D$46=Report!$A$25,Report!$A$19,Lighting!D$46),Report!$A$18:$L$34,'Actual-CO2 Calculations'!$AK77,FALSE)),0)</f>
        <v>0</v>
      </c>
      <c r="E79" s="738">
        <f>IF(AND($A79&gt;=Lighting!E$44,$A79&lt;=Lighting!E$45),E$4*Lighting!E$47*Lighting!E$48*Lighting!E$49*(VLOOKUP(IF(Lighting!E$46=Report!$A$25,Report!$A$19,Lighting!E$46),Report!$A$18:$L$34,'Actual-CO2 Calculations'!$AK77,FALSE)),0)</f>
        <v>0</v>
      </c>
      <c r="F79" s="738">
        <f>IF(AND($A79&gt;=Lighting!F$44,$A79&lt;=Lighting!F$45),F$4*Lighting!F$47*Lighting!F$48*Lighting!F$49*(VLOOKUP(IF(Lighting!F$46=Report!$A$25,Report!$A$19,Lighting!F$46),Report!$A$18:$L$34,'Actual-CO2 Calculations'!$AK77,FALSE)),0)</f>
        <v>0</v>
      </c>
      <c r="H79" s="660">
        <f t="shared" si="1"/>
        <v>0</v>
      </c>
    </row>
    <row r="80" spans="1:8">
      <c r="A80" s="23" t="s">
        <v>84</v>
      </c>
      <c r="B80" s="738">
        <f>IF(AND($A80&gt;=Lighting!B$44,$A80&lt;=Lighting!B$45),B$4*Lighting!B$47*Lighting!B$48*Lighting!B$49*(VLOOKUP(IF(Lighting!B$46=Report!$A$25,Report!$A$19,Lighting!B$46),Report!$A$18:$L$34,'Actual-CO2 Calculations'!$AK78,FALSE)),0)</f>
        <v>0</v>
      </c>
      <c r="C80" s="738">
        <f>IF(AND($A80&gt;=Lighting!C$44,$A80&lt;=Lighting!C$45),C$4*Lighting!C$47*Lighting!C$48*Lighting!C$49*(VLOOKUP(IF(Lighting!C$46=Report!$A$25,Report!$A$19,Lighting!C$46),Report!$A$18:$L$34,'Actual-CO2 Calculations'!$AK78,FALSE)),0)</f>
        <v>0</v>
      </c>
      <c r="D80" s="738">
        <f>IF(AND($A80&gt;=Lighting!D$44,$A80&lt;=Lighting!D$45),D$4*Lighting!D$47*Lighting!D$48*Lighting!D$49*(VLOOKUP(IF(Lighting!D$46=Report!$A$25,Report!$A$19,Lighting!D$46),Report!$A$18:$L$34,'Actual-CO2 Calculations'!$AK78,FALSE)),0)</f>
        <v>0</v>
      </c>
      <c r="E80" s="738">
        <f>IF(AND($A80&gt;=Lighting!E$44,$A80&lt;=Lighting!E$45),E$4*Lighting!E$47*Lighting!E$48*Lighting!E$49*(VLOOKUP(IF(Lighting!E$46=Report!$A$25,Report!$A$19,Lighting!E$46),Report!$A$18:$L$34,'Actual-CO2 Calculations'!$AK78,FALSE)),0)</f>
        <v>0</v>
      </c>
      <c r="F80" s="738">
        <f>IF(AND($A80&gt;=Lighting!F$44,$A80&lt;=Lighting!F$45),F$4*Lighting!F$47*Lighting!F$48*Lighting!F$49*(VLOOKUP(IF(Lighting!F$46=Report!$A$25,Report!$A$19,Lighting!F$46),Report!$A$18:$L$34,'Actual-CO2 Calculations'!$AK78,FALSE)),0)</f>
        <v>0</v>
      </c>
      <c r="H80" s="660">
        <f t="shared" si="1"/>
        <v>0</v>
      </c>
    </row>
    <row r="81" spans="1:8">
      <c r="A81" s="23" t="s">
        <v>16</v>
      </c>
      <c r="B81" s="738">
        <f>IF(AND($A81&gt;=Lighting!B$44,$A81&lt;=Lighting!B$45),B$4*Lighting!B$47*Lighting!B$48*Lighting!B$49*(VLOOKUP(IF(Lighting!B$46=Report!$A$25,Report!$A$19,Lighting!B$46),Report!$A$18:$L$34,'Actual-CO2 Calculations'!$AK79,FALSE)),0)</f>
        <v>0</v>
      </c>
      <c r="C81" s="738">
        <f>IF(AND($A81&gt;=Lighting!C$44,$A81&lt;=Lighting!C$45),C$4*Lighting!C$47*Lighting!C$48*Lighting!C$49*(VLOOKUP(IF(Lighting!C$46=Report!$A$25,Report!$A$19,Lighting!C$46),Report!$A$18:$L$34,'Actual-CO2 Calculations'!$AK79,FALSE)),0)</f>
        <v>0</v>
      </c>
      <c r="D81" s="738">
        <f>IF(AND($A81&gt;=Lighting!D$44,$A81&lt;=Lighting!D$45),D$4*Lighting!D$47*Lighting!D$48*Lighting!D$49*(VLOOKUP(IF(Lighting!D$46=Report!$A$25,Report!$A$19,Lighting!D$46),Report!$A$18:$L$34,'Actual-CO2 Calculations'!$AK79,FALSE)),0)</f>
        <v>0</v>
      </c>
      <c r="E81" s="738">
        <f>IF(AND($A81&gt;=Lighting!E$44,$A81&lt;=Lighting!E$45),E$4*Lighting!E$47*Lighting!E$48*Lighting!E$49*(VLOOKUP(IF(Lighting!E$46=Report!$A$25,Report!$A$19,Lighting!E$46),Report!$A$18:$L$34,'Actual-CO2 Calculations'!$AK79,FALSE)),0)</f>
        <v>0</v>
      </c>
      <c r="F81" s="738">
        <f>IF(AND($A81&gt;=Lighting!F$44,$A81&lt;=Lighting!F$45),F$4*Lighting!F$47*Lighting!F$48*Lighting!F$49*(VLOOKUP(IF(Lighting!F$46=Report!$A$25,Report!$A$19,Lighting!F$46),Report!$A$18:$L$34,'Actual-CO2 Calculations'!$AK79,FALSE)),0)</f>
        <v>0</v>
      </c>
      <c r="H81" s="660">
        <f t="shared" si="1"/>
        <v>0</v>
      </c>
    </row>
    <row r="82" spans="1:8">
      <c r="A82" s="23" t="s">
        <v>17</v>
      </c>
      <c r="B82" s="738">
        <f>IF(AND($A82&gt;=Lighting!B$44,$A82&lt;=Lighting!B$45),B$4*Lighting!B$47*Lighting!B$48*Lighting!B$49*(VLOOKUP(IF(Lighting!B$46=Report!$A$25,Report!$A$19,Lighting!B$46),Report!$A$18:$L$34,'Actual-CO2 Calculations'!$AK80,FALSE)),0)</f>
        <v>0</v>
      </c>
      <c r="C82" s="738">
        <f>IF(AND($A82&gt;=Lighting!C$44,$A82&lt;=Lighting!C$45),C$4*Lighting!C$47*Lighting!C$48*Lighting!C$49*(VLOOKUP(IF(Lighting!C$46=Report!$A$25,Report!$A$19,Lighting!C$46),Report!$A$18:$L$34,'Actual-CO2 Calculations'!$AK80,FALSE)),0)</f>
        <v>0</v>
      </c>
      <c r="D82" s="738">
        <f>IF(AND($A82&gt;=Lighting!D$44,$A82&lt;=Lighting!D$45),D$4*Lighting!D$47*Lighting!D$48*Lighting!D$49*(VLOOKUP(IF(Lighting!D$46=Report!$A$25,Report!$A$19,Lighting!D$46),Report!$A$18:$L$34,'Actual-CO2 Calculations'!$AK80,FALSE)),0)</f>
        <v>0</v>
      </c>
      <c r="E82" s="738">
        <f>IF(AND($A82&gt;=Lighting!E$44,$A82&lt;=Lighting!E$45),E$4*Lighting!E$47*Lighting!E$48*Lighting!E$49*(VLOOKUP(IF(Lighting!E$46=Report!$A$25,Report!$A$19,Lighting!E$46),Report!$A$18:$L$34,'Actual-CO2 Calculations'!$AK80,FALSE)),0)</f>
        <v>0</v>
      </c>
      <c r="F82" s="738">
        <f>IF(AND($A82&gt;=Lighting!F$44,$A82&lt;=Lighting!F$45),F$4*Lighting!F$47*Lighting!F$48*Lighting!F$49*(VLOOKUP(IF(Lighting!F$46=Report!$A$25,Report!$A$19,Lighting!F$46),Report!$A$18:$L$34,'Actual-CO2 Calculations'!$AK80,FALSE)),0)</f>
        <v>0</v>
      </c>
      <c r="H82" s="660">
        <f t="shared" si="1"/>
        <v>0</v>
      </c>
    </row>
    <row r="83" spans="1:8">
      <c r="A83" s="23" t="s">
        <v>18</v>
      </c>
      <c r="B83" s="738">
        <f>IF(AND($A83&gt;=Lighting!B$44,$A83&lt;=Lighting!B$45),B$4*Lighting!B$47*Lighting!B$48*Lighting!B$49*(VLOOKUP(IF(Lighting!B$46=Report!$A$25,Report!$A$19,Lighting!B$46),Report!$A$18:$L$34,'Actual-CO2 Calculations'!$AK81,FALSE)),0)</f>
        <v>0</v>
      </c>
      <c r="C83" s="738">
        <f>IF(AND($A83&gt;=Lighting!C$44,$A83&lt;=Lighting!C$45),C$4*Lighting!C$47*Lighting!C$48*Lighting!C$49*(VLOOKUP(IF(Lighting!C$46=Report!$A$25,Report!$A$19,Lighting!C$46),Report!$A$18:$L$34,'Actual-CO2 Calculations'!$AK81,FALSE)),0)</f>
        <v>0</v>
      </c>
      <c r="D83" s="738">
        <f>IF(AND($A83&gt;=Lighting!D$44,$A83&lt;=Lighting!D$45),D$4*Lighting!D$47*Lighting!D$48*Lighting!D$49*(VLOOKUP(IF(Lighting!D$46=Report!$A$25,Report!$A$19,Lighting!D$46),Report!$A$18:$L$34,'Actual-CO2 Calculations'!$AK81,FALSE)),0)</f>
        <v>0</v>
      </c>
      <c r="E83" s="738">
        <f>IF(AND($A83&gt;=Lighting!E$44,$A83&lt;=Lighting!E$45),E$4*Lighting!E$47*Lighting!E$48*Lighting!E$49*(VLOOKUP(IF(Lighting!E$46=Report!$A$25,Report!$A$19,Lighting!E$46),Report!$A$18:$L$34,'Actual-CO2 Calculations'!$AK81,FALSE)),0)</f>
        <v>0</v>
      </c>
      <c r="F83" s="738">
        <f>IF(AND($A83&gt;=Lighting!F$44,$A83&lt;=Lighting!F$45),F$4*Lighting!F$47*Lighting!F$48*Lighting!F$49*(VLOOKUP(IF(Lighting!F$46=Report!$A$25,Report!$A$19,Lighting!F$46),Report!$A$18:$L$34,'Actual-CO2 Calculations'!$AK81,FALSE)),0)</f>
        <v>0</v>
      </c>
      <c r="H83" s="660">
        <f t="shared" si="1"/>
        <v>0</v>
      </c>
    </row>
    <row r="84" spans="1:8">
      <c r="A84" s="23" t="s">
        <v>19</v>
      </c>
      <c r="B84" s="738">
        <f>IF(AND($A84&gt;=Lighting!B$44,$A84&lt;=Lighting!B$45),B$4*Lighting!B$47*Lighting!B$48*Lighting!B$49*(VLOOKUP(IF(Lighting!B$46=Report!$A$25,Report!$A$19,Lighting!B$46),Report!$A$18:$L$34,'Actual-CO2 Calculations'!$AK82,FALSE)),0)</f>
        <v>0</v>
      </c>
      <c r="C84" s="738">
        <f>IF(AND($A84&gt;=Lighting!C$44,$A84&lt;=Lighting!C$45),C$4*Lighting!C$47*Lighting!C$48*Lighting!C$49*(VLOOKUP(IF(Lighting!C$46=Report!$A$25,Report!$A$19,Lighting!C$46),Report!$A$18:$L$34,'Actual-CO2 Calculations'!$AK82,FALSE)),0)</f>
        <v>0</v>
      </c>
      <c r="D84" s="738">
        <f>IF(AND($A84&gt;=Lighting!D$44,$A84&lt;=Lighting!D$45),D$4*Lighting!D$47*Lighting!D$48*Lighting!D$49*(VLOOKUP(IF(Lighting!D$46=Report!$A$25,Report!$A$19,Lighting!D$46),Report!$A$18:$L$34,'Actual-CO2 Calculations'!$AK82,FALSE)),0)</f>
        <v>0</v>
      </c>
      <c r="E84" s="738">
        <f>IF(AND($A84&gt;=Lighting!E$44,$A84&lt;=Lighting!E$45),E$4*Lighting!E$47*Lighting!E$48*Lighting!E$49*(VLOOKUP(IF(Lighting!E$46=Report!$A$25,Report!$A$19,Lighting!E$46),Report!$A$18:$L$34,'Actual-CO2 Calculations'!$AK82,FALSE)),0)</f>
        <v>0</v>
      </c>
      <c r="F84" s="738">
        <f>IF(AND($A84&gt;=Lighting!F$44,$A84&lt;=Lighting!F$45),F$4*Lighting!F$47*Lighting!F$48*Lighting!F$49*(VLOOKUP(IF(Lighting!F$46=Report!$A$25,Report!$A$19,Lighting!F$46),Report!$A$18:$L$34,'Actual-CO2 Calculations'!$AK82,FALSE)),0)</f>
        <v>0</v>
      </c>
      <c r="H84" s="660">
        <f t="shared" si="1"/>
        <v>0</v>
      </c>
    </row>
    <row r="85" spans="1:8">
      <c r="A85" s="23" t="s">
        <v>85</v>
      </c>
      <c r="B85" s="738">
        <f>IF(AND($A85&gt;=Lighting!B$44,$A85&lt;=Lighting!B$45),B$4*Lighting!B$47*Lighting!B$48*Lighting!B$49*(VLOOKUP(IF(Lighting!B$46=Report!$A$25,Report!$A$19,Lighting!B$46),Report!$A$18:$L$34,'Actual-CO2 Calculations'!$AK83,FALSE)),0)</f>
        <v>0</v>
      </c>
      <c r="C85" s="738">
        <f>IF(AND($A85&gt;=Lighting!C$44,$A85&lt;=Lighting!C$45),C$4*Lighting!C$47*Lighting!C$48*Lighting!C$49*(VLOOKUP(IF(Lighting!C$46=Report!$A$25,Report!$A$19,Lighting!C$46),Report!$A$18:$L$34,'Actual-CO2 Calculations'!$AK83,FALSE)),0)</f>
        <v>0</v>
      </c>
      <c r="D85" s="738">
        <f>IF(AND($A85&gt;=Lighting!D$44,$A85&lt;=Lighting!D$45),D$4*Lighting!D$47*Lighting!D$48*Lighting!D$49*(VLOOKUP(IF(Lighting!D$46=Report!$A$25,Report!$A$19,Lighting!D$46),Report!$A$18:$L$34,'Actual-CO2 Calculations'!$AK83,FALSE)),0)</f>
        <v>0</v>
      </c>
      <c r="E85" s="738">
        <f>IF(AND($A85&gt;=Lighting!E$44,$A85&lt;=Lighting!E$45),E$4*Lighting!E$47*Lighting!E$48*Lighting!E$49*(VLOOKUP(IF(Lighting!E$46=Report!$A$25,Report!$A$19,Lighting!E$46),Report!$A$18:$L$34,'Actual-CO2 Calculations'!$AK83,FALSE)),0)</f>
        <v>0</v>
      </c>
      <c r="F85" s="738">
        <f>IF(AND($A85&gt;=Lighting!F$44,$A85&lt;=Lighting!F$45),F$4*Lighting!F$47*Lighting!F$48*Lighting!F$49*(VLOOKUP(IF(Lighting!F$46=Report!$A$25,Report!$A$19,Lighting!F$46),Report!$A$18:$L$34,'Actual-CO2 Calculations'!$AK83,FALSE)),0)</f>
        <v>0</v>
      </c>
      <c r="H85" s="660">
        <f t="shared" si="1"/>
        <v>0</v>
      </c>
    </row>
    <row r="86" spans="1:8">
      <c r="A86" s="23" t="s">
        <v>86</v>
      </c>
      <c r="B86" s="738">
        <f>IF(AND($A86&gt;=Lighting!B$44,$A86&lt;=Lighting!B$45),B$4*Lighting!B$47*Lighting!B$48*Lighting!B$49*(VLOOKUP(IF(Lighting!B$46=Report!$A$25,Report!$A$19,Lighting!B$46),Report!$A$18:$L$34,'Actual-CO2 Calculations'!$AK84,FALSE)),0)</f>
        <v>0</v>
      </c>
      <c r="C86" s="738">
        <f>IF(AND($A86&gt;=Lighting!C$44,$A86&lt;=Lighting!C$45),C$4*Lighting!C$47*Lighting!C$48*Lighting!C$49*(VLOOKUP(IF(Lighting!C$46=Report!$A$25,Report!$A$19,Lighting!C$46),Report!$A$18:$L$34,'Actual-CO2 Calculations'!$AK84,FALSE)),0)</f>
        <v>0</v>
      </c>
      <c r="D86" s="738">
        <f>IF(AND($A86&gt;=Lighting!D$44,$A86&lt;=Lighting!D$45),D$4*Lighting!D$47*Lighting!D$48*Lighting!D$49*(VLOOKUP(IF(Lighting!D$46=Report!$A$25,Report!$A$19,Lighting!D$46),Report!$A$18:$L$34,'Actual-CO2 Calculations'!$AK84,FALSE)),0)</f>
        <v>0</v>
      </c>
      <c r="E86" s="738">
        <f>IF(AND($A86&gt;=Lighting!E$44,$A86&lt;=Lighting!E$45),E$4*Lighting!E$47*Lighting!E$48*Lighting!E$49*(VLOOKUP(IF(Lighting!E$46=Report!$A$25,Report!$A$19,Lighting!E$46),Report!$A$18:$L$34,'Actual-CO2 Calculations'!$AK84,FALSE)),0)</f>
        <v>0</v>
      </c>
      <c r="F86" s="738">
        <f>IF(AND($A86&gt;=Lighting!F$44,$A86&lt;=Lighting!F$45),F$4*Lighting!F$47*Lighting!F$48*Lighting!F$49*(VLOOKUP(IF(Lighting!F$46=Report!$A$25,Report!$A$19,Lighting!F$46),Report!$A$18:$L$34,'Actual-CO2 Calculations'!$AK84,FALSE)),0)</f>
        <v>0</v>
      </c>
      <c r="H86" s="660">
        <f t="shared" si="1"/>
        <v>0</v>
      </c>
    </row>
    <row r="87" spans="1:8">
      <c r="A87" s="23" t="s">
        <v>87</v>
      </c>
      <c r="B87" s="738">
        <f>IF(AND($A87&gt;=Lighting!B$44,$A87&lt;=Lighting!B$45),B$4*Lighting!B$47*Lighting!B$48*Lighting!B$49*(VLOOKUP(IF(Lighting!B$46=Report!$A$25,Report!$A$19,Lighting!B$46),Report!$A$18:$L$34,'Actual-CO2 Calculations'!$AK85,FALSE)),0)</f>
        <v>0</v>
      </c>
      <c r="C87" s="738">
        <f>IF(AND($A87&gt;=Lighting!C$44,$A87&lt;=Lighting!C$45),C$4*Lighting!C$47*Lighting!C$48*Lighting!C$49*(VLOOKUP(IF(Lighting!C$46=Report!$A$25,Report!$A$19,Lighting!C$46),Report!$A$18:$L$34,'Actual-CO2 Calculations'!$AK85,FALSE)),0)</f>
        <v>0</v>
      </c>
      <c r="D87" s="738">
        <f>IF(AND($A87&gt;=Lighting!D$44,$A87&lt;=Lighting!D$45),D$4*Lighting!D$47*Lighting!D$48*Lighting!D$49*(VLOOKUP(IF(Lighting!D$46=Report!$A$25,Report!$A$19,Lighting!D$46),Report!$A$18:$L$34,'Actual-CO2 Calculations'!$AK85,FALSE)),0)</f>
        <v>0</v>
      </c>
      <c r="E87" s="738">
        <f>IF(AND($A87&gt;=Lighting!E$44,$A87&lt;=Lighting!E$45),E$4*Lighting!E$47*Lighting!E$48*Lighting!E$49*(VLOOKUP(IF(Lighting!E$46=Report!$A$25,Report!$A$19,Lighting!E$46),Report!$A$18:$L$34,'Actual-CO2 Calculations'!$AK85,FALSE)),0)</f>
        <v>0</v>
      </c>
      <c r="F87" s="738">
        <f>IF(AND($A87&gt;=Lighting!F$44,$A87&lt;=Lighting!F$45),F$4*Lighting!F$47*Lighting!F$48*Lighting!F$49*(VLOOKUP(IF(Lighting!F$46=Report!$A$25,Report!$A$19,Lighting!F$46),Report!$A$18:$L$34,'Actual-CO2 Calculations'!$AK85,FALSE)),0)</f>
        <v>0</v>
      </c>
      <c r="H87" s="660">
        <f t="shared" si="1"/>
        <v>0</v>
      </c>
    </row>
    <row r="88" spans="1:8">
      <c r="A88" s="23" t="s">
        <v>88</v>
      </c>
      <c r="B88" s="738">
        <f>IF(AND($A88&gt;=Lighting!B$44,$A88&lt;=Lighting!B$45),B$4*Lighting!B$47*Lighting!B$48*Lighting!B$49*(VLOOKUP(IF(Lighting!B$46=Report!$A$25,Report!$A$19,Lighting!B$46),Report!$A$18:$L$34,'Actual-CO2 Calculations'!$AK86,FALSE)),0)</f>
        <v>0</v>
      </c>
      <c r="C88" s="738">
        <f>IF(AND($A88&gt;=Lighting!C$44,$A88&lt;=Lighting!C$45),C$4*Lighting!C$47*Lighting!C$48*Lighting!C$49*(VLOOKUP(IF(Lighting!C$46=Report!$A$25,Report!$A$19,Lighting!C$46),Report!$A$18:$L$34,'Actual-CO2 Calculations'!$AK86,FALSE)),0)</f>
        <v>0</v>
      </c>
      <c r="D88" s="738">
        <f>IF(AND($A88&gt;=Lighting!D$44,$A88&lt;=Lighting!D$45),D$4*Lighting!D$47*Lighting!D$48*Lighting!D$49*(VLOOKUP(IF(Lighting!D$46=Report!$A$25,Report!$A$19,Lighting!D$46),Report!$A$18:$L$34,'Actual-CO2 Calculations'!$AK86,FALSE)),0)</f>
        <v>0</v>
      </c>
      <c r="E88" s="738">
        <f>IF(AND($A88&gt;=Lighting!E$44,$A88&lt;=Lighting!E$45),E$4*Lighting!E$47*Lighting!E$48*Lighting!E$49*(VLOOKUP(IF(Lighting!E$46=Report!$A$25,Report!$A$19,Lighting!E$46),Report!$A$18:$L$34,'Actual-CO2 Calculations'!$AK86,FALSE)),0)</f>
        <v>0</v>
      </c>
      <c r="F88" s="738">
        <f>IF(AND($A88&gt;=Lighting!F$44,$A88&lt;=Lighting!F$45),F$4*Lighting!F$47*Lighting!F$48*Lighting!F$49*(VLOOKUP(IF(Lighting!F$46=Report!$A$25,Report!$A$19,Lighting!F$46),Report!$A$18:$L$34,'Actual-CO2 Calculations'!$AK86,FALSE)),0)</f>
        <v>0</v>
      </c>
      <c r="H88" s="660">
        <f t="shared" si="1"/>
        <v>0</v>
      </c>
    </row>
    <row r="89" spans="1:8">
      <c r="A89" s="23" t="s">
        <v>89</v>
      </c>
      <c r="B89" s="738">
        <f>IF(AND($A89&gt;=Lighting!B$44,$A89&lt;=Lighting!B$45),B$4*Lighting!B$47*Lighting!B$48*Lighting!B$49*(VLOOKUP(IF(Lighting!B$46=Report!$A$25,Report!$A$19,Lighting!B$46),Report!$A$18:$L$34,'Actual-CO2 Calculations'!$AK87,FALSE)),0)</f>
        <v>0</v>
      </c>
      <c r="C89" s="738">
        <f>IF(AND($A89&gt;=Lighting!C$44,$A89&lt;=Lighting!C$45),C$4*Lighting!C$47*Lighting!C$48*Lighting!C$49*(VLOOKUP(IF(Lighting!C$46=Report!$A$25,Report!$A$19,Lighting!C$46),Report!$A$18:$L$34,'Actual-CO2 Calculations'!$AK87,FALSE)),0)</f>
        <v>0</v>
      </c>
      <c r="D89" s="738">
        <f>IF(AND($A89&gt;=Lighting!D$44,$A89&lt;=Lighting!D$45),D$4*Lighting!D$47*Lighting!D$48*Lighting!D$49*(VLOOKUP(IF(Lighting!D$46=Report!$A$25,Report!$A$19,Lighting!D$46),Report!$A$18:$L$34,'Actual-CO2 Calculations'!$AK87,FALSE)),0)</f>
        <v>0</v>
      </c>
      <c r="E89" s="738">
        <f>IF(AND($A89&gt;=Lighting!E$44,$A89&lt;=Lighting!E$45),E$4*Lighting!E$47*Lighting!E$48*Lighting!E$49*(VLOOKUP(IF(Lighting!E$46=Report!$A$25,Report!$A$19,Lighting!E$46),Report!$A$18:$L$34,'Actual-CO2 Calculations'!$AK87,FALSE)),0)</f>
        <v>0</v>
      </c>
      <c r="F89" s="738">
        <f>IF(AND($A89&gt;=Lighting!F$44,$A89&lt;=Lighting!F$45),F$4*Lighting!F$47*Lighting!F$48*Lighting!F$49*(VLOOKUP(IF(Lighting!F$46=Report!$A$25,Report!$A$19,Lighting!F$46),Report!$A$18:$L$34,'Actual-CO2 Calculations'!$AK87,FALSE)),0)</f>
        <v>0</v>
      </c>
      <c r="H89" s="660">
        <f t="shared" si="1"/>
        <v>0</v>
      </c>
    </row>
    <row r="90" spans="1:8">
      <c r="A90" s="23" t="s">
        <v>90</v>
      </c>
      <c r="B90" s="738">
        <f>IF(AND($A90&gt;=Lighting!B$44,$A90&lt;=Lighting!B$45),B$4*Lighting!B$47*Lighting!B$48*Lighting!B$49*(VLOOKUP(IF(Lighting!B$46=Report!$A$25,Report!$A$19,Lighting!B$46),Report!$A$18:$L$34,'Actual-CO2 Calculations'!$AK88,FALSE)),0)</f>
        <v>0</v>
      </c>
      <c r="C90" s="738">
        <f>IF(AND($A90&gt;=Lighting!C$44,$A90&lt;=Lighting!C$45),C$4*Lighting!C$47*Lighting!C$48*Lighting!C$49*(VLOOKUP(IF(Lighting!C$46=Report!$A$25,Report!$A$19,Lighting!C$46),Report!$A$18:$L$34,'Actual-CO2 Calculations'!$AK88,FALSE)),0)</f>
        <v>0</v>
      </c>
      <c r="D90" s="738">
        <f>IF(AND($A90&gt;=Lighting!D$44,$A90&lt;=Lighting!D$45),D$4*Lighting!D$47*Lighting!D$48*Lighting!D$49*(VLOOKUP(IF(Lighting!D$46=Report!$A$25,Report!$A$19,Lighting!D$46),Report!$A$18:$L$34,'Actual-CO2 Calculations'!$AK88,FALSE)),0)</f>
        <v>0</v>
      </c>
      <c r="E90" s="738">
        <f>IF(AND($A90&gt;=Lighting!E$44,$A90&lt;=Lighting!E$45),E$4*Lighting!E$47*Lighting!E$48*Lighting!E$49*(VLOOKUP(IF(Lighting!E$46=Report!$A$25,Report!$A$19,Lighting!E$46),Report!$A$18:$L$34,'Actual-CO2 Calculations'!$AK88,FALSE)),0)</f>
        <v>0</v>
      </c>
      <c r="F90" s="738">
        <f>IF(AND($A90&gt;=Lighting!F$44,$A90&lt;=Lighting!F$45),F$4*Lighting!F$47*Lighting!F$48*Lighting!F$49*(VLOOKUP(IF(Lighting!F$46=Report!$A$25,Report!$A$19,Lighting!F$46),Report!$A$18:$L$34,'Actual-CO2 Calculations'!$AK88,FALSE)),0)</f>
        <v>0</v>
      </c>
      <c r="H90" s="660">
        <f t="shared" si="1"/>
        <v>0</v>
      </c>
    </row>
    <row r="91" spans="1:8">
      <c r="A91" s="23" t="s">
        <v>91</v>
      </c>
      <c r="B91" s="738">
        <f>IF(AND($A91&gt;=Lighting!B$44,$A91&lt;=Lighting!B$45),B$4*Lighting!B$47*Lighting!B$48*Lighting!B$49*(VLOOKUP(IF(Lighting!B$46=Report!$A$25,Report!$A$19,Lighting!B$46),Report!$A$18:$L$34,'Actual-CO2 Calculations'!$AK89,FALSE)),0)</f>
        <v>0</v>
      </c>
      <c r="C91" s="738">
        <f>IF(AND($A91&gt;=Lighting!C$44,$A91&lt;=Lighting!C$45),C$4*Lighting!C$47*Lighting!C$48*Lighting!C$49*(VLOOKUP(IF(Lighting!C$46=Report!$A$25,Report!$A$19,Lighting!C$46),Report!$A$18:$L$34,'Actual-CO2 Calculations'!$AK89,FALSE)),0)</f>
        <v>0</v>
      </c>
      <c r="D91" s="738">
        <f>IF(AND($A91&gt;=Lighting!D$44,$A91&lt;=Lighting!D$45),D$4*Lighting!D$47*Lighting!D$48*Lighting!D$49*(VLOOKUP(IF(Lighting!D$46=Report!$A$25,Report!$A$19,Lighting!D$46),Report!$A$18:$L$34,'Actual-CO2 Calculations'!$AK89,FALSE)),0)</f>
        <v>0</v>
      </c>
      <c r="E91" s="738">
        <f>IF(AND($A91&gt;=Lighting!E$44,$A91&lt;=Lighting!E$45),E$4*Lighting!E$47*Lighting!E$48*Lighting!E$49*(VLOOKUP(IF(Lighting!E$46=Report!$A$25,Report!$A$19,Lighting!E$46),Report!$A$18:$L$34,'Actual-CO2 Calculations'!$AK89,FALSE)),0)</f>
        <v>0</v>
      </c>
      <c r="F91" s="738">
        <f>IF(AND($A91&gt;=Lighting!F$44,$A91&lt;=Lighting!F$45),F$4*Lighting!F$47*Lighting!F$48*Lighting!F$49*(VLOOKUP(IF(Lighting!F$46=Report!$A$25,Report!$A$19,Lighting!F$46),Report!$A$18:$L$34,'Actual-CO2 Calculations'!$AK89,FALSE)),0)</f>
        <v>0</v>
      </c>
      <c r="H91" s="660">
        <f t="shared" si="1"/>
        <v>0</v>
      </c>
    </row>
    <row r="92" spans="1:8">
      <c r="A92" s="23" t="s">
        <v>92</v>
      </c>
      <c r="B92" s="738">
        <f>IF(AND($A92&gt;=Lighting!B$44,$A92&lt;=Lighting!B$45),B$4*Lighting!B$47*Lighting!B$48*Lighting!B$49*(VLOOKUP(IF(Lighting!B$46=Report!$A$25,Report!$A$19,Lighting!B$46),Report!$A$18:$L$34,'Actual-CO2 Calculations'!$AK90,FALSE)),0)</f>
        <v>0</v>
      </c>
      <c r="C92" s="738">
        <f>IF(AND($A92&gt;=Lighting!C$44,$A92&lt;=Lighting!C$45),C$4*Lighting!C$47*Lighting!C$48*Lighting!C$49*(VLOOKUP(IF(Lighting!C$46=Report!$A$25,Report!$A$19,Lighting!C$46),Report!$A$18:$L$34,'Actual-CO2 Calculations'!$AK90,FALSE)),0)</f>
        <v>0</v>
      </c>
      <c r="D92" s="738">
        <f>IF(AND($A92&gt;=Lighting!D$44,$A92&lt;=Lighting!D$45),D$4*Lighting!D$47*Lighting!D$48*Lighting!D$49*(VLOOKUP(IF(Lighting!D$46=Report!$A$25,Report!$A$19,Lighting!D$46),Report!$A$18:$L$34,'Actual-CO2 Calculations'!$AK90,FALSE)),0)</f>
        <v>0</v>
      </c>
      <c r="E92" s="738">
        <f>IF(AND($A92&gt;=Lighting!E$44,$A92&lt;=Lighting!E$45),E$4*Lighting!E$47*Lighting!E$48*Lighting!E$49*(VLOOKUP(IF(Lighting!E$46=Report!$A$25,Report!$A$19,Lighting!E$46),Report!$A$18:$L$34,'Actual-CO2 Calculations'!$AK90,FALSE)),0)</f>
        <v>0</v>
      </c>
      <c r="F92" s="738">
        <f>IF(AND($A92&gt;=Lighting!F$44,$A92&lt;=Lighting!F$45),F$4*Lighting!F$47*Lighting!F$48*Lighting!F$49*(VLOOKUP(IF(Lighting!F$46=Report!$A$25,Report!$A$19,Lighting!F$46),Report!$A$18:$L$34,'Actual-CO2 Calculations'!$AK90,FALSE)),0)</f>
        <v>0</v>
      </c>
      <c r="H92" s="660">
        <f t="shared" si="1"/>
        <v>0</v>
      </c>
    </row>
    <row r="93" spans="1:8">
      <c r="A93" s="23" t="s">
        <v>93</v>
      </c>
      <c r="B93" s="738">
        <f>IF(AND($A93&gt;=Lighting!B$44,$A93&lt;=Lighting!B$45),B$4*Lighting!B$47*Lighting!B$48*Lighting!B$49*(VLOOKUP(IF(Lighting!B$46=Report!$A$25,Report!$A$19,Lighting!B$46),Report!$A$18:$L$34,'Actual-CO2 Calculations'!$AK91,FALSE)),0)</f>
        <v>0</v>
      </c>
      <c r="C93" s="738">
        <f>IF(AND($A93&gt;=Lighting!C$44,$A93&lt;=Lighting!C$45),C$4*Lighting!C$47*Lighting!C$48*Lighting!C$49*(VLOOKUP(IF(Lighting!C$46=Report!$A$25,Report!$A$19,Lighting!C$46),Report!$A$18:$L$34,'Actual-CO2 Calculations'!$AK91,FALSE)),0)</f>
        <v>0</v>
      </c>
      <c r="D93" s="738">
        <f>IF(AND($A93&gt;=Lighting!D$44,$A93&lt;=Lighting!D$45),D$4*Lighting!D$47*Lighting!D$48*Lighting!D$49*(VLOOKUP(IF(Lighting!D$46=Report!$A$25,Report!$A$19,Lighting!D$46),Report!$A$18:$L$34,'Actual-CO2 Calculations'!$AK91,FALSE)),0)</f>
        <v>0</v>
      </c>
      <c r="E93" s="738">
        <f>IF(AND($A93&gt;=Lighting!E$44,$A93&lt;=Lighting!E$45),E$4*Lighting!E$47*Lighting!E$48*Lighting!E$49*(VLOOKUP(IF(Lighting!E$46=Report!$A$25,Report!$A$19,Lighting!E$46),Report!$A$18:$L$34,'Actual-CO2 Calculations'!$AK91,FALSE)),0)</f>
        <v>0</v>
      </c>
      <c r="F93" s="738">
        <f>IF(AND($A93&gt;=Lighting!F$44,$A93&lt;=Lighting!F$45),F$4*Lighting!F$47*Lighting!F$48*Lighting!F$49*(VLOOKUP(IF(Lighting!F$46=Report!$A$25,Report!$A$19,Lighting!F$46),Report!$A$18:$L$34,'Actual-CO2 Calculations'!$AK91,FALSE)),0)</f>
        <v>0</v>
      </c>
      <c r="H93" s="660">
        <f t="shared" si="1"/>
        <v>0</v>
      </c>
    </row>
    <row r="94" spans="1:8">
      <c r="A94" s="23" t="s">
        <v>20</v>
      </c>
      <c r="B94" s="738">
        <f>IF(AND($A94&gt;=Lighting!B$44,$A94&lt;=Lighting!B$45),B$4*Lighting!B$47*Lighting!B$48*Lighting!B$49*(VLOOKUP(IF(Lighting!B$46=Report!$A$25,Report!$A$19,Lighting!B$46),Report!$A$18:$L$34,'Actual-CO2 Calculations'!$AK92,FALSE)),0)</f>
        <v>0</v>
      </c>
      <c r="C94" s="738">
        <f>IF(AND($A94&gt;=Lighting!C$44,$A94&lt;=Lighting!C$45),C$4*Lighting!C$47*Lighting!C$48*Lighting!C$49*(VLOOKUP(IF(Lighting!C$46=Report!$A$25,Report!$A$19,Lighting!C$46),Report!$A$18:$L$34,'Actual-CO2 Calculations'!$AK92,FALSE)),0)</f>
        <v>0</v>
      </c>
      <c r="D94" s="738">
        <f>IF(AND($A94&gt;=Lighting!D$44,$A94&lt;=Lighting!D$45),D$4*Lighting!D$47*Lighting!D$48*Lighting!D$49*(VLOOKUP(IF(Lighting!D$46=Report!$A$25,Report!$A$19,Lighting!D$46),Report!$A$18:$L$34,'Actual-CO2 Calculations'!$AK92,FALSE)),0)</f>
        <v>0</v>
      </c>
      <c r="E94" s="738">
        <f>IF(AND($A94&gt;=Lighting!E$44,$A94&lt;=Lighting!E$45),E$4*Lighting!E$47*Lighting!E$48*Lighting!E$49*(VLOOKUP(IF(Lighting!E$46=Report!$A$25,Report!$A$19,Lighting!E$46),Report!$A$18:$L$34,'Actual-CO2 Calculations'!$AK92,FALSE)),0)</f>
        <v>0</v>
      </c>
      <c r="F94" s="738">
        <f>IF(AND($A94&gt;=Lighting!F$44,$A94&lt;=Lighting!F$45),F$4*Lighting!F$47*Lighting!F$48*Lighting!F$49*(VLOOKUP(IF(Lighting!F$46=Report!$A$25,Report!$A$19,Lighting!F$46),Report!$A$18:$L$34,'Actual-CO2 Calculations'!$AK92,FALSE)),0)</f>
        <v>0</v>
      </c>
      <c r="H94" s="660">
        <f t="shared" si="1"/>
        <v>0</v>
      </c>
    </row>
    <row r="95" spans="1:8">
      <c r="A95" s="23" t="s">
        <v>21</v>
      </c>
      <c r="B95" s="738">
        <f>IF(AND($A95&gt;=Lighting!B$44,$A95&lt;=Lighting!B$45),B$4*Lighting!B$47*Lighting!B$48*Lighting!B$49*(VLOOKUP(IF(Lighting!B$46=Report!$A$25,Report!$A$19,Lighting!B$46),Report!$A$18:$L$34,'Actual-CO2 Calculations'!$AK93,FALSE)),0)</f>
        <v>0</v>
      </c>
      <c r="C95" s="738">
        <f>IF(AND($A95&gt;=Lighting!C$44,$A95&lt;=Lighting!C$45),C$4*Lighting!C$47*Lighting!C$48*Lighting!C$49*(VLOOKUP(IF(Lighting!C$46=Report!$A$25,Report!$A$19,Lighting!C$46),Report!$A$18:$L$34,'Actual-CO2 Calculations'!$AK93,FALSE)),0)</f>
        <v>0</v>
      </c>
      <c r="D95" s="738">
        <f>IF(AND($A95&gt;=Lighting!D$44,$A95&lt;=Lighting!D$45),D$4*Lighting!D$47*Lighting!D$48*Lighting!D$49*(VLOOKUP(IF(Lighting!D$46=Report!$A$25,Report!$A$19,Lighting!D$46),Report!$A$18:$L$34,'Actual-CO2 Calculations'!$AK93,FALSE)),0)</f>
        <v>0</v>
      </c>
      <c r="E95" s="738">
        <f>IF(AND($A95&gt;=Lighting!E$44,$A95&lt;=Lighting!E$45),E$4*Lighting!E$47*Lighting!E$48*Lighting!E$49*(VLOOKUP(IF(Lighting!E$46=Report!$A$25,Report!$A$19,Lighting!E$46),Report!$A$18:$L$34,'Actual-CO2 Calculations'!$AK93,FALSE)),0)</f>
        <v>0</v>
      </c>
      <c r="F95" s="738">
        <f>IF(AND($A95&gt;=Lighting!F$44,$A95&lt;=Lighting!F$45),F$4*Lighting!F$47*Lighting!F$48*Lighting!F$49*(VLOOKUP(IF(Lighting!F$46=Report!$A$25,Report!$A$19,Lighting!F$46),Report!$A$18:$L$34,'Actual-CO2 Calculations'!$AK93,FALSE)),0)</f>
        <v>0</v>
      </c>
      <c r="H95" s="660">
        <f t="shared" si="1"/>
        <v>0</v>
      </c>
    </row>
    <row r="96" spans="1:8">
      <c r="A96" s="23" t="s">
        <v>22</v>
      </c>
      <c r="B96" s="738">
        <f>IF(AND($A96&gt;=Lighting!B$44,$A96&lt;=Lighting!B$45),B$4*Lighting!B$47*Lighting!B$48*Lighting!B$49*(VLOOKUP(IF(Lighting!B$46=Report!$A$25,Report!$A$19,Lighting!B$46),Report!$A$18:$L$34,'Actual-CO2 Calculations'!$AK94,FALSE)),0)</f>
        <v>0</v>
      </c>
      <c r="C96" s="738">
        <f>IF(AND($A96&gt;=Lighting!C$44,$A96&lt;=Lighting!C$45),C$4*Lighting!C$47*Lighting!C$48*Lighting!C$49*(VLOOKUP(IF(Lighting!C$46=Report!$A$25,Report!$A$19,Lighting!C$46),Report!$A$18:$L$34,'Actual-CO2 Calculations'!$AK94,FALSE)),0)</f>
        <v>0</v>
      </c>
      <c r="D96" s="738">
        <f>IF(AND($A96&gt;=Lighting!D$44,$A96&lt;=Lighting!D$45),D$4*Lighting!D$47*Lighting!D$48*Lighting!D$49*(VLOOKUP(IF(Lighting!D$46=Report!$A$25,Report!$A$19,Lighting!D$46),Report!$A$18:$L$34,'Actual-CO2 Calculations'!$AK94,FALSE)),0)</f>
        <v>0</v>
      </c>
      <c r="E96" s="738">
        <f>IF(AND($A96&gt;=Lighting!E$44,$A96&lt;=Lighting!E$45),E$4*Lighting!E$47*Lighting!E$48*Lighting!E$49*(VLOOKUP(IF(Lighting!E$46=Report!$A$25,Report!$A$19,Lighting!E$46),Report!$A$18:$L$34,'Actual-CO2 Calculations'!$AK94,FALSE)),0)</f>
        <v>0</v>
      </c>
      <c r="F96" s="738">
        <f>IF(AND($A96&gt;=Lighting!F$44,$A96&lt;=Lighting!F$45),F$4*Lighting!F$47*Lighting!F$48*Lighting!F$49*(VLOOKUP(IF(Lighting!F$46=Report!$A$25,Report!$A$19,Lighting!F$46),Report!$A$18:$L$34,'Actual-CO2 Calculations'!$AK94,FALSE)),0)</f>
        <v>0</v>
      </c>
      <c r="H96" s="660">
        <f t="shared" si="1"/>
        <v>0</v>
      </c>
    </row>
    <row r="97" spans="1:8">
      <c r="A97" s="23" t="s">
        <v>23</v>
      </c>
      <c r="B97" s="738">
        <f>IF(AND($A97&gt;=Lighting!B$44,$A97&lt;=Lighting!B$45),B$4*Lighting!B$47*Lighting!B$48*Lighting!B$49*(VLOOKUP(IF(Lighting!B$46=Report!$A$25,Report!$A$19,Lighting!B$46),Report!$A$18:$L$34,'Actual-CO2 Calculations'!$AK95,FALSE)),0)</f>
        <v>0</v>
      </c>
      <c r="C97" s="738">
        <f>IF(AND($A97&gt;=Lighting!C$44,$A97&lt;=Lighting!C$45),C$4*Lighting!C$47*Lighting!C$48*Lighting!C$49*(VLOOKUP(IF(Lighting!C$46=Report!$A$25,Report!$A$19,Lighting!C$46),Report!$A$18:$L$34,'Actual-CO2 Calculations'!$AK95,FALSE)),0)</f>
        <v>0</v>
      </c>
      <c r="D97" s="738">
        <f>IF(AND($A97&gt;=Lighting!D$44,$A97&lt;=Lighting!D$45),D$4*Lighting!D$47*Lighting!D$48*Lighting!D$49*(VLOOKUP(IF(Lighting!D$46=Report!$A$25,Report!$A$19,Lighting!D$46),Report!$A$18:$L$34,'Actual-CO2 Calculations'!$AK95,FALSE)),0)</f>
        <v>0</v>
      </c>
      <c r="E97" s="738">
        <f>IF(AND($A97&gt;=Lighting!E$44,$A97&lt;=Lighting!E$45),E$4*Lighting!E$47*Lighting!E$48*Lighting!E$49*(VLOOKUP(IF(Lighting!E$46=Report!$A$25,Report!$A$19,Lighting!E$46),Report!$A$18:$L$34,'Actual-CO2 Calculations'!$AK95,FALSE)),0)</f>
        <v>0</v>
      </c>
      <c r="F97" s="738">
        <f>IF(AND($A97&gt;=Lighting!F$44,$A97&lt;=Lighting!F$45),F$4*Lighting!F$47*Lighting!F$48*Lighting!F$49*(VLOOKUP(IF(Lighting!F$46=Report!$A$25,Report!$A$19,Lighting!F$46),Report!$A$18:$L$34,'Actual-CO2 Calculations'!$AK95,FALSE)),0)</f>
        <v>0</v>
      </c>
      <c r="H97" s="660">
        <f t="shared" si="1"/>
        <v>0</v>
      </c>
    </row>
    <row r="98" spans="1:8" s="179" customFormat="1">
      <c r="A98" s="23" t="s">
        <v>974</v>
      </c>
      <c r="B98" s="738">
        <f>IF(AND($A98&gt;=Lighting!B$44,$A98&lt;=Lighting!B$45),B$4*Lighting!B$47*Lighting!B$48*Lighting!B$49*(VLOOKUP(IF(Lighting!B$46=Report!$A$25,Report!$A$19,Lighting!B$46),Report!$A$18:$L$34,'Actual-CO2 Calculations'!$AK96,FALSE)),0)</f>
        <v>0</v>
      </c>
      <c r="C98" s="738">
        <f>IF(AND($A98&gt;=Lighting!C$44,$A98&lt;=Lighting!C$45),C$4*Lighting!C$47*Lighting!C$48*Lighting!C$49*(VLOOKUP(IF(Lighting!C$46=Report!$A$25,Report!$A$19,Lighting!C$46),Report!$A$18:$L$34,'Actual-CO2 Calculations'!$AK96,FALSE)),0)</f>
        <v>0</v>
      </c>
      <c r="D98" s="738">
        <f>IF(AND($A98&gt;=Lighting!D$44,$A98&lt;=Lighting!D$45),D$4*Lighting!D$47*Lighting!D$48*Lighting!D$49*(VLOOKUP(IF(Lighting!D$46=Report!$A$25,Report!$A$19,Lighting!D$46),Report!$A$18:$L$34,'Actual-CO2 Calculations'!$AK96,FALSE)),0)</f>
        <v>0</v>
      </c>
      <c r="E98" s="738">
        <f>IF(AND($A98&gt;=Lighting!E$44,$A98&lt;=Lighting!E$45),E$4*Lighting!E$47*Lighting!E$48*Lighting!E$49*(VLOOKUP(IF(Lighting!E$46=Report!$A$25,Report!$A$19,Lighting!E$46),Report!$A$18:$L$34,'Actual-CO2 Calculations'!$AK96,FALSE)),0)</f>
        <v>0</v>
      </c>
      <c r="F98" s="738">
        <f>IF(AND($A98&gt;=Lighting!F$44,$A98&lt;=Lighting!F$45),F$4*Lighting!F$47*Lighting!F$48*Lighting!F$49*(VLOOKUP(IF(Lighting!F$46=Report!$A$25,Report!$A$19,Lighting!F$46),Report!$A$18:$L$34,'Actual-CO2 Calculations'!$AK96,FALSE)),0)</f>
        <v>0</v>
      </c>
      <c r="H98" s="660">
        <f t="shared" si="1"/>
        <v>0</v>
      </c>
    </row>
    <row r="99" spans="1:8" s="179" customFormat="1">
      <c r="A99" s="23" t="s">
        <v>975</v>
      </c>
      <c r="B99" s="738">
        <f>IF(AND($A99&gt;=Lighting!B$44,$A99&lt;=Lighting!B$45),B$4*Lighting!B$47*Lighting!B$48*Lighting!B$49*(VLOOKUP(IF(Lighting!B$46=Report!$A$25,Report!$A$19,Lighting!B$46),Report!$A$18:$L$34,'Actual-CO2 Calculations'!$AK97,FALSE)),0)</f>
        <v>0</v>
      </c>
      <c r="C99" s="738">
        <f>IF(AND($A99&gt;=Lighting!C$44,$A99&lt;=Lighting!C$45),C$4*Lighting!C$47*Lighting!C$48*Lighting!C$49*(VLOOKUP(IF(Lighting!C$46=Report!$A$25,Report!$A$19,Lighting!C$46),Report!$A$18:$L$34,'Actual-CO2 Calculations'!$AK97,FALSE)),0)</f>
        <v>0</v>
      </c>
      <c r="D99" s="738">
        <f>IF(AND($A99&gt;=Lighting!D$44,$A99&lt;=Lighting!D$45),D$4*Lighting!D$47*Lighting!D$48*Lighting!D$49*(VLOOKUP(IF(Lighting!D$46=Report!$A$25,Report!$A$19,Lighting!D$46),Report!$A$18:$L$34,'Actual-CO2 Calculations'!$AK97,FALSE)),0)</f>
        <v>0</v>
      </c>
      <c r="E99" s="738">
        <f>IF(AND($A99&gt;=Lighting!E$44,$A99&lt;=Lighting!E$45),E$4*Lighting!E$47*Lighting!E$48*Lighting!E$49*(VLOOKUP(IF(Lighting!E$46=Report!$A$25,Report!$A$19,Lighting!E$46),Report!$A$18:$L$34,'Actual-CO2 Calculations'!$AK97,FALSE)),0)</f>
        <v>0</v>
      </c>
      <c r="F99" s="738">
        <f>IF(AND($A99&gt;=Lighting!F$44,$A99&lt;=Lighting!F$45),F$4*Lighting!F$47*Lighting!F$48*Lighting!F$49*(VLOOKUP(IF(Lighting!F$46=Report!$A$25,Report!$A$19,Lighting!F$46),Report!$A$18:$L$34,'Actual-CO2 Calculations'!$AK97,FALSE)),0)</f>
        <v>0</v>
      </c>
      <c r="H99" s="660">
        <f t="shared" si="1"/>
        <v>0</v>
      </c>
    </row>
    <row r="100" spans="1:8" s="179" customFormat="1">
      <c r="A100" s="23" t="s">
        <v>976</v>
      </c>
      <c r="B100" s="738">
        <f>IF(AND($A100&gt;=Lighting!B$44,$A100&lt;=Lighting!B$45),B$4*Lighting!B$47*Lighting!B$48*Lighting!B$49*(VLOOKUP(IF(Lighting!B$46=Report!$A$25,Report!$A$19,Lighting!B$46),Report!$A$18:$L$34,'Actual-CO2 Calculations'!$AK98,FALSE)),0)</f>
        <v>0</v>
      </c>
      <c r="C100" s="738">
        <f>IF(AND($A100&gt;=Lighting!C$44,$A100&lt;=Lighting!C$45),C$4*Lighting!C$47*Lighting!C$48*Lighting!C$49*(VLOOKUP(IF(Lighting!C$46=Report!$A$25,Report!$A$19,Lighting!C$46),Report!$A$18:$L$34,'Actual-CO2 Calculations'!$AK98,FALSE)),0)</f>
        <v>0</v>
      </c>
      <c r="D100" s="738">
        <f>IF(AND($A100&gt;=Lighting!D$44,$A100&lt;=Lighting!D$45),D$4*Lighting!D$47*Lighting!D$48*Lighting!D$49*(VLOOKUP(IF(Lighting!D$46=Report!$A$25,Report!$A$19,Lighting!D$46),Report!$A$18:$L$34,'Actual-CO2 Calculations'!$AK98,FALSE)),0)</f>
        <v>0</v>
      </c>
      <c r="E100" s="738">
        <f>IF(AND($A100&gt;=Lighting!E$44,$A100&lt;=Lighting!E$45),E$4*Lighting!E$47*Lighting!E$48*Lighting!E$49*(VLOOKUP(IF(Lighting!E$46=Report!$A$25,Report!$A$19,Lighting!E$46),Report!$A$18:$L$34,'Actual-CO2 Calculations'!$AK98,FALSE)),0)</f>
        <v>0</v>
      </c>
      <c r="F100" s="738">
        <f>IF(AND($A100&gt;=Lighting!F$44,$A100&lt;=Lighting!F$45),F$4*Lighting!F$47*Lighting!F$48*Lighting!F$49*(VLOOKUP(IF(Lighting!F$46=Report!$A$25,Report!$A$19,Lighting!F$46),Report!$A$18:$L$34,'Actual-CO2 Calculations'!$AK98,FALSE)),0)</f>
        <v>0</v>
      </c>
      <c r="H100" s="660">
        <f t="shared" si="1"/>
        <v>0</v>
      </c>
    </row>
    <row r="101" spans="1:8" s="179" customFormat="1">
      <c r="A101" s="23" t="s">
        <v>977</v>
      </c>
      <c r="B101" s="738">
        <f>IF(AND($A101&gt;=Lighting!B$44,$A101&lt;=Lighting!B$45),B$4*Lighting!B$47*Lighting!B$48*Lighting!B$49*(VLOOKUP(IF(Lighting!B$46=Report!$A$25,Report!$A$19,Lighting!B$46),Report!$A$18:$L$34,'Actual-CO2 Calculations'!$AK99,FALSE)),0)</f>
        <v>0</v>
      </c>
      <c r="C101" s="738">
        <f>IF(AND($A101&gt;=Lighting!C$44,$A101&lt;=Lighting!C$45),C$4*Lighting!C$47*Lighting!C$48*Lighting!C$49*(VLOOKUP(IF(Lighting!C$46=Report!$A$25,Report!$A$19,Lighting!C$46),Report!$A$18:$L$34,'Actual-CO2 Calculations'!$AK99,FALSE)),0)</f>
        <v>0</v>
      </c>
      <c r="D101" s="738">
        <f>IF(AND($A101&gt;=Lighting!D$44,$A101&lt;=Lighting!D$45),D$4*Lighting!D$47*Lighting!D$48*Lighting!D$49*(VLOOKUP(IF(Lighting!D$46=Report!$A$25,Report!$A$19,Lighting!D$46),Report!$A$18:$L$34,'Actual-CO2 Calculations'!$AK99,FALSE)),0)</f>
        <v>0</v>
      </c>
      <c r="E101" s="738">
        <f>IF(AND($A101&gt;=Lighting!E$44,$A101&lt;=Lighting!E$45),E$4*Lighting!E$47*Lighting!E$48*Lighting!E$49*(VLOOKUP(IF(Lighting!E$46=Report!$A$25,Report!$A$19,Lighting!E$46),Report!$A$18:$L$34,'Actual-CO2 Calculations'!$AK99,FALSE)),0)</f>
        <v>0</v>
      </c>
      <c r="F101" s="738">
        <f>IF(AND($A101&gt;=Lighting!F$44,$A101&lt;=Lighting!F$45),F$4*Lighting!F$47*Lighting!F$48*Lighting!F$49*(VLOOKUP(IF(Lighting!F$46=Report!$A$25,Report!$A$19,Lighting!F$46),Report!$A$18:$L$34,'Actual-CO2 Calculations'!$AK99,FALSE)),0)</f>
        <v>0</v>
      </c>
      <c r="H101" s="660">
        <f t="shared" si="1"/>
        <v>0</v>
      </c>
    </row>
    <row r="102" spans="1:8" s="179" customFormat="1">
      <c r="A102" s="23" t="s">
        <v>978</v>
      </c>
      <c r="B102" s="738">
        <f>IF(AND($A102&gt;=Lighting!B$44,$A102&lt;=Lighting!B$45),B$4*Lighting!B$47*Lighting!B$48*Lighting!B$49*(VLOOKUP(IF(Lighting!B$46=Report!$A$25,Report!$A$19,Lighting!B$46),Report!$A$18:$L$34,'Actual-CO2 Calculations'!$AK100,FALSE)),0)</f>
        <v>0</v>
      </c>
      <c r="C102" s="738">
        <f>IF(AND($A102&gt;=Lighting!C$44,$A102&lt;=Lighting!C$45),C$4*Lighting!C$47*Lighting!C$48*Lighting!C$49*(VLOOKUP(IF(Lighting!C$46=Report!$A$25,Report!$A$19,Lighting!C$46),Report!$A$18:$L$34,'Actual-CO2 Calculations'!$AK100,FALSE)),0)</f>
        <v>0</v>
      </c>
      <c r="D102" s="738">
        <f>IF(AND($A102&gt;=Lighting!D$44,$A102&lt;=Lighting!D$45),D$4*Lighting!D$47*Lighting!D$48*Lighting!D$49*(VLOOKUP(IF(Lighting!D$46=Report!$A$25,Report!$A$19,Lighting!D$46),Report!$A$18:$L$34,'Actual-CO2 Calculations'!$AK100,FALSE)),0)</f>
        <v>0</v>
      </c>
      <c r="E102" s="738">
        <f>IF(AND($A102&gt;=Lighting!E$44,$A102&lt;=Lighting!E$45),E$4*Lighting!E$47*Lighting!E$48*Lighting!E$49*(VLOOKUP(IF(Lighting!E$46=Report!$A$25,Report!$A$19,Lighting!E$46),Report!$A$18:$L$34,'Actual-CO2 Calculations'!$AK100,FALSE)),0)</f>
        <v>0</v>
      </c>
      <c r="F102" s="738">
        <f>IF(AND($A102&gt;=Lighting!F$44,$A102&lt;=Lighting!F$45),F$4*Lighting!F$47*Lighting!F$48*Lighting!F$49*(VLOOKUP(IF(Lighting!F$46=Report!$A$25,Report!$A$19,Lighting!F$46),Report!$A$18:$L$34,'Actual-CO2 Calculations'!$AK100,FALSE)),0)</f>
        <v>0</v>
      </c>
      <c r="H102" s="660">
        <f t="shared" si="1"/>
        <v>0</v>
      </c>
    </row>
    <row r="103" spans="1:8" s="179" customFormat="1">
      <c r="A103" s="23" t="s">
        <v>979</v>
      </c>
      <c r="B103" s="738">
        <f>IF(AND($A103&gt;=Lighting!B$44,$A103&lt;=Lighting!B$45),B$4*Lighting!B$47*Lighting!B$48*Lighting!B$49*(VLOOKUP(IF(Lighting!B$46=Report!$A$25,Report!$A$19,Lighting!B$46),Report!$A$18:$L$34,'Actual-CO2 Calculations'!$AK101,FALSE)),0)</f>
        <v>0</v>
      </c>
      <c r="C103" s="738">
        <f>IF(AND($A103&gt;=Lighting!C$44,$A103&lt;=Lighting!C$45),C$4*Lighting!C$47*Lighting!C$48*Lighting!C$49*(VLOOKUP(IF(Lighting!C$46=Report!$A$25,Report!$A$19,Lighting!C$46),Report!$A$18:$L$34,'Actual-CO2 Calculations'!$AK101,FALSE)),0)</f>
        <v>0</v>
      </c>
      <c r="D103" s="738">
        <f>IF(AND($A103&gt;=Lighting!D$44,$A103&lt;=Lighting!D$45),D$4*Lighting!D$47*Lighting!D$48*Lighting!D$49*(VLOOKUP(IF(Lighting!D$46=Report!$A$25,Report!$A$19,Lighting!D$46),Report!$A$18:$L$34,'Actual-CO2 Calculations'!$AK101,FALSE)),0)</f>
        <v>0</v>
      </c>
      <c r="E103" s="738">
        <f>IF(AND($A103&gt;=Lighting!E$44,$A103&lt;=Lighting!E$45),E$4*Lighting!E$47*Lighting!E$48*Lighting!E$49*(VLOOKUP(IF(Lighting!E$46=Report!$A$25,Report!$A$19,Lighting!E$46),Report!$A$18:$L$34,'Actual-CO2 Calculations'!$AK101,FALSE)),0)</f>
        <v>0</v>
      </c>
      <c r="F103" s="738">
        <f>IF(AND($A103&gt;=Lighting!F$44,$A103&lt;=Lighting!F$45),F$4*Lighting!F$47*Lighting!F$48*Lighting!F$49*(VLOOKUP(IF(Lighting!F$46=Report!$A$25,Report!$A$19,Lighting!F$46),Report!$A$18:$L$34,'Actual-CO2 Calculations'!$AK101,FALSE)),0)</f>
        <v>0</v>
      </c>
      <c r="H103" s="660">
        <f t="shared" si="1"/>
        <v>0</v>
      </c>
    </row>
    <row r="104" spans="1:8" s="179" customFormat="1">
      <c r="A104" s="23" t="s">
        <v>980</v>
      </c>
      <c r="B104" s="738">
        <f>IF(AND($A104&gt;=Lighting!B$44,$A104&lt;=Lighting!B$45),B$4*Lighting!B$47*Lighting!B$48*Lighting!B$49*(VLOOKUP(IF(Lighting!B$46=Report!$A$25,Report!$A$19,Lighting!B$46),Report!$A$18:$L$34,'Actual-CO2 Calculations'!$AK102,FALSE)),0)</f>
        <v>0</v>
      </c>
      <c r="C104" s="738">
        <f>IF(AND($A104&gt;=Lighting!C$44,$A104&lt;=Lighting!C$45),C$4*Lighting!C$47*Lighting!C$48*Lighting!C$49*(VLOOKUP(IF(Lighting!C$46=Report!$A$25,Report!$A$19,Lighting!C$46),Report!$A$18:$L$34,'Actual-CO2 Calculations'!$AK102,FALSE)),0)</f>
        <v>0</v>
      </c>
      <c r="D104" s="738">
        <f>IF(AND($A104&gt;=Lighting!D$44,$A104&lt;=Lighting!D$45),D$4*Lighting!D$47*Lighting!D$48*Lighting!D$49*(VLOOKUP(IF(Lighting!D$46=Report!$A$25,Report!$A$19,Lighting!D$46),Report!$A$18:$L$34,'Actual-CO2 Calculations'!$AK102,FALSE)),0)</f>
        <v>0</v>
      </c>
      <c r="E104" s="738">
        <f>IF(AND($A104&gt;=Lighting!E$44,$A104&lt;=Lighting!E$45),E$4*Lighting!E$47*Lighting!E$48*Lighting!E$49*(VLOOKUP(IF(Lighting!E$46=Report!$A$25,Report!$A$19,Lighting!E$46),Report!$A$18:$L$34,'Actual-CO2 Calculations'!$AK102,FALSE)),0)</f>
        <v>0</v>
      </c>
      <c r="F104" s="738">
        <f>IF(AND($A104&gt;=Lighting!F$44,$A104&lt;=Lighting!F$45),F$4*Lighting!F$47*Lighting!F$48*Lighting!F$49*(VLOOKUP(IF(Lighting!F$46=Report!$A$25,Report!$A$19,Lighting!F$46),Report!$A$18:$L$34,'Actual-CO2 Calculations'!$AK102,FALSE)),0)</f>
        <v>0</v>
      </c>
      <c r="H104" s="660">
        <f t="shared" si="1"/>
        <v>0</v>
      </c>
    </row>
    <row r="105" spans="1:8" s="179" customFormat="1">
      <c r="A105" s="23" t="s">
        <v>981</v>
      </c>
      <c r="B105" s="738">
        <f>IF(AND($A105&gt;=Lighting!B$44,$A105&lt;=Lighting!B$45),B$4*Lighting!B$47*Lighting!B$48*Lighting!B$49*(VLOOKUP(IF(Lighting!B$46=Report!$A$25,Report!$A$19,Lighting!B$46),Report!$A$18:$L$34,'Actual-CO2 Calculations'!$AK103,FALSE)),0)</f>
        <v>0</v>
      </c>
      <c r="C105" s="738">
        <f>IF(AND($A105&gt;=Lighting!C$44,$A105&lt;=Lighting!C$45),C$4*Lighting!C$47*Lighting!C$48*Lighting!C$49*(VLOOKUP(IF(Lighting!C$46=Report!$A$25,Report!$A$19,Lighting!C$46),Report!$A$18:$L$34,'Actual-CO2 Calculations'!$AK103,FALSE)),0)</f>
        <v>0</v>
      </c>
      <c r="D105" s="738">
        <f>IF(AND($A105&gt;=Lighting!D$44,$A105&lt;=Lighting!D$45),D$4*Lighting!D$47*Lighting!D$48*Lighting!D$49*(VLOOKUP(IF(Lighting!D$46=Report!$A$25,Report!$A$19,Lighting!D$46),Report!$A$18:$L$34,'Actual-CO2 Calculations'!$AK103,FALSE)),0)</f>
        <v>0</v>
      </c>
      <c r="E105" s="738">
        <f>IF(AND($A105&gt;=Lighting!E$44,$A105&lt;=Lighting!E$45),E$4*Lighting!E$47*Lighting!E$48*Lighting!E$49*(VLOOKUP(IF(Lighting!E$46=Report!$A$25,Report!$A$19,Lighting!E$46),Report!$A$18:$L$34,'Actual-CO2 Calculations'!$AK103,FALSE)),0)</f>
        <v>0</v>
      </c>
      <c r="F105" s="738">
        <f>IF(AND($A105&gt;=Lighting!F$44,$A105&lt;=Lighting!F$45),F$4*Lighting!F$47*Lighting!F$48*Lighting!F$49*(VLOOKUP(IF(Lighting!F$46=Report!$A$25,Report!$A$19,Lighting!F$46),Report!$A$18:$L$34,'Actual-CO2 Calculations'!$AK103,FALSE)),0)</f>
        <v>0</v>
      </c>
      <c r="H105" s="660">
        <f t="shared" si="1"/>
        <v>0</v>
      </c>
    </row>
    <row r="106" spans="1:8" s="179" customFormat="1">
      <c r="A106" s="23" t="s">
        <v>982</v>
      </c>
      <c r="B106" s="738">
        <f>IF(AND($A106&gt;=Lighting!B$44,$A106&lt;=Lighting!B$45),B$4*Lighting!B$47*Lighting!B$48*Lighting!B$49*(VLOOKUP(IF(Lighting!B$46=Report!$A$25,Report!$A$19,Lighting!B$46),Report!$A$18:$L$34,'Actual-CO2 Calculations'!$AK104,FALSE)),0)</f>
        <v>0</v>
      </c>
      <c r="C106" s="738">
        <f>IF(AND($A106&gt;=Lighting!C$44,$A106&lt;=Lighting!C$45),C$4*Lighting!C$47*Lighting!C$48*Lighting!C$49*(VLOOKUP(IF(Lighting!C$46=Report!$A$25,Report!$A$19,Lighting!C$46),Report!$A$18:$L$34,'Actual-CO2 Calculations'!$AK104,FALSE)),0)</f>
        <v>0</v>
      </c>
      <c r="D106" s="738">
        <f>IF(AND($A106&gt;=Lighting!D$44,$A106&lt;=Lighting!D$45),D$4*Lighting!D$47*Lighting!D$48*Lighting!D$49*(VLOOKUP(IF(Lighting!D$46=Report!$A$25,Report!$A$19,Lighting!D$46),Report!$A$18:$L$34,'Actual-CO2 Calculations'!$AK104,FALSE)),0)</f>
        <v>0</v>
      </c>
      <c r="E106" s="738">
        <f>IF(AND($A106&gt;=Lighting!E$44,$A106&lt;=Lighting!E$45),E$4*Lighting!E$47*Lighting!E$48*Lighting!E$49*(VLOOKUP(IF(Lighting!E$46=Report!$A$25,Report!$A$19,Lighting!E$46),Report!$A$18:$L$34,'Actual-CO2 Calculations'!$AK104,FALSE)),0)</f>
        <v>0</v>
      </c>
      <c r="F106" s="738">
        <f>IF(AND($A106&gt;=Lighting!F$44,$A106&lt;=Lighting!F$45),F$4*Lighting!F$47*Lighting!F$48*Lighting!F$49*(VLOOKUP(IF(Lighting!F$46=Report!$A$25,Report!$A$19,Lighting!F$46),Report!$A$18:$L$34,'Actual-CO2 Calculations'!$AK104,FALSE)),0)</f>
        <v>0</v>
      </c>
      <c r="H106" s="660">
        <f t="shared" si="1"/>
        <v>0</v>
      </c>
    </row>
    <row r="107" spans="1:8" s="179" customFormat="1">
      <c r="A107" s="23" t="s">
        <v>983</v>
      </c>
      <c r="B107" s="738">
        <f>IF(AND($A107&gt;=Lighting!B$44,$A107&lt;=Lighting!B$45),B$4*Lighting!B$47*Lighting!B$48*Lighting!B$49*(VLOOKUP(IF(Lighting!B$46=Report!$A$25,Report!$A$19,Lighting!B$46),Report!$A$18:$L$34,'Actual-CO2 Calculations'!$AK105,FALSE)),0)</f>
        <v>0</v>
      </c>
      <c r="C107" s="738">
        <f>IF(AND($A107&gt;=Lighting!C$44,$A107&lt;=Lighting!C$45),C$4*Lighting!C$47*Lighting!C$48*Lighting!C$49*(VLOOKUP(IF(Lighting!C$46=Report!$A$25,Report!$A$19,Lighting!C$46),Report!$A$18:$L$34,'Actual-CO2 Calculations'!$AK105,FALSE)),0)</f>
        <v>0</v>
      </c>
      <c r="D107" s="738">
        <f>IF(AND($A107&gt;=Lighting!D$44,$A107&lt;=Lighting!D$45),D$4*Lighting!D$47*Lighting!D$48*Lighting!D$49*(VLOOKUP(IF(Lighting!D$46=Report!$A$25,Report!$A$19,Lighting!D$46),Report!$A$18:$L$34,'Actual-CO2 Calculations'!$AK105,FALSE)),0)</f>
        <v>0</v>
      </c>
      <c r="E107" s="738">
        <f>IF(AND($A107&gt;=Lighting!E$44,$A107&lt;=Lighting!E$45),E$4*Lighting!E$47*Lighting!E$48*Lighting!E$49*(VLOOKUP(IF(Lighting!E$46=Report!$A$25,Report!$A$19,Lighting!E$46),Report!$A$18:$L$34,'Actual-CO2 Calculations'!$AK105,FALSE)),0)</f>
        <v>0</v>
      </c>
      <c r="F107" s="738">
        <f>IF(AND($A107&gt;=Lighting!F$44,$A107&lt;=Lighting!F$45),F$4*Lighting!F$47*Lighting!F$48*Lighting!F$49*(VLOOKUP(IF(Lighting!F$46=Report!$A$25,Report!$A$19,Lighting!F$46),Report!$A$18:$L$34,'Actual-CO2 Calculations'!$AK105,FALSE)),0)</f>
        <v>0</v>
      </c>
      <c r="H107" s="660">
        <f t="shared" si="1"/>
        <v>0</v>
      </c>
    </row>
    <row r="108" spans="1:8" s="179" customFormat="1">
      <c r="A108" s="23" t="s">
        <v>984</v>
      </c>
      <c r="B108" s="738">
        <f>IF(AND($A108&gt;=Lighting!B$44,$A108&lt;=Lighting!B$45),B$4*Lighting!B$47*Lighting!B$48*Lighting!B$49*(VLOOKUP(IF(Lighting!B$46=Report!$A$25,Report!$A$19,Lighting!B$46),Report!$A$18:$L$34,'Actual-CO2 Calculations'!$AK106,FALSE)),0)</f>
        <v>0</v>
      </c>
      <c r="C108" s="738">
        <f>IF(AND($A108&gt;=Lighting!C$44,$A108&lt;=Lighting!C$45),C$4*Lighting!C$47*Lighting!C$48*Lighting!C$49*(VLOOKUP(IF(Lighting!C$46=Report!$A$25,Report!$A$19,Lighting!C$46),Report!$A$18:$L$34,'Actual-CO2 Calculations'!$AK106,FALSE)),0)</f>
        <v>0</v>
      </c>
      <c r="D108" s="738">
        <f>IF(AND($A108&gt;=Lighting!D$44,$A108&lt;=Lighting!D$45),D$4*Lighting!D$47*Lighting!D$48*Lighting!D$49*(VLOOKUP(IF(Lighting!D$46=Report!$A$25,Report!$A$19,Lighting!D$46),Report!$A$18:$L$34,'Actual-CO2 Calculations'!$AK106,FALSE)),0)</f>
        <v>0</v>
      </c>
      <c r="E108" s="738">
        <f>IF(AND($A108&gt;=Lighting!E$44,$A108&lt;=Lighting!E$45),E$4*Lighting!E$47*Lighting!E$48*Lighting!E$49*(VLOOKUP(IF(Lighting!E$46=Report!$A$25,Report!$A$19,Lighting!E$46),Report!$A$18:$L$34,'Actual-CO2 Calculations'!$AK106,FALSE)),0)</f>
        <v>0</v>
      </c>
      <c r="F108" s="738">
        <f>IF(AND($A108&gt;=Lighting!F$44,$A108&lt;=Lighting!F$45),F$4*Lighting!F$47*Lighting!F$48*Lighting!F$49*(VLOOKUP(IF(Lighting!F$46=Report!$A$25,Report!$A$19,Lighting!F$46),Report!$A$18:$L$34,'Actual-CO2 Calculations'!$AK106,FALSE)),0)</f>
        <v>0</v>
      </c>
      <c r="H108" s="660">
        <f t="shared" si="1"/>
        <v>0</v>
      </c>
    </row>
    <row r="109" spans="1:8" s="179" customFormat="1">
      <c r="A109" s="23" t="s">
        <v>985</v>
      </c>
      <c r="B109" s="738">
        <f>IF(AND($A109&gt;=Lighting!B$44,$A109&lt;=Lighting!B$45),B$4*Lighting!B$47*Lighting!B$48*Lighting!B$49*(VLOOKUP(IF(Lighting!B$46=Report!$A$25,Report!$A$19,Lighting!B$46),Report!$A$18:$L$34,'Actual-CO2 Calculations'!$AK107,FALSE)),0)</f>
        <v>0</v>
      </c>
      <c r="C109" s="738">
        <f>IF(AND($A109&gt;=Lighting!C$44,$A109&lt;=Lighting!C$45),C$4*Lighting!C$47*Lighting!C$48*Lighting!C$49*(VLOOKUP(IF(Lighting!C$46=Report!$A$25,Report!$A$19,Lighting!C$46),Report!$A$18:$L$34,'Actual-CO2 Calculations'!$AK107,FALSE)),0)</f>
        <v>0</v>
      </c>
      <c r="D109" s="738">
        <f>IF(AND($A109&gt;=Lighting!D$44,$A109&lt;=Lighting!D$45),D$4*Lighting!D$47*Lighting!D$48*Lighting!D$49*(VLOOKUP(IF(Lighting!D$46=Report!$A$25,Report!$A$19,Lighting!D$46),Report!$A$18:$L$34,'Actual-CO2 Calculations'!$AK107,FALSE)),0)</f>
        <v>0</v>
      </c>
      <c r="E109" s="738">
        <f>IF(AND($A109&gt;=Lighting!E$44,$A109&lt;=Lighting!E$45),E$4*Lighting!E$47*Lighting!E$48*Lighting!E$49*(VLOOKUP(IF(Lighting!E$46=Report!$A$25,Report!$A$19,Lighting!E$46),Report!$A$18:$L$34,'Actual-CO2 Calculations'!$AK107,FALSE)),0)</f>
        <v>0</v>
      </c>
      <c r="F109" s="738">
        <f>IF(AND($A109&gt;=Lighting!F$44,$A109&lt;=Lighting!F$45),F$4*Lighting!F$47*Lighting!F$48*Lighting!F$49*(VLOOKUP(IF(Lighting!F$46=Report!$A$25,Report!$A$19,Lighting!F$46),Report!$A$18:$L$34,'Actual-CO2 Calculations'!$AK107,FALSE)),0)</f>
        <v>0</v>
      </c>
      <c r="H109" s="660">
        <f t="shared" si="1"/>
        <v>0</v>
      </c>
    </row>
    <row r="110" spans="1:8" s="179" customFormat="1">
      <c r="A110" s="23" t="s">
        <v>986</v>
      </c>
      <c r="B110" s="738">
        <f>IF(AND($A110&gt;=Lighting!B$44,$A110&lt;=Lighting!B$45),B$4*Lighting!B$47*Lighting!B$48*Lighting!B$49*(VLOOKUP(IF(Lighting!B$46=Report!$A$25,Report!$A$19,Lighting!B$46),Report!$A$18:$L$34,'Actual-CO2 Calculations'!$AK108,FALSE)),0)</f>
        <v>0</v>
      </c>
      <c r="C110" s="738">
        <f>IF(AND($A110&gt;=Lighting!C$44,$A110&lt;=Lighting!C$45),C$4*Lighting!C$47*Lighting!C$48*Lighting!C$49*(VLOOKUP(IF(Lighting!C$46=Report!$A$25,Report!$A$19,Lighting!C$46),Report!$A$18:$L$34,'Actual-CO2 Calculations'!$AK108,FALSE)),0)</f>
        <v>0</v>
      </c>
      <c r="D110" s="738">
        <f>IF(AND($A110&gt;=Lighting!D$44,$A110&lt;=Lighting!D$45),D$4*Lighting!D$47*Lighting!D$48*Lighting!D$49*(VLOOKUP(IF(Lighting!D$46=Report!$A$25,Report!$A$19,Lighting!D$46),Report!$A$18:$L$34,'Actual-CO2 Calculations'!$AK108,FALSE)),0)</f>
        <v>0</v>
      </c>
      <c r="E110" s="738">
        <f>IF(AND($A110&gt;=Lighting!E$44,$A110&lt;=Lighting!E$45),E$4*Lighting!E$47*Lighting!E$48*Lighting!E$49*(VLOOKUP(IF(Lighting!E$46=Report!$A$25,Report!$A$19,Lighting!E$46),Report!$A$18:$L$34,'Actual-CO2 Calculations'!$AK108,FALSE)),0)</f>
        <v>0</v>
      </c>
      <c r="F110" s="738">
        <f>IF(AND($A110&gt;=Lighting!F$44,$A110&lt;=Lighting!F$45),F$4*Lighting!F$47*Lighting!F$48*Lighting!F$49*(VLOOKUP(IF(Lighting!F$46=Report!$A$25,Report!$A$19,Lighting!F$46),Report!$A$18:$L$34,'Actual-CO2 Calculations'!$AK108,FALSE)),0)</f>
        <v>0</v>
      </c>
      <c r="H110" s="660">
        <f t="shared" si="1"/>
        <v>0</v>
      </c>
    </row>
    <row r="111" spans="1:8" s="179" customFormat="1">
      <c r="A111" s="23" t="s">
        <v>987</v>
      </c>
      <c r="B111" s="738">
        <f>IF(AND($A111&gt;=Lighting!B$44,$A111&lt;=Lighting!B$45),B$4*Lighting!B$47*Lighting!B$48*Lighting!B$49*(VLOOKUP(IF(Lighting!B$46=Report!$A$25,Report!$A$19,Lighting!B$46),Report!$A$18:$L$34,'Actual-CO2 Calculations'!$AK109,FALSE)),0)</f>
        <v>0</v>
      </c>
      <c r="C111" s="738">
        <f>IF(AND($A111&gt;=Lighting!C$44,$A111&lt;=Lighting!C$45),C$4*Lighting!C$47*Lighting!C$48*Lighting!C$49*(VLOOKUP(IF(Lighting!C$46=Report!$A$25,Report!$A$19,Lighting!C$46),Report!$A$18:$L$34,'Actual-CO2 Calculations'!$AK109,FALSE)),0)</f>
        <v>0</v>
      </c>
      <c r="D111" s="738">
        <f>IF(AND($A111&gt;=Lighting!D$44,$A111&lt;=Lighting!D$45),D$4*Lighting!D$47*Lighting!D$48*Lighting!D$49*(VLOOKUP(IF(Lighting!D$46=Report!$A$25,Report!$A$19,Lighting!D$46),Report!$A$18:$L$34,'Actual-CO2 Calculations'!$AK109,FALSE)),0)</f>
        <v>0</v>
      </c>
      <c r="E111" s="738">
        <f>IF(AND($A111&gt;=Lighting!E$44,$A111&lt;=Lighting!E$45),E$4*Lighting!E$47*Lighting!E$48*Lighting!E$49*(VLOOKUP(IF(Lighting!E$46=Report!$A$25,Report!$A$19,Lighting!E$46),Report!$A$18:$L$34,'Actual-CO2 Calculations'!$AK109,FALSE)),0)</f>
        <v>0</v>
      </c>
      <c r="F111" s="738">
        <f>IF(AND($A111&gt;=Lighting!F$44,$A111&lt;=Lighting!F$45),F$4*Lighting!F$47*Lighting!F$48*Lighting!F$49*(VLOOKUP(IF(Lighting!F$46=Report!$A$25,Report!$A$19,Lighting!F$46),Report!$A$18:$L$34,'Actual-CO2 Calculations'!$AK109,FALSE)),0)</f>
        <v>0</v>
      </c>
      <c r="H111" s="660">
        <f t="shared" si="1"/>
        <v>0</v>
      </c>
    </row>
    <row r="112" spans="1:8" s="179" customFormat="1">
      <c r="A112" s="23" t="s">
        <v>988</v>
      </c>
      <c r="B112" s="738">
        <f>IF(AND($A112&gt;=Lighting!B$44,$A112&lt;=Lighting!B$45),B$4*Lighting!B$47*Lighting!B$48*Lighting!B$49*(VLOOKUP(IF(Lighting!B$46=Report!$A$25,Report!$A$19,Lighting!B$46),Report!$A$18:$L$34,'Actual-CO2 Calculations'!$AK110,FALSE)),0)</f>
        <v>0</v>
      </c>
      <c r="C112" s="738">
        <f>IF(AND($A112&gt;=Lighting!C$44,$A112&lt;=Lighting!C$45),C$4*Lighting!C$47*Lighting!C$48*Lighting!C$49*(VLOOKUP(IF(Lighting!C$46=Report!$A$25,Report!$A$19,Lighting!C$46),Report!$A$18:$L$34,'Actual-CO2 Calculations'!$AK110,FALSE)),0)</f>
        <v>0</v>
      </c>
      <c r="D112" s="738">
        <f>IF(AND($A112&gt;=Lighting!D$44,$A112&lt;=Lighting!D$45),D$4*Lighting!D$47*Lighting!D$48*Lighting!D$49*(VLOOKUP(IF(Lighting!D$46=Report!$A$25,Report!$A$19,Lighting!D$46),Report!$A$18:$L$34,'Actual-CO2 Calculations'!$AK110,FALSE)),0)</f>
        <v>0</v>
      </c>
      <c r="E112" s="738">
        <f>IF(AND($A112&gt;=Lighting!E$44,$A112&lt;=Lighting!E$45),E$4*Lighting!E$47*Lighting!E$48*Lighting!E$49*(VLOOKUP(IF(Lighting!E$46=Report!$A$25,Report!$A$19,Lighting!E$46),Report!$A$18:$L$34,'Actual-CO2 Calculations'!$AK110,FALSE)),0)</f>
        <v>0</v>
      </c>
      <c r="F112" s="738">
        <f>IF(AND($A112&gt;=Lighting!F$44,$A112&lt;=Lighting!F$45),F$4*Lighting!F$47*Lighting!F$48*Lighting!F$49*(VLOOKUP(IF(Lighting!F$46=Report!$A$25,Report!$A$19,Lighting!F$46),Report!$A$18:$L$34,'Actual-CO2 Calculations'!$AK110,FALSE)),0)</f>
        <v>0</v>
      </c>
      <c r="H112" s="660">
        <f t="shared" si="1"/>
        <v>0</v>
      </c>
    </row>
    <row r="113" spans="1:8" s="179" customFormat="1">
      <c r="A113" s="23" t="s">
        <v>989</v>
      </c>
      <c r="B113" s="738">
        <f>IF(AND($A113&gt;=Lighting!B$44,$A113&lt;=Lighting!B$45),B$4*Lighting!B$47*Lighting!B$48*Lighting!B$49*(VLOOKUP(IF(Lighting!B$46=Report!$A$25,Report!$A$19,Lighting!B$46),Report!$A$18:$L$34,'Actual-CO2 Calculations'!$AK111,FALSE)),0)</f>
        <v>0</v>
      </c>
      <c r="C113" s="738">
        <f>IF(AND($A113&gt;=Lighting!C$44,$A113&lt;=Lighting!C$45),C$4*Lighting!C$47*Lighting!C$48*Lighting!C$49*(VLOOKUP(IF(Lighting!C$46=Report!$A$25,Report!$A$19,Lighting!C$46),Report!$A$18:$L$34,'Actual-CO2 Calculations'!$AK111,FALSE)),0)</f>
        <v>0</v>
      </c>
      <c r="D113" s="738">
        <f>IF(AND($A113&gt;=Lighting!D$44,$A113&lt;=Lighting!D$45),D$4*Lighting!D$47*Lighting!D$48*Lighting!D$49*(VLOOKUP(IF(Lighting!D$46=Report!$A$25,Report!$A$19,Lighting!D$46),Report!$A$18:$L$34,'Actual-CO2 Calculations'!$AK111,FALSE)),0)</f>
        <v>0</v>
      </c>
      <c r="E113" s="738">
        <f>IF(AND($A113&gt;=Lighting!E$44,$A113&lt;=Lighting!E$45),E$4*Lighting!E$47*Lighting!E$48*Lighting!E$49*(VLOOKUP(IF(Lighting!E$46=Report!$A$25,Report!$A$19,Lighting!E$46),Report!$A$18:$L$34,'Actual-CO2 Calculations'!$AK111,FALSE)),0)</f>
        <v>0</v>
      </c>
      <c r="F113" s="738">
        <f>IF(AND($A113&gt;=Lighting!F$44,$A113&lt;=Lighting!F$45),F$4*Lighting!F$47*Lighting!F$48*Lighting!F$49*(VLOOKUP(IF(Lighting!F$46=Report!$A$25,Report!$A$19,Lighting!F$46),Report!$A$18:$L$34,'Actual-CO2 Calculations'!$AK111,FALSE)),0)</f>
        <v>0</v>
      </c>
      <c r="H113" s="660">
        <f t="shared" si="1"/>
        <v>0</v>
      </c>
    </row>
    <row r="114" spans="1:8" s="179" customFormat="1">
      <c r="A114" s="23" t="s">
        <v>990</v>
      </c>
      <c r="B114" s="738">
        <f>IF(AND($A114&gt;=Lighting!B$44,$A114&lt;=Lighting!B$45),B$4*Lighting!B$47*Lighting!B$48*Lighting!B$49*(VLOOKUP(IF(Lighting!B$46=Report!$A$25,Report!$A$19,Lighting!B$46),Report!$A$18:$L$34,'Actual-CO2 Calculations'!$AK112,FALSE)),0)</f>
        <v>0</v>
      </c>
      <c r="C114" s="738">
        <f>IF(AND($A114&gt;=Lighting!C$44,$A114&lt;=Lighting!C$45),C$4*Lighting!C$47*Lighting!C$48*Lighting!C$49*(VLOOKUP(IF(Lighting!C$46=Report!$A$25,Report!$A$19,Lighting!C$46),Report!$A$18:$L$34,'Actual-CO2 Calculations'!$AK112,FALSE)),0)</f>
        <v>0</v>
      </c>
      <c r="D114" s="738">
        <f>IF(AND($A114&gt;=Lighting!D$44,$A114&lt;=Lighting!D$45),D$4*Lighting!D$47*Lighting!D$48*Lighting!D$49*(VLOOKUP(IF(Lighting!D$46=Report!$A$25,Report!$A$19,Lighting!D$46),Report!$A$18:$L$34,'Actual-CO2 Calculations'!$AK112,FALSE)),0)</f>
        <v>0</v>
      </c>
      <c r="E114" s="738">
        <f>IF(AND($A114&gt;=Lighting!E$44,$A114&lt;=Lighting!E$45),E$4*Lighting!E$47*Lighting!E$48*Lighting!E$49*(VLOOKUP(IF(Lighting!E$46=Report!$A$25,Report!$A$19,Lighting!E$46),Report!$A$18:$L$34,'Actual-CO2 Calculations'!$AK112,FALSE)),0)</f>
        <v>0</v>
      </c>
      <c r="F114" s="738">
        <f>IF(AND($A114&gt;=Lighting!F$44,$A114&lt;=Lighting!F$45),F$4*Lighting!F$47*Lighting!F$48*Lighting!F$49*(VLOOKUP(IF(Lighting!F$46=Report!$A$25,Report!$A$19,Lighting!F$46),Report!$A$18:$L$34,'Actual-CO2 Calculations'!$AK112,FALSE)),0)</f>
        <v>0</v>
      </c>
      <c r="H114" s="660">
        <f t="shared" si="1"/>
        <v>0</v>
      </c>
    </row>
    <row r="115" spans="1:8" s="179" customFormat="1">
      <c r="A115" s="23" t="s">
        <v>991</v>
      </c>
      <c r="B115" s="738">
        <f>IF(AND($A115&gt;=Lighting!B$44,$A115&lt;=Lighting!B$45),B$4*Lighting!B$47*Lighting!B$48*Lighting!B$49*(VLOOKUP(IF(Lighting!B$46=Report!$A$25,Report!$A$19,Lighting!B$46),Report!$A$18:$L$34,'Actual-CO2 Calculations'!$AK113,FALSE)),0)</f>
        <v>0</v>
      </c>
      <c r="C115" s="738">
        <f>IF(AND($A115&gt;=Lighting!C$44,$A115&lt;=Lighting!C$45),C$4*Lighting!C$47*Lighting!C$48*Lighting!C$49*(VLOOKUP(IF(Lighting!C$46=Report!$A$25,Report!$A$19,Lighting!C$46),Report!$A$18:$L$34,'Actual-CO2 Calculations'!$AK113,FALSE)),0)</f>
        <v>0</v>
      </c>
      <c r="D115" s="738">
        <f>IF(AND($A115&gt;=Lighting!D$44,$A115&lt;=Lighting!D$45),D$4*Lighting!D$47*Lighting!D$48*Lighting!D$49*(VLOOKUP(IF(Lighting!D$46=Report!$A$25,Report!$A$19,Lighting!D$46),Report!$A$18:$L$34,'Actual-CO2 Calculations'!$AK113,FALSE)),0)</f>
        <v>0</v>
      </c>
      <c r="E115" s="738">
        <f>IF(AND($A115&gt;=Lighting!E$44,$A115&lt;=Lighting!E$45),E$4*Lighting!E$47*Lighting!E$48*Lighting!E$49*(VLOOKUP(IF(Lighting!E$46=Report!$A$25,Report!$A$19,Lighting!E$46),Report!$A$18:$L$34,'Actual-CO2 Calculations'!$AK113,FALSE)),0)</f>
        <v>0</v>
      </c>
      <c r="F115" s="738">
        <f>IF(AND($A115&gt;=Lighting!F$44,$A115&lt;=Lighting!F$45),F$4*Lighting!F$47*Lighting!F$48*Lighting!F$49*(VLOOKUP(IF(Lighting!F$46=Report!$A$25,Report!$A$19,Lighting!F$46),Report!$A$18:$L$34,'Actual-CO2 Calculations'!$AK113,FALSE)),0)</f>
        <v>0</v>
      </c>
      <c r="H115" s="660">
        <f t="shared" si="1"/>
        <v>0</v>
      </c>
    </row>
    <row r="116" spans="1:8" s="179" customFormat="1">
      <c r="A116" s="23" t="s">
        <v>992</v>
      </c>
      <c r="B116" s="738">
        <f>IF(AND($A116&gt;=Lighting!B$44,$A116&lt;=Lighting!B$45),B$4*Lighting!B$47*Lighting!B$48*Lighting!B$49*(VLOOKUP(IF(Lighting!B$46=Report!$A$25,Report!$A$19,Lighting!B$46),Report!$A$18:$L$34,'Actual-CO2 Calculations'!$AK114,FALSE)),0)</f>
        <v>0</v>
      </c>
      <c r="C116" s="738">
        <f>IF(AND($A116&gt;=Lighting!C$44,$A116&lt;=Lighting!C$45),C$4*Lighting!C$47*Lighting!C$48*Lighting!C$49*(VLOOKUP(IF(Lighting!C$46=Report!$A$25,Report!$A$19,Lighting!C$46),Report!$A$18:$L$34,'Actual-CO2 Calculations'!$AK114,FALSE)),0)</f>
        <v>0</v>
      </c>
      <c r="D116" s="738">
        <f>IF(AND($A116&gt;=Lighting!D$44,$A116&lt;=Lighting!D$45),D$4*Lighting!D$47*Lighting!D$48*Lighting!D$49*(VLOOKUP(IF(Lighting!D$46=Report!$A$25,Report!$A$19,Lighting!D$46),Report!$A$18:$L$34,'Actual-CO2 Calculations'!$AK114,FALSE)),0)</f>
        <v>0</v>
      </c>
      <c r="E116" s="738">
        <f>IF(AND($A116&gt;=Lighting!E$44,$A116&lt;=Lighting!E$45),E$4*Lighting!E$47*Lighting!E$48*Lighting!E$49*(VLOOKUP(IF(Lighting!E$46=Report!$A$25,Report!$A$19,Lighting!E$46),Report!$A$18:$L$34,'Actual-CO2 Calculations'!$AK114,FALSE)),0)</f>
        <v>0</v>
      </c>
      <c r="F116" s="738">
        <f>IF(AND($A116&gt;=Lighting!F$44,$A116&lt;=Lighting!F$45),F$4*Lighting!F$47*Lighting!F$48*Lighting!F$49*(VLOOKUP(IF(Lighting!F$46=Report!$A$25,Report!$A$19,Lighting!F$46),Report!$A$18:$L$34,'Actual-CO2 Calculations'!$AK114,FALSE)),0)</f>
        <v>0</v>
      </c>
      <c r="H116" s="660">
        <f t="shared" si="1"/>
        <v>0</v>
      </c>
    </row>
    <row r="117" spans="1:8" s="179" customFormat="1">
      <c r="A117" s="23" t="s">
        <v>993</v>
      </c>
      <c r="B117" s="738">
        <f>IF(AND($A117&gt;=Lighting!B$44,$A117&lt;=Lighting!B$45),B$4*Lighting!B$47*Lighting!B$48*Lighting!B$49*(VLOOKUP(IF(Lighting!B$46=Report!$A$25,Report!$A$19,Lighting!B$46),Report!$A$18:$L$34,'Actual-CO2 Calculations'!$AK115,FALSE)),0)</f>
        <v>0</v>
      </c>
      <c r="C117" s="738">
        <f>IF(AND($A117&gt;=Lighting!C$44,$A117&lt;=Lighting!C$45),C$4*Lighting!C$47*Lighting!C$48*Lighting!C$49*(VLOOKUP(IF(Lighting!C$46=Report!$A$25,Report!$A$19,Lighting!C$46),Report!$A$18:$L$34,'Actual-CO2 Calculations'!$AK115,FALSE)),0)</f>
        <v>0</v>
      </c>
      <c r="D117" s="738">
        <f>IF(AND($A117&gt;=Lighting!D$44,$A117&lt;=Lighting!D$45),D$4*Lighting!D$47*Lighting!D$48*Lighting!D$49*(VLOOKUP(IF(Lighting!D$46=Report!$A$25,Report!$A$19,Lighting!D$46),Report!$A$18:$L$34,'Actual-CO2 Calculations'!$AK115,FALSE)),0)</f>
        <v>0</v>
      </c>
      <c r="E117" s="738">
        <f>IF(AND($A117&gt;=Lighting!E$44,$A117&lt;=Lighting!E$45),E$4*Lighting!E$47*Lighting!E$48*Lighting!E$49*(VLOOKUP(IF(Lighting!E$46=Report!$A$25,Report!$A$19,Lighting!E$46),Report!$A$18:$L$34,'Actual-CO2 Calculations'!$AK115,FALSE)),0)</f>
        <v>0</v>
      </c>
      <c r="F117" s="738">
        <f>IF(AND($A117&gt;=Lighting!F$44,$A117&lt;=Lighting!F$45),F$4*Lighting!F$47*Lighting!F$48*Lighting!F$49*(VLOOKUP(IF(Lighting!F$46=Report!$A$25,Report!$A$19,Lighting!F$46),Report!$A$18:$L$34,'Actual-CO2 Calculations'!$AK115,FALSE)),0)</f>
        <v>0</v>
      </c>
      <c r="H117" s="660">
        <f t="shared" si="1"/>
        <v>0</v>
      </c>
    </row>
    <row r="118" spans="1:8" s="179" customFormat="1">
      <c r="A118" s="23" t="s">
        <v>994</v>
      </c>
      <c r="B118" s="738">
        <f>IF(AND($A118&gt;=Lighting!B$44,$A118&lt;=Lighting!B$45),B$4*Lighting!B$47*Lighting!B$48*Lighting!B$49*(VLOOKUP(IF(Lighting!B$46=Report!$A$25,Report!$A$19,Lighting!B$46),Report!$A$18:$L$34,'Actual-CO2 Calculations'!$AK116,FALSE)),0)</f>
        <v>0</v>
      </c>
      <c r="C118" s="738">
        <f>IF(AND($A118&gt;=Lighting!C$44,$A118&lt;=Lighting!C$45),C$4*Lighting!C$47*Lighting!C$48*Lighting!C$49*(VLOOKUP(IF(Lighting!C$46=Report!$A$25,Report!$A$19,Lighting!C$46),Report!$A$18:$L$34,'Actual-CO2 Calculations'!$AK116,FALSE)),0)</f>
        <v>0</v>
      </c>
      <c r="D118" s="738">
        <f>IF(AND($A118&gt;=Lighting!D$44,$A118&lt;=Lighting!D$45),D$4*Lighting!D$47*Lighting!D$48*Lighting!D$49*(VLOOKUP(IF(Lighting!D$46=Report!$A$25,Report!$A$19,Lighting!D$46),Report!$A$18:$L$34,'Actual-CO2 Calculations'!$AK116,FALSE)),0)</f>
        <v>0</v>
      </c>
      <c r="E118" s="738">
        <f>IF(AND($A118&gt;=Lighting!E$44,$A118&lt;=Lighting!E$45),E$4*Lighting!E$47*Lighting!E$48*Lighting!E$49*(VLOOKUP(IF(Lighting!E$46=Report!$A$25,Report!$A$19,Lighting!E$46),Report!$A$18:$L$34,'Actual-CO2 Calculations'!$AK116,FALSE)),0)</f>
        <v>0</v>
      </c>
      <c r="F118" s="738">
        <f>IF(AND($A118&gt;=Lighting!F$44,$A118&lt;=Lighting!F$45),F$4*Lighting!F$47*Lighting!F$48*Lighting!F$49*(VLOOKUP(IF(Lighting!F$46=Report!$A$25,Report!$A$19,Lighting!F$46),Report!$A$18:$L$34,'Actual-CO2 Calculations'!$AK116,FALSE)),0)</f>
        <v>0</v>
      </c>
      <c r="H118" s="660">
        <f t="shared" si="1"/>
        <v>0</v>
      </c>
    </row>
    <row r="119" spans="1:8" s="179" customFormat="1">
      <c r="A119" s="23" t="s">
        <v>995</v>
      </c>
      <c r="B119" s="738">
        <f>IF(AND($A119&gt;=Lighting!B$44,$A119&lt;=Lighting!B$45),B$4*Lighting!B$47*Lighting!B$48*Lighting!B$49*(VLOOKUP(IF(Lighting!B$46=Report!$A$25,Report!$A$19,Lighting!B$46),Report!$A$18:$L$34,'Actual-CO2 Calculations'!$AK117,FALSE)),0)</f>
        <v>0</v>
      </c>
      <c r="C119" s="738">
        <f>IF(AND($A119&gt;=Lighting!C$44,$A119&lt;=Lighting!C$45),C$4*Lighting!C$47*Lighting!C$48*Lighting!C$49*(VLOOKUP(IF(Lighting!C$46=Report!$A$25,Report!$A$19,Lighting!C$46),Report!$A$18:$L$34,'Actual-CO2 Calculations'!$AK117,FALSE)),0)</f>
        <v>0</v>
      </c>
      <c r="D119" s="738">
        <f>IF(AND($A119&gt;=Lighting!D$44,$A119&lt;=Lighting!D$45),D$4*Lighting!D$47*Lighting!D$48*Lighting!D$49*(VLOOKUP(IF(Lighting!D$46=Report!$A$25,Report!$A$19,Lighting!D$46),Report!$A$18:$L$34,'Actual-CO2 Calculations'!$AK117,FALSE)),0)</f>
        <v>0</v>
      </c>
      <c r="E119" s="738">
        <f>IF(AND($A119&gt;=Lighting!E$44,$A119&lt;=Lighting!E$45),E$4*Lighting!E$47*Lighting!E$48*Lighting!E$49*(VLOOKUP(IF(Lighting!E$46=Report!$A$25,Report!$A$19,Lighting!E$46),Report!$A$18:$L$34,'Actual-CO2 Calculations'!$AK117,FALSE)),0)</f>
        <v>0</v>
      </c>
      <c r="F119" s="738">
        <f>IF(AND($A119&gt;=Lighting!F$44,$A119&lt;=Lighting!F$45),F$4*Lighting!F$47*Lighting!F$48*Lighting!F$49*(VLOOKUP(IF(Lighting!F$46=Report!$A$25,Report!$A$19,Lighting!F$46),Report!$A$18:$L$34,'Actual-CO2 Calculations'!$AK117,FALSE)),0)</f>
        <v>0</v>
      </c>
      <c r="H119" s="660">
        <f t="shared" si="1"/>
        <v>0</v>
      </c>
    </row>
    <row r="120" spans="1:8" s="179" customFormat="1">
      <c r="A120" s="23" t="s">
        <v>996</v>
      </c>
      <c r="B120" s="738">
        <f>IF(AND($A120&gt;=Lighting!B$44,$A120&lt;=Lighting!B$45),B$4*Lighting!B$47*Lighting!B$48*Lighting!B$49*(VLOOKUP(IF(Lighting!B$46=Report!$A$25,Report!$A$19,Lighting!B$46),Report!$A$18:$L$34,'Actual-CO2 Calculations'!$AK118,FALSE)),0)</f>
        <v>0</v>
      </c>
      <c r="C120" s="738">
        <f>IF(AND($A120&gt;=Lighting!C$44,$A120&lt;=Lighting!C$45),C$4*Lighting!C$47*Lighting!C$48*Lighting!C$49*(VLOOKUP(IF(Lighting!C$46=Report!$A$25,Report!$A$19,Lighting!C$46),Report!$A$18:$L$34,'Actual-CO2 Calculations'!$AK118,FALSE)),0)</f>
        <v>0</v>
      </c>
      <c r="D120" s="738">
        <f>IF(AND($A120&gt;=Lighting!D$44,$A120&lt;=Lighting!D$45),D$4*Lighting!D$47*Lighting!D$48*Lighting!D$49*(VLOOKUP(IF(Lighting!D$46=Report!$A$25,Report!$A$19,Lighting!D$46),Report!$A$18:$L$34,'Actual-CO2 Calculations'!$AK118,FALSE)),0)</f>
        <v>0</v>
      </c>
      <c r="E120" s="738">
        <f>IF(AND($A120&gt;=Lighting!E$44,$A120&lt;=Lighting!E$45),E$4*Lighting!E$47*Lighting!E$48*Lighting!E$49*(VLOOKUP(IF(Lighting!E$46=Report!$A$25,Report!$A$19,Lighting!E$46),Report!$A$18:$L$34,'Actual-CO2 Calculations'!$AK118,FALSE)),0)</f>
        <v>0</v>
      </c>
      <c r="F120" s="738">
        <f>IF(AND($A120&gt;=Lighting!F$44,$A120&lt;=Lighting!F$45),F$4*Lighting!F$47*Lighting!F$48*Lighting!F$49*(VLOOKUP(IF(Lighting!F$46=Report!$A$25,Report!$A$19,Lighting!F$46),Report!$A$18:$L$34,'Actual-CO2 Calculations'!$AK118,FALSE)),0)</f>
        <v>0</v>
      </c>
      <c r="H120" s="660">
        <f t="shared" si="1"/>
        <v>0</v>
      </c>
    </row>
    <row r="121" spans="1:8" s="179" customFormat="1">
      <c r="A121" s="23" t="s">
        <v>997</v>
      </c>
      <c r="B121" s="738">
        <f>IF(AND($A121&gt;=Lighting!B$44,$A121&lt;=Lighting!B$45),B$4*Lighting!B$47*Lighting!B$48*Lighting!B$49*(VLOOKUP(IF(Lighting!B$46=Report!$A$25,Report!$A$19,Lighting!B$46),Report!$A$18:$L$34,'Actual-CO2 Calculations'!$AK119,FALSE)),0)</f>
        <v>0</v>
      </c>
      <c r="C121" s="738">
        <f>IF(AND($A121&gt;=Lighting!C$44,$A121&lt;=Lighting!C$45),C$4*Lighting!C$47*Lighting!C$48*Lighting!C$49*(VLOOKUP(IF(Lighting!C$46=Report!$A$25,Report!$A$19,Lighting!C$46),Report!$A$18:$L$34,'Actual-CO2 Calculations'!$AK119,FALSE)),0)</f>
        <v>0</v>
      </c>
      <c r="D121" s="738">
        <f>IF(AND($A121&gt;=Lighting!D$44,$A121&lt;=Lighting!D$45),D$4*Lighting!D$47*Lighting!D$48*Lighting!D$49*(VLOOKUP(IF(Lighting!D$46=Report!$A$25,Report!$A$19,Lighting!D$46),Report!$A$18:$L$34,'Actual-CO2 Calculations'!$AK119,FALSE)),0)</f>
        <v>0</v>
      </c>
      <c r="E121" s="738">
        <f>IF(AND($A121&gt;=Lighting!E$44,$A121&lt;=Lighting!E$45),E$4*Lighting!E$47*Lighting!E$48*Lighting!E$49*(VLOOKUP(IF(Lighting!E$46=Report!$A$25,Report!$A$19,Lighting!E$46),Report!$A$18:$L$34,'Actual-CO2 Calculations'!$AK119,FALSE)),0)</f>
        <v>0</v>
      </c>
      <c r="F121" s="738">
        <f>IF(AND($A121&gt;=Lighting!F$44,$A121&lt;=Lighting!F$45),F$4*Lighting!F$47*Lighting!F$48*Lighting!F$49*(VLOOKUP(IF(Lighting!F$46=Report!$A$25,Report!$A$19,Lighting!F$46),Report!$A$18:$L$34,'Actual-CO2 Calculations'!$AK119,FALSE)),0)</f>
        <v>0</v>
      </c>
      <c r="H121" s="660">
        <f t="shared" si="1"/>
        <v>0</v>
      </c>
    </row>
    <row r="122" spans="1:8" s="179" customFormat="1">
      <c r="A122" s="23" t="s">
        <v>998</v>
      </c>
      <c r="B122" s="738">
        <f>IF(AND($A122&gt;=Lighting!B$44,$A122&lt;=Lighting!B$45),B$4*Lighting!B$47*Lighting!B$48*Lighting!B$49*(VLOOKUP(IF(Lighting!B$46=Report!$A$25,Report!$A$19,Lighting!B$46),Report!$A$18:$L$34,'Actual-CO2 Calculations'!$AK120,FALSE)),0)</f>
        <v>0</v>
      </c>
      <c r="C122" s="738">
        <f>IF(AND($A122&gt;=Lighting!C$44,$A122&lt;=Lighting!C$45),C$4*Lighting!C$47*Lighting!C$48*Lighting!C$49*(VLOOKUP(IF(Lighting!C$46=Report!$A$25,Report!$A$19,Lighting!C$46),Report!$A$18:$L$34,'Actual-CO2 Calculations'!$AK120,FALSE)),0)</f>
        <v>0</v>
      </c>
      <c r="D122" s="738">
        <f>IF(AND($A122&gt;=Lighting!D$44,$A122&lt;=Lighting!D$45),D$4*Lighting!D$47*Lighting!D$48*Lighting!D$49*(VLOOKUP(IF(Lighting!D$46=Report!$A$25,Report!$A$19,Lighting!D$46),Report!$A$18:$L$34,'Actual-CO2 Calculations'!$AK120,FALSE)),0)</f>
        <v>0</v>
      </c>
      <c r="E122" s="738">
        <f>IF(AND($A122&gt;=Lighting!E$44,$A122&lt;=Lighting!E$45),E$4*Lighting!E$47*Lighting!E$48*Lighting!E$49*(VLOOKUP(IF(Lighting!E$46=Report!$A$25,Report!$A$19,Lighting!E$46),Report!$A$18:$L$34,'Actual-CO2 Calculations'!$AK120,FALSE)),0)</f>
        <v>0</v>
      </c>
      <c r="F122" s="738">
        <f>IF(AND($A122&gt;=Lighting!F$44,$A122&lt;=Lighting!F$45),F$4*Lighting!F$47*Lighting!F$48*Lighting!F$49*(VLOOKUP(IF(Lighting!F$46=Report!$A$25,Report!$A$19,Lighting!F$46),Report!$A$18:$L$34,'Actual-CO2 Calculations'!$AK120,FALSE)),0)</f>
        <v>0</v>
      </c>
      <c r="H122" s="660">
        <f t="shared" si="1"/>
        <v>0</v>
      </c>
    </row>
    <row r="123" spans="1:8" s="179" customFormat="1">
      <c r="A123" s="23" t="s">
        <v>999</v>
      </c>
      <c r="B123" s="738">
        <f>IF(AND($A123&gt;=Lighting!B$44,$A123&lt;=Lighting!B$45),B$4*Lighting!B$47*Lighting!B$48*Lighting!B$49*(VLOOKUP(IF(Lighting!B$46=Report!$A$25,Report!$A$19,Lighting!B$46),Report!$A$18:$L$34,'Actual-CO2 Calculations'!$AK121,FALSE)),0)</f>
        <v>0</v>
      </c>
      <c r="C123" s="738">
        <f>IF(AND($A123&gt;=Lighting!C$44,$A123&lt;=Lighting!C$45),C$4*Lighting!C$47*Lighting!C$48*Lighting!C$49*(VLOOKUP(IF(Lighting!C$46=Report!$A$25,Report!$A$19,Lighting!C$46),Report!$A$18:$L$34,'Actual-CO2 Calculations'!$AK121,FALSE)),0)</f>
        <v>0</v>
      </c>
      <c r="D123" s="738">
        <f>IF(AND($A123&gt;=Lighting!D$44,$A123&lt;=Lighting!D$45),D$4*Lighting!D$47*Lighting!D$48*Lighting!D$49*(VLOOKUP(IF(Lighting!D$46=Report!$A$25,Report!$A$19,Lighting!D$46),Report!$A$18:$L$34,'Actual-CO2 Calculations'!$AK121,FALSE)),0)</f>
        <v>0</v>
      </c>
      <c r="E123" s="738">
        <f>IF(AND($A123&gt;=Lighting!E$44,$A123&lt;=Lighting!E$45),E$4*Lighting!E$47*Lighting!E$48*Lighting!E$49*(VLOOKUP(IF(Lighting!E$46=Report!$A$25,Report!$A$19,Lighting!E$46),Report!$A$18:$L$34,'Actual-CO2 Calculations'!$AK121,FALSE)),0)</f>
        <v>0</v>
      </c>
      <c r="F123" s="738">
        <f>IF(AND($A123&gt;=Lighting!F$44,$A123&lt;=Lighting!F$45),F$4*Lighting!F$47*Lighting!F$48*Lighting!F$49*(VLOOKUP(IF(Lighting!F$46=Report!$A$25,Report!$A$19,Lighting!F$46),Report!$A$18:$L$34,'Actual-CO2 Calculations'!$AK121,FALSE)),0)</f>
        <v>0</v>
      </c>
      <c r="H123" s="660">
        <f t="shared" si="1"/>
        <v>0</v>
      </c>
    </row>
    <row r="124" spans="1:8">
      <c r="H124" s="660"/>
    </row>
    <row r="125" spans="1:8">
      <c r="H125" s="660"/>
    </row>
    <row r="126" spans="1:8">
      <c r="A126" s="116" t="s">
        <v>112</v>
      </c>
      <c r="B126">
        <f>SUM(B7:B123)</f>
        <v>54295.191999999995</v>
      </c>
      <c r="C126" s="179">
        <f t="shared" ref="C126:F126" si="2">SUM(C7:C123)</f>
        <v>0</v>
      </c>
      <c r="D126" s="179">
        <f t="shared" si="2"/>
        <v>0</v>
      </c>
      <c r="E126" s="179">
        <f t="shared" si="2"/>
        <v>0</v>
      </c>
      <c r="F126" s="179">
        <f t="shared" si="2"/>
        <v>0</v>
      </c>
      <c r="H126" s="660">
        <f t="shared" si="1"/>
        <v>54295.191999999995</v>
      </c>
    </row>
  </sheetData>
  <pageMargins left="0.7" right="0.7" top="0.75" bottom="0.75" header="0.3" footer="0.3"/>
  <pageSetup paperSize="9" orientation="portrait" verticalDpi="4"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48"/>
  <sheetViews>
    <sheetView topLeftCell="A49" zoomScale="85" zoomScaleNormal="85" workbookViewId="0">
      <selection activeCell="B4" sqref="B4"/>
    </sheetView>
  </sheetViews>
  <sheetFormatPr defaultRowHeight="15"/>
  <cols>
    <col min="1" max="1" width="28.7109375" bestFit="1" customWidth="1"/>
    <col min="2" max="7" width="20.7109375" customWidth="1"/>
  </cols>
  <sheetData>
    <row r="1" spans="1:10">
      <c r="A1" s="72"/>
      <c r="B1" s="72"/>
      <c r="C1" s="72"/>
      <c r="D1" s="72"/>
      <c r="E1" s="72"/>
      <c r="F1" s="72"/>
      <c r="G1" s="72"/>
    </row>
    <row r="2" spans="1:10" ht="15.75" customHeight="1">
      <c r="A2" s="179"/>
      <c r="B2" s="85" t="str">
        <f>Report!B3</f>
        <v>2015/16-Q1</v>
      </c>
      <c r="C2" s="72"/>
      <c r="D2" s="936" t="s">
        <v>972</v>
      </c>
      <c r="E2" s="936"/>
      <c r="F2" s="72"/>
      <c r="G2" s="72"/>
    </row>
    <row r="3" spans="1:10" ht="15.75" customHeight="1">
      <c r="A3" s="92" t="s">
        <v>967</v>
      </c>
      <c r="B3" s="101" t="s">
        <v>1122</v>
      </c>
      <c r="C3" s="95"/>
      <c r="D3" s="936"/>
      <c r="E3" s="936"/>
      <c r="F3" s="72"/>
      <c r="G3" s="72"/>
    </row>
    <row r="4" spans="1:10" ht="15.75" customHeight="1">
      <c r="A4" s="92" t="s">
        <v>968</v>
      </c>
      <c r="B4" s="101" t="s">
        <v>1123</v>
      </c>
      <c r="C4" s="95"/>
      <c r="D4" s="936"/>
      <c r="E4" s="936"/>
      <c r="F4" s="72"/>
      <c r="G4" s="72"/>
    </row>
    <row r="5" spans="1:10" ht="31.5">
      <c r="A5" s="160" t="s">
        <v>208</v>
      </c>
      <c r="B5" s="101"/>
      <c r="C5" s="95"/>
      <c r="D5" s="936"/>
      <c r="E5" s="936"/>
      <c r="F5" s="72"/>
      <c r="G5" s="72"/>
    </row>
    <row r="6" spans="1:10" ht="15.75" customHeight="1">
      <c r="A6" s="86"/>
      <c r="B6" s="179"/>
      <c r="C6" s="72"/>
      <c r="D6" s="936"/>
      <c r="E6" s="936"/>
      <c r="F6" s="72"/>
      <c r="G6" s="72"/>
    </row>
    <row r="7" spans="1:10" ht="15.75" customHeight="1">
      <c r="A7" s="92" t="s">
        <v>862</v>
      </c>
      <c r="B7" s="520">
        <v>42200</v>
      </c>
      <c r="C7" s="72"/>
      <c r="D7" s="936"/>
      <c r="E7" s="936"/>
      <c r="F7" s="72"/>
      <c r="G7" s="72"/>
    </row>
    <row r="8" spans="1:10" ht="15.75">
      <c r="A8" s="86"/>
      <c r="B8" s="112"/>
      <c r="C8" s="72"/>
      <c r="D8" s="936"/>
      <c r="E8" s="936"/>
      <c r="F8" s="72"/>
      <c r="G8" s="72"/>
    </row>
    <row r="9" spans="1:10">
      <c r="A9" s="105"/>
      <c r="B9" s="106"/>
      <c r="C9" s="74"/>
      <c r="D9" s="72"/>
      <c r="E9" s="72"/>
      <c r="F9" s="72"/>
      <c r="G9" s="72"/>
    </row>
    <row r="10" spans="1:10" ht="27" thickBot="1">
      <c r="A10" s="75" t="s">
        <v>242</v>
      </c>
      <c r="B10" s="30"/>
      <c r="C10" s="30"/>
      <c r="D10" s="30"/>
      <c r="F10" s="950" t="s">
        <v>863</v>
      </c>
      <c r="H10" s="947" t="s">
        <v>257</v>
      </c>
      <c r="I10" s="948"/>
      <c r="J10" s="949"/>
    </row>
    <row r="11" spans="1:10" ht="30" customHeight="1">
      <c r="A11" s="89" t="s">
        <v>143</v>
      </c>
      <c r="B11" s="941" t="s">
        <v>144</v>
      </c>
      <c r="C11" s="942"/>
      <c r="D11" s="943"/>
      <c r="F11" s="950"/>
      <c r="H11" s="944" t="str">
        <f>B11</f>
        <v>Office Lighting</v>
      </c>
      <c r="I11" s="945"/>
      <c r="J11" s="946"/>
    </row>
    <row r="12" spans="1:10" ht="15" customHeight="1">
      <c r="A12" s="80" t="s">
        <v>183</v>
      </c>
      <c r="B12" s="123" t="s">
        <v>75</v>
      </c>
      <c r="C12" s="123" t="s">
        <v>32</v>
      </c>
      <c r="D12" s="123" t="s">
        <v>33</v>
      </c>
      <c r="F12" s="950"/>
      <c r="H12" s="527"/>
      <c r="I12" s="528">
        <f>VLOOKUP(C12,'Behaviour Calculations'!$A$9:$P$99,16,FALSE)</f>
        <v>2</v>
      </c>
      <c r="J12" s="529">
        <f>VLOOKUP(D12,'Behaviour Calculations'!$A$9:$P$99,16,FALSE)</f>
        <v>3</v>
      </c>
    </row>
    <row r="13" spans="1:10" ht="15" customHeight="1">
      <c r="A13" s="80" t="s">
        <v>184</v>
      </c>
      <c r="B13" s="123" t="s">
        <v>19</v>
      </c>
      <c r="C13" s="123" t="s">
        <v>32</v>
      </c>
      <c r="D13" s="123" t="s">
        <v>33</v>
      </c>
      <c r="F13" s="950"/>
      <c r="H13" s="527">
        <f>VLOOKUP(B13,'Behaviour Calculations'!$A$9:$P$99,16,FALSE)</f>
        <v>78</v>
      </c>
      <c r="I13" s="528">
        <f>VLOOKUP(C13,'Behaviour Calculations'!$A$9:$P$99,16,FALSE)</f>
        <v>2</v>
      </c>
      <c r="J13" s="529"/>
    </row>
    <row r="14" spans="1:10" ht="30.75" thickBot="1">
      <c r="A14" s="111" t="s">
        <v>146</v>
      </c>
      <c r="B14" s="506">
        <v>70</v>
      </c>
      <c r="C14" s="506"/>
      <c r="D14" s="506"/>
      <c r="F14" s="950"/>
      <c r="H14" s="527"/>
      <c r="I14" s="528">
        <f>IF(C14&gt;0,IF(OR(H13=I12,H13&gt;I12),1,),0)</f>
        <v>0</v>
      </c>
      <c r="J14" s="529">
        <f>IF(D14&gt;0,IF(OR(I13=J12,I13&gt;J12),1,),0)</f>
        <v>0</v>
      </c>
    </row>
    <row r="15" spans="1:10" s="72" customFormat="1" ht="16.5" customHeight="1" thickBot="1">
      <c r="A15" s="89"/>
      <c r="B15" s="171"/>
      <c r="C15" s="171"/>
      <c r="D15" s="171"/>
      <c r="F15" s="950"/>
      <c r="H15" s="527"/>
      <c r="I15" s="528"/>
      <c r="J15" s="529"/>
    </row>
    <row r="16" spans="1:10" s="179" customFormat="1" ht="30" customHeight="1">
      <c r="A16" s="89" t="s">
        <v>143</v>
      </c>
      <c r="B16" s="941" t="s">
        <v>145</v>
      </c>
      <c r="C16" s="942"/>
      <c r="D16" s="943"/>
      <c r="F16" s="950"/>
      <c r="H16" s="944" t="str">
        <f>B16</f>
        <v>Computers and monitors</v>
      </c>
      <c r="I16" s="945"/>
      <c r="J16" s="946"/>
    </row>
    <row r="17" spans="1:10" s="179" customFormat="1" ht="15" customHeight="1">
      <c r="A17" s="80" t="s">
        <v>183</v>
      </c>
      <c r="B17" s="123" t="s">
        <v>75</v>
      </c>
      <c r="C17" s="123" t="s">
        <v>32</v>
      </c>
      <c r="D17" s="123" t="s">
        <v>33</v>
      </c>
      <c r="F17" s="950"/>
      <c r="H17" s="527"/>
      <c r="I17" s="528">
        <f>VLOOKUP(C17,'Behaviour Calculations'!$A$9:$P$99,16,FALSE)</f>
        <v>2</v>
      </c>
      <c r="J17" s="529">
        <f>VLOOKUP(D17,'Behaviour Calculations'!$A$9:$P$99,16,FALSE)</f>
        <v>3</v>
      </c>
    </row>
    <row r="18" spans="1:10" s="179" customFormat="1" ht="15" customHeight="1">
      <c r="A18" s="80" t="s">
        <v>184</v>
      </c>
      <c r="B18" s="123" t="s">
        <v>19</v>
      </c>
      <c r="C18" s="123" t="s">
        <v>32</v>
      </c>
      <c r="D18" s="123" t="s">
        <v>33</v>
      </c>
      <c r="F18" s="950"/>
      <c r="H18" s="527">
        <f>VLOOKUP(B18,'Behaviour Calculations'!$A$9:$P$99,16,FALSE)</f>
        <v>78</v>
      </c>
      <c r="I18" s="528">
        <f>VLOOKUP(C18,'Behaviour Calculations'!$A$9:$P$99,16,FALSE)</f>
        <v>2</v>
      </c>
      <c r="J18" s="529"/>
    </row>
    <row r="19" spans="1:10" s="179" customFormat="1" ht="30.75" thickBot="1">
      <c r="A19" s="111" t="s">
        <v>146</v>
      </c>
      <c r="B19" s="506">
        <v>70</v>
      </c>
      <c r="C19" s="506"/>
      <c r="D19" s="506"/>
      <c r="F19" s="950"/>
      <c r="H19" s="527"/>
      <c r="I19" s="528">
        <f>IF(C19&gt;0,IF(OR(H18=I17,H18&gt;I17),1,),0)</f>
        <v>0</v>
      </c>
      <c r="J19" s="529">
        <f>IF(D19&gt;0,IF(OR(I18=J17,I18&gt;J17),1,),0)</f>
        <v>0</v>
      </c>
    </row>
    <row r="20" spans="1:10" s="179" customFormat="1" ht="16.5" customHeight="1" thickBot="1">
      <c r="A20" s="89"/>
      <c r="B20" s="171"/>
      <c r="C20" s="171"/>
      <c r="D20" s="171"/>
      <c r="F20" s="950"/>
      <c r="H20" s="527"/>
      <c r="I20" s="528"/>
      <c r="J20" s="529"/>
    </row>
    <row r="21" spans="1:10" s="179" customFormat="1" ht="30" customHeight="1">
      <c r="A21" s="89" t="s">
        <v>143</v>
      </c>
      <c r="B21" s="941" t="s">
        <v>861</v>
      </c>
      <c r="C21" s="942"/>
      <c r="D21" s="943"/>
      <c r="F21" s="950"/>
      <c r="H21" s="944" t="str">
        <f>B21</f>
        <v>Printing &amp; Paper</v>
      </c>
      <c r="I21" s="945"/>
      <c r="J21" s="946"/>
    </row>
    <row r="22" spans="1:10" s="179" customFormat="1" ht="15" customHeight="1">
      <c r="A22" s="80" t="s">
        <v>183</v>
      </c>
      <c r="B22" s="123" t="s">
        <v>72</v>
      </c>
      <c r="C22" s="123" t="s">
        <v>32</v>
      </c>
      <c r="D22" s="123" t="s">
        <v>33</v>
      </c>
      <c r="F22" s="950"/>
      <c r="H22" s="527"/>
      <c r="I22" s="528">
        <f>VLOOKUP(C22,'Behaviour Calculations'!$A$9:$P$99,16,FALSE)</f>
        <v>2</v>
      </c>
      <c r="J22" s="529">
        <f>VLOOKUP(D22,'Behaviour Calculations'!$A$9:$P$99,16,FALSE)</f>
        <v>3</v>
      </c>
    </row>
    <row r="23" spans="1:10" s="179" customFormat="1" ht="15" customHeight="1">
      <c r="A23" s="80" t="s">
        <v>184</v>
      </c>
      <c r="B23" s="123" t="s">
        <v>19</v>
      </c>
      <c r="C23" s="123" t="s">
        <v>32</v>
      </c>
      <c r="D23" s="123" t="s">
        <v>33</v>
      </c>
      <c r="F23" s="950"/>
      <c r="H23" s="527">
        <f>VLOOKUP(B23,'Behaviour Calculations'!$A$9:$P$99,16,FALSE)</f>
        <v>78</v>
      </c>
      <c r="I23" s="528">
        <f>VLOOKUP(C23,'Behaviour Calculations'!$A$9:$P$99,16,FALSE)</f>
        <v>2</v>
      </c>
      <c r="J23" s="529"/>
    </row>
    <row r="24" spans="1:10" s="179" customFormat="1" ht="30.75" thickBot="1">
      <c r="A24" s="111" t="s">
        <v>146</v>
      </c>
      <c r="B24" s="506">
        <v>70</v>
      </c>
      <c r="C24" s="506"/>
      <c r="D24" s="506"/>
      <c r="F24" s="950"/>
      <c r="H24" s="530"/>
      <c r="I24" s="531">
        <f>IF(C24&gt;0,IF(OR(H23=I22,H23&gt;I22),1,),0)</f>
        <v>0</v>
      </c>
      <c r="J24" s="532">
        <f>IF(D24&gt;0,IF(OR(I23=J22,I23&gt;J22),1,),0)</f>
        <v>0</v>
      </c>
    </row>
    <row r="25" spans="1:10">
      <c r="F25" s="950"/>
    </row>
    <row r="26" spans="1:10" s="179" customFormat="1" ht="15" customHeight="1">
      <c r="F26" s="521"/>
    </row>
    <row r="27" spans="1:10" ht="19.5" thickBot="1">
      <c r="A27" s="107" t="s">
        <v>241</v>
      </c>
      <c r="B27" s="76"/>
      <c r="C27" s="76"/>
      <c r="D27" s="76"/>
      <c r="E27" s="73"/>
      <c r="F27" s="73"/>
      <c r="G27" s="73"/>
    </row>
    <row r="28" spans="1:10" s="179" customFormat="1" ht="31.5">
      <c r="A28" s="518"/>
      <c r="B28" s="499" t="s">
        <v>144</v>
      </c>
      <c r="C28" s="519" t="s">
        <v>860</v>
      </c>
      <c r="D28" s="499" t="s">
        <v>861</v>
      </c>
      <c r="E28" s="73"/>
      <c r="F28" s="73"/>
      <c r="G28" s="73"/>
    </row>
    <row r="29" spans="1:10" ht="30.75">
      <c r="A29" s="91" t="s">
        <v>218</v>
      </c>
      <c r="B29" s="161">
        <f>IF('Behaviour Calculations'!E$128&gt;0,(Report!$K$8*'Behaviour Calculations'!E$128/VLOOKUP(Report!$C$6,'Actual-CO2 Calculations'!$A$5:$O$121,'Actual-CO2 Calculations'!$O$1,FALSE)),0)</f>
        <v>5.4499643246963252E-3</v>
      </c>
      <c r="C29" s="161">
        <f>IF('Behaviour Calculations'!J$128&gt;0,(Report!$K$8*'Behaviour Calculations'!J$128/VLOOKUP(Report!$C$6,'Actual-CO2 Calculations'!$A$5:$O$121,'Actual-CO2 Calculations'!$O$1,FALSE)),0)</f>
        <v>4.0938000253796505E-3</v>
      </c>
      <c r="D29" s="161">
        <f>IF('Behaviour Calculations'!O$128&gt;0,(Report!$K$8*'Behaviour Calculations'!O$128/VLOOKUP(Report!$C$6,'Actual-CO2 Calculations'!$A$5:$O$121,'Actual-CO2 Calculations'!$O$1,FALSE)),0)</f>
        <v>3.1261745648353692E-3</v>
      </c>
      <c r="E29" s="104"/>
      <c r="F29" s="104"/>
      <c r="G29" s="104"/>
    </row>
    <row r="32" spans="1:10" ht="27" thickBot="1">
      <c r="A32" s="75" t="s">
        <v>873</v>
      </c>
      <c r="B32" s="30"/>
      <c r="C32" s="30"/>
      <c r="D32" s="30"/>
      <c r="E32" s="30"/>
      <c r="F32" s="30"/>
      <c r="G32" s="30"/>
    </row>
    <row r="33" spans="1:7">
      <c r="A33" s="89" t="s">
        <v>187</v>
      </c>
      <c r="B33" s="122"/>
      <c r="C33" s="122"/>
      <c r="D33" s="122"/>
      <c r="E33" s="122"/>
      <c r="F33" s="122"/>
      <c r="G33" s="122"/>
    </row>
    <row r="34" spans="1:7">
      <c r="A34" s="89" t="s">
        <v>181</v>
      </c>
      <c r="B34" s="123" t="s">
        <v>31</v>
      </c>
      <c r="C34" s="123" t="s">
        <v>35</v>
      </c>
      <c r="D34" s="123" t="s">
        <v>31</v>
      </c>
      <c r="E34" s="123" t="s">
        <v>31</v>
      </c>
      <c r="F34" s="123" t="s">
        <v>31</v>
      </c>
      <c r="G34" s="123" t="s">
        <v>31</v>
      </c>
    </row>
    <row r="35" spans="1:7">
      <c r="A35" s="89" t="s">
        <v>182</v>
      </c>
      <c r="B35" s="123" t="s">
        <v>31</v>
      </c>
      <c r="C35" s="123" t="s">
        <v>38</v>
      </c>
      <c r="D35" s="123" t="s">
        <v>31</v>
      </c>
      <c r="E35" s="123" t="s">
        <v>31</v>
      </c>
      <c r="F35" s="123" t="s">
        <v>31</v>
      </c>
      <c r="G35" s="123" t="s">
        <v>31</v>
      </c>
    </row>
    <row r="36" spans="1:7" ht="48.75" thickBot="1">
      <c r="A36" s="111" t="s">
        <v>855</v>
      </c>
      <c r="B36" s="506"/>
      <c r="C36" s="506"/>
      <c r="D36" s="506"/>
      <c r="E36" s="506"/>
      <c r="F36" s="506"/>
      <c r="G36" s="506"/>
    </row>
    <row r="39" spans="1:7" ht="19.5" thickBot="1">
      <c r="A39" s="107" t="s">
        <v>874</v>
      </c>
      <c r="B39" s="76"/>
      <c r="C39" s="76"/>
      <c r="D39" s="76"/>
      <c r="E39" s="76"/>
      <c r="F39" s="76"/>
      <c r="G39" s="76"/>
    </row>
    <row r="40" spans="1:7" ht="30.75">
      <c r="A40" s="91" t="s">
        <v>218</v>
      </c>
      <c r="B40" s="113">
        <f>IF('Water Calculations'!B$122&gt;0,(Report!$K$8*'Water Calculations'!B$122/VLOOKUP(Report!$C$6,'Actual-CO2 Calculations'!$A$5:$O$121,'Actual-CO2 Calculations'!$O$1,FALSE)),0)</f>
        <v>0</v>
      </c>
      <c r="C40" s="113">
        <f>IF('Water Calculations'!C$122&gt;0,(Report!$K$8*'Water Calculations'!C$122/VLOOKUP(Report!$C$6,'Actual-CO2 Calculations'!$A$5:$O$121,'Actual-CO2 Calculations'!$O$1,FALSE)),0)</f>
        <v>0</v>
      </c>
      <c r="D40" s="113">
        <f>IF('Water Calculations'!D$122&gt;0,(Report!$K$8*'Water Calculations'!D$122/VLOOKUP(Report!$C$6,'Actual-CO2 Calculations'!$A$5:$O$121,'Actual-CO2 Calculations'!$O$1,FALSE)),0)</f>
        <v>0</v>
      </c>
      <c r="E40" s="113">
        <f>IF('Water Calculations'!E$122&gt;0,(Report!$K$8*'Water Calculations'!E$122/VLOOKUP(Report!$C$6,'Actual-CO2 Calculations'!$A$5:$O$121,'Actual-CO2 Calculations'!$O$1,FALSE)),0)</f>
        <v>0</v>
      </c>
      <c r="F40" s="113">
        <f>IF('Water Calculations'!F$122&gt;0,(Report!$K$8*'Water Calculations'!F$122/VLOOKUP(Report!$C$6,'Actual-CO2 Calculations'!$A$5:$O$121,'Actual-CO2 Calculations'!$O$1,FALSE)),0)</f>
        <v>0</v>
      </c>
      <c r="G40" s="113">
        <f>IF('Water Calculations'!G$122&gt;0,(Report!$K$8*'Water Calculations'!G$122/VLOOKUP(Report!$C$6,'Actual-CO2 Calculations'!$A$5:$O$121,'Actual-CO2 Calculations'!$O$1,FALSE)),0)</f>
        <v>0</v>
      </c>
    </row>
    <row r="43" spans="1:7">
      <c r="A43" s="144"/>
      <c r="B43" s="145"/>
      <c r="C43" s="145"/>
      <c r="D43" s="145"/>
      <c r="E43" s="145"/>
      <c r="F43" s="145"/>
      <c r="G43" s="146"/>
    </row>
    <row r="44" spans="1:7">
      <c r="A44" s="153" t="s">
        <v>253</v>
      </c>
      <c r="B44" s="148">
        <f>IF(B14&gt;0,1,0)</f>
        <v>1</v>
      </c>
      <c r="C44" s="148">
        <f>IF(C14&gt;0,1,0)</f>
        <v>0</v>
      </c>
      <c r="D44" s="148">
        <f>IF(D14&gt;0,1,0)</f>
        <v>0</v>
      </c>
      <c r="E44" s="148"/>
      <c r="F44" s="148"/>
      <c r="G44" s="149"/>
    </row>
    <row r="45" spans="1:7">
      <c r="A45" s="147"/>
      <c r="B45" s="148"/>
      <c r="C45" s="148"/>
      <c r="D45" s="148"/>
      <c r="E45" s="148"/>
      <c r="F45" s="148"/>
      <c r="G45" s="149"/>
    </row>
    <row r="46" spans="1:7">
      <c r="A46" s="153" t="s">
        <v>255</v>
      </c>
      <c r="B46" s="148">
        <f t="shared" ref="B46:G46" si="0">IF(B36&gt;0,1,0)</f>
        <v>0</v>
      </c>
      <c r="C46" s="148">
        <f t="shared" si="0"/>
        <v>0</v>
      </c>
      <c r="D46" s="148">
        <f t="shared" si="0"/>
        <v>0</v>
      </c>
      <c r="E46" s="148">
        <f t="shared" si="0"/>
        <v>0</v>
      </c>
      <c r="F46" s="148">
        <f t="shared" si="0"/>
        <v>0</v>
      </c>
      <c r="G46" s="149">
        <f t="shared" si="0"/>
        <v>0</v>
      </c>
    </row>
    <row r="47" spans="1:7">
      <c r="A47" s="150"/>
      <c r="B47" s="151"/>
      <c r="C47" s="151"/>
      <c r="D47" s="151"/>
      <c r="E47" s="151"/>
      <c r="F47" s="151"/>
      <c r="G47" s="152"/>
    </row>
    <row r="48" spans="1:7">
      <c r="A48" s="72"/>
      <c r="B48" s="72"/>
    </row>
  </sheetData>
  <protectedRanges>
    <protectedRange password="DCDF" sqref="B12:D13 B17:D18 B22:D23" name="Savings"/>
    <protectedRange password="DCDF" sqref="B34:G35" name="Savings_1"/>
  </protectedRanges>
  <mergeCells count="9">
    <mergeCell ref="B11:D11"/>
    <mergeCell ref="B16:D16"/>
    <mergeCell ref="B21:D21"/>
    <mergeCell ref="D2:E8"/>
    <mergeCell ref="H11:J11"/>
    <mergeCell ref="H16:J16"/>
    <mergeCell ref="H21:J21"/>
    <mergeCell ref="H10:J10"/>
    <mergeCell ref="F10:F25"/>
  </mergeCells>
  <conditionalFormatting sqref="B13">
    <cfRule type="expression" dxfId="16" priority="8">
      <formula>$I$14=1</formula>
    </cfRule>
  </conditionalFormatting>
  <conditionalFormatting sqref="C12">
    <cfRule type="expression" dxfId="15" priority="7">
      <formula>$I$14=1</formula>
    </cfRule>
  </conditionalFormatting>
  <conditionalFormatting sqref="C13">
    <cfRule type="expression" dxfId="14" priority="6">
      <formula>$J$14=1</formula>
    </cfRule>
  </conditionalFormatting>
  <conditionalFormatting sqref="D12">
    <cfRule type="expression" dxfId="13" priority="5">
      <formula>$J$14=1</formula>
    </cfRule>
  </conditionalFormatting>
  <conditionalFormatting sqref="B18:C18">
    <cfRule type="expression" dxfId="12" priority="4">
      <formula>I$19=1</formula>
    </cfRule>
  </conditionalFormatting>
  <conditionalFormatting sqref="C17:D17">
    <cfRule type="expression" dxfId="11" priority="3">
      <formula>I$19=1</formula>
    </cfRule>
  </conditionalFormatting>
  <conditionalFormatting sqref="B23:C23">
    <cfRule type="expression" dxfId="10" priority="2">
      <formula>I$24=1</formula>
    </cfRule>
  </conditionalFormatting>
  <conditionalFormatting sqref="C22:D22">
    <cfRule type="expression" dxfId="9" priority="1">
      <formula>I$24</formula>
    </cfRule>
  </conditionalFormatting>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'Actual-CO2 Calculations'!$A$5:$A$121</xm:f>
          </x14:formula1>
          <xm:sqref>B34:G35</xm:sqref>
        </x14:dataValidation>
        <x14:dataValidation type="list" allowBlank="1" showInputMessage="1" showErrorMessage="1">
          <x14:formula1>
            <xm:f>'Actual-CO2 Calculations'!$A$5:$A$121</xm:f>
          </x14:formula1>
          <xm:sqref>B12:D13 B17:D18 B22:D23</xm:sqref>
        </x14:dataValidation>
        <x14:dataValidation type="list" allowBlank="1" showInputMessage="1" showErrorMessage="1">
          <x14:formula1>
            <xm:f>Instructions!$C$43:$C$51</xm:f>
          </x14:formula1>
          <xm:sqref>B4:B5</xm:sqref>
        </x14:dataValidation>
        <x14:dataValidation type="list" allowBlank="1" showInputMessage="1" showErrorMessage="1">
          <x14:formula1>
            <xm:f>Instructions!$B$43:$B$51</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8"/>
  <sheetViews>
    <sheetView topLeftCell="A58" workbookViewId="0">
      <selection activeCell="B7" sqref="B7:E7"/>
    </sheetView>
  </sheetViews>
  <sheetFormatPr defaultRowHeight="15"/>
  <cols>
    <col min="1" max="1" width="24.5703125" bestFit="1" customWidth="1"/>
    <col min="2" max="2" width="15.7109375" customWidth="1"/>
    <col min="3" max="3" width="10.85546875" customWidth="1"/>
    <col min="4" max="4" width="11" customWidth="1"/>
    <col min="5" max="5" width="10.28515625" style="661" customWidth="1"/>
    <col min="10" max="10" width="9.140625" style="661"/>
    <col min="15" max="15" width="9.140625" style="661"/>
  </cols>
  <sheetData>
    <row r="1" spans="1:16">
      <c r="B1" t="s">
        <v>234</v>
      </c>
      <c r="D1" s="59" t="s">
        <v>185</v>
      </c>
    </row>
    <row r="2" spans="1:16" s="72" customFormat="1">
      <c r="B2" s="72" t="s">
        <v>235</v>
      </c>
      <c r="C2" s="72" t="s">
        <v>236</v>
      </c>
      <c r="D2" s="59"/>
      <c r="E2" s="661"/>
      <c r="J2" s="661"/>
      <c r="O2" s="661"/>
    </row>
    <row r="3" spans="1:16">
      <c r="A3" t="s">
        <v>144</v>
      </c>
      <c r="B3">
        <v>109.83</v>
      </c>
      <c r="C3">
        <f>B3/13</f>
        <v>8.4484615384615385</v>
      </c>
    </row>
    <row r="4" spans="1:16">
      <c r="A4" t="s">
        <v>145</v>
      </c>
      <c r="B4">
        <v>82.5</v>
      </c>
      <c r="C4" s="72">
        <f>B4/13</f>
        <v>6.3461538461538458</v>
      </c>
    </row>
    <row r="5" spans="1:16">
      <c r="A5" t="s">
        <v>194</v>
      </c>
      <c r="B5">
        <v>54</v>
      </c>
      <c r="C5" s="72">
        <f>B5/13</f>
        <v>4.1538461538461542</v>
      </c>
    </row>
    <row r="6" spans="1:16" s="179" customFormat="1">
      <c r="E6" s="661"/>
      <c r="J6" s="661"/>
      <c r="O6" s="661"/>
    </row>
    <row r="7" spans="1:16">
      <c r="B7" s="951" t="s">
        <v>144</v>
      </c>
      <c r="C7" s="951"/>
      <c r="D7" s="951"/>
      <c r="E7" s="951"/>
      <c r="G7" s="951" t="s">
        <v>859</v>
      </c>
      <c r="H7" s="951"/>
      <c r="I7" s="951"/>
      <c r="J7" s="951"/>
      <c r="L7" s="951" t="s">
        <v>194</v>
      </c>
      <c r="M7" s="951"/>
      <c r="N7" s="951"/>
      <c r="O7" s="951"/>
    </row>
    <row r="8" spans="1:16">
      <c r="A8" s="41" t="s">
        <v>30</v>
      </c>
      <c r="B8" s="73" t="s">
        <v>856</v>
      </c>
      <c r="C8" s="73" t="s">
        <v>857</v>
      </c>
      <c r="D8" s="73" t="s">
        <v>858</v>
      </c>
      <c r="E8" s="662" t="s">
        <v>112</v>
      </c>
      <c r="G8" s="73" t="s">
        <v>856</v>
      </c>
      <c r="H8" s="73" t="s">
        <v>857</v>
      </c>
      <c r="I8" s="73" t="s">
        <v>858</v>
      </c>
      <c r="J8" s="662" t="s">
        <v>112</v>
      </c>
      <c r="L8" s="73" t="s">
        <v>856</v>
      </c>
      <c r="M8" s="73" t="s">
        <v>857</v>
      </c>
      <c r="N8" s="73" t="s">
        <v>858</v>
      </c>
      <c r="O8" s="662" t="s">
        <v>112</v>
      </c>
    </row>
    <row r="9" spans="1:16">
      <c r="A9" s="42" t="s">
        <v>31</v>
      </c>
      <c r="B9" s="591">
        <f>(IF((AND($A9&gt;=Behaviours!$B$12,$A9&lt;=Behaviours!$B$13)),$C$3*Behaviours!$B$14,0))</f>
        <v>0</v>
      </c>
      <c r="C9" s="591">
        <f>(IF((AND($A9&gt;=Behaviours!$C$12,$A9&lt;=Behaviours!$C$13)),$C$3*Behaviours!$C$14,0))</f>
        <v>0</v>
      </c>
      <c r="D9" s="591">
        <f>(IF((AND($A9&gt;=Behaviours!$D$12,$A9&lt;=Behaviours!$D$13)),$C$3*Behaviours!$D$14,0))</f>
        <v>0</v>
      </c>
      <c r="E9" s="662">
        <f>IF(SUM(B9:D9)&gt;0,IF(B9&gt;0,B9,IF(C9&gt;0,C9,IF(D9&gt;0,D9,"ERROR"))),0)</f>
        <v>0</v>
      </c>
      <c r="G9" s="591">
        <f>(IF((AND($A9&gt;=Behaviours!B$17,$A9&lt;=Behaviours!B$18)),$C$4*Behaviours!B$19,0))</f>
        <v>0</v>
      </c>
      <c r="H9" s="591">
        <f>(IF((AND($A9&gt;=Behaviours!C$17,$A9&lt;=Behaviours!C$18)),$C$4*Behaviours!C$19,0))</f>
        <v>0</v>
      </c>
      <c r="I9" s="591">
        <f>(IF((AND($A9&gt;=Behaviours!D$17,$A9&lt;=Behaviours!D$18)),$C$4*Behaviours!D$19,0))</f>
        <v>0</v>
      </c>
      <c r="J9" s="662">
        <f>IF(SUM(G9:I9)&gt;0,IF(G9&gt;0,G9,IF(H9&gt;0,H9,IF(I9&gt;0,I9,"ERROR"))),0)</f>
        <v>0</v>
      </c>
      <c r="L9" s="591">
        <f>(IF((AND($A9&gt;=Behaviours!B$22,$A9&lt;=Behaviours!B$23)),$C$5*Behaviours!B$24,0))</f>
        <v>0</v>
      </c>
      <c r="M9" s="591">
        <f>(IF((AND($A9&gt;=Behaviours!C$22,$A9&lt;=Behaviours!C$23)),$C$5*Behaviours!C$24,0))</f>
        <v>0</v>
      </c>
      <c r="N9" s="591">
        <f>(IF((AND($A9&gt;=Behaviours!D$22,$A9&lt;=Behaviours!D$23)),$C$5*Behaviours!D$24,0))</f>
        <v>0</v>
      </c>
      <c r="O9" s="662">
        <f>IF(SUM(L9:N9)&gt;0,IF(L9&gt;0,L9,IF(M9&gt;0,M9,IF(N9&gt;0,N9,"ERROR"))),0)</f>
        <v>0</v>
      </c>
      <c r="P9" s="592">
        <v>1</v>
      </c>
    </row>
    <row r="10" spans="1:16">
      <c r="A10" s="43" t="s">
        <v>32</v>
      </c>
      <c r="B10" s="591">
        <f>(IF((AND($A10&gt;=Behaviours!$B$12,$A10&lt;=Behaviours!$B$13)),$C$3*Behaviours!$B$14,0))</f>
        <v>0</v>
      </c>
      <c r="C10" s="591">
        <f>(IF((AND($A10&gt;=Behaviours!$C$12,$A10&lt;=Behaviours!$C$13)),$C$3*Behaviours!$C$14,0))</f>
        <v>0</v>
      </c>
      <c r="D10" s="591">
        <f>(IF((AND($A10&gt;=Behaviours!$D$12,$A10&lt;=Behaviours!$D$13)),$C$3*Behaviours!$D$14,0))</f>
        <v>0</v>
      </c>
      <c r="E10" s="662">
        <f t="shared" ref="E10:E73" si="0">IF(SUM(B10:D10)&gt;0,IF(B10&gt;0,B10,IF(C10&gt;0,C10,IF(D10&gt;0,D10,"ERROR"))),0)</f>
        <v>0</v>
      </c>
      <c r="G10" s="591">
        <f>(IF((AND($A10&gt;=Behaviours!B$17,$A10&lt;=Behaviours!B$18)),$C$4*Behaviours!B$19,0))</f>
        <v>0</v>
      </c>
      <c r="H10" s="591">
        <f>(IF((AND($A10&gt;=Behaviours!C$17,$A10&lt;=Behaviours!C$18)),$C$4*Behaviours!C$19,0))</f>
        <v>0</v>
      </c>
      <c r="I10" s="591">
        <f>(IF((AND($A10&gt;=Behaviours!D$17,$A10&lt;=Behaviours!D$18)),$C$4*Behaviours!D$19,0))</f>
        <v>0</v>
      </c>
      <c r="J10" s="662">
        <f t="shared" ref="J10:J73" si="1">IF(SUM(G10:I10)&gt;0,IF(G10&gt;0,G10,IF(H10&gt;0,H10,IF(I10&gt;0,I10,"ERROR"))),0)</f>
        <v>0</v>
      </c>
      <c r="L10" s="591">
        <f>(IF((AND($A10&gt;=Behaviours!B$22,$A10&lt;=Behaviours!B$23)),$C$5*Behaviours!B$24,0))</f>
        <v>0</v>
      </c>
      <c r="M10" s="591">
        <f>(IF((AND($A10&gt;=Behaviours!C$22,$A10&lt;=Behaviours!C$23)),$C$5*Behaviours!C$24,0))</f>
        <v>0</v>
      </c>
      <c r="N10" s="591">
        <f>(IF((AND($A10&gt;=Behaviours!D$22,$A10&lt;=Behaviours!D$23)),$C$5*Behaviours!D$24,0))</f>
        <v>0</v>
      </c>
      <c r="O10" s="662">
        <f t="shared" ref="O10:O73" si="2">IF(SUM(L10:N10)&gt;0,IF(L10&gt;0,L10,IF(M10&gt;0,M10,IF(N10&gt;0,N10,"ERROR"))),0)</f>
        <v>0</v>
      </c>
      <c r="P10" s="593">
        <v>2</v>
      </c>
    </row>
    <row r="11" spans="1:16">
      <c r="A11" s="43" t="s">
        <v>33</v>
      </c>
      <c r="B11" s="591">
        <f>(IF((AND($A11&gt;=Behaviours!$B$12,$A11&lt;=Behaviours!$B$13)),$C$3*Behaviours!$B$14,0))</f>
        <v>0</v>
      </c>
      <c r="C11" s="591">
        <f>(IF((AND($A11&gt;=Behaviours!$C$12,$A11&lt;=Behaviours!$C$13)),$C$3*Behaviours!$C$14,0))</f>
        <v>0</v>
      </c>
      <c r="D11" s="591">
        <f>(IF((AND($A11&gt;=Behaviours!$D$12,$A11&lt;=Behaviours!$D$13)),$C$3*Behaviours!$D$14,0))</f>
        <v>0</v>
      </c>
      <c r="E11" s="662">
        <f t="shared" si="0"/>
        <v>0</v>
      </c>
      <c r="G11" s="591">
        <f>(IF((AND($A11&gt;=Behaviours!B$17,$A11&lt;=Behaviours!B$18)),$C$4*Behaviours!B$19,0))</f>
        <v>0</v>
      </c>
      <c r="H11" s="591">
        <f>(IF((AND($A11&gt;=Behaviours!C$17,$A11&lt;=Behaviours!C$18)),$C$4*Behaviours!C$19,0))</f>
        <v>0</v>
      </c>
      <c r="I11" s="591">
        <f>(IF((AND($A11&gt;=Behaviours!D$17,$A11&lt;=Behaviours!D$18)),$C$4*Behaviours!D$19,0))</f>
        <v>0</v>
      </c>
      <c r="J11" s="662">
        <f t="shared" si="1"/>
        <v>0</v>
      </c>
      <c r="L11" s="591">
        <f>(IF((AND($A11&gt;=Behaviours!B$22,$A11&lt;=Behaviours!B$23)),$C$5*Behaviours!B$24,0))</f>
        <v>0</v>
      </c>
      <c r="M11" s="591">
        <f>(IF((AND($A11&gt;=Behaviours!C$22,$A11&lt;=Behaviours!C$23)),$C$5*Behaviours!C$24,0))</f>
        <v>0</v>
      </c>
      <c r="N11" s="591">
        <f>(IF((AND($A11&gt;=Behaviours!D$22,$A11&lt;=Behaviours!D$23)),$C$5*Behaviours!D$24,0))</f>
        <v>0</v>
      </c>
      <c r="O11" s="662">
        <f t="shared" si="2"/>
        <v>0</v>
      </c>
      <c r="P11" s="593">
        <v>3</v>
      </c>
    </row>
    <row r="12" spans="1:16">
      <c r="A12" s="43" t="s">
        <v>34</v>
      </c>
      <c r="B12" s="591">
        <f>(IF((AND($A12&gt;=Behaviours!$B$12,$A12&lt;=Behaviours!$B$13)),$C$3*Behaviours!$B$14,0))</f>
        <v>0</v>
      </c>
      <c r="C12" s="591">
        <f>(IF((AND($A12&gt;=Behaviours!$C$12,$A12&lt;=Behaviours!$C$13)),$C$3*Behaviours!$C$14,0))</f>
        <v>0</v>
      </c>
      <c r="D12" s="591">
        <f>(IF((AND($A12&gt;=Behaviours!$D$12,$A12&lt;=Behaviours!$D$13)),$C$3*Behaviours!$D$14,0))</f>
        <v>0</v>
      </c>
      <c r="E12" s="662">
        <f t="shared" si="0"/>
        <v>0</v>
      </c>
      <c r="G12" s="591">
        <f>(IF((AND($A12&gt;=Behaviours!B$17,$A12&lt;=Behaviours!B$18)),$C$4*Behaviours!B$19,0))</f>
        <v>0</v>
      </c>
      <c r="H12" s="591">
        <f>(IF((AND($A12&gt;=Behaviours!C$17,$A12&lt;=Behaviours!C$18)),$C$4*Behaviours!C$19,0))</f>
        <v>0</v>
      </c>
      <c r="I12" s="591">
        <f>(IF((AND($A12&gt;=Behaviours!D$17,$A12&lt;=Behaviours!D$18)),$C$4*Behaviours!D$19,0))</f>
        <v>0</v>
      </c>
      <c r="J12" s="662">
        <f t="shared" si="1"/>
        <v>0</v>
      </c>
      <c r="L12" s="591">
        <f>(IF((AND($A12&gt;=Behaviours!B$22,$A12&lt;=Behaviours!B$23)),$C$5*Behaviours!B$24,0))</f>
        <v>0</v>
      </c>
      <c r="M12" s="591">
        <f>(IF((AND($A12&gt;=Behaviours!C$22,$A12&lt;=Behaviours!C$23)),$C$5*Behaviours!C$24,0))</f>
        <v>0</v>
      </c>
      <c r="N12" s="591">
        <f>(IF((AND($A12&gt;=Behaviours!D$22,$A12&lt;=Behaviours!D$23)),$C$5*Behaviours!D$24,0))</f>
        <v>0</v>
      </c>
      <c r="O12" s="662">
        <f t="shared" si="2"/>
        <v>0</v>
      </c>
      <c r="P12" s="593">
        <v>4</v>
      </c>
    </row>
    <row r="13" spans="1:16">
      <c r="A13" s="43" t="s">
        <v>35</v>
      </c>
      <c r="B13" s="591">
        <f>(IF((AND($A13&gt;=Behaviours!$B$12,$A13&lt;=Behaviours!$B$13)),$C$3*Behaviours!$B$14,0))</f>
        <v>0</v>
      </c>
      <c r="C13" s="591">
        <f>(IF((AND($A13&gt;=Behaviours!$C$12,$A13&lt;=Behaviours!$C$13)),$C$3*Behaviours!$C$14,0))</f>
        <v>0</v>
      </c>
      <c r="D13" s="591">
        <f>(IF((AND($A13&gt;=Behaviours!$D$12,$A13&lt;=Behaviours!$D$13)),$C$3*Behaviours!$D$14,0))</f>
        <v>0</v>
      </c>
      <c r="E13" s="662">
        <f t="shared" si="0"/>
        <v>0</v>
      </c>
      <c r="G13" s="591">
        <f>(IF((AND($A13&gt;=Behaviours!B$17,$A13&lt;=Behaviours!B$18)),$C$4*Behaviours!B$19,0))</f>
        <v>0</v>
      </c>
      <c r="H13" s="591">
        <f>(IF((AND($A13&gt;=Behaviours!C$17,$A13&lt;=Behaviours!C$18)),$C$4*Behaviours!C$19,0))</f>
        <v>0</v>
      </c>
      <c r="I13" s="591">
        <f>(IF((AND($A13&gt;=Behaviours!D$17,$A13&lt;=Behaviours!D$18)),$C$4*Behaviours!D$19,0))</f>
        <v>0</v>
      </c>
      <c r="J13" s="662">
        <f t="shared" si="1"/>
        <v>0</v>
      </c>
      <c r="L13" s="591">
        <f>(IF((AND($A13&gt;=Behaviours!B$22,$A13&lt;=Behaviours!B$23)),$C$5*Behaviours!B$24,0))</f>
        <v>0</v>
      </c>
      <c r="M13" s="591">
        <f>(IF((AND($A13&gt;=Behaviours!C$22,$A13&lt;=Behaviours!C$23)),$C$5*Behaviours!C$24,0))</f>
        <v>0</v>
      </c>
      <c r="N13" s="591">
        <f>(IF((AND($A13&gt;=Behaviours!D$22,$A13&lt;=Behaviours!D$23)),$C$5*Behaviours!D$24,0))</f>
        <v>0</v>
      </c>
      <c r="O13" s="662">
        <f t="shared" si="2"/>
        <v>0</v>
      </c>
      <c r="P13" s="593">
        <v>5</v>
      </c>
    </row>
    <row r="14" spans="1:16">
      <c r="A14" s="43" t="s">
        <v>36</v>
      </c>
      <c r="B14" s="591">
        <f>(IF((AND($A14&gt;=Behaviours!$B$12,$A14&lt;=Behaviours!$B$13)),$C$3*Behaviours!$B$14,0))</f>
        <v>0</v>
      </c>
      <c r="C14" s="591">
        <f>(IF((AND($A14&gt;=Behaviours!$C$12,$A14&lt;=Behaviours!$C$13)),$C$3*Behaviours!$C$14,0))</f>
        <v>0</v>
      </c>
      <c r="D14" s="591">
        <f>(IF((AND($A14&gt;=Behaviours!$D$12,$A14&lt;=Behaviours!$D$13)),$C$3*Behaviours!$D$14,0))</f>
        <v>0</v>
      </c>
      <c r="E14" s="662">
        <f t="shared" si="0"/>
        <v>0</v>
      </c>
      <c r="G14" s="591">
        <f>(IF((AND($A14&gt;=Behaviours!B$17,$A14&lt;=Behaviours!B$18)),$C$4*Behaviours!B$19,0))</f>
        <v>0</v>
      </c>
      <c r="H14" s="591">
        <f>(IF((AND($A14&gt;=Behaviours!C$17,$A14&lt;=Behaviours!C$18)),$C$4*Behaviours!C$19,0))</f>
        <v>0</v>
      </c>
      <c r="I14" s="591">
        <f>(IF((AND($A14&gt;=Behaviours!D$17,$A14&lt;=Behaviours!D$18)),$C$4*Behaviours!D$19,0))</f>
        <v>0</v>
      </c>
      <c r="J14" s="662">
        <f t="shared" si="1"/>
        <v>0</v>
      </c>
      <c r="L14" s="591">
        <f>(IF((AND($A14&gt;=Behaviours!B$22,$A14&lt;=Behaviours!B$23)),$C$5*Behaviours!B$24,0))</f>
        <v>0</v>
      </c>
      <c r="M14" s="591">
        <f>(IF((AND($A14&gt;=Behaviours!C$22,$A14&lt;=Behaviours!C$23)),$C$5*Behaviours!C$24,0))</f>
        <v>0</v>
      </c>
      <c r="N14" s="591">
        <f>(IF((AND($A14&gt;=Behaviours!D$22,$A14&lt;=Behaviours!D$23)),$C$5*Behaviours!D$24,0))</f>
        <v>0</v>
      </c>
      <c r="O14" s="662">
        <f t="shared" si="2"/>
        <v>0</v>
      </c>
      <c r="P14" s="593">
        <v>6</v>
      </c>
    </row>
    <row r="15" spans="1:16">
      <c r="A15" s="43" t="s">
        <v>37</v>
      </c>
      <c r="B15" s="591">
        <f>(IF((AND($A15&gt;=Behaviours!$B$12,$A15&lt;=Behaviours!$B$13)),$C$3*Behaviours!$B$14,0))</f>
        <v>0</v>
      </c>
      <c r="C15" s="591">
        <f>(IF((AND($A15&gt;=Behaviours!$C$12,$A15&lt;=Behaviours!$C$13)),$C$3*Behaviours!$C$14,0))</f>
        <v>0</v>
      </c>
      <c r="D15" s="591">
        <f>(IF((AND($A15&gt;=Behaviours!$D$12,$A15&lt;=Behaviours!$D$13)),$C$3*Behaviours!$D$14,0))</f>
        <v>0</v>
      </c>
      <c r="E15" s="662">
        <f t="shared" si="0"/>
        <v>0</v>
      </c>
      <c r="G15" s="591">
        <f>(IF((AND($A15&gt;=Behaviours!B$17,$A15&lt;=Behaviours!B$18)),$C$4*Behaviours!B$19,0))</f>
        <v>0</v>
      </c>
      <c r="H15" s="591">
        <f>(IF((AND($A15&gt;=Behaviours!C$17,$A15&lt;=Behaviours!C$18)),$C$4*Behaviours!C$19,0))</f>
        <v>0</v>
      </c>
      <c r="I15" s="591">
        <f>(IF((AND($A15&gt;=Behaviours!D$17,$A15&lt;=Behaviours!D$18)),$C$4*Behaviours!D$19,0))</f>
        <v>0</v>
      </c>
      <c r="J15" s="662">
        <f t="shared" si="1"/>
        <v>0</v>
      </c>
      <c r="L15" s="591">
        <f>(IF((AND($A15&gt;=Behaviours!B$22,$A15&lt;=Behaviours!B$23)),$C$5*Behaviours!B$24,0))</f>
        <v>0</v>
      </c>
      <c r="M15" s="591">
        <f>(IF((AND($A15&gt;=Behaviours!C$22,$A15&lt;=Behaviours!C$23)),$C$5*Behaviours!C$24,0))</f>
        <v>0</v>
      </c>
      <c r="N15" s="591">
        <f>(IF((AND($A15&gt;=Behaviours!D$22,$A15&lt;=Behaviours!D$23)),$C$5*Behaviours!D$24,0))</f>
        <v>0</v>
      </c>
      <c r="O15" s="662">
        <f t="shared" si="2"/>
        <v>0</v>
      </c>
      <c r="P15" s="593">
        <v>7</v>
      </c>
    </row>
    <row r="16" spans="1:16">
      <c r="A16" s="43" t="s">
        <v>38</v>
      </c>
      <c r="B16" s="591">
        <f>(IF((AND($A16&gt;=Behaviours!$B$12,$A16&lt;=Behaviours!$B$13)),$C$3*Behaviours!$B$14,0))</f>
        <v>0</v>
      </c>
      <c r="C16" s="591">
        <f>(IF((AND($A16&gt;=Behaviours!$C$12,$A16&lt;=Behaviours!$C$13)),$C$3*Behaviours!$C$14,0))</f>
        <v>0</v>
      </c>
      <c r="D16" s="591">
        <f>(IF((AND($A16&gt;=Behaviours!$D$12,$A16&lt;=Behaviours!$D$13)),$C$3*Behaviours!$D$14,0))</f>
        <v>0</v>
      </c>
      <c r="E16" s="662">
        <f t="shared" si="0"/>
        <v>0</v>
      </c>
      <c r="G16" s="591">
        <f>(IF((AND($A16&gt;=Behaviours!B$17,$A16&lt;=Behaviours!B$18)),$C$4*Behaviours!B$19,0))</f>
        <v>0</v>
      </c>
      <c r="H16" s="591">
        <f>(IF((AND($A16&gt;=Behaviours!C$17,$A16&lt;=Behaviours!C$18)),$C$4*Behaviours!C$19,0))</f>
        <v>0</v>
      </c>
      <c r="I16" s="591">
        <f>(IF((AND($A16&gt;=Behaviours!D$17,$A16&lt;=Behaviours!D$18)),$C$4*Behaviours!D$19,0))</f>
        <v>0</v>
      </c>
      <c r="J16" s="662">
        <f t="shared" si="1"/>
        <v>0</v>
      </c>
      <c r="L16" s="591">
        <f>(IF((AND($A16&gt;=Behaviours!B$22,$A16&lt;=Behaviours!B$23)),$C$5*Behaviours!B$24,0))</f>
        <v>0</v>
      </c>
      <c r="M16" s="591">
        <f>(IF((AND($A16&gt;=Behaviours!C$22,$A16&lt;=Behaviours!C$23)),$C$5*Behaviours!C$24,0))</f>
        <v>0</v>
      </c>
      <c r="N16" s="591">
        <f>(IF((AND($A16&gt;=Behaviours!D$22,$A16&lt;=Behaviours!D$23)),$C$5*Behaviours!D$24,0))</f>
        <v>0</v>
      </c>
      <c r="O16" s="662">
        <f t="shared" si="2"/>
        <v>0</v>
      </c>
      <c r="P16" s="593">
        <v>8</v>
      </c>
    </row>
    <row r="17" spans="1:16">
      <c r="A17" s="43" t="s">
        <v>39</v>
      </c>
      <c r="B17" s="591">
        <f>(IF((AND($A17&gt;=Behaviours!$B$12,$A17&lt;=Behaviours!$B$13)),$C$3*Behaviours!$B$14,0))</f>
        <v>0</v>
      </c>
      <c r="C17" s="591">
        <f>(IF((AND($A17&gt;=Behaviours!$C$12,$A17&lt;=Behaviours!$C$13)),$C$3*Behaviours!$C$14,0))</f>
        <v>0</v>
      </c>
      <c r="D17" s="591">
        <f>(IF((AND($A17&gt;=Behaviours!$D$12,$A17&lt;=Behaviours!$D$13)),$C$3*Behaviours!$D$14,0))</f>
        <v>0</v>
      </c>
      <c r="E17" s="662">
        <f t="shared" si="0"/>
        <v>0</v>
      </c>
      <c r="G17" s="591">
        <f>(IF((AND($A17&gt;=Behaviours!B$17,$A17&lt;=Behaviours!B$18)),$C$4*Behaviours!B$19,0))</f>
        <v>0</v>
      </c>
      <c r="H17" s="591">
        <f>(IF((AND($A17&gt;=Behaviours!C$17,$A17&lt;=Behaviours!C$18)),$C$4*Behaviours!C$19,0))</f>
        <v>0</v>
      </c>
      <c r="I17" s="591">
        <f>(IF((AND($A17&gt;=Behaviours!D$17,$A17&lt;=Behaviours!D$18)),$C$4*Behaviours!D$19,0))</f>
        <v>0</v>
      </c>
      <c r="J17" s="662">
        <f t="shared" si="1"/>
        <v>0</v>
      </c>
      <c r="L17" s="591">
        <f>(IF((AND($A17&gt;=Behaviours!B$22,$A17&lt;=Behaviours!B$23)),$C$5*Behaviours!B$24,0))</f>
        <v>0</v>
      </c>
      <c r="M17" s="591">
        <f>(IF((AND($A17&gt;=Behaviours!C$22,$A17&lt;=Behaviours!C$23)),$C$5*Behaviours!C$24,0))</f>
        <v>0</v>
      </c>
      <c r="N17" s="591">
        <f>(IF((AND($A17&gt;=Behaviours!D$22,$A17&lt;=Behaviours!D$23)),$C$5*Behaviours!D$24,0))</f>
        <v>0</v>
      </c>
      <c r="O17" s="662">
        <f t="shared" si="2"/>
        <v>0</v>
      </c>
      <c r="P17" s="593">
        <v>9</v>
      </c>
    </row>
    <row r="18" spans="1:16">
      <c r="A18" s="43" t="s">
        <v>25</v>
      </c>
      <c r="B18" s="591">
        <f>(IF((AND($A18&gt;=Behaviours!$B$12,$A18&lt;=Behaviours!$B$13)),$C$3*Behaviours!$B$14,0))</f>
        <v>0</v>
      </c>
      <c r="C18" s="591">
        <f>(IF((AND($A18&gt;=Behaviours!$C$12,$A18&lt;=Behaviours!$C$13)),$C$3*Behaviours!$C$14,0))</f>
        <v>0</v>
      </c>
      <c r="D18" s="591">
        <f>(IF((AND($A18&gt;=Behaviours!$D$12,$A18&lt;=Behaviours!$D$13)),$C$3*Behaviours!$D$14,0))</f>
        <v>0</v>
      </c>
      <c r="E18" s="662">
        <f t="shared" si="0"/>
        <v>0</v>
      </c>
      <c r="G18" s="591">
        <f>(IF((AND($A18&gt;=Behaviours!B$17,$A18&lt;=Behaviours!B$18)),$C$4*Behaviours!B$19,0))</f>
        <v>0</v>
      </c>
      <c r="H18" s="591">
        <f>(IF((AND($A18&gt;=Behaviours!C$17,$A18&lt;=Behaviours!C$18)),$C$4*Behaviours!C$19,0))</f>
        <v>0</v>
      </c>
      <c r="I18" s="591">
        <f>(IF((AND($A18&gt;=Behaviours!D$17,$A18&lt;=Behaviours!D$18)),$C$4*Behaviours!D$19,0))</f>
        <v>0</v>
      </c>
      <c r="J18" s="662">
        <f t="shared" si="1"/>
        <v>0</v>
      </c>
      <c r="L18" s="591">
        <f>(IF((AND($A18&gt;=Behaviours!B$22,$A18&lt;=Behaviours!B$23)),$C$5*Behaviours!B$24,0))</f>
        <v>0</v>
      </c>
      <c r="M18" s="591">
        <f>(IF((AND($A18&gt;=Behaviours!C$22,$A18&lt;=Behaviours!C$23)),$C$5*Behaviours!C$24,0))</f>
        <v>0</v>
      </c>
      <c r="N18" s="591">
        <f>(IF((AND($A18&gt;=Behaviours!D$22,$A18&lt;=Behaviours!D$23)),$C$5*Behaviours!D$24,0))</f>
        <v>0</v>
      </c>
      <c r="O18" s="662">
        <f t="shared" si="2"/>
        <v>0</v>
      </c>
      <c r="P18" s="593">
        <v>10</v>
      </c>
    </row>
    <row r="19" spans="1:16">
      <c r="A19" s="43" t="s">
        <v>26</v>
      </c>
      <c r="B19" s="591">
        <f>(IF((AND($A19&gt;=Behaviours!$B$12,$A19&lt;=Behaviours!$B$13)),$C$3*Behaviours!$B$14,0))</f>
        <v>0</v>
      </c>
      <c r="C19" s="591">
        <f>(IF((AND($A19&gt;=Behaviours!$C$12,$A19&lt;=Behaviours!$C$13)),$C$3*Behaviours!$C$14,0))</f>
        <v>0</v>
      </c>
      <c r="D19" s="591">
        <f>(IF((AND($A19&gt;=Behaviours!$D$12,$A19&lt;=Behaviours!$D$13)),$C$3*Behaviours!$D$14,0))</f>
        <v>0</v>
      </c>
      <c r="E19" s="662">
        <f t="shared" si="0"/>
        <v>0</v>
      </c>
      <c r="G19" s="591">
        <f>(IF((AND($A19&gt;=Behaviours!B$17,$A19&lt;=Behaviours!B$18)),$C$4*Behaviours!B$19,0))</f>
        <v>0</v>
      </c>
      <c r="H19" s="591">
        <f>(IF((AND($A19&gt;=Behaviours!C$17,$A19&lt;=Behaviours!C$18)),$C$4*Behaviours!C$19,0))</f>
        <v>0</v>
      </c>
      <c r="I19" s="591">
        <f>(IF((AND($A19&gt;=Behaviours!D$17,$A19&lt;=Behaviours!D$18)),$C$4*Behaviours!D$19,0))</f>
        <v>0</v>
      </c>
      <c r="J19" s="662">
        <f t="shared" si="1"/>
        <v>0</v>
      </c>
      <c r="L19" s="591">
        <f>(IF((AND($A19&gt;=Behaviours!B$22,$A19&lt;=Behaviours!B$23)),$C$5*Behaviours!B$24,0))</f>
        <v>0</v>
      </c>
      <c r="M19" s="591">
        <f>(IF((AND($A19&gt;=Behaviours!C$22,$A19&lt;=Behaviours!C$23)),$C$5*Behaviours!C$24,0))</f>
        <v>0</v>
      </c>
      <c r="N19" s="591">
        <f>(IF((AND($A19&gt;=Behaviours!D$22,$A19&lt;=Behaviours!D$23)),$C$5*Behaviours!D$24,0))</f>
        <v>0</v>
      </c>
      <c r="O19" s="662">
        <f t="shared" si="2"/>
        <v>0</v>
      </c>
      <c r="P19" s="593">
        <v>11</v>
      </c>
    </row>
    <row r="20" spans="1:16">
      <c r="A20" s="43" t="s">
        <v>27</v>
      </c>
      <c r="B20" s="591">
        <f>(IF((AND($A20&gt;=Behaviours!$B$12,$A20&lt;=Behaviours!$B$13)),$C$3*Behaviours!$B$14,0))</f>
        <v>0</v>
      </c>
      <c r="C20" s="591">
        <f>(IF((AND($A20&gt;=Behaviours!$C$12,$A20&lt;=Behaviours!$C$13)),$C$3*Behaviours!$C$14,0))</f>
        <v>0</v>
      </c>
      <c r="D20" s="591">
        <f>(IF((AND($A20&gt;=Behaviours!$D$12,$A20&lt;=Behaviours!$D$13)),$C$3*Behaviours!$D$14,0))</f>
        <v>0</v>
      </c>
      <c r="E20" s="662">
        <f t="shared" si="0"/>
        <v>0</v>
      </c>
      <c r="G20" s="591">
        <f>(IF((AND($A20&gt;=Behaviours!B$17,$A20&lt;=Behaviours!B$18)),$C$4*Behaviours!B$19,0))</f>
        <v>0</v>
      </c>
      <c r="H20" s="591">
        <f>(IF((AND($A20&gt;=Behaviours!C$17,$A20&lt;=Behaviours!C$18)),$C$4*Behaviours!C$19,0))</f>
        <v>0</v>
      </c>
      <c r="I20" s="591">
        <f>(IF((AND($A20&gt;=Behaviours!D$17,$A20&lt;=Behaviours!D$18)),$C$4*Behaviours!D$19,0))</f>
        <v>0</v>
      </c>
      <c r="J20" s="662">
        <f t="shared" si="1"/>
        <v>0</v>
      </c>
      <c r="L20" s="591">
        <f>(IF((AND($A20&gt;=Behaviours!B$22,$A20&lt;=Behaviours!B$23)),$C$5*Behaviours!B$24,0))</f>
        <v>0</v>
      </c>
      <c r="M20" s="591">
        <f>(IF((AND($A20&gt;=Behaviours!C$22,$A20&lt;=Behaviours!C$23)),$C$5*Behaviours!C$24,0))</f>
        <v>0</v>
      </c>
      <c r="N20" s="591">
        <f>(IF((AND($A20&gt;=Behaviours!D$22,$A20&lt;=Behaviours!D$23)),$C$5*Behaviours!D$24,0))</f>
        <v>0</v>
      </c>
      <c r="O20" s="662">
        <f t="shared" si="2"/>
        <v>0</v>
      </c>
      <c r="P20" s="593">
        <v>12</v>
      </c>
    </row>
    <row r="21" spans="1:16">
      <c r="A21" s="44" t="s">
        <v>24</v>
      </c>
      <c r="B21" s="591">
        <f>(IF((AND($A21&gt;=Behaviours!$B$12,$A21&lt;=Behaviours!$B$13)),$C$3*Behaviours!$B$14,0))</f>
        <v>0</v>
      </c>
      <c r="C21" s="591">
        <f>(IF((AND($A21&gt;=Behaviours!$C$12,$A21&lt;=Behaviours!$C$13)),$C$3*Behaviours!$C$14,0))</f>
        <v>0</v>
      </c>
      <c r="D21" s="591">
        <f>(IF((AND($A21&gt;=Behaviours!$D$12,$A21&lt;=Behaviours!$D$13)),$C$3*Behaviours!$D$14,0))</f>
        <v>0</v>
      </c>
      <c r="E21" s="662">
        <f t="shared" si="0"/>
        <v>0</v>
      </c>
      <c r="G21" s="591">
        <f>(IF((AND($A21&gt;=Behaviours!B$17,$A21&lt;=Behaviours!B$18)),$C$4*Behaviours!B$19,0))</f>
        <v>0</v>
      </c>
      <c r="H21" s="591">
        <f>(IF((AND($A21&gt;=Behaviours!C$17,$A21&lt;=Behaviours!C$18)),$C$4*Behaviours!C$19,0))</f>
        <v>0</v>
      </c>
      <c r="I21" s="591">
        <f>(IF((AND($A21&gt;=Behaviours!D$17,$A21&lt;=Behaviours!D$18)),$C$4*Behaviours!D$19,0))</f>
        <v>0</v>
      </c>
      <c r="J21" s="662">
        <f t="shared" si="1"/>
        <v>0</v>
      </c>
      <c r="L21" s="591">
        <f>(IF((AND($A21&gt;=Behaviours!B$22,$A21&lt;=Behaviours!B$23)),$C$5*Behaviours!B$24,0))</f>
        <v>0</v>
      </c>
      <c r="M21" s="591">
        <f>(IF((AND($A21&gt;=Behaviours!C$22,$A21&lt;=Behaviours!C$23)),$C$5*Behaviours!C$24,0))</f>
        <v>0</v>
      </c>
      <c r="N21" s="591">
        <f>(IF((AND($A21&gt;=Behaviours!D$22,$A21&lt;=Behaviours!D$23)),$C$5*Behaviours!D$24,0))</f>
        <v>0</v>
      </c>
      <c r="O21" s="662">
        <f t="shared" si="2"/>
        <v>0</v>
      </c>
      <c r="P21" s="593">
        <v>13</v>
      </c>
    </row>
    <row r="22" spans="1:16">
      <c r="A22" s="45" t="s">
        <v>40</v>
      </c>
      <c r="B22" s="591">
        <f>(IF((AND($A22&gt;=Behaviours!$B$12,$A22&lt;=Behaviours!$B$13)),$C$3*Behaviours!$B$14,0))</f>
        <v>0</v>
      </c>
      <c r="C22" s="591">
        <f>(IF((AND($A22&gt;=Behaviours!$C$12,$A22&lt;=Behaviours!$C$13)),$C$3*Behaviours!$C$14,0))</f>
        <v>0</v>
      </c>
      <c r="D22" s="591">
        <f>(IF((AND($A22&gt;=Behaviours!$D$12,$A22&lt;=Behaviours!$D$13)),$C$3*Behaviours!$D$14,0))</f>
        <v>0</v>
      </c>
      <c r="E22" s="662">
        <f t="shared" si="0"/>
        <v>0</v>
      </c>
      <c r="G22" s="591">
        <f>(IF((AND($A22&gt;=Behaviours!B$17,$A22&lt;=Behaviours!B$18)),$C$4*Behaviours!B$19,0))</f>
        <v>0</v>
      </c>
      <c r="H22" s="591">
        <f>(IF((AND($A22&gt;=Behaviours!C$17,$A22&lt;=Behaviours!C$18)),$C$4*Behaviours!C$19,0))</f>
        <v>0</v>
      </c>
      <c r="I22" s="591">
        <f>(IF((AND($A22&gt;=Behaviours!D$17,$A22&lt;=Behaviours!D$18)),$C$4*Behaviours!D$19,0))</f>
        <v>0</v>
      </c>
      <c r="J22" s="662">
        <f t="shared" si="1"/>
        <v>0</v>
      </c>
      <c r="L22" s="591">
        <f>(IF((AND($A22&gt;=Behaviours!B$22,$A22&lt;=Behaviours!B$23)),$C$5*Behaviours!B$24,0))</f>
        <v>0</v>
      </c>
      <c r="M22" s="591">
        <f>(IF((AND($A22&gt;=Behaviours!C$22,$A22&lt;=Behaviours!C$23)),$C$5*Behaviours!C$24,0))</f>
        <v>0</v>
      </c>
      <c r="N22" s="591">
        <f>(IF((AND($A22&gt;=Behaviours!D$22,$A22&lt;=Behaviours!D$23)),$C$5*Behaviours!D$24,0))</f>
        <v>0</v>
      </c>
      <c r="O22" s="662">
        <f t="shared" si="2"/>
        <v>0</v>
      </c>
      <c r="P22" s="593">
        <v>14</v>
      </c>
    </row>
    <row r="23" spans="1:16">
      <c r="A23" s="46" t="s">
        <v>41</v>
      </c>
      <c r="B23" s="591">
        <f>(IF((AND($A23&gt;=Behaviours!$B$12,$A23&lt;=Behaviours!$B$13)),$C$3*Behaviours!$B$14,0))</f>
        <v>0</v>
      </c>
      <c r="C23" s="591">
        <f>(IF((AND($A23&gt;=Behaviours!$C$12,$A23&lt;=Behaviours!$C$13)),$C$3*Behaviours!$C$14,0))</f>
        <v>0</v>
      </c>
      <c r="D23" s="591">
        <f>(IF((AND($A23&gt;=Behaviours!$D$12,$A23&lt;=Behaviours!$D$13)),$C$3*Behaviours!$D$14,0))</f>
        <v>0</v>
      </c>
      <c r="E23" s="662">
        <f t="shared" si="0"/>
        <v>0</v>
      </c>
      <c r="G23" s="591">
        <f>(IF((AND($A23&gt;=Behaviours!B$17,$A23&lt;=Behaviours!B$18)),$C$4*Behaviours!B$19,0))</f>
        <v>0</v>
      </c>
      <c r="H23" s="591">
        <f>(IF((AND($A23&gt;=Behaviours!C$17,$A23&lt;=Behaviours!C$18)),$C$4*Behaviours!C$19,0))</f>
        <v>0</v>
      </c>
      <c r="I23" s="591">
        <f>(IF((AND($A23&gt;=Behaviours!D$17,$A23&lt;=Behaviours!D$18)),$C$4*Behaviours!D$19,0))</f>
        <v>0</v>
      </c>
      <c r="J23" s="662">
        <f t="shared" si="1"/>
        <v>0</v>
      </c>
      <c r="L23" s="591">
        <f>(IF((AND($A23&gt;=Behaviours!B$22,$A23&lt;=Behaviours!B$23)),$C$5*Behaviours!B$24,0))</f>
        <v>0</v>
      </c>
      <c r="M23" s="591">
        <f>(IF((AND($A23&gt;=Behaviours!C$22,$A23&lt;=Behaviours!C$23)),$C$5*Behaviours!C$24,0))</f>
        <v>0</v>
      </c>
      <c r="N23" s="591">
        <f>(IF((AND($A23&gt;=Behaviours!D$22,$A23&lt;=Behaviours!D$23)),$C$5*Behaviours!D$24,0))</f>
        <v>0</v>
      </c>
      <c r="O23" s="662">
        <f t="shared" si="2"/>
        <v>0</v>
      </c>
      <c r="P23" s="593">
        <v>15</v>
      </c>
    </row>
    <row r="24" spans="1:16">
      <c r="A24" s="46" t="s">
        <v>42</v>
      </c>
      <c r="B24" s="591">
        <f>(IF((AND($A24&gt;=Behaviours!$B$12,$A24&lt;=Behaviours!$B$13)),$C$3*Behaviours!$B$14,0))</f>
        <v>0</v>
      </c>
      <c r="C24" s="591">
        <f>(IF((AND($A24&gt;=Behaviours!$C$12,$A24&lt;=Behaviours!$C$13)),$C$3*Behaviours!$C$14,0))</f>
        <v>0</v>
      </c>
      <c r="D24" s="591">
        <f>(IF((AND($A24&gt;=Behaviours!$D$12,$A24&lt;=Behaviours!$D$13)),$C$3*Behaviours!$D$14,0))</f>
        <v>0</v>
      </c>
      <c r="E24" s="662">
        <f t="shared" si="0"/>
        <v>0</v>
      </c>
      <c r="G24" s="591">
        <f>(IF((AND($A24&gt;=Behaviours!B$17,$A24&lt;=Behaviours!B$18)),$C$4*Behaviours!B$19,0))</f>
        <v>0</v>
      </c>
      <c r="H24" s="591">
        <f>(IF((AND($A24&gt;=Behaviours!C$17,$A24&lt;=Behaviours!C$18)),$C$4*Behaviours!C$19,0))</f>
        <v>0</v>
      </c>
      <c r="I24" s="591">
        <f>(IF((AND($A24&gt;=Behaviours!D$17,$A24&lt;=Behaviours!D$18)),$C$4*Behaviours!D$19,0))</f>
        <v>0</v>
      </c>
      <c r="J24" s="662">
        <f t="shared" si="1"/>
        <v>0</v>
      </c>
      <c r="L24" s="591">
        <f>(IF((AND($A24&gt;=Behaviours!B$22,$A24&lt;=Behaviours!B$23)),$C$5*Behaviours!B$24,0))</f>
        <v>0</v>
      </c>
      <c r="M24" s="591">
        <f>(IF((AND($A24&gt;=Behaviours!C$22,$A24&lt;=Behaviours!C$23)),$C$5*Behaviours!C$24,0))</f>
        <v>0</v>
      </c>
      <c r="N24" s="591">
        <f>(IF((AND($A24&gt;=Behaviours!D$22,$A24&lt;=Behaviours!D$23)),$C$5*Behaviours!D$24,0))</f>
        <v>0</v>
      </c>
      <c r="O24" s="662">
        <f t="shared" si="2"/>
        <v>0</v>
      </c>
      <c r="P24" s="593">
        <v>16</v>
      </c>
    </row>
    <row r="25" spans="1:16">
      <c r="A25" s="46" t="s">
        <v>43</v>
      </c>
      <c r="B25" s="591">
        <f>(IF((AND($A25&gt;=Behaviours!$B$12,$A25&lt;=Behaviours!$B$13)),$C$3*Behaviours!$B$14,0))</f>
        <v>0</v>
      </c>
      <c r="C25" s="591">
        <f>(IF((AND($A25&gt;=Behaviours!$C$12,$A25&lt;=Behaviours!$C$13)),$C$3*Behaviours!$C$14,0))</f>
        <v>0</v>
      </c>
      <c r="D25" s="591">
        <f>(IF((AND($A25&gt;=Behaviours!$D$12,$A25&lt;=Behaviours!$D$13)),$C$3*Behaviours!$D$14,0))</f>
        <v>0</v>
      </c>
      <c r="E25" s="662">
        <f t="shared" si="0"/>
        <v>0</v>
      </c>
      <c r="G25" s="591">
        <f>(IF((AND($A25&gt;=Behaviours!B$17,$A25&lt;=Behaviours!B$18)),$C$4*Behaviours!B$19,0))</f>
        <v>0</v>
      </c>
      <c r="H25" s="591">
        <f>(IF((AND($A25&gt;=Behaviours!C$17,$A25&lt;=Behaviours!C$18)),$C$4*Behaviours!C$19,0))</f>
        <v>0</v>
      </c>
      <c r="I25" s="591">
        <f>(IF((AND($A25&gt;=Behaviours!D$17,$A25&lt;=Behaviours!D$18)),$C$4*Behaviours!D$19,0))</f>
        <v>0</v>
      </c>
      <c r="J25" s="662">
        <f t="shared" si="1"/>
        <v>0</v>
      </c>
      <c r="L25" s="591">
        <f>(IF((AND($A25&gt;=Behaviours!B$22,$A25&lt;=Behaviours!B$23)),$C$5*Behaviours!B$24,0))</f>
        <v>0</v>
      </c>
      <c r="M25" s="591">
        <f>(IF((AND($A25&gt;=Behaviours!C$22,$A25&lt;=Behaviours!C$23)),$C$5*Behaviours!C$24,0))</f>
        <v>0</v>
      </c>
      <c r="N25" s="591">
        <f>(IF((AND($A25&gt;=Behaviours!D$22,$A25&lt;=Behaviours!D$23)),$C$5*Behaviours!D$24,0))</f>
        <v>0</v>
      </c>
      <c r="O25" s="662">
        <f t="shared" si="2"/>
        <v>0</v>
      </c>
      <c r="P25" s="593">
        <v>17</v>
      </c>
    </row>
    <row r="26" spans="1:16">
      <c r="A26" s="46" t="s">
        <v>44</v>
      </c>
      <c r="B26" s="591">
        <f>(IF((AND($A26&gt;=Behaviours!$B$12,$A26&lt;=Behaviours!$B$13)),$C$3*Behaviours!$B$14,0))</f>
        <v>0</v>
      </c>
      <c r="C26" s="591">
        <f>(IF((AND($A26&gt;=Behaviours!$C$12,$A26&lt;=Behaviours!$C$13)),$C$3*Behaviours!$C$14,0))</f>
        <v>0</v>
      </c>
      <c r="D26" s="591">
        <f>(IF((AND($A26&gt;=Behaviours!$D$12,$A26&lt;=Behaviours!$D$13)),$C$3*Behaviours!$D$14,0))</f>
        <v>0</v>
      </c>
      <c r="E26" s="662">
        <f t="shared" si="0"/>
        <v>0</v>
      </c>
      <c r="G26" s="591">
        <f>(IF((AND($A26&gt;=Behaviours!B$17,$A26&lt;=Behaviours!B$18)),$C$4*Behaviours!B$19,0))</f>
        <v>0</v>
      </c>
      <c r="H26" s="591">
        <f>(IF((AND($A26&gt;=Behaviours!C$17,$A26&lt;=Behaviours!C$18)),$C$4*Behaviours!C$19,0))</f>
        <v>0</v>
      </c>
      <c r="I26" s="591">
        <f>(IF((AND($A26&gt;=Behaviours!D$17,$A26&lt;=Behaviours!D$18)),$C$4*Behaviours!D$19,0))</f>
        <v>0</v>
      </c>
      <c r="J26" s="662">
        <f t="shared" si="1"/>
        <v>0</v>
      </c>
      <c r="L26" s="591">
        <f>(IF((AND($A26&gt;=Behaviours!B$22,$A26&lt;=Behaviours!B$23)),$C$5*Behaviours!B$24,0))</f>
        <v>0</v>
      </c>
      <c r="M26" s="591">
        <f>(IF((AND($A26&gt;=Behaviours!C$22,$A26&lt;=Behaviours!C$23)),$C$5*Behaviours!C$24,0))</f>
        <v>0</v>
      </c>
      <c r="N26" s="591">
        <f>(IF((AND($A26&gt;=Behaviours!D$22,$A26&lt;=Behaviours!D$23)),$C$5*Behaviours!D$24,0))</f>
        <v>0</v>
      </c>
      <c r="O26" s="662">
        <f t="shared" si="2"/>
        <v>0</v>
      </c>
      <c r="P26" s="593">
        <v>18</v>
      </c>
    </row>
    <row r="27" spans="1:16">
      <c r="A27" s="46" t="s">
        <v>45</v>
      </c>
      <c r="B27" s="591">
        <f>(IF((AND($A27&gt;=Behaviours!$B$12,$A27&lt;=Behaviours!$B$13)),$C$3*Behaviours!$B$14,0))</f>
        <v>0</v>
      </c>
      <c r="C27" s="591">
        <f>(IF((AND($A27&gt;=Behaviours!$C$12,$A27&lt;=Behaviours!$C$13)),$C$3*Behaviours!$C$14,0))</f>
        <v>0</v>
      </c>
      <c r="D27" s="591">
        <f>(IF((AND($A27&gt;=Behaviours!$D$12,$A27&lt;=Behaviours!$D$13)),$C$3*Behaviours!$D$14,0))</f>
        <v>0</v>
      </c>
      <c r="E27" s="662">
        <f t="shared" si="0"/>
        <v>0</v>
      </c>
      <c r="G27" s="591">
        <f>(IF((AND($A27&gt;=Behaviours!B$17,$A27&lt;=Behaviours!B$18)),$C$4*Behaviours!B$19,0))</f>
        <v>0</v>
      </c>
      <c r="H27" s="591">
        <f>(IF((AND($A27&gt;=Behaviours!C$17,$A27&lt;=Behaviours!C$18)),$C$4*Behaviours!C$19,0))</f>
        <v>0</v>
      </c>
      <c r="I27" s="591">
        <f>(IF((AND($A27&gt;=Behaviours!D$17,$A27&lt;=Behaviours!D$18)),$C$4*Behaviours!D$19,0))</f>
        <v>0</v>
      </c>
      <c r="J27" s="662">
        <f t="shared" si="1"/>
        <v>0</v>
      </c>
      <c r="L27" s="591">
        <f>(IF((AND($A27&gt;=Behaviours!B$22,$A27&lt;=Behaviours!B$23)),$C$5*Behaviours!B$24,0))</f>
        <v>0</v>
      </c>
      <c r="M27" s="591">
        <f>(IF((AND($A27&gt;=Behaviours!C$22,$A27&lt;=Behaviours!C$23)),$C$5*Behaviours!C$24,0))</f>
        <v>0</v>
      </c>
      <c r="N27" s="591">
        <f>(IF((AND($A27&gt;=Behaviours!D$22,$A27&lt;=Behaviours!D$23)),$C$5*Behaviours!D$24,0))</f>
        <v>0</v>
      </c>
      <c r="O27" s="662">
        <f t="shared" si="2"/>
        <v>0</v>
      </c>
      <c r="P27" s="593">
        <v>19</v>
      </c>
    </row>
    <row r="28" spans="1:16">
      <c r="A28" s="46" t="s">
        <v>46</v>
      </c>
      <c r="B28" s="591">
        <f>(IF((AND($A28&gt;=Behaviours!$B$12,$A28&lt;=Behaviours!$B$13)),$C$3*Behaviours!$B$14,0))</f>
        <v>0</v>
      </c>
      <c r="C28" s="591">
        <f>(IF((AND($A28&gt;=Behaviours!$C$12,$A28&lt;=Behaviours!$C$13)),$C$3*Behaviours!$C$14,0))</f>
        <v>0</v>
      </c>
      <c r="D28" s="591">
        <f>(IF((AND($A28&gt;=Behaviours!$D$12,$A28&lt;=Behaviours!$D$13)),$C$3*Behaviours!$D$14,0))</f>
        <v>0</v>
      </c>
      <c r="E28" s="662">
        <f t="shared" si="0"/>
        <v>0</v>
      </c>
      <c r="G28" s="591">
        <f>(IF((AND($A28&gt;=Behaviours!B$17,$A28&lt;=Behaviours!B$18)),$C$4*Behaviours!B$19,0))</f>
        <v>0</v>
      </c>
      <c r="H28" s="591">
        <f>(IF((AND($A28&gt;=Behaviours!C$17,$A28&lt;=Behaviours!C$18)),$C$4*Behaviours!C$19,0))</f>
        <v>0</v>
      </c>
      <c r="I28" s="591">
        <f>(IF((AND($A28&gt;=Behaviours!D$17,$A28&lt;=Behaviours!D$18)),$C$4*Behaviours!D$19,0))</f>
        <v>0</v>
      </c>
      <c r="J28" s="662">
        <f t="shared" si="1"/>
        <v>0</v>
      </c>
      <c r="L28" s="591">
        <f>(IF((AND($A28&gt;=Behaviours!B$22,$A28&lt;=Behaviours!B$23)),$C$5*Behaviours!B$24,0))</f>
        <v>0</v>
      </c>
      <c r="M28" s="591">
        <f>(IF((AND($A28&gt;=Behaviours!C$22,$A28&lt;=Behaviours!C$23)),$C$5*Behaviours!C$24,0))</f>
        <v>0</v>
      </c>
      <c r="N28" s="591">
        <f>(IF((AND($A28&gt;=Behaviours!D$22,$A28&lt;=Behaviours!D$23)),$C$5*Behaviours!D$24,0))</f>
        <v>0</v>
      </c>
      <c r="O28" s="662">
        <f t="shared" si="2"/>
        <v>0</v>
      </c>
      <c r="P28" s="593">
        <v>20</v>
      </c>
    </row>
    <row r="29" spans="1:16">
      <c r="A29" s="46" t="s">
        <v>47</v>
      </c>
      <c r="B29" s="591">
        <f>(IF((AND($A29&gt;=Behaviours!$B$12,$A29&lt;=Behaviours!$B$13)),$C$3*Behaviours!$B$14,0))</f>
        <v>0</v>
      </c>
      <c r="C29" s="591">
        <f>(IF((AND($A29&gt;=Behaviours!$C$12,$A29&lt;=Behaviours!$C$13)),$C$3*Behaviours!$C$14,0))</f>
        <v>0</v>
      </c>
      <c r="D29" s="591">
        <f>(IF((AND($A29&gt;=Behaviours!$D$12,$A29&lt;=Behaviours!$D$13)),$C$3*Behaviours!$D$14,0))</f>
        <v>0</v>
      </c>
      <c r="E29" s="662">
        <f t="shared" si="0"/>
        <v>0</v>
      </c>
      <c r="G29" s="591">
        <f>(IF((AND($A29&gt;=Behaviours!B$17,$A29&lt;=Behaviours!B$18)),$C$4*Behaviours!B$19,0))</f>
        <v>0</v>
      </c>
      <c r="H29" s="591">
        <f>(IF((AND($A29&gt;=Behaviours!C$17,$A29&lt;=Behaviours!C$18)),$C$4*Behaviours!C$19,0))</f>
        <v>0</v>
      </c>
      <c r="I29" s="591">
        <f>(IF((AND($A29&gt;=Behaviours!D$17,$A29&lt;=Behaviours!D$18)),$C$4*Behaviours!D$19,0))</f>
        <v>0</v>
      </c>
      <c r="J29" s="662">
        <f t="shared" si="1"/>
        <v>0</v>
      </c>
      <c r="L29" s="591">
        <f>(IF((AND($A29&gt;=Behaviours!B$22,$A29&lt;=Behaviours!B$23)),$C$5*Behaviours!B$24,0))</f>
        <v>0</v>
      </c>
      <c r="M29" s="591">
        <f>(IF((AND($A29&gt;=Behaviours!C$22,$A29&lt;=Behaviours!C$23)),$C$5*Behaviours!C$24,0))</f>
        <v>0</v>
      </c>
      <c r="N29" s="591">
        <f>(IF((AND($A29&gt;=Behaviours!D$22,$A29&lt;=Behaviours!D$23)),$C$5*Behaviours!D$24,0))</f>
        <v>0</v>
      </c>
      <c r="O29" s="662">
        <f t="shared" si="2"/>
        <v>0</v>
      </c>
      <c r="P29" s="593">
        <v>21</v>
      </c>
    </row>
    <row r="30" spans="1:16">
      <c r="A30" s="46" t="s">
        <v>48</v>
      </c>
      <c r="B30" s="591">
        <f>(IF((AND($A30&gt;=Behaviours!$B$12,$A30&lt;=Behaviours!$B$13)),$C$3*Behaviours!$B$14,0))</f>
        <v>0</v>
      </c>
      <c r="C30" s="591">
        <f>(IF((AND($A30&gt;=Behaviours!$C$12,$A30&lt;=Behaviours!$C$13)),$C$3*Behaviours!$C$14,0))</f>
        <v>0</v>
      </c>
      <c r="D30" s="591">
        <f>(IF((AND($A30&gt;=Behaviours!$D$12,$A30&lt;=Behaviours!$D$13)),$C$3*Behaviours!$D$14,0))</f>
        <v>0</v>
      </c>
      <c r="E30" s="662">
        <f t="shared" si="0"/>
        <v>0</v>
      </c>
      <c r="G30" s="591">
        <f>(IF((AND($A30&gt;=Behaviours!B$17,$A30&lt;=Behaviours!B$18)),$C$4*Behaviours!B$19,0))</f>
        <v>0</v>
      </c>
      <c r="H30" s="591">
        <f>(IF((AND($A30&gt;=Behaviours!C$17,$A30&lt;=Behaviours!C$18)),$C$4*Behaviours!C$19,0))</f>
        <v>0</v>
      </c>
      <c r="I30" s="591">
        <f>(IF((AND($A30&gt;=Behaviours!D$17,$A30&lt;=Behaviours!D$18)),$C$4*Behaviours!D$19,0))</f>
        <v>0</v>
      </c>
      <c r="J30" s="662">
        <f t="shared" si="1"/>
        <v>0</v>
      </c>
      <c r="L30" s="591">
        <f>(IF((AND($A30&gt;=Behaviours!B$22,$A30&lt;=Behaviours!B$23)),$C$5*Behaviours!B$24,0))</f>
        <v>0</v>
      </c>
      <c r="M30" s="591">
        <f>(IF((AND($A30&gt;=Behaviours!C$22,$A30&lt;=Behaviours!C$23)),$C$5*Behaviours!C$24,0))</f>
        <v>0</v>
      </c>
      <c r="N30" s="591">
        <f>(IF((AND($A30&gt;=Behaviours!D$22,$A30&lt;=Behaviours!D$23)),$C$5*Behaviours!D$24,0))</f>
        <v>0</v>
      </c>
      <c r="O30" s="662">
        <f t="shared" si="2"/>
        <v>0</v>
      </c>
      <c r="P30" s="593">
        <v>22</v>
      </c>
    </row>
    <row r="31" spans="1:16">
      <c r="A31" s="46" t="s">
        <v>0</v>
      </c>
      <c r="B31" s="591">
        <f>(IF((AND($A31&gt;=Behaviours!$B$12,$A31&lt;=Behaviours!$B$13)),$C$3*Behaviours!$B$14,0))</f>
        <v>0</v>
      </c>
      <c r="C31" s="591">
        <f>(IF((AND($A31&gt;=Behaviours!$C$12,$A31&lt;=Behaviours!$C$13)),$C$3*Behaviours!$C$14,0))</f>
        <v>0</v>
      </c>
      <c r="D31" s="591">
        <f>(IF((AND($A31&gt;=Behaviours!$D$12,$A31&lt;=Behaviours!$D$13)),$C$3*Behaviours!$D$14,0))</f>
        <v>0</v>
      </c>
      <c r="E31" s="662">
        <f t="shared" si="0"/>
        <v>0</v>
      </c>
      <c r="G31" s="591">
        <f>(IF((AND($A31&gt;=Behaviours!B$17,$A31&lt;=Behaviours!B$18)),$C$4*Behaviours!B$19,0))</f>
        <v>0</v>
      </c>
      <c r="H31" s="591">
        <f>(IF((AND($A31&gt;=Behaviours!C$17,$A31&lt;=Behaviours!C$18)),$C$4*Behaviours!C$19,0))</f>
        <v>0</v>
      </c>
      <c r="I31" s="591">
        <f>(IF((AND($A31&gt;=Behaviours!D$17,$A31&lt;=Behaviours!D$18)),$C$4*Behaviours!D$19,0))</f>
        <v>0</v>
      </c>
      <c r="J31" s="662">
        <f t="shared" si="1"/>
        <v>0</v>
      </c>
      <c r="L31" s="591">
        <f>(IF((AND($A31&gt;=Behaviours!B$22,$A31&lt;=Behaviours!B$23)),$C$5*Behaviours!B$24,0))</f>
        <v>0</v>
      </c>
      <c r="M31" s="591">
        <f>(IF((AND($A31&gt;=Behaviours!C$22,$A31&lt;=Behaviours!C$23)),$C$5*Behaviours!C$24,0))</f>
        <v>0</v>
      </c>
      <c r="N31" s="591">
        <f>(IF((AND($A31&gt;=Behaviours!D$22,$A31&lt;=Behaviours!D$23)),$C$5*Behaviours!D$24,0))</f>
        <v>0</v>
      </c>
      <c r="O31" s="662">
        <f t="shared" si="2"/>
        <v>0</v>
      </c>
      <c r="P31" s="593">
        <v>23</v>
      </c>
    </row>
    <row r="32" spans="1:16">
      <c r="A32" s="46" t="s">
        <v>1</v>
      </c>
      <c r="B32" s="591">
        <f>(IF((AND($A32&gt;=Behaviours!$B$12,$A32&lt;=Behaviours!$B$13)),$C$3*Behaviours!$B$14,0))</f>
        <v>0</v>
      </c>
      <c r="C32" s="591">
        <f>(IF((AND($A32&gt;=Behaviours!$C$12,$A32&lt;=Behaviours!$C$13)),$C$3*Behaviours!$C$14,0))</f>
        <v>0</v>
      </c>
      <c r="D32" s="591">
        <f>(IF((AND($A32&gt;=Behaviours!$D$12,$A32&lt;=Behaviours!$D$13)),$C$3*Behaviours!$D$14,0))</f>
        <v>0</v>
      </c>
      <c r="E32" s="662">
        <f t="shared" si="0"/>
        <v>0</v>
      </c>
      <c r="G32" s="591">
        <f>(IF((AND($A32&gt;=Behaviours!B$17,$A32&lt;=Behaviours!B$18)),$C$4*Behaviours!B$19,0))</f>
        <v>0</v>
      </c>
      <c r="H32" s="591">
        <f>(IF((AND($A32&gt;=Behaviours!C$17,$A32&lt;=Behaviours!C$18)),$C$4*Behaviours!C$19,0))</f>
        <v>0</v>
      </c>
      <c r="I32" s="591">
        <f>(IF((AND($A32&gt;=Behaviours!D$17,$A32&lt;=Behaviours!D$18)),$C$4*Behaviours!D$19,0))</f>
        <v>0</v>
      </c>
      <c r="J32" s="662">
        <f t="shared" si="1"/>
        <v>0</v>
      </c>
      <c r="L32" s="591">
        <f>(IF((AND($A32&gt;=Behaviours!B$22,$A32&lt;=Behaviours!B$23)),$C$5*Behaviours!B$24,0))</f>
        <v>0</v>
      </c>
      <c r="M32" s="591">
        <f>(IF((AND($A32&gt;=Behaviours!C$22,$A32&lt;=Behaviours!C$23)),$C$5*Behaviours!C$24,0))</f>
        <v>0</v>
      </c>
      <c r="N32" s="591">
        <f>(IF((AND($A32&gt;=Behaviours!D$22,$A32&lt;=Behaviours!D$23)),$C$5*Behaviours!D$24,0))</f>
        <v>0</v>
      </c>
      <c r="O32" s="662">
        <f t="shared" si="2"/>
        <v>0</v>
      </c>
      <c r="P32" s="593">
        <v>24</v>
      </c>
    </row>
    <row r="33" spans="1:16">
      <c r="A33" s="46" t="s">
        <v>2</v>
      </c>
      <c r="B33" s="591">
        <f>(IF((AND($A33&gt;=Behaviours!$B$12,$A33&lt;=Behaviours!$B$13)),$C$3*Behaviours!$B$14,0))</f>
        <v>0</v>
      </c>
      <c r="C33" s="591">
        <f>(IF((AND($A33&gt;=Behaviours!$C$12,$A33&lt;=Behaviours!$C$13)),$C$3*Behaviours!$C$14,0))</f>
        <v>0</v>
      </c>
      <c r="D33" s="591">
        <f>(IF((AND($A33&gt;=Behaviours!$D$12,$A33&lt;=Behaviours!$D$13)),$C$3*Behaviours!$D$14,0))</f>
        <v>0</v>
      </c>
      <c r="E33" s="662">
        <f t="shared" si="0"/>
        <v>0</v>
      </c>
      <c r="G33" s="591">
        <f>(IF((AND($A33&gt;=Behaviours!B$17,$A33&lt;=Behaviours!B$18)),$C$4*Behaviours!B$19,0))</f>
        <v>0</v>
      </c>
      <c r="H33" s="591">
        <f>(IF((AND($A33&gt;=Behaviours!C$17,$A33&lt;=Behaviours!C$18)),$C$4*Behaviours!C$19,0))</f>
        <v>0</v>
      </c>
      <c r="I33" s="591">
        <f>(IF((AND($A33&gt;=Behaviours!D$17,$A33&lt;=Behaviours!D$18)),$C$4*Behaviours!D$19,0))</f>
        <v>0</v>
      </c>
      <c r="J33" s="662">
        <f t="shared" si="1"/>
        <v>0</v>
      </c>
      <c r="L33" s="591">
        <f>(IF((AND($A33&gt;=Behaviours!B$22,$A33&lt;=Behaviours!B$23)),$C$5*Behaviours!B$24,0))</f>
        <v>0</v>
      </c>
      <c r="M33" s="591">
        <f>(IF((AND($A33&gt;=Behaviours!C$22,$A33&lt;=Behaviours!C$23)),$C$5*Behaviours!C$24,0))</f>
        <v>0</v>
      </c>
      <c r="N33" s="591">
        <f>(IF((AND($A33&gt;=Behaviours!D$22,$A33&lt;=Behaviours!D$23)),$C$5*Behaviours!D$24,0))</f>
        <v>0</v>
      </c>
      <c r="O33" s="662">
        <f t="shared" si="2"/>
        <v>0</v>
      </c>
      <c r="P33" s="593">
        <v>25</v>
      </c>
    </row>
    <row r="34" spans="1:16">
      <c r="A34" s="46" t="s">
        <v>3</v>
      </c>
      <c r="B34" s="591">
        <f>(IF((AND($A34&gt;=Behaviours!$B$12,$A34&lt;=Behaviours!$B$13)),$C$3*Behaviours!$B$14,0))</f>
        <v>0</v>
      </c>
      <c r="C34" s="591">
        <f>(IF((AND($A34&gt;=Behaviours!$C$12,$A34&lt;=Behaviours!$C$13)),$C$3*Behaviours!$C$14,0))</f>
        <v>0</v>
      </c>
      <c r="D34" s="591">
        <f>(IF((AND($A34&gt;=Behaviours!$D$12,$A34&lt;=Behaviours!$D$13)),$C$3*Behaviours!$D$14,0))</f>
        <v>0</v>
      </c>
      <c r="E34" s="662">
        <f t="shared" si="0"/>
        <v>0</v>
      </c>
      <c r="G34" s="591">
        <f>(IF((AND($A34&gt;=Behaviours!B$17,$A34&lt;=Behaviours!B$18)),$C$4*Behaviours!B$19,0))</f>
        <v>0</v>
      </c>
      <c r="H34" s="591">
        <f>(IF((AND($A34&gt;=Behaviours!C$17,$A34&lt;=Behaviours!C$18)),$C$4*Behaviours!C$19,0))</f>
        <v>0</v>
      </c>
      <c r="I34" s="591">
        <f>(IF((AND($A34&gt;=Behaviours!D$17,$A34&lt;=Behaviours!D$18)),$C$4*Behaviours!D$19,0))</f>
        <v>0</v>
      </c>
      <c r="J34" s="662">
        <f t="shared" si="1"/>
        <v>0</v>
      </c>
      <c r="L34" s="591">
        <f>(IF((AND($A34&gt;=Behaviours!B$22,$A34&lt;=Behaviours!B$23)),$C$5*Behaviours!B$24,0))</f>
        <v>0</v>
      </c>
      <c r="M34" s="591">
        <f>(IF((AND($A34&gt;=Behaviours!C$22,$A34&lt;=Behaviours!C$23)),$C$5*Behaviours!C$24,0))</f>
        <v>0</v>
      </c>
      <c r="N34" s="591">
        <f>(IF((AND($A34&gt;=Behaviours!D$22,$A34&lt;=Behaviours!D$23)),$C$5*Behaviours!D$24,0))</f>
        <v>0</v>
      </c>
      <c r="O34" s="662">
        <f t="shared" si="2"/>
        <v>0</v>
      </c>
      <c r="P34" s="593">
        <v>26</v>
      </c>
    </row>
    <row r="35" spans="1:16">
      <c r="A35" s="47" t="s">
        <v>49</v>
      </c>
      <c r="B35" s="591">
        <f>(IF((AND($A35&gt;=Behaviours!$B$12,$A35&lt;=Behaviours!$B$13)),$C$3*Behaviours!$B$14,0))</f>
        <v>0</v>
      </c>
      <c r="C35" s="591">
        <f>(IF((AND($A35&gt;=Behaviours!$C$12,$A35&lt;=Behaviours!$C$13)),$C$3*Behaviours!$C$14,0))</f>
        <v>0</v>
      </c>
      <c r="D35" s="591">
        <f>(IF((AND($A35&gt;=Behaviours!$D$12,$A35&lt;=Behaviours!$D$13)),$C$3*Behaviours!$D$14,0))</f>
        <v>0</v>
      </c>
      <c r="E35" s="662">
        <f t="shared" si="0"/>
        <v>0</v>
      </c>
      <c r="G35" s="591">
        <f>(IF((AND($A35&gt;=Behaviours!B$17,$A35&lt;=Behaviours!B$18)),$C$4*Behaviours!B$19,0))</f>
        <v>0</v>
      </c>
      <c r="H35" s="591">
        <f>(IF((AND($A35&gt;=Behaviours!C$17,$A35&lt;=Behaviours!C$18)),$C$4*Behaviours!C$19,0))</f>
        <v>0</v>
      </c>
      <c r="I35" s="591">
        <f>(IF((AND($A35&gt;=Behaviours!D$17,$A35&lt;=Behaviours!D$18)),$C$4*Behaviours!D$19,0))</f>
        <v>0</v>
      </c>
      <c r="J35" s="662">
        <f t="shared" si="1"/>
        <v>0</v>
      </c>
      <c r="L35" s="591">
        <f>(IF((AND($A35&gt;=Behaviours!B$22,$A35&lt;=Behaviours!B$23)),$C$5*Behaviours!B$24,0))</f>
        <v>0</v>
      </c>
      <c r="M35" s="591">
        <f>(IF((AND($A35&gt;=Behaviours!C$22,$A35&lt;=Behaviours!C$23)),$C$5*Behaviours!C$24,0))</f>
        <v>0</v>
      </c>
      <c r="N35" s="591">
        <f>(IF((AND($A35&gt;=Behaviours!D$22,$A35&lt;=Behaviours!D$23)),$C$5*Behaviours!D$24,0))</f>
        <v>0</v>
      </c>
      <c r="O35" s="662">
        <f t="shared" si="2"/>
        <v>0</v>
      </c>
      <c r="P35" s="593">
        <v>27</v>
      </c>
    </row>
    <row r="36" spans="1:16">
      <c r="A36" s="48" t="s">
        <v>50</v>
      </c>
      <c r="B36" s="591">
        <f>(IF((AND($A36&gt;=Behaviours!$B$12,$A36&lt;=Behaviours!$B$13)),$C$3*Behaviours!$B$14,0))</f>
        <v>0</v>
      </c>
      <c r="C36" s="591">
        <f>(IF((AND($A36&gt;=Behaviours!$C$12,$A36&lt;=Behaviours!$C$13)),$C$3*Behaviours!$C$14,0))</f>
        <v>0</v>
      </c>
      <c r="D36" s="591">
        <f>(IF((AND($A36&gt;=Behaviours!$D$12,$A36&lt;=Behaviours!$D$13)),$C$3*Behaviours!$D$14,0))</f>
        <v>0</v>
      </c>
      <c r="E36" s="662">
        <f t="shared" si="0"/>
        <v>0</v>
      </c>
      <c r="G36" s="591">
        <f>(IF((AND($A36&gt;=Behaviours!B$17,$A36&lt;=Behaviours!B$18)),$C$4*Behaviours!B$19,0))</f>
        <v>0</v>
      </c>
      <c r="H36" s="591">
        <f>(IF((AND($A36&gt;=Behaviours!C$17,$A36&lt;=Behaviours!C$18)),$C$4*Behaviours!C$19,0))</f>
        <v>0</v>
      </c>
      <c r="I36" s="591">
        <f>(IF((AND($A36&gt;=Behaviours!D$17,$A36&lt;=Behaviours!D$18)),$C$4*Behaviours!D$19,0))</f>
        <v>0</v>
      </c>
      <c r="J36" s="662">
        <f t="shared" si="1"/>
        <v>0</v>
      </c>
      <c r="L36" s="591">
        <f>(IF((AND($A36&gt;=Behaviours!B$22,$A36&lt;=Behaviours!B$23)),$C$5*Behaviours!B$24,0))</f>
        <v>0</v>
      </c>
      <c r="M36" s="591">
        <f>(IF((AND($A36&gt;=Behaviours!C$22,$A36&lt;=Behaviours!C$23)),$C$5*Behaviours!C$24,0))</f>
        <v>0</v>
      </c>
      <c r="N36" s="591">
        <f>(IF((AND($A36&gt;=Behaviours!D$22,$A36&lt;=Behaviours!D$23)),$C$5*Behaviours!D$24,0))</f>
        <v>0</v>
      </c>
      <c r="O36" s="662">
        <f t="shared" si="2"/>
        <v>0</v>
      </c>
      <c r="P36" s="593">
        <v>28</v>
      </c>
    </row>
    <row r="37" spans="1:16">
      <c r="A37" s="48" t="s">
        <v>51</v>
      </c>
      <c r="B37" s="591">
        <f>(IF((AND($A37&gt;=Behaviours!$B$12,$A37&lt;=Behaviours!$B$13)),$C$3*Behaviours!$B$14,0))</f>
        <v>0</v>
      </c>
      <c r="C37" s="591">
        <f>(IF((AND($A37&gt;=Behaviours!$C$12,$A37&lt;=Behaviours!$C$13)),$C$3*Behaviours!$C$14,0))</f>
        <v>0</v>
      </c>
      <c r="D37" s="591">
        <f>(IF((AND($A37&gt;=Behaviours!$D$12,$A37&lt;=Behaviours!$D$13)),$C$3*Behaviours!$D$14,0))</f>
        <v>0</v>
      </c>
      <c r="E37" s="662">
        <f t="shared" si="0"/>
        <v>0</v>
      </c>
      <c r="G37" s="591">
        <f>(IF((AND($A37&gt;=Behaviours!B$17,$A37&lt;=Behaviours!B$18)),$C$4*Behaviours!B$19,0))</f>
        <v>0</v>
      </c>
      <c r="H37" s="591">
        <f>(IF((AND($A37&gt;=Behaviours!C$17,$A37&lt;=Behaviours!C$18)),$C$4*Behaviours!C$19,0))</f>
        <v>0</v>
      </c>
      <c r="I37" s="591">
        <f>(IF((AND($A37&gt;=Behaviours!D$17,$A37&lt;=Behaviours!D$18)),$C$4*Behaviours!D$19,0))</f>
        <v>0</v>
      </c>
      <c r="J37" s="662">
        <f t="shared" si="1"/>
        <v>0</v>
      </c>
      <c r="L37" s="591">
        <f>(IF((AND($A37&gt;=Behaviours!B$22,$A37&lt;=Behaviours!B$23)),$C$5*Behaviours!B$24,0))</f>
        <v>0</v>
      </c>
      <c r="M37" s="591">
        <f>(IF((AND($A37&gt;=Behaviours!C$22,$A37&lt;=Behaviours!C$23)),$C$5*Behaviours!C$24,0))</f>
        <v>0</v>
      </c>
      <c r="N37" s="591">
        <f>(IF((AND($A37&gt;=Behaviours!D$22,$A37&lt;=Behaviours!D$23)),$C$5*Behaviours!D$24,0))</f>
        <v>0</v>
      </c>
      <c r="O37" s="662">
        <f t="shared" si="2"/>
        <v>0</v>
      </c>
      <c r="P37" s="593">
        <v>29</v>
      </c>
    </row>
    <row r="38" spans="1:16">
      <c r="A38" s="48" t="s">
        <v>52</v>
      </c>
      <c r="B38" s="591">
        <f>(IF((AND($A38&gt;=Behaviours!$B$12,$A38&lt;=Behaviours!$B$13)),$C$3*Behaviours!$B$14,0))</f>
        <v>0</v>
      </c>
      <c r="C38" s="591">
        <f>(IF((AND($A38&gt;=Behaviours!$C$12,$A38&lt;=Behaviours!$C$13)),$C$3*Behaviours!$C$14,0))</f>
        <v>0</v>
      </c>
      <c r="D38" s="591">
        <f>(IF((AND($A38&gt;=Behaviours!$D$12,$A38&lt;=Behaviours!$D$13)),$C$3*Behaviours!$D$14,0))</f>
        <v>0</v>
      </c>
      <c r="E38" s="662">
        <f t="shared" si="0"/>
        <v>0</v>
      </c>
      <c r="G38" s="591">
        <f>(IF((AND($A38&gt;=Behaviours!B$17,$A38&lt;=Behaviours!B$18)),$C$4*Behaviours!B$19,0))</f>
        <v>0</v>
      </c>
      <c r="H38" s="591">
        <f>(IF((AND($A38&gt;=Behaviours!C$17,$A38&lt;=Behaviours!C$18)),$C$4*Behaviours!C$19,0))</f>
        <v>0</v>
      </c>
      <c r="I38" s="591">
        <f>(IF((AND($A38&gt;=Behaviours!D$17,$A38&lt;=Behaviours!D$18)),$C$4*Behaviours!D$19,0))</f>
        <v>0</v>
      </c>
      <c r="J38" s="662">
        <f t="shared" si="1"/>
        <v>0</v>
      </c>
      <c r="L38" s="591">
        <f>(IF((AND($A38&gt;=Behaviours!B$22,$A38&lt;=Behaviours!B$23)),$C$5*Behaviours!B$24,0))</f>
        <v>0</v>
      </c>
      <c r="M38" s="591">
        <f>(IF((AND($A38&gt;=Behaviours!C$22,$A38&lt;=Behaviours!C$23)),$C$5*Behaviours!C$24,0))</f>
        <v>0</v>
      </c>
      <c r="N38" s="591">
        <f>(IF((AND($A38&gt;=Behaviours!D$22,$A38&lt;=Behaviours!D$23)),$C$5*Behaviours!D$24,0))</f>
        <v>0</v>
      </c>
      <c r="O38" s="662">
        <f t="shared" si="2"/>
        <v>0</v>
      </c>
      <c r="P38" s="593">
        <v>30</v>
      </c>
    </row>
    <row r="39" spans="1:16">
      <c r="A39" s="48" t="s">
        <v>53</v>
      </c>
      <c r="B39" s="591">
        <f>(IF((AND($A39&gt;=Behaviours!$B$12,$A39&lt;=Behaviours!$B$13)),$C$3*Behaviours!$B$14,0))</f>
        <v>0</v>
      </c>
      <c r="C39" s="591">
        <f>(IF((AND($A39&gt;=Behaviours!$C$12,$A39&lt;=Behaviours!$C$13)),$C$3*Behaviours!$C$14,0))</f>
        <v>0</v>
      </c>
      <c r="D39" s="591">
        <f>(IF((AND($A39&gt;=Behaviours!$D$12,$A39&lt;=Behaviours!$D$13)),$C$3*Behaviours!$D$14,0))</f>
        <v>0</v>
      </c>
      <c r="E39" s="662">
        <f t="shared" si="0"/>
        <v>0</v>
      </c>
      <c r="G39" s="591">
        <f>(IF((AND($A39&gt;=Behaviours!B$17,$A39&lt;=Behaviours!B$18)),$C$4*Behaviours!B$19,0))</f>
        <v>0</v>
      </c>
      <c r="H39" s="591">
        <f>(IF((AND($A39&gt;=Behaviours!C$17,$A39&lt;=Behaviours!C$18)),$C$4*Behaviours!C$19,0))</f>
        <v>0</v>
      </c>
      <c r="I39" s="591">
        <f>(IF((AND($A39&gt;=Behaviours!D$17,$A39&lt;=Behaviours!D$18)),$C$4*Behaviours!D$19,0))</f>
        <v>0</v>
      </c>
      <c r="J39" s="662">
        <f t="shared" si="1"/>
        <v>0</v>
      </c>
      <c r="L39" s="591">
        <f>(IF((AND($A39&gt;=Behaviours!B$22,$A39&lt;=Behaviours!B$23)),$C$5*Behaviours!B$24,0))</f>
        <v>0</v>
      </c>
      <c r="M39" s="591">
        <f>(IF((AND($A39&gt;=Behaviours!C$22,$A39&lt;=Behaviours!C$23)),$C$5*Behaviours!C$24,0))</f>
        <v>0</v>
      </c>
      <c r="N39" s="591">
        <f>(IF((AND($A39&gt;=Behaviours!D$22,$A39&lt;=Behaviours!D$23)),$C$5*Behaviours!D$24,0))</f>
        <v>0</v>
      </c>
      <c r="O39" s="662">
        <f t="shared" si="2"/>
        <v>0</v>
      </c>
      <c r="P39" s="593">
        <v>31</v>
      </c>
    </row>
    <row r="40" spans="1:16">
      <c r="A40" s="48" t="s">
        <v>54</v>
      </c>
      <c r="B40" s="591">
        <f>(IF((AND($A40&gt;=Behaviours!$B$12,$A40&lt;=Behaviours!$B$13)),$C$3*Behaviours!$B$14,0))</f>
        <v>0</v>
      </c>
      <c r="C40" s="591">
        <f>(IF((AND($A40&gt;=Behaviours!$C$12,$A40&lt;=Behaviours!$C$13)),$C$3*Behaviours!$C$14,0))</f>
        <v>0</v>
      </c>
      <c r="D40" s="591">
        <f>(IF((AND($A40&gt;=Behaviours!$D$12,$A40&lt;=Behaviours!$D$13)),$C$3*Behaviours!$D$14,0))</f>
        <v>0</v>
      </c>
      <c r="E40" s="662">
        <f t="shared" si="0"/>
        <v>0</v>
      </c>
      <c r="G40" s="591">
        <f>(IF((AND($A40&gt;=Behaviours!B$17,$A40&lt;=Behaviours!B$18)),$C$4*Behaviours!B$19,0))</f>
        <v>0</v>
      </c>
      <c r="H40" s="591">
        <f>(IF((AND($A40&gt;=Behaviours!C$17,$A40&lt;=Behaviours!C$18)),$C$4*Behaviours!C$19,0))</f>
        <v>0</v>
      </c>
      <c r="I40" s="591">
        <f>(IF((AND($A40&gt;=Behaviours!D$17,$A40&lt;=Behaviours!D$18)),$C$4*Behaviours!D$19,0))</f>
        <v>0</v>
      </c>
      <c r="J40" s="662">
        <f t="shared" si="1"/>
        <v>0</v>
      </c>
      <c r="L40" s="591">
        <f>(IF((AND($A40&gt;=Behaviours!B$22,$A40&lt;=Behaviours!B$23)),$C$5*Behaviours!B$24,0))</f>
        <v>0</v>
      </c>
      <c r="M40" s="591">
        <f>(IF((AND($A40&gt;=Behaviours!C$22,$A40&lt;=Behaviours!C$23)),$C$5*Behaviours!C$24,0))</f>
        <v>0</v>
      </c>
      <c r="N40" s="591">
        <f>(IF((AND($A40&gt;=Behaviours!D$22,$A40&lt;=Behaviours!D$23)),$C$5*Behaviours!D$24,0))</f>
        <v>0</v>
      </c>
      <c r="O40" s="662">
        <f t="shared" si="2"/>
        <v>0</v>
      </c>
      <c r="P40" s="593">
        <v>32</v>
      </c>
    </row>
    <row r="41" spans="1:16">
      <c r="A41" s="48" t="s">
        <v>55</v>
      </c>
      <c r="B41" s="591">
        <f>(IF((AND($A41&gt;=Behaviours!$B$12,$A41&lt;=Behaviours!$B$13)),$C$3*Behaviours!$B$14,0))</f>
        <v>0</v>
      </c>
      <c r="C41" s="591">
        <f>(IF((AND($A41&gt;=Behaviours!$C$12,$A41&lt;=Behaviours!$C$13)),$C$3*Behaviours!$C$14,0))</f>
        <v>0</v>
      </c>
      <c r="D41" s="591">
        <f>(IF((AND($A41&gt;=Behaviours!$D$12,$A41&lt;=Behaviours!$D$13)),$C$3*Behaviours!$D$14,0))</f>
        <v>0</v>
      </c>
      <c r="E41" s="662">
        <f t="shared" si="0"/>
        <v>0</v>
      </c>
      <c r="G41" s="591">
        <f>(IF((AND($A41&gt;=Behaviours!B$17,$A41&lt;=Behaviours!B$18)),$C$4*Behaviours!B$19,0))</f>
        <v>0</v>
      </c>
      <c r="H41" s="591">
        <f>(IF((AND($A41&gt;=Behaviours!C$17,$A41&lt;=Behaviours!C$18)),$C$4*Behaviours!C$19,0))</f>
        <v>0</v>
      </c>
      <c r="I41" s="591">
        <f>(IF((AND($A41&gt;=Behaviours!D$17,$A41&lt;=Behaviours!D$18)),$C$4*Behaviours!D$19,0))</f>
        <v>0</v>
      </c>
      <c r="J41" s="662">
        <f t="shared" si="1"/>
        <v>0</v>
      </c>
      <c r="L41" s="591">
        <f>(IF((AND($A41&gt;=Behaviours!B$22,$A41&lt;=Behaviours!B$23)),$C$5*Behaviours!B$24,0))</f>
        <v>0</v>
      </c>
      <c r="M41" s="591">
        <f>(IF((AND($A41&gt;=Behaviours!C$22,$A41&lt;=Behaviours!C$23)),$C$5*Behaviours!C$24,0))</f>
        <v>0</v>
      </c>
      <c r="N41" s="591">
        <f>(IF((AND($A41&gt;=Behaviours!D$22,$A41&lt;=Behaviours!D$23)),$C$5*Behaviours!D$24,0))</f>
        <v>0</v>
      </c>
      <c r="O41" s="662">
        <f t="shared" si="2"/>
        <v>0</v>
      </c>
      <c r="P41" s="593">
        <v>33</v>
      </c>
    </row>
    <row r="42" spans="1:16">
      <c r="A42" s="48" t="s">
        <v>56</v>
      </c>
      <c r="B42" s="591">
        <f>(IF((AND($A42&gt;=Behaviours!$B$12,$A42&lt;=Behaviours!$B$13)),$C$3*Behaviours!$B$14,0))</f>
        <v>0</v>
      </c>
      <c r="C42" s="591">
        <f>(IF((AND($A42&gt;=Behaviours!$C$12,$A42&lt;=Behaviours!$C$13)),$C$3*Behaviours!$C$14,0))</f>
        <v>0</v>
      </c>
      <c r="D42" s="591">
        <f>(IF((AND($A42&gt;=Behaviours!$D$12,$A42&lt;=Behaviours!$D$13)),$C$3*Behaviours!$D$14,0))</f>
        <v>0</v>
      </c>
      <c r="E42" s="662">
        <f t="shared" si="0"/>
        <v>0</v>
      </c>
      <c r="G42" s="591">
        <f>(IF((AND($A42&gt;=Behaviours!B$17,$A42&lt;=Behaviours!B$18)),$C$4*Behaviours!B$19,0))</f>
        <v>0</v>
      </c>
      <c r="H42" s="591">
        <f>(IF((AND($A42&gt;=Behaviours!C$17,$A42&lt;=Behaviours!C$18)),$C$4*Behaviours!C$19,0))</f>
        <v>0</v>
      </c>
      <c r="I42" s="591">
        <f>(IF((AND($A42&gt;=Behaviours!D$17,$A42&lt;=Behaviours!D$18)),$C$4*Behaviours!D$19,0))</f>
        <v>0</v>
      </c>
      <c r="J42" s="662">
        <f t="shared" si="1"/>
        <v>0</v>
      </c>
      <c r="L42" s="591">
        <f>(IF((AND($A42&gt;=Behaviours!B$22,$A42&lt;=Behaviours!B$23)),$C$5*Behaviours!B$24,0))</f>
        <v>0</v>
      </c>
      <c r="M42" s="591">
        <f>(IF((AND($A42&gt;=Behaviours!C$22,$A42&lt;=Behaviours!C$23)),$C$5*Behaviours!C$24,0))</f>
        <v>0</v>
      </c>
      <c r="N42" s="591">
        <f>(IF((AND($A42&gt;=Behaviours!D$22,$A42&lt;=Behaviours!D$23)),$C$5*Behaviours!D$24,0))</f>
        <v>0</v>
      </c>
      <c r="O42" s="662">
        <f t="shared" si="2"/>
        <v>0</v>
      </c>
      <c r="P42" s="593">
        <v>34</v>
      </c>
    </row>
    <row r="43" spans="1:16">
      <c r="A43" s="48" t="s">
        <v>57</v>
      </c>
      <c r="B43" s="591">
        <f>(IF((AND($A43&gt;=Behaviours!$B$12,$A43&lt;=Behaviours!$B$13)),$C$3*Behaviours!$B$14,0))</f>
        <v>0</v>
      </c>
      <c r="C43" s="591">
        <f>(IF((AND($A43&gt;=Behaviours!$C$12,$A43&lt;=Behaviours!$C$13)),$C$3*Behaviours!$C$14,0))</f>
        <v>0</v>
      </c>
      <c r="D43" s="591">
        <f>(IF((AND($A43&gt;=Behaviours!$D$12,$A43&lt;=Behaviours!$D$13)),$C$3*Behaviours!$D$14,0))</f>
        <v>0</v>
      </c>
      <c r="E43" s="662">
        <f t="shared" si="0"/>
        <v>0</v>
      </c>
      <c r="G43" s="591">
        <f>(IF((AND($A43&gt;=Behaviours!B$17,$A43&lt;=Behaviours!B$18)),$C$4*Behaviours!B$19,0))</f>
        <v>0</v>
      </c>
      <c r="H43" s="591">
        <f>(IF((AND($A43&gt;=Behaviours!C$17,$A43&lt;=Behaviours!C$18)),$C$4*Behaviours!C$19,0))</f>
        <v>0</v>
      </c>
      <c r="I43" s="591">
        <f>(IF((AND($A43&gt;=Behaviours!D$17,$A43&lt;=Behaviours!D$18)),$C$4*Behaviours!D$19,0))</f>
        <v>0</v>
      </c>
      <c r="J43" s="662">
        <f t="shared" si="1"/>
        <v>0</v>
      </c>
      <c r="L43" s="591">
        <f>(IF((AND($A43&gt;=Behaviours!B$22,$A43&lt;=Behaviours!B$23)),$C$5*Behaviours!B$24,0))</f>
        <v>0</v>
      </c>
      <c r="M43" s="591">
        <f>(IF((AND($A43&gt;=Behaviours!C$22,$A43&lt;=Behaviours!C$23)),$C$5*Behaviours!C$24,0))</f>
        <v>0</v>
      </c>
      <c r="N43" s="591">
        <f>(IF((AND($A43&gt;=Behaviours!D$22,$A43&lt;=Behaviours!D$23)),$C$5*Behaviours!D$24,0))</f>
        <v>0</v>
      </c>
      <c r="O43" s="662">
        <f t="shared" si="2"/>
        <v>0</v>
      </c>
      <c r="P43" s="593">
        <v>35</v>
      </c>
    </row>
    <row r="44" spans="1:16">
      <c r="A44" s="48" t="s">
        <v>4</v>
      </c>
      <c r="B44" s="591">
        <f>(IF((AND($A44&gt;=Behaviours!$B$12,$A44&lt;=Behaviours!$B$13)),$C$3*Behaviours!$B$14,0))</f>
        <v>0</v>
      </c>
      <c r="C44" s="591">
        <f>(IF((AND($A44&gt;=Behaviours!$C$12,$A44&lt;=Behaviours!$C$13)),$C$3*Behaviours!$C$14,0))</f>
        <v>0</v>
      </c>
      <c r="D44" s="591">
        <f>(IF((AND($A44&gt;=Behaviours!$D$12,$A44&lt;=Behaviours!$D$13)),$C$3*Behaviours!$D$14,0))</f>
        <v>0</v>
      </c>
      <c r="E44" s="662">
        <f t="shared" si="0"/>
        <v>0</v>
      </c>
      <c r="G44" s="591">
        <f>(IF((AND($A44&gt;=Behaviours!B$17,$A44&lt;=Behaviours!B$18)),$C$4*Behaviours!B$19,0))</f>
        <v>0</v>
      </c>
      <c r="H44" s="591">
        <f>(IF((AND($A44&gt;=Behaviours!C$17,$A44&lt;=Behaviours!C$18)),$C$4*Behaviours!C$19,0))</f>
        <v>0</v>
      </c>
      <c r="I44" s="591">
        <f>(IF((AND($A44&gt;=Behaviours!D$17,$A44&lt;=Behaviours!D$18)),$C$4*Behaviours!D$19,0))</f>
        <v>0</v>
      </c>
      <c r="J44" s="662">
        <f t="shared" si="1"/>
        <v>0</v>
      </c>
      <c r="L44" s="591">
        <f>(IF((AND($A44&gt;=Behaviours!B$22,$A44&lt;=Behaviours!B$23)),$C$5*Behaviours!B$24,0))</f>
        <v>0</v>
      </c>
      <c r="M44" s="591">
        <f>(IF((AND($A44&gt;=Behaviours!C$22,$A44&lt;=Behaviours!C$23)),$C$5*Behaviours!C$24,0))</f>
        <v>0</v>
      </c>
      <c r="N44" s="591">
        <f>(IF((AND($A44&gt;=Behaviours!D$22,$A44&lt;=Behaviours!D$23)),$C$5*Behaviours!D$24,0))</f>
        <v>0</v>
      </c>
      <c r="O44" s="662">
        <f t="shared" si="2"/>
        <v>0</v>
      </c>
      <c r="P44" s="593">
        <v>36</v>
      </c>
    </row>
    <row r="45" spans="1:16">
      <c r="A45" s="48" t="s">
        <v>5</v>
      </c>
      <c r="B45" s="591">
        <f>(IF((AND($A45&gt;=Behaviours!$B$12,$A45&lt;=Behaviours!$B$13)),$C$3*Behaviours!$B$14,0))</f>
        <v>0</v>
      </c>
      <c r="C45" s="591">
        <f>(IF((AND($A45&gt;=Behaviours!$C$12,$A45&lt;=Behaviours!$C$13)),$C$3*Behaviours!$C$14,0))</f>
        <v>0</v>
      </c>
      <c r="D45" s="591">
        <f>(IF((AND($A45&gt;=Behaviours!$D$12,$A45&lt;=Behaviours!$D$13)),$C$3*Behaviours!$D$14,0))</f>
        <v>0</v>
      </c>
      <c r="E45" s="662">
        <f t="shared" si="0"/>
        <v>0</v>
      </c>
      <c r="G45" s="591">
        <f>(IF((AND($A45&gt;=Behaviours!B$17,$A45&lt;=Behaviours!B$18)),$C$4*Behaviours!B$19,0))</f>
        <v>0</v>
      </c>
      <c r="H45" s="591">
        <f>(IF((AND($A45&gt;=Behaviours!C$17,$A45&lt;=Behaviours!C$18)),$C$4*Behaviours!C$19,0))</f>
        <v>0</v>
      </c>
      <c r="I45" s="591">
        <f>(IF((AND($A45&gt;=Behaviours!D$17,$A45&lt;=Behaviours!D$18)),$C$4*Behaviours!D$19,0))</f>
        <v>0</v>
      </c>
      <c r="J45" s="662">
        <f t="shared" si="1"/>
        <v>0</v>
      </c>
      <c r="L45" s="591">
        <f>(IF((AND($A45&gt;=Behaviours!B$22,$A45&lt;=Behaviours!B$23)),$C$5*Behaviours!B$24,0))</f>
        <v>0</v>
      </c>
      <c r="M45" s="591">
        <f>(IF((AND($A45&gt;=Behaviours!C$22,$A45&lt;=Behaviours!C$23)),$C$5*Behaviours!C$24,0))</f>
        <v>0</v>
      </c>
      <c r="N45" s="591">
        <f>(IF((AND($A45&gt;=Behaviours!D$22,$A45&lt;=Behaviours!D$23)),$C$5*Behaviours!D$24,0))</f>
        <v>0</v>
      </c>
      <c r="O45" s="662">
        <f t="shared" si="2"/>
        <v>0</v>
      </c>
      <c r="P45" s="593">
        <v>37</v>
      </c>
    </row>
    <row r="46" spans="1:16">
      <c r="A46" s="48" t="s">
        <v>6</v>
      </c>
      <c r="B46" s="591">
        <f>(IF((AND($A46&gt;=Behaviours!$B$12,$A46&lt;=Behaviours!$B$13)),$C$3*Behaviours!$B$14,0))</f>
        <v>0</v>
      </c>
      <c r="C46" s="591">
        <f>(IF((AND($A46&gt;=Behaviours!$C$12,$A46&lt;=Behaviours!$C$13)),$C$3*Behaviours!$C$14,0))</f>
        <v>0</v>
      </c>
      <c r="D46" s="591">
        <f>(IF((AND($A46&gt;=Behaviours!$D$12,$A46&lt;=Behaviours!$D$13)),$C$3*Behaviours!$D$14,0))</f>
        <v>0</v>
      </c>
      <c r="E46" s="662">
        <f t="shared" si="0"/>
        <v>0</v>
      </c>
      <c r="G46" s="591">
        <f>(IF((AND($A46&gt;=Behaviours!B$17,$A46&lt;=Behaviours!B$18)),$C$4*Behaviours!B$19,0))</f>
        <v>0</v>
      </c>
      <c r="H46" s="591">
        <f>(IF((AND($A46&gt;=Behaviours!C$17,$A46&lt;=Behaviours!C$18)),$C$4*Behaviours!C$19,0))</f>
        <v>0</v>
      </c>
      <c r="I46" s="591">
        <f>(IF((AND($A46&gt;=Behaviours!D$17,$A46&lt;=Behaviours!D$18)),$C$4*Behaviours!D$19,0))</f>
        <v>0</v>
      </c>
      <c r="J46" s="662">
        <f t="shared" si="1"/>
        <v>0</v>
      </c>
      <c r="L46" s="591">
        <f>(IF((AND($A46&gt;=Behaviours!B$22,$A46&lt;=Behaviours!B$23)),$C$5*Behaviours!B$24,0))</f>
        <v>0</v>
      </c>
      <c r="M46" s="591">
        <f>(IF((AND($A46&gt;=Behaviours!C$22,$A46&lt;=Behaviours!C$23)),$C$5*Behaviours!C$24,0))</f>
        <v>0</v>
      </c>
      <c r="N46" s="591">
        <f>(IF((AND($A46&gt;=Behaviours!D$22,$A46&lt;=Behaviours!D$23)),$C$5*Behaviours!D$24,0))</f>
        <v>0</v>
      </c>
      <c r="O46" s="662">
        <f t="shared" si="2"/>
        <v>0</v>
      </c>
      <c r="P46" s="593">
        <v>38</v>
      </c>
    </row>
    <row r="47" spans="1:16">
      <c r="A47" s="49" t="s">
        <v>7</v>
      </c>
      <c r="B47" s="591">
        <f>(IF((AND($A47&gt;=Behaviours!$B$12,$A47&lt;=Behaviours!$B$13)),$C$3*Behaviours!$B$14,0))</f>
        <v>0</v>
      </c>
      <c r="C47" s="591">
        <f>(IF((AND($A47&gt;=Behaviours!$C$12,$A47&lt;=Behaviours!$C$13)),$C$3*Behaviours!$C$14,0))</f>
        <v>0</v>
      </c>
      <c r="D47" s="591">
        <f>(IF((AND($A47&gt;=Behaviours!$D$12,$A47&lt;=Behaviours!$D$13)),$C$3*Behaviours!$D$14,0))</f>
        <v>0</v>
      </c>
      <c r="E47" s="662">
        <f t="shared" si="0"/>
        <v>0</v>
      </c>
      <c r="G47" s="591">
        <f>(IF((AND($A47&gt;=Behaviours!B$17,$A47&lt;=Behaviours!B$18)),$C$4*Behaviours!B$19,0))</f>
        <v>0</v>
      </c>
      <c r="H47" s="591">
        <f>(IF((AND($A47&gt;=Behaviours!C$17,$A47&lt;=Behaviours!C$18)),$C$4*Behaviours!C$19,0))</f>
        <v>0</v>
      </c>
      <c r="I47" s="591">
        <f>(IF((AND($A47&gt;=Behaviours!D$17,$A47&lt;=Behaviours!D$18)),$C$4*Behaviours!D$19,0))</f>
        <v>0</v>
      </c>
      <c r="J47" s="662">
        <f t="shared" si="1"/>
        <v>0</v>
      </c>
      <c r="L47" s="591">
        <f>(IF((AND($A47&gt;=Behaviours!B$22,$A47&lt;=Behaviours!B$23)),$C$5*Behaviours!B$24,0))</f>
        <v>0</v>
      </c>
      <c r="M47" s="591">
        <f>(IF((AND($A47&gt;=Behaviours!C$22,$A47&lt;=Behaviours!C$23)),$C$5*Behaviours!C$24,0))</f>
        <v>0</v>
      </c>
      <c r="N47" s="591">
        <f>(IF((AND($A47&gt;=Behaviours!D$22,$A47&lt;=Behaviours!D$23)),$C$5*Behaviours!D$24,0))</f>
        <v>0</v>
      </c>
      <c r="O47" s="662">
        <f t="shared" si="2"/>
        <v>0</v>
      </c>
      <c r="P47" s="593">
        <v>39</v>
      </c>
    </row>
    <row r="48" spans="1:16">
      <c r="A48" s="50" t="s">
        <v>58</v>
      </c>
      <c r="B48" s="591">
        <f>(IF((AND($A48&gt;=Behaviours!$B$12,$A48&lt;=Behaviours!$B$13)),$C$3*Behaviours!$B$14,0))</f>
        <v>0</v>
      </c>
      <c r="C48" s="591">
        <f>(IF((AND($A48&gt;=Behaviours!$C$12,$A48&lt;=Behaviours!$C$13)),$C$3*Behaviours!$C$14,0))</f>
        <v>0</v>
      </c>
      <c r="D48" s="591">
        <f>(IF((AND($A48&gt;=Behaviours!$D$12,$A48&lt;=Behaviours!$D$13)),$C$3*Behaviours!$D$14,0))</f>
        <v>0</v>
      </c>
      <c r="E48" s="662">
        <f t="shared" si="0"/>
        <v>0</v>
      </c>
      <c r="G48" s="591">
        <f>(IF((AND($A48&gt;=Behaviours!B$17,$A48&lt;=Behaviours!B$18)),$C$4*Behaviours!B$19,0))</f>
        <v>0</v>
      </c>
      <c r="H48" s="591">
        <f>(IF((AND($A48&gt;=Behaviours!C$17,$A48&lt;=Behaviours!C$18)),$C$4*Behaviours!C$19,0))</f>
        <v>0</v>
      </c>
      <c r="I48" s="591">
        <f>(IF((AND($A48&gt;=Behaviours!D$17,$A48&lt;=Behaviours!D$18)),$C$4*Behaviours!D$19,0))</f>
        <v>0</v>
      </c>
      <c r="J48" s="662">
        <f t="shared" si="1"/>
        <v>0</v>
      </c>
      <c r="L48" s="591">
        <f>(IF((AND($A48&gt;=Behaviours!B$22,$A48&lt;=Behaviours!B$23)),$C$5*Behaviours!B$24,0))</f>
        <v>0</v>
      </c>
      <c r="M48" s="591">
        <f>(IF((AND($A48&gt;=Behaviours!C$22,$A48&lt;=Behaviours!C$23)),$C$5*Behaviours!C$24,0))</f>
        <v>0</v>
      </c>
      <c r="N48" s="591">
        <f>(IF((AND($A48&gt;=Behaviours!D$22,$A48&lt;=Behaviours!D$23)),$C$5*Behaviours!D$24,0))</f>
        <v>0</v>
      </c>
      <c r="O48" s="662">
        <f t="shared" si="2"/>
        <v>0</v>
      </c>
      <c r="P48" s="593">
        <v>40</v>
      </c>
    </row>
    <row r="49" spans="1:16">
      <c r="A49" s="51" t="s">
        <v>59</v>
      </c>
      <c r="B49" s="591">
        <f>(IF((AND($A49&gt;=Behaviours!$B$12,$A49&lt;=Behaviours!$B$13)),$C$3*Behaviours!$B$14,0))</f>
        <v>0</v>
      </c>
      <c r="C49" s="591">
        <f>(IF((AND($A49&gt;=Behaviours!$C$12,$A49&lt;=Behaviours!$C$13)),$C$3*Behaviours!$C$14,0))</f>
        <v>0</v>
      </c>
      <c r="D49" s="591">
        <f>(IF((AND($A49&gt;=Behaviours!$D$12,$A49&lt;=Behaviours!$D$13)),$C$3*Behaviours!$D$14,0))</f>
        <v>0</v>
      </c>
      <c r="E49" s="662">
        <f t="shared" si="0"/>
        <v>0</v>
      </c>
      <c r="G49" s="591">
        <f>(IF((AND($A49&gt;=Behaviours!B$17,$A49&lt;=Behaviours!B$18)),$C$4*Behaviours!B$19,0))</f>
        <v>0</v>
      </c>
      <c r="H49" s="591">
        <f>(IF((AND($A49&gt;=Behaviours!C$17,$A49&lt;=Behaviours!C$18)),$C$4*Behaviours!C$19,0))</f>
        <v>0</v>
      </c>
      <c r="I49" s="591">
        <f>(IF((AND($A49&gt;=Behaviours!D$17,$A49&lt;=Behaviours!D$18)),$C$4*Behaviours!D$19,0))</f>
        <v>0</v>
      </c>
      <c r="J49" s="662">
        <f t="shared" si="1"/>
        <v>0</v>
      </c>
      <c r="L49" s="591">
        <f>(IF((AND($A49&gt;=Behaviours!B$22,$A49&lt;=Behaviours!B$23)),$C$5*Behaviours!B$24,0))</f>
        <v>0</v>
      </c>
      <c r="M49" s="591">
        <f>(IF((AND($A49&gt;=Behaviours!C$22,$A49&lt;=Behaviours!C$23)),$C$5*Behaviours!C$24,0))</f>
        <v>0</v>
      </c>
      <c r="N49" s="591">
        <f>(IF((AND($A49&gt;=Behaviours!D$22,$A49&lt;=Behaviours!D$23)),$C$5*Behaviours!D$24,0))</f>
        <v>0</v>
      </c>
      <c r="O49" s="662">
        <f t="shared" si="2"/>
        <v>0</v>
      </c>
      <c r="P49" s="593">
        <v>41</v>
      </c>
    </row>
    <row r="50" spans="1:16">
      <c r="A50" s="51" t="s">
        <v>60</v>
      </c>
      <c r="B50" s="591">
        <f>(IF((AND($A50&gt;=Behaviours!$B$12,$A50&lt;=Behaviours!$B$13)),$C$3*Behaviours!$B$14,0))</f>
        <v>0</v>
      </c>
      <c r="C50" s="591">
        <f>(IF((AND($A50&gt;=Behaviours!$C$12,$A50&lt;=Behaviours!$C$13)),$C$3*Behaviours!$C$14,0))</f>
        <v>0</v>
      </c>
      <c r="D50" s="591">
        <f>(IF((AND($A50&gt;=Behaviours!$D$12,$A50&lt;=Behaviours!$D$13)),$C$3*Behaviours!$D$14,0))</f>
        <v>0</v>
      </c>
      <c r="E50" s="662">
        <f t="shared" si="0"/>
        <v>0</v>
      </c>
      <c r="G50" s="591">
        <f>(IF((AND($A50&gt;=Behaviours!B$17,$A50&lt;=Behaviours!B$18)),$C$4*Behaviours!B$19,0))</f>
        <v>0</v>
      </c>
      <c r="H50" s="591">
        <f>(IF((AND($A50&gt;=Behaviours!C$17,$A50&lt;=Behaviours!C$18)),$C$4*Behaviours!C$19,0))</f>
        <v>0</v>
      </c>
      <c r="I50" s="591">
        <f>(IF((AND($A50&gt;=Behaviours!D$17,$A50&lt;=Behaviours!D$18)),$C$4*Behaviours!D$19,0))</f>
        <v>0</v>
      </c>
      <c r="J50" s="662">
        <f t="shared" si="1"/>
        <v>0</v>
      </c>
      <c r="L50" s="591">
        <f>(IF((AND($A50&gt;=Behaviours!B$22,$A50&lt;=Behaviours!B$23)),$C$5*Behaviours!B$24,0))</f>
        <v>0</v>
      </c>
      <c r="M50" s="591">
        <f>(IF((AND($A50&gt;=Behaviours!C$22,$A50&lt;=Behaviours!C$23)),$C$5*Behaviours!C$24,0))</f>
        <v>0</v>
      </c>
      <c r="N50" s="591">
        <f>(IF((AND($A50&gt;=Behaviours!D$22,$A50&lt;=Behaviours!D$23)),$C$5*Behaviours!D$24,0))</f>
        <v>0</v>
      </c>
      <c r="O50" s="662">
        <f t="shared" si="2"/>
        <v>0</v>
      </c>
      <c r="P50" s="593">
        <v>42</v>
      </c>
    </row>
    <row r="51" spans="1:16">
      <c r="A51" s="51" t="s">
        <v>61</v>
      </c>
      <c r="B51" s="591">
        <f>(IF((AND($A51&gt;=Behaviours!$B$12,$A51&lt;=Behaviours!$B$13)),$C$3*Behaviours!$B$14,0))</f>
        <v>0</v>
      </c>
      <c r="C51" s="591">
        <f>(IF((AND($A51&gt;=Behaviours!$C$12,$A51&lt;=Behaviours!$C$13)),$C$3*Behaviours!$C$14,0))</f>
        <v>0</v>
      </c>
      <c r="D51" s="591">
        <f>(IF((AND($A51&gt;=Behaviours!$D$12,$A51&lt;=Behaviours!$D$13)),$C$3*Behaviours!$D$14,0))</f>
        <v>0</v>
      </c>
      <c r="E51" s="662">
        <f t="shared" si="0"/>
        <v>0</v>
      </c>
      <c r="G51" s="591">
        <f>(IF((AND($A51&gt;=Behaviours!B$17,$A51&lt;=Behaviours!B$18)),$C$4*Behaviours!B$19,0))</f>
        <v>0</v>
      </c>
      <c r="H51" s="591">
        <f>(IF((AND($A51&gt;=Behaviours!C$17,$A51&lt;=Behaviours!C$18)),$C$4*Behaviours!C$19,0))</f>
        <v>0</v>
      </c>
      <c r="I51" s="591">
        <f>(IF((AND($A51&gt;=Behaviours!D$17,$A51&lt;=Behaviours!D$18)),$C$4*Behaviours!D$19,0))</f>
        <v>0</v>
      </c>
      <c r="J51" s="662">
        <f t="shared" si="1"/>
        <v>0</v>
      </c>
      <c r="L51" s="591">
        <f>(IF((AND($A51&gt;=Behaviours!B$22,$A51&lt;=Behaviours!B$23)),$C$5*Behaviours!B$24,0))</f>
        <v>0</v>
      </c>
      <c r="M51" s="591">
        <f>(IF((AND($A51&gt;=Behaviours!C$22,$A51&lt;=Behaviours!C$23)),$C$5*Behaviours!C$24,0))</f>
        <v>0</v>
      </c>
      <c r="N51" s="591">
        <f>(IF((AND($A51&gt;=Behaviours!D$22,$A51&lt;=Behaviours!D$23)),$C$5*Behaviours!D$24,0))</f>
        <v>0</v>
      </c>
      <c r="O51" s="662">
        <f t="shared" si="2"/>
        <v>0</v>
      </c>
      <c r="P51" s="593">
        <v>43</v>
      </c>
    </row>
    <row r="52" spans="1:16">
      <c r="A52" s="51" t="s">
        <v>62</v>
      </c>
      <c r="B52" s="591">
        <f>(IF((AND($A52&gt;=Behaviours!$B$12,$A52&lt;=Behaviours!$B$13)),$C$3*Behaviours!$B$14,0))</f>
        <v>0</v>
      </c>
      <c r="C52" s="591">
        <f>(IF((AND($A52&gt;=Behaviours!$C$12,$A52&lt;=Behaviours!$C$13)),$C$3*Behaviours!$C$14,0))</f>
        <v>0</v>
      </c>
      <c r="D52" s="591">
        <f>(IF((AND($A52&gt;=Behaviours!$D$12,$A52&lt;=Behaviours!$D$13)),$C$3*Behaviours!$D$14,0))</f>
        <v>0</v>
      </c>
      <c r="E52" s="662">
        <f t="shared" si="0"/>
        <v>0</v>
      </c>
      <c r="G52" s="591">
        <f>(IF((AND($A52&gt;=Behaviours!B$17,$A52&lt;=Behaviours!B$18)),$C$4*Behaviours!B$19,0))</f>
        <v>0</v>
      </c>
      <c r="H52" s="591">
        <f>(IF((AND($A52&gt;=Behaviours!C$17,$A52&lt;=Behaviours!C$18)),$C$4*Behaviours!C$19,0))</f>
        <v>0</v>
      </c>
      <c r="I52" s="591">
        <f>(IF((AND($A52&gt;=Behaviours!D$17,$A52&lt;=Behaviours!D$18)),$C$4*Behaviours!D$19,0))</f>
        <v>0</v>
      </c>
      <c r="J52" s="662">
        <f t="shared" si="1"/>
        <v>0</v>
      </c>
      <c r="L52" s="591">
        <f>(IF((AND($A52&gt;=Behaviours!B$22,$A52&lt;=Behaviours!B$23)),$C$5*Behaviours!B$24,0))</f>
        <v>0</v>
      </c>
      <c r="M52" s="591">
        <f>(IF((AND($A52&gt;=Behaviours!C$22,$A52&lt;=Behaviours!C$23)),$C$5*Behaviours!C$24,0))</f>
        <v>0</v>
      </c>
      <c r="N52" s="591">
        <f>(IF((AND($A52&gt;=Behaviours!D$22,$A52&lt;=Behaviours!D$23)),$C$5*Behaviours!D$24,0))</f>
        <v>0</v>
      </c>
      <c r="O52" s="662">
        <f t="shared" si="2"/>
        <v>0</v>
      </c>
      <c r="P52" s="593">
        <v>44</v>
      </c>
    </row>
    <row r="53" spans="1:16">
      <c r="A53" s="51" t="s">
        <v>63</v>
      </c>
      <c r="B53" s="591">
        <f>(IF((AND($A53&gt;=Behaviours!$B$12,$A53&lt;=Behaviours!$B$13)),$C$3*Behaviours!$B$14,0))</f>
        <v>0</v>
      </c>
      <c r="C53" s="591">
        <f>(IF((AND($A53&gt;=Behaviours!$C$12,$A53&lt;=Behaviours!$C$13)),$C$3*Behaviours!$C$14,0))</f>
        <v>0</v>
      </c>
      <c r="D53" s="591">
        <f>(IF((AND($A53&gt;=Behaviours!$D$12,$A53&lt;=Behaviours!$D$13)),$C$3*Behaviours!$D$14,0))</f>
        <v>0</v>
      </c>
      <c r="E53" s="662">
        <f t="shared" si="0"/>
        <v>0</v>
      </c>
      <c r="G53" s="591">
        <f>(IF((AND($A53&gt;=Behaviours!B$17,$A53&lt;=Behaviours!B$18)),$C$4*Behaviours!B$19,0))</f>
        <v>0</v>
      </c>
      <c r="H53" s="591">
        <f>(IF((AND($A53&gt;=Behaviours!C$17,$A53&lt;=Behaviours!C$18)),$C$4*Behaviours!C$19,0))</f>
        <v>0</v>
      </c>
      <c r="I53" s="591">
        <f>(IF((AND($A53&gt;=Behaviours!D$17,$A53&lt;=Behaviours!D$18)),$C$4*Behaviours!D$19,0))</f>
        <v>0</v>
      </c>
      <c r="J53" s="662">
        <f t="shared" si="1"/>
        <v>0</v>
      </c>
      <c r="L53" s="591">
        <f>(IF((AND($A53&gt;=Behaviours!B$22,$A53&lt;=Behaviours!B$23)),$C$5*Behaviours!B$24,0))</f>
        <v>0</v>
      </c>
      <c r="M53" s="591">
        <f>(IF((AND($A53&gt;=Behaviours!C$22,$A53&lt;=Behaviours!C$23)),$C$5*Behaviours!C$24,0))</f>
        <v>0</v>
      </c>
      <c r="N53" s="591">
        <f>(IF((AND($A53&gt;=Behaviours!D$22,$A53&lt;=Behaviours!D$23)),$C$5*Behaviours!D$24,0))</f>
        <v>0</v>
      </c>
      <c r="O53" s="662">
        <f t="shared" si="2"/>
        <v>0</v>
      </c>
      <c r="P53" s="593">
        <v>45</v>
      </c>
    </row>
    <row r="54" spans="1:16">
      <c r="A54" s="51" t="s">
        <v>64</v>
      </c>
      <c r="B54" s="591">
        <f>(IF((AND($A54&gt;=Behaviours!$B$12,$A54&lt;=Behaviours!$B$13)),$C$3*Behaviours!$B$14,0))</f>
        <v>0</v>
      </c>
      <c r="C54" s="591">
        <f>(IF((AND($A54&gt;=Behaviours!$C$12,$A54&lt;=Behaviours!$C$13)),$C$3*Behaviours!$C$14,0))</f>
        <v>0</v>
      </c>
      <c r="D54" s="591">
        <f>(IF((AND($A54&gt;=Behaviours!$D$12,$A54&lt;=Behaviours!$D$13)),$C$3*Behaviours!$D$14,0))</f>
        <v>0</v>
      </c>
      <c r="E54" s="662">
        <f t="shared" si="0"/>
        <v>0</v>
      </c>
      <c r="G54" s="591">
        <f>(IF((AND($A54&gt;=Behaviours!B$17,$A54&lt;=Behaviours!B$18)),$C$4*Behaviours!B$19,0))</f>
        <v>0</v>
      </c>
      <c r="H54" s="591">
        <f>(IF((AND($A54&gt;=Behaviours!C$17,$A54&lt;=Behaviours!C$18)),$C$4*Behaviours!C$19,0))</f>
        <v>0</v>
      </c>
      <c r="I54" s="591">
        <f>(IF((AND($A54&gt;=Behaviours!D$17,$A54&lt;=Behaviours!D$18)),$C$4*Behaviours!D$19,0))</f>
        <v>0</v>
      </c>
      <c r="J54" s="662">
        <f t="shared" si="1"/>
        <v>0</v>
      </c>
      <c r="L54" s="591">
        <f>(IF((AND($A54&gt;=Behaviours!B$22,$A54&lt;=Behaviours!B$23)),$C$5*Behaviours!B$24,0))</f>
        <v>0</v>
      </c>
      <c r="M54" s="591">
        <f>(IF((AND($A54&gt;=Behaviours!C$22,$A54&lt;=Behaviours!C$23)),$C$5*Behaviours!C$24,0))</f>
        <v>0</v>
      </c>
      <c r="N54" s="591">
        <f>(IF((AND($A54&gt;=Behaviours!D$22,$A54&lt;=Behaviours!D$23)),$C$5*Behaviours!D$24,0))</f>
        <v>0</v>
      </c>
      <c r="O54" s="662">
        <f t="shared" si="2"/>
        <v>0</v>
      </c>
      <c r="P54" s="593">
        <v>46</v>
      </c>
    </row>
    <row r="55" spans="1:16">
      <c r="A55" s="51" t="s">
        <v>65</v>
      </c>
      <c r="B55" s="591">
        <f>(IF((AND($A55&gt;=Behaviours!$B$12,$A55&lt;=Behaviours!$B$13)),$C$3*Behaviours!$B$14,0))</f>
        <v>0</v>
      </c>
      <c r="C55" s="591">
        <f>(IF((AND($A55&gt;=Behaviours!$C$12,$A55&lt;=Behaviours!$C$13)),$C$3*Behaviours!$C$14,0))</f>
        <v>0</v>
      </c>
      <c r="D55" s="591">
        <f>(IF((AND($A55&gt;=Behaviours!$D$12,$A55&lt;=Behaviours!$D$13)),$C$3*Behaviours!$D$14,0))</f>
        <v>0</v>
      </c>
      <c r="E55" s="662">
        <f t="shared" si="0"/>
        <v>0</v>
      </c>
      <c r="G55" s="591">
        <f>(IF((AND($A55&gt;=Behaviours!B$17,$A55&lt;=Behaviours!B$18)),$C$4*Behaviours!B$19,0))</f>
        <v>0</v>
      </c>
      <c r="H55" s="591">
        <f>(IF((AND($A55&gt;=Behaviours!C$17,$A55&lt;=Behaviours!C$18)),$C$4*Behaviours!C$19,0))</f>
        <v>0</v>
      </c>
      <c r="I55" s="591">
        <f>(IF((AND($A55&gt;=Behaviours!D$17,$A55&lt;=Behaviours!D$18)),$C$4*Behaviours!D$19,0))</f>
        <v>0</v>
      </c>
      <c r="J55" s="662">
        <f t="shared" si="1"/>
        <v>0</v>
      </c>
      <c r="L55" s="591">
        <f>(IF((AND($A55&gt;=Behaviours!B$22,$A55&lt;=Behaviours!B$23)),$C$5*Behaviours!B$24,0))</f>
        <v>0</v>
      </c>
      <c r="M55" s="591">
        <f>(IF((AND($A55&gt;=Behaviours!C$22,$A55&lt;=Behaviours!C$23)),$C$5*Behaviours!C$24,0))</f>
        <v>0</v>
      </c>
      <c r="N55" s="591">
        <f>(IF((AND($A55&gt;=Behaviours!D$22,$A55&lt;=Behaviours!D$23)),$C$5*Behaviours!D$24,0))</f>
        <v>0</v>
      </c>
      <c r="O55" s="662">
        <f t="shared" si="2"/>
        <v>0</v>
      </c>
      <c r="P55" s="593">
        <v>47</v>
      </c>
    </row>
    <row r="56" spans="1:16">
      <c r="A56" s="51" t="s">
        <v>66</v>
      </c>
      <c r="B56" s="591">
        <f>(IF((AND($A56&gt;=Behaviours!$B$12,$A56&lt;=Behaviours!$B$13)),$C$3*Behaviours!$B$14,0))</f>
        <v>0</v>
      </c>
      <c r="C56" s="591">
        <f>(IF((AND($A56&gt;=Behaviours!$C$12,$A56&lt;=Behaviours!$C$13)),$C$3*Behaviours!$C$14,0))</f>
        <v>0</v>
      </c>
      <c r="D56" s="591">
        <f>(IF((AND($A56&gt;=Behaviours!$D$12,$A56&lt;=Behaviours!$D$13)),$C$3*Behaviours!$D$14,0))</f>
        <v>0</v>
      </c>
      <c r="E56" s="662">
        <f t="shared" si="0"/>
        <v>0</v>
      </c>
      <c r="G56" s="591">
        <f>(IF((AND($A56&gt;=Behaviours!B$17,$A56&lt;=Behaviours!B$18)),$C$4*Behaviours!B$19,0))</f>
        <v>0</v>
      </c>
      <c r="H56" s="591">
        <f>(IF((AND($A56&gt;=Behaviours!C$17,$A56&lt;=Behaviours!C$18)),$C$4*Behaviours!C$19,0))</f>
        <v>0</v>
      </c>
      <c r="I56" s="591">
        <f>(IF((AND($A56&gt;=Behaviours!D$17,$A56&lt;=Behaviours!D$18)),$C$4*Behaviours!D$19,0))</f>
        <v>0</v>
      </c>
      <c r="J56" s="662">
        <f t="shared" si="1"/>
        <v>0</v>
      </c>
      <c r="L56" s="591">
        <f>(IF((AND($A56&gt;=Behaviours!B$22,$A56&lt;=Behaviours!B$23)),$C$5*Behaviours!B$24,0))</f>
        <v>0</v>
      </c>
      <c r="M56" s="591">
        <f>(IF((AND($A56&gt;=Behaviours!C$22,$A56&lt;=Behaviours!C$23)),$C$5*Behaviours!C$24,0))</f>
        <v>0</v>
      </c>
      <c r="N56" s="591">
        <f>(IF((AND($A56&gt;=Behaviours!D$22,$A56&lt;=Behaviours!D$23)),$C$5*Behaviours!D$24,0))</f>
        <v>0</v>
      </c>
      <c r="O56" s="662">
        <f t="shared" si="2"/>
        <v>0</v>
      </c>
      <c r="P56" s="593">
        <v>48</v>
      </c>
    </row>
    <row r="57" spans="1:16">
      <c r="A57" s="51" t="s">
        <v>8</v>
      </c>
      <c r="B57" s="591">
        <f>(IF((AND($A57&gt;=Behaviours!$B$12,$A57&lt;=Behaviours!$B$13)),$C$3*Behaviours!$B$14,0))</f>
        <v>0</v>
      </c>
      <c r="C57" s="591">
        <f>(IF((AND($A57&gt;=Behaviours!$C$12,$A57&lt;=Behaviours!$C$13)),$C$3*Behaviours!$C$14,0))</f>
        <v>0</v>
      </c>
      <c r="D57" s="591">
        <f>(IF((AND($A57&gt;=Behaviours!$D$12,$A57&lt;=Behaviours!$D$13)),$C$3*Behaviours!$D$14,0))</f>
        <v>0</v>
      </c>
      <c r="E57" s="662">
        <f t="shared" si="0"/>
        <v>0</v>
      </c>
      <c r="G57" s="591">
        <f>(IF((AND($A57&gt;=Behaviours!B$17,$A57&lt;=Behaviours!B$18)),$C$4*Behaviours!B$19,0))</f>
        <v>0</v>
      </c>
      <c r="H57" s="591">
        <f>(IF((AND($A57&gt;=Behaviours!C$17,$A57&lt;=Behaviours!C$18)),$C$4*Behaviours!C$19,0))</f>
        <v>0</v>
      </c>
      <c r="I57" s="591">
        <f>(IF((AND($A57&gt;=Behaviours!D$17,$A57&lt;=Behaviours!D$18)),$C$4*Behaviours!D$19,0))</f>
        <v>0</v>
      </c>
      <c r="J57" s="662">
        <f t="shared" si="1"/>
        <v>0</v>
      </c>
      <c r="L57" s="591">
        <f>(IF((AND($A57&gt;=Behaviours!B$22,$A57&lt;=Behaviours!B$23)),$C$5*Behaviours!B$24,0))</f>
        <v>0</v>
      </c>
      <c r="M57" s="591">
        <f>(IF((AND($A57&gt;=Behaviours!C$22,$A57&lt;=Behaviours!C$23)),$C$5*Behaviours!C$24,0))</f>
        <v>0</v>
      </c>
      <c r="N57" s="591">
        <f>(IF((AND($A57&gt;=Behaviours!D$22,$A57&lt;=Behaviours!D$23)),$C$5*Behaviours!D$24,0))</f>
        <v>0</v>
      </c>
      <c r="O57" s="662">
        <f t="shared" si="2"/>
        <v>0</v>
      </c>
      <c r="P57" s="593">
        <v>49</v>
      </c>
    </row>
    <row r="58" spans="1:16">
      <c r="A58" s="51" t="s">
        <v>9</v>
      </c>
      <c r="B58" s="591">
        <f>(IF((AND($A58&gt;=Behaviours!$B$12,$A58&lt;=Behaviours!$B$13)),$C$3*Behaviours!$B$14,0))</f>
        <v>0</v>
      </c>
      <c r="C58" s="591">
        <f>(IF((AND($A58&gt;=Behaviours!$C$12,$A58&lt;=Behaviours!$C$13)),$C$3*Behaviours!$C$14,0))</f>
        <v>0</v>
      </c>
      <c r="D58" s="591">
        <f>(IF((AND($A58&gt;=Behaviours!$D$12,$A58&lt;=Behaviours!$D$13)),$C$3*Behaviours!$D$14,0))</f>
        <v>0</v>
      </c>
      <c r="E58" s="662">
        <f t="shared" si="0"/>
        <v>0</v>
      </c>
      <c r="G58" s="591">
        <f>(IF((AND($A58&gt;=Behaviours!B$17,$A58&lt;=Behaviours!B$18)),$C$4*Behaviours!B$19,0))</f>
        <v>0</v>
      </c>
      <c r="H58" s="591">
        <f>(IF((AND($A58&gt;=Behaviours!C$17,$A58&lt;=Behaviours!C$18)),$C$4*Behaviours!C$19,0))</f>
        <v>0</v>
      </c>
      <c r="I58" s="591">
        <f>(IF((AND($A58&gt;=Behaviours!D$17,$A58&lt;=Behaviours!D$18)),$C$4*Behaviours!D$19,0))</f>
        <v>0</v>
      </c>
      <c r="J58" s="662">
        <f t="shared" si="1"/>
        <v>0</v>
      </c>
      <c r="L58" s="591">
        <f>(IF((AND($A58&gt;=Behaviours!B$22,$A58&lt;=Behaviours!B$23)),$C$5*Behaviours!B$24,0))</f>
        <v>0</v>
      </c>
      <c r="M58" s="591">
        <f>(IF((AND($A58&gt;=Behaviours!C$22,$A58&lt;=Behaviours!C$23)),$C$5*Behaviours!C$24,0))</f>
        <v>0</v>
      </c>
      <c r="N58" s="591">
        <f>(IF((AND($A58&gt;=Behaviours!D$22,$A58&lt;=Behaviours!D$23)),$C$5*Behaviours!D$24,0))</f>
        <v>0</v>
      </c>
      <c r="O58" s="662">
        <f t="shared" si="2"/>
        <v>0</v>
      </c>
      <c r="P58" s="593">
        <v>50</v>
      </c>
    </row>
    <row r="59" spans="1:16">
      <c r="A59" s="51" t="s">
        <v>10</v>
      </c>
      <c r="B59" s="591">
        <f>(IF((AND($A59&gt;=Behaviours!$B$12,$A59&lt;=Behaviours!$B$13)),$C$3*Behaviours!$B$14,0))</f>
        <v>0</v>
      </c>
      <c r="C59" s="591">
        <f>(IF((AND($A59&gt;=Behaviours!$C$12,$A59&lt;=Behaviours!$C$13)),$C$3*Behaviours!$C$14,0))</f>
        <v>0</v>
      </c>
      <c r="D59" s="591">
        <f>(IF((AND($A59&gt;=Behaviours!$D$12,$A59&lt;=Behaviours!$D$13)),$C$3*Behaviours!$D$14,0))</f>
        <v>0</v>
      </c>
      <c r="E59" s="662">
        <f t="shared" si="0"/>
        <v>0</v>
      </c>
      <c r="G59" s="591">
        <f>(IF((AND($A59&gt;=Behaviours!B$17,$A59&lt;=Behaviours!B$18)),$C$4*Behaviours!B$19,0))</f>
        <v>0</v>
      </c>
      <c r="H59" s="591">
        <f>(IF((AND($A59&gt;=Behaviours!C$17,$A59&lt;=Behaviours!C$18)),$C$4*Behaviours!C$19,0))</f>
        <v>0</v>
      </c>
      <c r="I59" s="591">
        <f>(IF((AND($A59&gt;=Behaviours!D$17,$A59&lt;=Behaviours!D$18)),$C$4*Behaviours!D$19,0))</f>
        <v>0</v>
      </c>
      <c r="J59" s="662">
        <f t="shared" si="1"/>
        <v>0</v>
      </c>
      <c r="L59" s="591">
        <f>(IF((AND($A59&gt;=Behaviours!B$22,$A59&lt;=Behaviours!B$23)),$C$5*Behaviours!B$24,0))</f>
        <v>0</v>
      </c>
      <c r="M59" s="591">
        <f>(IF((AND($A59&gt;=Behaviours!C$22,$A59&lt;=Behaviours!C$23)),$C$5*Behaviours!C$24,0))</f>
        <v>0</v>
      </c>
      <c r="N59" s="591">
        <f>(IF((AND($A59&gt;=Behaviours!D$22,$A59&lt;=Behaviours!D$23)),$C$5*Behaviours!D$24,0))</f>
        <v>0</v>
      </c>
      <c r="O59" s="662">
        <f t="shared" si="2"/>
        <v>0</v>
      </c>
      <c r="P59" s="593">
        <v>51</v>
      </c>
    </row>
    <row r="60" spans="1:16">
      <c r="A60" s="52" t="s">
        <v>11</v>
      </c>
      <c r="B60" s="591">
        <f>(IF((AND($A60&gt;=Behaviours!$B$12,$A60&lt;=Behaviours!$B$13)),$C$3*Behaviours!$B$14,0))</f>
        <v>0</v>
      </c>
      <c r="C60" s="591">
        <f>(IF((AND($A60&gt;=Behaviours!$C$12,$A60&lt;=Behaviours!$C$13)),$C$3*Behaviours!$C$14,0))</f>
        <v>0</v>
      </c>
      <c r="D60" s="591">
        <f>(IF((AND($A60&gt;=Behaviours!$D$12,$A60&lt;=Behaviours!$D$13)),$C$3*Behaviours!$D$14,0))</f>
        <v>0</v>
      </c>
      <c r="E60" s="662">
        <f t="shared" si="0"/>
        <v>0</v>
      </c>
      <c r="G60" s="591">
        <f>(IF((AND($A60&gt;=Behaviours!B$17,$A60&lt;=Behaviours!B$18)),$C$4*Behaviours!B$19,0))</f>
        <v>0</v>
      </c>
      <c r="H60" s="591">
        <f>(IF((AND($A60&gt;=Behaviours!C$17,$A60&lt;=Behaviours!C$18)),$C$4*Behaviours!C$19,0))</f>
        <v>0</v>
      </c>
      <c r="I60" s="591">
        <f>(IF((AND($A60&gt;=Behaviours!D$17,$A60&lt;=Behaviours!D$18)),$C$4*Behaviours!D$19,0))</f>
        <v>0</v>
      </c>
      <c r="J60" s="662">
        <f t="shared" si="1"/>
        <v>0</v>
      </c>
      <c r="L60" s="591">
        <f>(IF((AND($A60&gt;=Behaviours!B$22,$A60&lt;=Behaviours!B$23)),$C$5*Behaviours!B$24,0))</f>
        <v>0</v>
      </c>
      <c r="M60" s="591">
        <f>(IF((AND($A60&gt;=Behaviours!C$22,$A60&lt;=Behaviours!C$23)),$C$5*Behaviours!C$24,0))</f>
        <v>0</v>
      </c>
      <c r="N60" s="591">
        <f>(IF((AND($A60&gt;=Behaviours!D$22,$A60&lt;=Behaviours!D$23)),$C$5*Behaviours!D$24,0))</f>
        <v>0</v>
      </c>
      <c r="O60" s="662">
        <f t="shared" si="2"/>
        <v>0</v>
      </c>
      <c r="P60" s="593">
        <v>52</v>
      </c>
    </row>
    <row r="61" spans="1:16">
      <c r="A61" s="53" t="s">
        <v>67</v>
      </c>
      <c r="B61" s="591">
        <f>(IF((AND($A61&gt;=Behaviours!$B$12,$A61&lt;=Behaviours!$B$13)),$C$3*Behaviours!$B$14,0))</f>
        <v>0</v>
      </c>
      <c r="C61" s="591">
        <f>(IF((AND($A61&gt;=Behaviours!$C$12,$A61&lt;=Behaviours!$C$13)),$C$3*Behaviours!$C$14,0))</f>
        <v>0</v>
      </c>
      <c r="D61" s="591">
        <f>(IF((AND($A61&gt;=Behaviours!$D$12,$A61&lt;=Behaviours!$D$13)),$C$3*Behaviours!$D$14,0))</f>
        <v>0</v>
      </c>
      <c r="E61" s="662">
        <f t="shared" si="0"/>
        <v>0</v>
      </c>
      <c r="G61" s="591">
        <f>(IF((AND($A61&gt;=Behaviours!B$17,$A61&lt;=Behaviours!B$18)),$C$4*Behaviours!B$19,0))</f>
        <v>0</v>
      </c>
      <c r="H61" s="591">
        <f>(IF((AND($A61&gt;=Behaviours!C$17,$A61&lt;=Behaviours!C$18)),$C$4*Behaviours!C$19,0))</f>
        <v>0</v>
      </c>
      <c r="I61" s="591">
        <f>(IF((AND($A61&gt;=Behaviours!D$17,$A61&lt;=Behaviours!D$18)),$C$4*Behaviours!D$19,0))</f>
        <v>0</v>
      </c>
      <c r="J61" s="662">
        <f t="shared" si="1"/>
        <v>0</v>
      </c>
      <c r="L61" s="591">
        <f>(IF((AND($A61&gt;=Behaviours!B$22,$A61&lt;=Behaviours!B$23)),$C$5*Behaviours!B$24,0))</f>
        <v>0</v>
      </c>
      <c r="M61" s="591">
        <f>(IF((AND($A61&gt;=Behaviours!C$22,$A61&lt;=Behaviours!C$23)),$C$5*Behaviours!C$24,0))</f>
        <v>0</v>
      </c>
      <c r="N61" s="591">
        <f>(IF((AND($A61&gt;=Behaviours!D$22,$A61&lt;=Behaviours!D$23)),$C$5*Behaviours!D$24,0))</f>
        <v>0</v>
      </c>
      <c r="O61" s="662">
        <f t="shared" si="2"/>
        <v>0</v>
      </c>
      <c r="P61" s="593">
        <v>53</v>
      </c>
    </row>
    <row r="62" spans="1:16">
      <c r="A62" s="54" t="s">
        <v>68</v>
      </c>
      <c r="B62" s="591">
        <f>(IF((AND($A62&gt;=Behaviours!$B$12,$A62&lt;=Behaviours!$B$13)),$C$3*Behaviours!$B$14,0))</f>
        <v>0</v>
      </c>
      <c r="C62" s="591">
        <f>(IF((AND($A62&gt;=Behaviours!$C$12,$A62&lt;=Behaviours!$C$13)),$C$3*Behaviours!$C$14,0))</f>
        <v>0</v>
      </c>
      <c r="D62" s="591">
        <f>(IF((AND($A62&gt;=Behaviours!$D$12,$A62&lt;=Behaviours!$D$13)),$C$3*Behaviours!$D$14,0))</f>
        <v>0</v>
      </c>
      <c r="E62" s="662">
        <f t="shared" si="0"/>
        <v>0</v>
      </c>
      <c r="G62" s="591">
        <f>(IF((AND($A62&gt;=Behaviours!B$17,$A62&lt;=Behaviours!B$18)),$C$4*Behaviours!B$19,0))</f>
        <v>0</v>
      </c>
      <c r="H62" s="591">
        <f>(IF((AND($A62&gt;=Behaviours!C$17,$A62&lt;=Behaviours!C$18)),$C$4*Behaviours!C$19,0))</f>
        <v>0</v>
      </c>
      <c r="I62" s="591">
        <f>(IF((AND($A62&gt;=Behaviours!D$17,$A62&lt;=Behaviours!D$18)),$C$4*Behaviours!D$19,0))</f>
        <v>0</v>
      </c>
      <c r="J62" s="662">
        <f t="shared" si="1"/>
        <v>0</v>
      </c>
      <c r="L62" s="591">
        <f>(IF((AND($A62&gt;=Behaviours!B$22,$A62&lt;=Behaviours!B$23)),$C$5*Behaviours!B$24,0))</f>
        <v>0</v>
      </c>
      <c r="M62" s="591">
        <f>(IF((AND($A62&gt;=Behaviours!C$22,$A62&lt;=Behaviours!C$23)),$C$5*Behaviours!C$24,0))</f>
        <v>0</v>
      </c>
      <c r="N62" s="591">
        <f>(IF((AND($A62&gt;=Behaviours!D$22,$A62&lt;=Behaviours!D$23)),$C$5*Behaviours!D$24,0))</f>
        <v>0</v>
      </c>
      <c r="O62" s="662">
        <f t="shared" si="2"/>
        <v>0</v>
      </c>
      <c r="P62" s="593">
        <v>54</v>
      </c>
    </row>
    <row r="63" spans="1:16">
      <c r="A63" s="54" t="s">
        <v>69</v>
      </c>
      <c r="B63" s="591">
        <f>(IF((AND($A63&gt;=Behaviours!$B$12,$A63&lt;=Behaviours!$B$13)),$C$3*Behaviours!$B$14,0))</f>
        <v>0</v>
      </c>
      <c r="C63" s="591">
        <f>(IF((AND($A63&gt;=Behaviours!$C$12,$A63&lt;=Behaviours!$C$13)),$C$3*Behaviours!$C$14,0))</f>
        <v>0</v>
      </c>
      <c r="D63" s="591">
        <f>(IF((AND($A63&gt;=Behaviours!$D$12,$A63&lt;=Behaviours!$D$13)),$C$3*Behaviours!$D$14,0))</f>
        <v>0</v>
      </c>
      <c r="E63" s="662">
        <f t="shared" si="0"/>
        <v>0</v>
      </c>
      <c r="G63" s="591">
        <f>(IF((AND($A63&gt;=Behaviours!B$17,$A63&lt;=Behaviours!B$18)),$C$4*Behaviours!B$19,0))</f>
        <v>0</v>
      </c>
      <c r="H63" s="591">
        <f>(IF((AND($A63&gt;=Behaviours!C$17,$A63&lt;=Behaviours!C$18)),$C$4*Behaviours!C$19,0))</f>
        <v>0</v>
      </c>
      <c r="I63" s="591">
        <f>(IF((AND($A63&gt;=Behaviours!D$17,$A63&lt;=Behaviours!D$18)),$C$4*Behaviours!D$19,0))</f>
        <v>0</v>
      </c>
      <c r="J63" s="662">
        <f t="shared" si="1"/>
        <v>0</v>
      </c>
      <c r="L63" s="591">
        <f>(IF((AND($A63&gt;=Behaviours!B$22,$A63&lt;=Behaviours!B$23)),$C$5*Behaviours!B$24,0))</f>
        <v>0</v>
      </c>
      <c r="M63" s="591">
        <f>(IF((AND($A63&gt;=Behaviours!C$22,$A63&lt;=Behaviours!C$23)),$C$5*Behaviours!C$24,0))</f>
        <v>0</v>
      </c>
      <c r="N63" s="591">
        <f>(IF((AND($A63&gt;=Behaviours!D$22,$A63&lt;=Behaviours!D$23)),$C$5*Behaviours!D$24,0))</f>
        <v>0</v>
      </c>
      <c r="O63" s="662">
        <f t="shared" si="2"/>
        <v>0</v>
      </c>
      <c r="P63" s="593">
        <v>55</v>
      </c>
    </row>
    <row r="64" spans="1:16">
      <c r="A64" s="54" t="s">
        <v>70</v>
      </c>
      <c r="B64" s="591">
        <f>(IF((AND($A64&gt;=Behaviours!$B$12,$A64&lt;=Behaviours!$B$13)),$C$3*Behaviours!$B$14,0))</f>
        <v>0</v>
      </c>
      <c r="C64" s="591">
        <f>(IF((AND($A64&gt;=Behaviours!$C$12,$A64&lt;=Behaviours!$C$13)),$C$3*Behaviours!$C$14,0))</f>
        <v>0</v>
      </c>
      <c r="D64" s="591">
        <f>(IF((AND($A64&gt;=Behaviours!$D$12,$A64&lt;=Behaviours!$D$13)),$C$3*Behaviours!$D$14,0))</f>
        <v>0</v>
      </c>
      <c r="E64" s="662">
        <f t="shared" si="0"/>
        <v>0</v>
      </c>
      <c r="G64" s="591">
        <f>(IF((AND($A64&gt;=Behaviours!B$17,$A64&lt;=Behaviours!B$18)),$C$4*Behaviours!B$19,0))</f>
        <v>0</v>
      </c>
      <c r="H64" s="591">
        <f>(IF((AND($A64&gt;=Behaviours!C$17,$A64&lt;=Behaviours!C$18)),$C$4*Behaviours!C$19,0))</f>
        <v>0</v>
      </c>
      <c r="I64" s="591">
        <f>(IF((AND($A64&gt;=Behaviours!D$17,$A64&lt;=Behaviours!D$18)),$C$4*Behaviours!D$19,0))</f>
        <v>0</v>
      </c>
      <c r="J64" s="662">
        <f t="shared" si="1"/>
        <v>0</v>
      </c>
      <c r="L64" s="591">
        <f>(IF((AND($A64&gt;=Behaviours!B$22,$A64&lt;=Behaviours!B$23)),$C$5*Behaviours!B$24,0))</f>
        <v>0</v>
      </c>
      <c r="M64" s="591">
        <f>(IF((AND($A64&gt;=Behaviours!C$22,$A64&lt;=Behaviours!C$23)),$C$5*Behaviours!C$24,0))</f>
        <v>0</v>
      </c>
      <c r="N64" s="591">
        <f>(IF((AND($A64&gt;=Behaviours!D$22,$A64&lt;=Behaviours!D$23)),$C$5*Behaviours!D$24,0))</f>
        <v>0</v>
      </c>
      <c r="O64" s="662">
        <f t="shared" si="2"/>
        <v>0</v>
      </c>
      <c r="P64" s="593">
        <v>56</v>
      </c>
    </row>
    <row r="65" spans="1:16">
      <c r="A65" s="54" t="s">
        <v>71</v>
      </c>
      <c r="B65" s="591">
        <f>(IF((AND($A65&gt;=Behaviours!$B$12,$A65&lt;=Behaviours!$B$13)),$C$3*Behaviours!$B$14,0))</f>
        <v>0</v>
      </c>
      <c r="C65" s="591">
        <f>(IF((AND($A65&gt;=Behaviours!$C$12,$A65&lt;=Behaviours!$C$13)),$C$3*Behaviours!$C$14,0))</f>
        <v>0</v>
      </c>
      <c r="D65" s="591">
        <f>(IF((AND($A65&gt;=Behaviours!$D$12,$A65&lt;=Behaviours!$D$13)),$C$3*Behaviours!$D$14,0))</f>
        <v>0</v>
      </c>
      <c r="E65" s="662">
        <f t="shared" si="0"/>
        <v>0</v>
      </c>
      <c r="G65" s="591">
        <f>(IF((AND($A65&gt;=Behaviours!B$17,$A65&lt;=Behaviours!B$18)),$C$4*Behaviours!B$19,0))</f>
        <v>0</v>
      </c>
      <c r="H65" s="591">
        <f>(IF((AND($A65&gt;=Behaviours!C$17,$A65&lt;=Behaviours!C$18)),$C$4*Behaviours!C$19,0))</f>
        <v>0</v>
      </c>
      <c r="I65" s="591">
        <f>(IF((AND($A65&gt;=Behaviours!D$17,$A65&lt;=Behaviours!D$18)),$C$4*Behaviours!D$19,0))</f>
        <v>0</v>
      </c>
      <c r="J65" s="662">
        <f t="shared" si="1"/>
        <v>0</v>
      </c>
      <c r="L65" s="591">
        <f>(IF((AND($A65&gt;=Behaviours!B$22,$A65&lt;=Behaviours!B$23)),$C$5*Behaviours!B$24,0))</f>
        <v>0</v>
      </c>
      <c r="M65" s="591">
        <f>(IF((AND($A65&gt;=Behaviours!C$22,$A65&lt;=Behaviours!C$23)),$C$5*Behaviours!C$24,0))</f>
        <v>0</v>
      </c>
      <c r="N65" s="591">
        <f>(IF((AND($A65&gt;=Behaviours!D$22,$A65&lt;=Behaviours!D$23)),$C$5*Behaviours!D$24,0))</f>
        <v>0</v>
      </c>
      <c r="O65" s="662">
        <f t="shared" si="2"/>
        <v>0</v>
      </c>
      <c r="P65" s="593">
        <v>57</v>
      </c>
    </row>
    <row r="66" spans="1:16">
      <c r="A66" s="54" t="s">
        <v>72</v>
      </c>
      <c r="B66" s="591">
        <f>(IF((AND($A66&gt;=Behaviours!$B$12,$A66&lt;=Behaviours!$B$13)),$C$3*Behaviours!$B$14,0))</f>
        <v>0</v>
      </c>
      <c r="C66" s="591">
        <f>(IF((AND($A66&gt;=Behaviours!$C$12,$A66&lt;=Behaviours!$C$13)),$C$3*Behaviours!$C$14,0))</f>
        <v>0</v>
      </c>
      <c r="D66" s="591">
        <f>(IF((AND($A66&gt;=Behaviours!$D$12,$A66&lt;=Behaviours!$D$13)),$C$3*Behaviours!$D$14,0))</f>
        <v>0</v>
      </c>
      <c r="E66" s="662">
        <f t="shared" si="0"/>
        <v>0</v>
      </c>
      <c r="G66" s="591">
        <f>(IF((AND($A66&gt;=Behaviours!B$17,$A66&lt;=Behaviours!B$18)),$C$4*Behaviours!B$19,0))</f>
        <v>0</v>
      </c>
      <c r="H66" s="591">
        <f>(IF((AND($A66&gt;=Behaviours!C$17,$A66&lt;=Behaviours!C$18)),$C$4*Behaviours!C$19,0))</f>
        <v>0</v>
      </c>
      <c r="I66" s="591">
        <f>(IF((AND($A66&gt;=Behaviours!D$17,$A66&lt;=Behaviours!D$18)),$C$4*Behaviours!D$19,0))</f>
        <v>0</v>
      </c>
      <c r="J66" s="662">
        <f t="shared" si="1"/>
        <v>0</v>
      </c>
      <c r="L66" s="591">
        <f>(IF((AND($A66&gt;=Behaviours!B$22,$A66&lt;=Behaviours!B$23)),$C$5*Behaviours!B$24,0))</f>
        <v>290.76923076923077</v>
      </c>
      <c r="M66" s="591">
        <f>(IF((AND($A66&gt;=Behaviours!C$22,$A66&lt;=Behaviours!C$23)),$C$5*Behaviours!C$24,0))</f>
        <v>0</v>
      </c>
      <c r="N66" s="591">
        <f>(IF((AND($A66&gt;=Behaviours!D$22,$A66&lt;=Behaviours!D$23)),$C$5*Behaviours!D$24,0))</f>
        <v>0</v>
      </c>
      <c r="O66" s="662">
        <f t="shared" si="2"/>
        <v>290.76923076923077</v>
      </c>
      <c r="P66" s="593">
        <v>58</v>
      </c>
    </row>
    <row r="67" spans="1:16">
      <c r="A67" s="54" t="s">
        <v>73</v>
      </c>
      <c r="B67" s="591">
        <f>(IF((AND($A67&gt;=Behaviours!$B$12,$A67&lt;=Behaviours!$B$13)),$C$3*Behaviours!$B$14,0))</f>
        <v>0</v>
      </c>
      <c r="C67" s="591">
        <f>(IF((AND($A67&gt;=Behaviours!$C$12,$A67&lt;=Behaviours!$C$13)),$C$3*Behaviours!$C$14,0))</f>
        <v>0</v>
      </c>
      <c r="D67" s="591">
        <f>(IF((AND($A67&gt;=Behaviours!$D$12,$A67&lt;=Behaviours!$D$13)),$C$3*Behaviours!$D$14,0))</f>
        <v>0</v>
      </c>
      <c r="E67" s="662">
        <f t="shared" si="0"/>
        <v>0</v>
      </c>
      <c r="G67" s="591">
        <f>(IF((AND($A67&gt;=Behaviours!B$17,$A67&lt;=Behaviours!B$18)),$C$4*Behaviours!B$19,0))</f>
        <v>0</v>
      </c>
      <c r="H67" s="591">
        <f>(IF((AND($A67&gt;=Behaviours!C$17,$A67&lt;=Behaviours!C$18)),$C$4*Behaviours!C$19,0))</f>
        <v>0</v>
      </c>
      <c r="I67" s="591">
        <f>(IF((AND($A67&gt;=Behaviours!D$17,$A67&lt;=Behaviours!D$18)),$C$4*Behaviours!D$19,0))</f>
        <v>0</v>
      </c>
      <c r="J67" s="662">
        <f t="shared" si="1"/>
        <v>0</v>
      </c>
      <c r="L67" s="591">
        <f>(IF((AND($A67&gt;=Behaviours!B$22,$A67&lt;=Behaviours!B$23)),$C$5*Behaviours!B$24,0))</f>
        <v>290.76923076923077</v>
      </c>
      <c r="M67" s="591">
        <f>(IF((AND($A67&gt;=Behaviours!C$22,$A67&lt;=Behaviours!C$23)),$C$5*Behaviours!C$24,0))</f>
        <v>0</v>
      </c>
      <c r="N67" s="591">
        <f>(IF((AND($A67&gt;=Behaviours!D$22,$A67&lt;=Behaviours!D$23)),$C$5*Behaviours!D$24,0))</f>
        <v>0</v>
      </c>
      <c r="O67" s="662">
        <f t="shared" si="2"/>
        <v>290.76923076923077</v>
      </c>
      <c r="P67" s="593">
        <v>59</v>
      </c>
    </row>
    <row r="68" spans="1:16">
      <c r="A68" s="54" t="s">
        <v>74</v>
      </c>
      <c r="B68" s="591">
        <f>(IF((AND($A68&gt;=Behaviours!$B$12,$A68&lt;=Behaviours!$B$13)),$C$3*Behaviours!$B$14,0))</f>
        <v>0</v>
      </c>
      <c r="C68" s="591">
        <f>(IF((AND($A68&gt;=Behaviours!$C$12,$A68&lt;=Behaviours!$C$13)),$C$3*Behaviours!$C$14,0))</f>
        <v>0</v>
      </c>
      <c r="D68" s="591">
        <f>(IF((AND($A68&gt;=Behaviours!$D$12,$A68&lt;=Behaviours!$D$13)),$C$3*Behaviours!$D$14,0))</f>
        <v>0</v>
      </c>
      <c r="E68" s="662">
        <f t="shared" si="0"/>
        <v>0</v>
      </c>
      <c r="G68" s="591">
        <f>(IF((AND($A68&gt;=Behaviours!B$17,$A68&lt;=Behaviours!B$18)),$C$4*Behaviours!B$19,0))</f>
        <v>0</v>
      </c>
      <c r="H68" s="591">
        <f>(IF((AND($A68&gt;=Behaviours!C$17,$A68&lt;=Behaviours!C$18)),$C$4*Behaviours!C$19,0))</f>
        <v>0</v>
      </c>
      <c r="I68" s="591">
        <f>(IF((AND($A68&gt;=Behaviours!D$17,$A68&lt;=Behaviours!D$18)),$C$4*Behaviours!D$19,0))</f>
        <v>0</v>
      </c>
      <c r="J68" s="662">
        <f t="shared" si="1"/>
        <v>0</v>
      </c>
      <c r="L68" s="591">
        <f>(IF((AND($A68&gt;=Behaviours!B$22,$A68&lt;=Behaviours!B$23)),$C$5*Behaviours!B$24,0))</f>
        <v>290.76923076923077</v>
      </c>
      <c r="M68" s="591">
        <f>(IF((AND($A68&gt;=Behaviours!C$22,$A68&lt;=Behaviours!C$23)),$C$5*Behaviours!C$24,0))</f>
        <v>0</v>
      </c>
      <c r="N68" s="591">
        <f>(IF((AND($A68&gt;=Behaviours!D$22,$A68&lt;=Behaviours!D$23)),$C$5*Behaviours!D$24,0))</f>
        <v>0</v>
      </c>
      <c r="O68" s="662">
        <f t="shared" si="2"/>
        <v>290.76923076923077</v>
      </c>
      <c r="P68" s="593">
        <v>60</v>
      </c>
    </row>
    <row r="69" spans="1:16">
      <c r="A69" s="54" t="s">
        <v>75</v>
      </c>
      <c r="B69" s="591">
        <f>(IF((AND($A69&gt;=Behaviours!$B$12,$A69&lt;=Behaviours!$B$13)),$C$3*Behaviours!$B$14,0))</f>
        <v>591.39230769230767</v>
      </c>
      <c r="C69" s="591">
        <f>(IF((AND($A69&gt;=Behaviours!$C$12,$A69&lt;=Behaviours!$C$13)),$C$3*Behaviours!$C$14,0))</f>
        <v>0</v>
      </c>
      <c r="D69" s="591">
        <f>(IF((AND($A69&gt;=Behaviours!$D$12,$A69&lt;=Behaviours!$D$13)),$C$3*Behaviours!$D$14,0))</f>
        <v>0</v>
      </c>
      <c r="E69" s="662">
        <f t="shared" si="0"/>
        <v>591.39230769230767</v>
      </c>
      <c r="G69" s="591">
        <f>(IF((AND($A69&gt;=Behaviours!B$17,$A69&lt;=Behaviours!B$18)),$C$4*Behaviours!B$19,0))</f>
        <v>444.23076923076923</v>
      </c>
      <c r="H69" s="591">
        <f>(IF((AND($A69&gt;=Behaviours!C$17,$A69&lt;=Behaviours!C$18)),$C$4*Behaviours!C$19,0))</f>
        <v>0</v>
      </c>
      <c r="I69" s="591">
        <f>(IF((AND($A69&gt;=Behaviours!D$17,$A69&lt;=Behaviours!D$18)),$C$4*Behaviours!D$19,0))</f>
        <v>0</v>
      </c>
      <c r="J69" s="662">
        <f t="shared" si="1"/>
        <v>444.23076923076923</v>
      </c>
      <c r="L69" s="591">
        <f>(IF((AND($A69&gt;=Behaviours!B$22,$A69&lt;=Behaviours!B$23)),$C$5*Behaviours!B$24,0))</f>
        <v>290.76923076923077</v>
      </c>
      <c r="M69" s="591">
        <f>(IF((AND($A69&gt;=Behaviours!C$22,$A69&lt;=Behaviours!C$23)),$C$5*Behaviours!C$24,0))</f>
        <v>0</v>
      </c>
      <c r="N69" s="591">
        <f>(IF((AND($A69&gt;=Behaviours!D$22,$A69&lt;=Behaviours!D$23)),$C$5*Behaviours!D$24,0))</f>
        <v>0</v>
      </c>
      <c r="O69" s="662">
        <f t="shared" si="2"/>
        <v>290.76923076923077</v>
      </c>
      <c r="P69" s="593">
        <v>61</v>
      </c>
    </row>
    <row r="70" spans="1:16">
      <c r="A70" s="54" t="s">
        <v>12</v>
      </c>
      <c r="B70" s="591">
        <f>(IF((AND($A70&gt;=Behaviours!$B$12,$A70&lt;=Behaviours!$B$13)),$C$3*Behaviours!$B$14,0))</f>
        <v>591.39230769230767</v>
      </c>
      <c r="C70" s="591">
        <f>(IF((AND($A70&gt;=Behaviours!$C$12,$A70&lt;=Behaviours!$C$13)),$C$3*Behaviours!$C$14,0))</f>
        <v>0</v>
      </c>
      <c r="D70" s="591">
        <f>(IF((AND($A70&gt;=Behaviours!$D$12,$A70&lt;=Behaviours!$D$13)),$C$3*Behaviours!$D$14,0))</f>
        <v>0</v>
      </c>
      <c r="E70" s="662">
        <f t="shared" si="0"/>
        <v>591.39230769230767</v>
      </c>
      <c r="G70" s="591">
        <f>(IF((AND($A70&gt;=Behaviours!B$17,$A70&lt;=Behaviours!B$18)),$C$4*Behaviours!B$19,0))</f>
        <v>444.23076923076923</v>
      </c>
      <c r="H70" s="591">
        <f>(IF((AND($A70&gt;=Behaviours!C$17,$A70&lt;=Behaviours!C$18)),$C$4*Behaviours!C$19,0))</f>
        <v>0</v>
      </c>
      <c r="I70" s="591">
        <f>(IF((AND($A70&gt;=Behaviours!D$17,$A70&lt;=Behaviours!D$18)),$C$4*Behaviours!D$19,0))</f>
        <v>0</v>
      </c>
      <c r="J70" s="662">
        <f t="shared" si="1"/>
        <v>444.23076923076923</v>
      </c>
      <c r="L70" s="591">
        <f>(IF((AND($A70&gt;=Behaviours!B$22,$A70&lt;=Behaviours!B$23)),$C$5*Behaviours!B$24,0))</f>
        <v>290.76923076923077</v>
      </c>
      <c r="M70" s="591">
        <f>(IF((AND($A70&gt;=Behaviours!C$22,$A70&lt;=Behaviours!C$23)),$C$5*Behaviours!C$24,0))</f>
        <v>0</v>
      </c>
      <c r="N70" s="591">
        <f>(IF((AND($A70&gt;=Behaviours!D$22,$A70&lt;=Behaviours!D$23)),$C$5*Behaviours!D$24,0))</f>
        <v>0</v>
      </c>
      <c r="O70" s="662">
        <f t="shared" si="2"/>
        <v>290.76923076923077</v>
      </c>
      <c r="P70" s="593">
        <v>62</v>
      </c>
    </row>
    <row r="71" spans="1:16">
      <c r="A71" s="54" t="s">
        <v>13</v>
      </c>
      <c r="B71" s="591">
        <f>(IF((AND($A71&gt;=Behaviours!$B$12,$A71&lt;=Behaviours!$B$13)),$C$3*Behaviours!$B$14,0))</f>
        <v>591.39230769230767</v>
      </c>
      <c r="C71" s="591">
        <f>(IF((AND($A71&gt;=Behaviours!$C$12,$A71&lt;=Behaviours!$C$13)),$C$3*Behaviours!$C$14,0))</f>
        <v>0</v>
      </c>
      <c r="D71" s="591">
        <f>(IF((AND($A71&gt;=Behaviours!$D$12,$A71&lt;=Behaviours!$D$13)),$C$3*Behaviours!$D$14,0))</f>
        <v>0</v>
      </c>
      <c r="E71" s="662">
        <f t="shared" si="0"/>
        <v>591.39230769230767</v>
      </c>
      <c r="G71" s="591">
        <f>(IF((AND($A71&gt;=Behaviours!B$17,$A71&lt;=Behaviours!B$18)),$C$4*Behaviours!B$19,0))</f>
        <v>444.23076923076923</v>
      </c>
      <c r="H71" s="591">
        <f>(IF((AND($A71&gt;=Behaviours!C$17,$A71&lt;=Behaviours!C$18)),$C$4*Behaviours!C$19,0))</f>
        <v>0</v>
      </c>
      <c r="I71" s="591">
        <f>(IF((AND($A71&gt;=Behaviours!D$17,$A71&lt;=Behaviours!D$18)),$C$4*Behaviours!D$19,0))</f>
        <v>0</v>
      </c>
      <c r="J71" s="662">
        <f t="shared" si="1"/>
        <v>444.23076923076923</v>
      </c>
      <c r="L71" s="591">
        <f>(IF((AND($A71&gt;=Behaviours!B$22,$A71&lt;=Behaviours!B$23)),$C$5*Behaviours!B$24,0))</f>
        <v>290.76923076923077</v>
      </c>
      <c r="M71" s="591">
        <f>(IF((AND($A71&gt;=Behaviours!C$22,$A71&lt;=Behaviours!C$23)),$C$5*Behaviours!C$24,0))</f>
        <v>0</v>
      </c>
      <c r="N71" s="591">
        <f>(IF((AND($A71&gt;=Behaviours!D$22,$A71&lt;=Behaviours!D$23)),$C$5*Behaviours!D$24,0))</f>
        <v>0</v>
      </c>
      <c r="O71" s="662">
        <f t="shared" si="2"/>
        <v>290.76923076923077</v>
      </c>
      <c r="P71" s="593">
        <v>63</v>
      </c>
    </row>
    <row r="72" spans="1:16">
      <c r="A72" s="54" t="s">
        <v>14</v>
      </c>
      <c r="B72" s="591">
        <f>(IF((AND($A72&gt;=Behaviours!$B$12,$A72&lt;=Behaviours!$B$13)),$C$3*Behaviours!$B$14,0))</f>
        <v>591.39230769230767</v>
      </c>
      <c r="C72" s="591">
        <f>(IF((AND($A72&gt;=Behaviours!$C$12,$A72&lt;=Behaviours!$C$13)),$C$3*Behaviours!$C$14,0))</f>
        <v>0</v>
      </c>
      <c r="D72" s="591">
        <f>(IF((AND($A72&gt;=Behaviours!$D$12,$A72&lt;=Behaviours!$D$13)),$C$3*Behaviours!$D$14,0))</f>
        <v>0</v>
      </c>
      <c r="E72" s="662">
        <f t="shared" si="0"/>
        <v>591.39230769230767</v>
      </c>
      <c r="G72" s="591">
        <f>(IF((AND($A72&gt;=Behaviours!B$17,$A72&lt;=Behaviours!B$18)),$C$4*Behaviours!B$19,0))</f>
        <v>444.23076923076923</v>
      </c>
      <c r="H72" s="591">
        <f>(IF((AND($A72&gt;=Behaviours!C$17,$A72&lt;=Behaviours!C$18)),$C$4*Behaviours!C$19,0))</f>
        <v>0</v>
      </c>
      <c r="I72" s="591">
        <f>(IF((AND($A72&gt;=Behaviours!D$17,$A72&lt;=Behaviours!D$18)),$C$4*Behaviours!D$19,0))</f>
        <v>0</v>
      </c>
      <c r="J72" s="662">
        <f t="shared" si="1"/>
        <v>444.23076923076923</v>
      </c>
      <c r="L72" s="591">
        <f>(IF((AND($A72&gt;=Behaviours!B$22,$A72&lt;=Behaviours!B$23)),$C$5*Behaviours!B$24,0))</f>
        <v>290.76923076923077</v>
      </c>
      <c r="M72" s="591">
        <f>(IF((AND($A72&gt;=Behaviours!C$22,$A72&lt;=Behaviours!C$23)),$C$5*Behaviours!C$24,0))</f>
        <v>0</v>
      </c>
      <c r="N72" s="591">
        <f>(IF((AND($A72&gt;=Behaviours!D$22,$A72&lt;=Behaviours!D$23)),$C$5*Behaviours!D$24,0))</f>
        <v>0</v>
      </c>
      <c r="O72" s="662">
        <f t="shared" si="2"/>
        <v>290.76923076923077</v>
      </c>
      <c r="P72" s="593">
        <v>64</v>
      </c>
    </row>
    <row r="73" spans="1:16">
      <c r="A73" s="55" t="s">
        <v>15</v>
      </c>
      <c r="B73" s="591">
        <f>(IF((AND($A73&gt;=Behaviours!$B$12,$A73&lt;=Behaviours!$B$13)),$C$3*Behaviours!$B$14,0))</f>
        <v>591.39230769230767</v>
      </c>
      <c r="C73" s="591">
        <f>(IF((AND($A73&gt;=Behaviours!$C$12,$A73&lt;=Behaviours!$C$13)),$C$3*Behaviours!$C$14,0))</f>
        <v>0</v>
      </c>
      <c r="D73" s="591">
        <f>(IF((AND($A73&gt;=Behaviours!$D$12,$A73&lt;=Behaviours!$D$13)),$C$3*Behaviours!$D$14,0))</f>
        <v>0</v>
      </c>
      <c r="E73" s="662">
        <f t="shared" si="0"/>
        <v>591.39230769230767</v>
      </c>
      <c r="G73" s="591">
        <f>(IF((AND($A73&gt;=Behaviours!B$17,$A73&lt;=Behaviours!B$18)),$C$4*Behaviours!B$19,0))</f>
        <v>444.23076923076923</v>
      </c>
      <c r="H73" s="591">
        <f>(IF((AND($A73&gt;=Behaviours!C$17,$A73&lt;=Behaviours!C$18)),$C$4*Behaviours!C$19,0))</f>
        <v>0</v>
      </c>
      <c r="I73" s="591">
        <f>(IF((AND($A73&gt;=Behaviours!D$17,$A73&lt;=Behaviours!D$18)),$C$4*Behaviours!D$19,0))</f>
        <v>0</v>
      </c>
      <c r="J73" s="662">
        <f t="shared" si="1"/>
        <v>444.23076923076923</v>
      </c>
      <c r="L73" s="591">
        <f>(IF((AND($A73&gt;=Behaviours!B$22,$A73&lt;=Behaviours!B$23)),$C$5*Behaviours!B$24,0))</f>
        <v>290.76923076923077</v>
      </c>
      <c r="M73" s="591">
        <f>(IF((AND($A73&gt;=Behaviours!C$22,$A73&lt;=Behaviours!C$23)),$C$5*Behaviours!C$24,0))</f>
        <v>0</v>
      </c>
      <c r="N73" s="591">
        <f>(IF((AND($A73&gt;=Behaviours!D$22,$A73&lt;=Behaviours!D$23)),$C$5*Behaviours!D$24,0))</f>
        <v>0</v>
      </c>
      <c r="O73" s="662">
        <f t="shared" si="2"/>
        <v>290.76923076923077</v>
      </c>
      <c r="P73" s="593">
        <v>65</v>
      </c>
    </row>
    <row r="74" spans="1:16">
      <c r="A74" s="56" t="s">
        <v>76</v>
      </c>
      <c r="B74" s="591">
        <f>(IF((AND($A74&gt;=Behaviours!$B$12,$A74&lt;=Behaviours!$B$13)),$C$3*Behaviours!$B$14,0))</f>
        <v>591.39230769230767</v>
      </c>
      <c r="C74" s="591">
        <f>(IF((AND($A74&gt;=Behaviours!$C$12,$A74&lt;=Behaviours!$C$13)),$C$3*Behaviours!$C$14,0))</f>
        <v>0</v>
      </c>
      <c r="D74" s="591">
        <f>(IF((AND($A74&gt;=Behaviours!$D$12,$A74&lt;=Behaviours!$D$13)),$C$3*Behaviours!$D$14,0))</f>
        <v>0</v>
      </c>
      <c r="E74" s="662">
        <f t="shared" ref="E74:E99" si="3">IF(SUM(B74:D74)&gt;0,IF(B74&gt;0,B74,IF(C74&gt;0,C74,IF(D74&gt;0,D74,"ERROR"))),0)</f>
        <v>591.39230769230767</v>
      </c>
      <c r="G74" s="591">
        <f>(IF((AND($A74&gt;=Behaviours!B$17,$A74&lt;=Behaviours!B$18)),$C$4*Behaviours!B$19,0))</f>
        <v>444.23076923076923</v>
      </c>
      <c r="H74" s="591">
        <f>(IF((AND($A74&gt;=Behaviours!C$17,$A74&lt;=Behaviours!C$18)),$C$4*Behaviours!C$19,0))</f>
        <v>0</v>
      </c>
      <c r="I74" s="591">
        <f>(IF((AND($A74&gt;=Behaviours!D$17,$A74&lt;=Behaviours!D$18)),$C$4*Behaviours!D$19,0))</f>
        <v>0</v>
      </c>
      <c r="J74" s="662">
        <f t="shared" ref="J74:J99" si="4">IF(SUM(G74:I74)&gt;0,IF(G74&gt;0,G74,IF(H74&gt;0,H74,IF(I74&gt;0,I74,"ERROR"))),0)</f>
        <v>444.23076923076923</v>
      </c>
      <c r="L74" s="591">
        <f>(IF((AND($A74&gt;=Behaviours!B$22,$A74&lt;=Behaviours!B$23)),$C$5*Behaviours!B$24,0))</f>
        <v>290.76923076923077</v>
      </c>
      <c r="M74" s="591">
        <f>(IF((AND($A74&gt;=Behaviours!C$22,$A74&lt;=Behaviours!C$23)),$C$5*Behaviours!C$24,0))</f>
        <v>0</v>
      </c>
      <c r="N74" s="591">
        <f>(IF((AND($A74&gt;=Behaviours!D$22,$A74&lt;=Behaviours!D$23)),$C$5*Behaviours!D$24,0))</f>
        <v>0</v>
      </c>
      <c r="O74" s="662">
        <f t="shared" ref="O74:O99" si="5">IF(SUM(L74:N74)&gt;0,IF(L74&gt;0,L74,IF(M74&gt;0,M74,IF(N74&gt;0,N74,"ERROR"))),0)</f>
        <v>290.76923076923077</v>
      </c>
      <c r="P74" s="593">
        <v>66</v>
      </c>
    </row>
    <row r="75" spans="1:16">
      <c r="A75" s="57" t="s">
        <v>77</v>
      </c>
      <c r="B75" s="591">
        <f>(IF((AND($A75&gt;=Behaviours!$B$12,$A75&lt;=Behaviours!$B$13)),$C$3*Behaviours!$B$14,0))</f>
        <v>591.39230769230767</v>
      </c>
      <c r="C75" s="591">
        <f>(IF((AND($A75&gt;=Behaviours!$C$12,$A75&lt;=Behaviours!$C$13)),$C$3*Behaviours!$C$14,0))</f>
        <v>0</v>
      </c>
      <c r="D75" s="591">
        <f>(IF((AND($A75&gt;=Behaviours!$D$12,$A75&lt;=Behaviours!$D$13)),$C$3*Behaviours!$D$14,0))</f>
        <v>0</v>
      </c>
      <c r="E75" s="662">
        <f t="shared" si="3"/>
        <v>591.39230769230767</v>
      </c>
      <c r="G75" s="591">
        <f>(IF((AND($A75&gt;=Behaviours!B$17,$A75&lt;=Behaviours!B$18)),$C$4*Behaviours!B$19,0))</f>
        <v>444.23076923076923</v>
      </c>
      <c r="H75" s="591">
        <f>(IF((AND($A75&gt;=Behaviours!C$17,$A75&lt;=Behaviours!C$18)),$C$4*Behaviours!C$19,0))</f>
        <v>0</v>
      </c>
      <c r="I75" s="591">
        <f>(IF((AND($A75&gt;=Behaviours!D$17,$A75&lt;=Behaviours!D$18)),$C$4*Behaviours!D$19,0))</f>
        <v>0</v>
      </c>
      <c r="J75" s="662">
        <f t="shared" si="4"/>
        <v>444.23076923076923</v>
      </c>
      <c r="L75" s="591">
        <f>(IF((AND($A75&gt;=Behaviours!B$22,$A75&lt;=Behaviours!B$23)),$C$5*Behaviours!B$24,0))</f>
        <v>290.76923076923077</v>
      </c>
      <c r="M75" s="591">
        <f>(IF((AND($A75&gt;=Behaviours!C$22,$A75&lt;=Behaviours!C$23)),$C$5*Behaviours!C$24,0))</f>
        <v>0</v>
      </c>
      <c r="N75" s="591">
        <f>(IF((AND($A75&gt;=Behaviours!D$22,$A75&lt;=Behaviours!D$23)),$C$5*Behaviours!D$24,0))</f>
        <v>0</v>
      </c>
      <c r="O75" s="662">
        <f t="shared" si="5"/>
        <v>290.76923076923077</v>
      </c>
      <c r="P75" s="593">
        <v>67</v>
      </c>
    </row>
    <row r="76" spans="1:16">
      <c r="A76" s="57" t="s">
        <v>78</v>
      </c>
      <c r="B76" s="591">
        <f>(IF((AND($A76&gt;=Behaviours!$B$12,$A76&lt;=Behaviours!$B$13)),$C$3*Behaviours!$B$14,0))</f>
        <v>591.39230769230767</v>
      </c>
      <c r="C76" s="591">
        <f>(IF((AND($A76&gt;=Behaviours!$C$12,$A76&lt;=Behaviours!$C$13)),$C$3*Behaviours!$C$14,0))</f>
        <v>0</v>
      </c>
      <c r="D76" s="591">
        <f>(IF((AND($A76&gt;=Behaviours!$D$12,$A76&lt;=Behaviours!$D$13)),$C$3*Behaviours!$D$14,0))</f>
        <v>0</v>
      </c>
      <c r="E76" s="662">
        <f t="shared" si="3"/>
        <v>591.39230769230767</v>
      </c>
      <c r="G76" s="591">
        <f>(IF((AND($A76&gt;=Behaviours!B$17,$A76&lt;=Behaviours!B$18)),$C$4*Behaviours!B$19,0))</f>
        <v>444.23076923076923</v>
      </c>
      <c r="H76" s="591">
        <f>(IF((AND($A76&gt;=Behaviours!C$17,$A76&lt;=Behaviours!C$18)),$C$4*Behaviours!C$19,0))</f>
        <v>0</v>
      </c>
      <c r="I76" s="591">
        <f>(IF((AND($A76&gt;=Behaviours!D$17,$A76&lt;=Behaviours!D$18)),$C$4*Behaviours!D$19,0))</f>
        <v>0</v>
      </c>
      <c r="J76" s="662">
        <f t="shared" si="4"/>
        <v>444.23076923076923</v>
      </c>
      <c r="L76" s="591">
        <f>(IF((AND($A76&gt;=Behaviours!B$22,$A76&lt;=Behaviours!B$23)),$C$5*Behaviours!B$24,0))</f>
        <v>290.76923076923077</v>
      </c>
      <c r="M76" s="591">
        <f>(IF((AND($A76&gt;=Behaviours!C$22,$A76&lt;=Behaviours!C$23)),$C$5*Behaviours!C$24,0))</f>
        <v>0</v>
      </c>
      <c r="N76" s="591">
        <f>(IF((AND($A76&gt;=Behaviours!D$22,$A76&lt;=Behaviours!D$23)),$C$5*Behaviours!D$24,0))</f>
        <v>0</v>
      </c>
      <c r="O76" s="662">
        <f t="shared" si="5"/>
        <v>290.76923076923077</v>
      </c>
      <c r="P76" s="593">
        <v>68</v>
      </c>
    </row>
    <row r="77" spans="1:16">
      <c r="A77" s="57" t="s">
        <v>79</v>
      </c>
      <c r="B77" s="591">
        <f>(IF((AND($A77&gt;=Behaviours!$B$12,$A77&lt;=Behaviours!$B$13)),$C$3*Behaviours!$B$14,0))</f>
        <v>591.39230769230767</v>
      </c>
      <c r="C77" s="591">
        <f>(IF((AND($A77&gt;=Behaviours!$C$12,$A77&lt;=Behaviours!$C$13)),$C$3*Behaviours!$C$14,0))</f>
        <v>0</v>
      </c>
      <c r="D77" s="591">
        <f>(IF((AND($A77&gt;=Behaviours!$D$12,$A77&lt;=Behaviours!$D$13)),$C$3*Behaviours!$D$14,0))</f>
        <v>0</v>
      </c>
      <c r="E77" s="662">
        <f t="shared" si="3"/>
        <v>591.39230769230767</v>
      </c>
      <c r="G77" s="591">
        <f>(IF((AND($A77&gt;=Behaviours!B$17,$A77&lt;=Behaviours!B$18)),$C$4*Behaviours!B$19,0))</f>
        <v>444.23076923076923</v>
      </c>
      <c r="H77" s="591">
        <f>(IF((AND($A77&gt;=Behaviours!C$17,$A77&lt;=Behaviours!C$18)),$C$4*Behaviours!C$19,0))</f>
        <v>0</v>
      </c>
      <c r="I77" s="591">
        <f>(IF((AND($A77&gt;=Behaviours!D$17,$A77&lt;=Behaviours!D$18)),$C$4*Behaviours!D$19,0))</f>
        <v>0</v>
      </c>
      <c r="J77" s="662">
        <f t="shared" si="4"/>
        <v>444.23076923076923</v>
      </c>
      <c r="L77" s="591">
        <f>(IF((AND($A77&gt;=Behaviours!B$22,$A77&lt;=Behaviours!B$23)),$C$5*Behaviours!B$24,0))</f>
        <v>290.76923076923077</v>
      </c>
      <c r="M77" s="591">
        <f>(IF((AND($A77&gt;=Behaviours!C$22,$A77&lt;=Behaviours!C$23)),$C$5*Behaviours!C$24,0))</f>
        <v>0</v>
      </c>
      <c r="N77" s="591">
        <f>(IF((AND($A77&gt;=Behaviours!D$22,$A77&lt;=Behaviours!D$23)),$C$5*Behaviours!D$24,0))</f>
        <v>0</v>
      </c>
      <c r="O77" s="662">
        <f t="shared" si="5"/>
        <v>290.76923076923077</v>
      </c>
      <c r="P77" s="593">
        <v>69</v>
      </c>
    </row>
    <row r="78" spans="1:16">
      <c r="A78" s="57" t="s">
        <v>80</v>
      </c>
      <c r="B78" s="591">
        <f>(IF((AND($A78&gt;=Behaviours!$B$12,$A78&lt;=Behaviours!$B$13)),$C$3*Behaviours!$B$14,0))</f>
        <v>591.39230769230767</v>
      </c>
      <c r="C78" s="591">
        <f>(IF((AND($A78&gt;=Behaviours!$C$12,$A78&lt;=Behaviours!$C$13)),$C$3*Behaviours!$C$14,0))</f>
        <v>0</v>
      </c>
      <c r="D78" s="591">
        <f>(IF((AND($A78&gt;=Behaviours!$D$12,$A78&lt;=Behaviours!$D$13)),$C$3*Behaviours!$D$14,0))</f>
        <v>0</v>
      </c>
      <c r="E78" s="662">
        <f t="shared" si="3"/>
        <v>591.39230769230767</v>
      </c>
      <c r="G78" s="591">
        <f>(IF((AND($A78&gt;=Behaviours!B$17,$A78&lt;=Behaviours!B$18)),$C$4*Behaviours!B$19,0))</f>
        <v>444.23076923076923</v>
      </c>
      <c r="H78" s="591">
        <f>(IF((AND($A78&gt;=Behaviours!C$17,$A78&lt;=Behaviours!C$18)),$C$4*Behaviours!C$19,0))</f>
        <v>0</v>
      </c>
      <c r="I78" s="591">
        <f>(IF((AND($A78&gt;=Behaviours!D$17,$A78&lt;=Behaviours!D$18)),$C$4*Behaviours!D$19,0))</f>
        <v>0</v>
      </c>
      <c r="J78" s="662">
        <f t="shared" si="4"/>
        <v>444.23076923076923</v>
      </c>
      <c r="L78" s="591">
        <f>(IF((AND($A78&gt;=Behaviours!B$22,$A78&lt;=Behaviours!B$23)),$C$5*Behaviours!B$24,0))</f>
        <v>290.76923076923077</v>
      </c>
      <c r="M78" s="591">
        <f>(IF((AND($A78&gt;=Behaviours!C$22,$A78&lt;=Behaviours!C$23)),$C$5*Behaviours!C$24,0))</f>
        <v>0</v>
      </c>
      <c r="N78" s="591">
        <f>(IF((AND($A78&gt;=Behaviours!D$22,$A78&lt;=Behaviours!D$23)),$C$5*Behaviours!D$24,0))</f>
        <v>0</v>
      </c>
      <c r="O78" s="662">
        <f t="shared" si="5"/>
        <v>290.76923076923077</v>
      </c>
      <c r="P78" s="593">
        <v>70</v>
      </c>
    </row>
    <row r="79" spans="1:16">
      <c r="A79" s="57" t="s">
        <v>81</v>
      </c>
      <c r="B79" s="591">
        <f>(IF((AND($A79&gt;=Behaviours!$B$12,$A79&lt;=Behaviours!$B$13)),$C$3*Behaviours!$B$14,0))</f>
        <v>591.39230769230767</v>
      </c>
      <c r="C79" s="591">
        <f>(IF((AND($A79&gt;=Behaviours!$C$12,$A79&lt;=Behaviours!$C$13)),$C$3*Behaviours!$C$14,0))</f>
        <v>0</v>
      </c>
      <c r="D79" s="591">
        <f>(IF((AND($A79&gt;=Behaviours!$D$12,$A79&lt;=Behaviours!$D$13)),$C$3*Behaviours!$D$14,0))</f>
        <v>0</v>
      </c>
      <c r="E79" s="662">
        <f t="shared" si="3"/>
        <v>591.39230769230767</v>
      </c>
      <c r="G79" s="591">
        <f>(IF((AND($A79&gt;=Behaviours!B$17,$A79&lt;=Behaviours!B$18)),$C$4*Behaviours!B$19,0))</f>
        <v>444.23076923076923</v>
      </c>
      <c r="H79" s="591">
        <f>(IF((AND($A79&gt;=Behaviours!C$17,$A79&lt;=Behaviours!C$18)),$C$4*Behaviours!C$19,0))</f>
        <v>0</v>
      </c>
      <c r="I79" s="591">
        <f>(IF((AND($A79&gt;=Behaviours!D$17,$A79&lt;=Behaviours!D$18)),$C$4*Behaviours!D$19,0))</f>
        <v>0</v>
      </c>
      <c r="J79" s="662">
        <f t="shared" si="4"/>
        <v>444.23076923076923</v>
      </c>
      <c r="L79" s="591">
        <f>(IF((AND($A79&gt;=Behaviours!B$22,$A79&lt;=Behaviours!B$23)),$C$5*Behaviours!B$24,0))</f>
        <v>290.76923076923077</v>
      </c>
      <c r="M79" s="591">
        <f>(IF((AND($A79&gt;=Behaviours!C$22,$A79&lt;=Behaviours!C$23)),$C$5*Behaviours!C$24,0))</f>
        <v>0</v>
      </c>
      <c r="N79" s="591">
        <f>(IF((AND($A79&gt;=Behaviours!D$22,$A79&lt;=Behaviours!D$23)),$C$5*Behaviours!D$24,0))</f>
        <v>0</v>
      </c>
      <c r="O79" s="662">
        <f t="shared" si="5"/>
        <v>290.76923076923077</v>
      </c>
      <c r="P79" s="593">
        <v>71</v>
      </c>
    </row>
    <row r="80" spans="1:16">
      <c r="A80" s="57" t="s">
        <v>82</v>
      </c>
      <c r="B80" s="591">
        <f>(IF((AND($A80&gt;=Behaviours!$B$12,$A80&lt;=Behaviours!$B$13)),$C$3*Behaviours!$B$14,0))</f>
        <v>591.39230769230767</v>
      </c>
      <c r="C80" s="591">
        <f>(IF((AND($A80&gt;=Behaviours!$C$12,$A80&lt;=Behaviours!$C$13)),$C$3*Behaviours!$C$14,0))</f>
        <v>0</v>
      </c>
      <c r="D80" s="591">
        <f>(IF((AND($A80&gt;=Behaviours!$D$12,$A80&lt;=Behaviours!$D$13)),$C$3*Behaviours!$D$14,0))</f>
        <v>0</v>
      </c>
      <c r="E80" s="662">
        <f t="shared" si="3"/>
        <v>591.39230769230767</v>
      </c>
      <c r="G80" s="591">
        <f>(IF((AND($A80&gt;=Behaviours!B$17,$A80&lt;=Behaviours!B$18)),$C$4*Behaviours!B$19,0))</f>
        <v>444.23076923076923</v>
      </c>
      <c r="H80" s="591">
        <f>(IF((AND($A80&gt;=Behaviours!C$17,$A80&lt;=Behaviours!C$18)),$C$4*Behaviours!C$19,0))</f>
        <v>0</v>
      </c>
      <c r="I80" s="591">
        <f>(IF((AND($A80&gt;=Behaviours!D$17,$A80&lt;=Behaviours!D$18)),$C$4*Behaviours!D$19,0))</f>
        <v>0</v>
      </c>
      <c r="J80" s="662">
        <f t="shared" si="4"/>
        <v>444.23076923076923</v>
      </c>
      <c r="L80" s="591">
        <f>(IF((AND($A80&gt;=Behaviours!B$22,$A80&lt;=Behaviours!B$23)),$C$5*Behaviours!B$24,0))</f>
        <v>290.76923076923077</v>
      </c>
      <c r="M80" s="591">
        <f>(IF((AND($A80&gt;=Behaviours!C$22,$A80&lt;=Behaviours!C$23)),$C$5*Behaviours!C$24,0))</f>
        <v>0</v>
      </c>
      <c r="N80" s="591">
        <f>(IF((AND($A80&gt;=Behaviours!D$22,$A80&lt;=Behaviours!D$23)),$C$5*Behaviours!D$24,0))</f>
        <v>0</v>
      </c>
      <c r="O80" s="662">
        <f t="shared" si="5"/>
        <v>290.76923076923077</v>
      </c>
      <c r="P80" s="593">
        <v>72</v>
      </c>
    </row>
    <row r="81" spans="1:16">
      <c r="A81" s="57" t="s">
        <v>83</v>
      </c>
      <c r="B81" s="591">
        <f>(IF((AND($A81&gt;=Behaviours!$B$12,$A81&lt;=Behaviours!$B$13)),$C$3*Behaviours!$B$14,0))</f>
        <v>591.39230769230767</v>
      </c>
      <c r="C81" s="591">
        <f>(IF((AND($A81&gt;=Behaviours!$C$12,$A81&lt;=Behaviours!$C$13)),$C$3*Behaviours!$C$14,0))</f>
        <v>0</v>
      </c>
      <c r="D81" s="591">
        <f>(IF((AND($A81&gt;=Behaviours!$D$12,$A81&lt;=Behaviours!$D$13)),$C$3*Behaviours!$D$14,0))</f>
        <v>0</v>
      </c>
      <c r="E81" s="662">
        <f t="shared" si="3"/>
        <v>591.39230769230767</v>
      </c>
      <c r="G81" s="591">
        <f>(IF((AND($A81&gt;=Behaviours!B$17,$A81&lt;=Behaviours!B$18)),$C$4*Behaviours!B$19,0))</f>
        <v>444.23076923076923</v>
      </c>
      <c r="H81" s="591">
        <f>(IF((AND($A81&gt;=Behaviours!C$17,$A81&lt;=Behaviours!C$18)),$C$4*Behaviours!C$19,0))</f>
        <v>0</v>
      </c>
      <c r="I81" s="591">
        <f>(IF((AND($A81&gt;=Behaviours!D$17,$A81&lt;=Behaviours!D$18)),$C$4*Behaviours!D$19,0))</f>
        <v>0</v>
      </c>
      <c r="J81" s="662">
        <f t="shared" si="4"/>
        <v>444.23076923076923</v>
      </c>
      <c r="L81" s="591">
        <f>(IF((AND($A81&gt;=Behaviours!B$22,$A81&lt;=Behaviours!B$23)),$C$5*Behaviours!B$24,0))</f>
        <v>290.76923076923077</v>
      </c>
      <c r="M81" s="591">
        <f>(IF((AND($A81&gt;=Behaviours!C$22,$A81&lt;=Behaviours!C$23)),$C$5*Behaviours!C$24,0))</f>
        <v>0</v>
      </c>
      <c r="N81" s="591">
        <f>(IF((AND($A81&gt;=Behaviours!D$22,$A81&lt;=Behaviours!D$23)),$C$5*Behaviours!D$24,0))</f>
        <v>0</v>
      </c>
      <c r="O81" s="662">
        <f t="shared" si="5"/>
        <v>290.76923076923077</v>
      </c>
      <c r="P81" s="593">
        <v>73</v>
      </c>
    </row>
    <row r="82" spans="1:16">
      <c r="A82" s="57" t="s">
        <v>84</v>
      </c>
      <c r="B82" s="591">
        <f>(IF((AND($A82&gt;=Behaviours!$B$12,$A82&lt;=Behaviours!$B$13)),$C$3*Behaviours!$B$14,0))</f>
        <v>591.39230769230767</v>
      </c>
      <c r="C82" s="591">
        <f>(IF((AND($A82&gt;=Behaviours!$C$12,$A82&lt;=Behaviours!$C$13)),$C$3*Behaviours!$C$14,0))</f>
        <v>0</v>
      </c>
      <c r="D82" s="591">
        <f>(IF((AND($A82&gt;=Behaviours!$D$12,$A82&lt;=Behaviours!$D$13)),$C$3*Behaviours!$D$14,0))</f>
        <v>0</v>
      </c>
      <c r="E82" s="662">
        <f t="shared" si="3"/>
        <v>591.39230769230767</v>
      </c>
      <c r="G82" s="591">
        <f>(IF((AND($A82&gt;=Behaviours!B$17,$A82&lt;=Behaviours!B$18)),$C$4*Behaviours!B$19,0))</f>
        <v>444.23076923076923</v>
      </c>
      <c r="H82" s="591">
        <f>(IF((AND($A82&gt;=Behaviours!C$17,$A82&lt;=Behaviours!C$18)),$C$4*Behaviours!C$19,0))</f>
        <v>0</v>
      </c>
      <c r="I82" s="591">
        <f>(IF((AND($A82&gt;=Behaviours!D$17,$A82&lt;=Behaviours!D$18)),$C$4*Behaviours!D$19,0))</f>
        <v>0</v>
      </c>
      <c r="J82" s="662">
        <f t="shared" si="4"/>
        <v>444.23076923076923</v>
      </c>
      <c r="L82" s="591">
        <f>(IF((AND($A82&gt;=Behaviours!B$22,$A82&lt;=Behaviours!B$23)),$C$5*Behaviours!B$24,0))</f>
        <v>290.76923076923077</v>
      </c>
      <c r="M82" s="591">
        <f>(IF((AND($A82&gt;=Behaviours!C$22,$A82&lt;=Behaviours!C$23)),$C$5*Behaviours!C$24,0))</f>
        <v>0</v>
      </c>
      <c r="N82" s="591">
        <f>(IF((AND($A82&gt;=Behaviours!D$22,$A82&lt;=Behaviours!D$23)),$C$5*Behaviours!D$24,0))</f>
        <v>0</v>
      </c>
      <c r="O82" s="662">
        <f t="shared" si="5"/>
        <v>290.76923076923077</v>
      </c>
      <c r="P82" s="593">
        <v>74</v>
      </c>
    </row>
    <row r="83" spans="1:16">
      <c r="A83" s="57" t="s">
        <v>16</v>
      </c>
      <c r="B83" s="591">
        <f>(IF((AND($A83&gt;=Behaviours!$B$12,$A83&lt;=Behaviours!$B$13)),$C$3*Behaviours!$B$14,0))</f>
        <v>591.39230769230767</v>
      </c>
      <c r="C83" s="591">
        <f>(IF((AND($A83&gt;=Behaviours!$C$12,$A83&lt;=Behaviours!$C$13)),$C$3*Behaviours!$C$14,0))</f>
        <v>0</v>
      </c>
      <c r="D83" s="591">
        <f>(IF((AND($A83&gt;=Behaviours!$D$12,$A83&lt;=Behaviours!$D$13)),$C$3*Behaviours!$D$14,0))</f>
        <v>0</v>
      </c>
      <c r="E83" s="662">
        <f t="shared" si="3"/>
        <v>591.39230769230767</v>
      </c>
      <c r="G83" s="591">
        <f>(IF((AND($A83&gt;=Behaviours!B$17,$A83&lt;=Behaviours!B$18)),$C$4*Behaviours!B$19,0))</f>
        <v>444.23076923076923</v>
      </c>
      <c r="H83" s="591">
        <f>(IF((AND($A83&gt;=Behaviours!C$17,$A83&lt;=Behaviours!C$18)),$C$4*Behaviours!C$19,0))</f>
        <v>0</v>
      </c>
      <c r="I83" s="591">
        <f>(IF((AND($A83&gt;=Behaviours!D$17,$A83&lt;=Behaviours!D$18)),$C$4*Behaviours!D$19,0))</f>
        <v>0</v>
      </c>
      <c r="J83" s="662">
        <f t="shared" si="4"/>
        <v>444.23076923076923</v>
      </c>
      <c r="L83" s="591">
        <f>(IF((AND($A83&gt;=Behaviours!B$22,$A83&lt;=Behaviours!B$23)),$C$5*Behaviours!B$24,0))</f>
        <v>290.76923076923077</v>
      </c>
      <c r="M83" s="591">
        <f>(IF((AND($A83&gt;=Behaviours!C$22,$A83&lt;=Behaviours!C$23)),$C$5*Behaviours!C$24,0))</f>
        <v>0</v>
      </c>
      <c r="N83" s="591">
        <f>(IF((AND($A83&gt;=Behaviours!D$22,$A83&lt;=Behaviours!D$23)),$C$5*Behaviours!D$24,0))</f>
        <v>0</v>
      </c>
      <c r="O83" s="662">
        <f t="shared" si="5"/>
        <v>290.76923076923077</v>
      </c>
      <c r="P83" s="593">
        <v>75</v>
      </c>
    </row>
    <row r="84" spans="1:16">
      <c r="A84" s="57" t="s">
        <v>17</v>
      </c>
      <c r="B84" s="591">
        <f>(IF((AND($A84&gt;=Behaviours!$B$12,$A84&lt;=Behaviours!$B$13)),$C$3*Behaviours!$B$14,0))</f>
        <v>591.39230769230767</v>
      </c>
      <c r="C84" s="591">
        <f>(IF((AND($A84&gt;=Behaviours!$C$12,$A84&lt;=Behaviours!$C$13)),$C$3*Behaviours!$C$14,0))</f>
        <v>0</v>
      </c>
      <c r="D84" s="591">
        <f>(IF((AND($A84&gt;=Behaviours!$D$12,$A84&lt;=Behaviours!$D$13)),$C$3*Behaviours!$D$14,0))</f>
        <v>0</v>
      </c>
      <c r="E84" s="662">
        <f t="shared" si="3"/>
        <v>591.39230769230767</v>
      </c>
      <c r="G84" s="591">
        <f>(IF((AND($A84&gt;=Behaviours!B$17,$A84&lt;=Behaviours!B$18)),$C$4*Behaviours!B$19,0))</f>
        <v>444.23076923076923</v>
      </c>
      <c r="H84" s="591">
        <f>(IF((AND($A84&gt;=Behaviours!C$17,$A84&lt;=Behaviours!C$18)),$C$4*Behaviours!C$19,0))</f>
        <v>0</v>
      </c>
      <c r="I84" s="591">
        <f>(IF((AND($A84&gt;=Behaviours!D$17,$A84&lt;=Behaviours!D$18)),$C$4*Behaviours!D$19,0))</f>
        <v>0</v>
      </c>
      <c r="J84" s="662">
        <f t="shared" si="4"/>
        <v>444.23076923076923</v>
      </c>
      <c r="L84" s="591">
        <f>(IF((AND($A84&gt;=Behaviours!B$22,$A84&lt;=Behaviours!B$23)),$C$5*Behaviours!B$24,0))</f>
        <v>290.76923076923077</v>
      </c>
      <c r="M84" s="591">
        <f>(IF((AND($A84&gt;=Behaviours!C$22,$A84&lt;=Behaviours!C$23)),$C$5*Behaviours!C$24,0))</f>
        <v>0</v>
      </c>
      <c r="N84" s="591">
        <f>(IF((AND($A84&gt;=Behaviours!D$22,$A84&lt;=Behaviours!D$23)),$C$5*Behaviours!D$24,0))</f>
        <v>0</v>
      </c>
      <c r="O84" s="662">
        <f t="shared" si="5"/>
        <v>290.76923076923077</v>
      </c>
      <c r="P84" s="593">
        <v>76</v>
      </c>
    </row>
    <row r="85" spans="1:16">
      <c r="A85" s="57" t="s">
        <v>18</v>
      </c>
      <c r="B85" s="591">
        <f>(IF((AND($A85&gt;=Behaviours!$B$12,$A85&lt;=Behaviours!$B$13)),$C$3*Behaviours!$B$14,0))</f>
        <v>591.39230769230767</v>
      </c>
      <c r="C85" s="591">
        <f>(IF((AND($A85&gt;=Behaviours!$C$12,$A85&lt;=Behaviours!$C$13)),$C$3*Behaviours!$C$14,0))</f>
        <v>0</v>
      </c>
      <c r="D85" s="591">
        <f>(IF((AND($A85&gt;=Behaviours!$D$12,$A85&lt;=Behaviours!$D$13)),$C$3*Behaviours!$D$14,0))</f>
        <v>0</v>
      </c>
      <c r="E85" s="662">
        <f t="shared" si="3"/>
        <v>591.39230769230767</v>
      </c>
      <c r="G85" s="591">
        <f>(IF((AND($A85&gt;=Behaviours!B$17,$A85&lt;=Behaviours!B$18)),$C$4*Behaviours!B$19,0))</f>
        <v>444.23076923076923</v>
      </c>
      <c r="H85" s="591">
        <f>(IF((AND($A85&gt;=Behaviours!C$17,$A85&lt;=Behaviours!C$18)),$C$4*Behaviours!C$19,0))</f>
        <v>0</v>
      </c>
      <c r="I85" s="591">
        <f>(IF((AND($A85&gt;=Behaviours!D$17,$A85&lt;=Behaviours!D$18)),$C$4*Behaviours!D$19,0))</f>
        <v>0</v>
      </c>
      <c r="J85" s="662">
        <f t="shared" si="4"/>
        <v>444.23076923076923</v>
      </c>
      <c r="L85" s="591">
        <f>(IF((AND($A85&gt;=Behaviours!B$22,$A85&lt;=Behaviours!B$23)),$C$5*Behaviours!B$24,0))</f>
        <v>290.76923076923077</v>
      </c>
      <c r="M85" s="591">
        <f>(IF((AND($A85&gt;=Behaviours!C$22,$A85&lt;=Behaviours!C$23)),$C$5*Behaviours!C$24,0))</f>
        <v>0</v>
      </c>
      <c r="N85" s="591">
        <f>(IF((AND($A85&gt;=Behaviours!D$22,$A85&lt;=Behaviours!D$23)),$C$5*Behaviours!D$24,0))</f>
        <v>0</v>
      </c>
      <c r="O85" s="662">
        <f t="shared" si="5"/>
        <v>290.76923076923077</v>
      </c>
      <c r="P85" s="593">
        <v>77</v>
      </c>
    </row>
    <row r="86" spans="1:16">
      <c r="A86" s="58" t="s">
        <v>19</v>
      </c>
      <c r="B86" s="591">
        <f>(IF((AND($A86&gt;=Behaviours!$B$12,$A86&lt;=Behaviours!$B$13)),$C$3*Behaviours!$B$14,0))</f>
        <v>591.39230769230767</v>
      </c>
      <c r="C86" s="591">
        <f>(IF((AND($A86&gt;=Behaviours!$C$12,$A86&lt;=Behaviours!$C$13)),$C$3*Behaviours!$C$14,0))</f>
        <v>0</v>
      </c>
      <c r="D86" s="591">
        <f>(IF((AND($A86&gt;=Behaviours!$D$12,$A86&lt;=Behaviours!$D$13)),$C$3*Behaviours!$D$14,0))</f>
        <v>0</v>
      </c>
      <c r="E86" s="662">
        <f t="shared" si="3"/>
        <v>591.39230769230767</v>
      </c>
      <c r="G86" s="591">
        <f>(IF((AND($A86&gt;=Behaviours!B$17,$A86&lt;=Behaviours!B$18)),$C$4*Behaviours!B$19,0))</f>
        <v>444.23076923076923</v>
      </c>
      <c r="H86" s="591">
        <f>(IF((AND($A86&gt;=Behaviours!C$17,$A86&lt;=Behaviours!C$18)),$C$4*Behaviours!C$19,0))</f>
        <v>0</v>
      </c>
      <c r="I86" s="591">
        <f>(IF((AND($A86&gt;=Behaviours!D$17,$A86&lt;=Behaviours!D$18)),$C$4*Behaviours!D$19,0))</f>
        <v>0</v>
      </c>
      <c r="J86" s="662">
        <f t="shared" si="4"/>
        <v>444.23076923076923</v>
      </c>
      <c r="L86" s="591">
        <f>(IF((AND($A86&gt;=Behaviours!B$22,$A86&lt;=Behaviours!B$23)),$C$5*Behaviours!B$24,0))</f>
        <v>290.76923076923077</v>
      </c>
      <c r="M86" s="591">
        <f>(IF((AND($A86&gt;=Behaviours!C$22,$A86&lt;=Behaviours!C$23)),$C$5*Behaviours!C$24,0))</f>
        <v>0</v>
      </c>
      <c r="N86" s="591">
        <f>(IF((AND($A86&gt;=Behaviours!D$22,$A86&lt;=Behaviours!D$23)),$C$5*Behaviours!D$24,0))</f>
        <v>0</v>
      </c>
      <c r="O86" s="662">
        <f t="shared" si="5"/>
        <v>290.76923076923077</v>
      </c>
      <c r="P86" s="593">
        <v>78</v>
      </c>
    </row>
    <row r="87" spans="1:16">
      <c r="A87" s="40" t="s">
        <v>85</v>
      </c>
      <c r="B87" s="591">
        <f>(IF((AND($A87&gt;=Behaviours!$B$12,$A87&lt;=Behaviours!$B$13)),$C$3*Behaviours!$B$14,0))</f>
        <v>0</v>
      </c>
      <c r="C87" s="591">
        <f>(IF((AND($A87&gt;=Behaviours!$C$12,$A87&lt;=Behaviours!$C$13)),$C$3*Behaviours!$C$14,0))</f>
        <v>0</v>
      </c>
      <c r="D87" s="591">
        <f>(IF((AND($A87&gt;=Behaviours!$D$12,$A87&lt;=Behaviours!$D$13)),$C$3*Behaviours!$D$14,0))</f>
        <v>0</v>
      </c>
      <c r="E87" s="662">
        <f t="shared" si="3"/>
        <v>0</v>
      </c>
      <c r="G87" s="591">
        <f>(IF((AND($A87&gt;=Behaviours!B$17,$A87&lt;=Behaviours!B$18)),$C$4*Behaviours!B$19,0))</f>
        <v>0</v>
      </c>
      <c r="H87" s="591">
        <f>(IF((AND($A87&gt;=Behaviours!C$17,$A87&lt;=Behaviours!C$18)),$C$4*Behaviours!C$19,0))</f>
        <v>0</v>
      </c>
      <c r="I87" s="591">
        <f>(IF((AND($A87&gt;=Behaviours!D$17,$A87&lt;=Behaviours!D$18)),$C$4*Behaviours!D$19,0))</f>
        <v>0</v>
      </c>
      <c r="J87" s="662">
        <f t="shared" si="4"/>
        <v>0</v>
      </c>
      <c r="L87" s="591">
        <f>(IF((AND($A87&gt;=Behaviours!B$22,$A87&lt;=Behaviours!B$23)),$C$5*Behaviours!B$24,0))</f>
        <v>0</v>
      </c>
      <c r="M87" s="591">
        <f>(IF((AND($A87&gt;=Behaviours!C$22,$A87&lt;=Behaviours!C$23)),$C$5*Behaviours!C$24,0))</f>
        <v>0</v>
      </c>
      <c r="N87" s="591">
        <f>(IF((AND($A87&gt;=Behaviours!D$22,$A87&lt;=Behaviours!D$23)),$C$5*Behaviours!D$24,0))</f>
        <v>0</v>
      </c>
      <c r="O87" s="662">
        <f t="shared" si="5"/>
        <v>0</v>
      </c>
      <c r="P87" s="593">
        <v>79</v>
      </c>
    </row>
    <row r="88" spans="1:16">
      <c r="A88" s="40" t="s">
        <v>86</v>
      </c>
      <c r="B88" s="591">
        <f>(IF((AND($A88&gt;=Behaviours!$B$12,$A88&lt;=Behaviours!$B$13)),$C$3*Behaviours!$B$14,0))</f>
        <v>0</v>
      </c>
      <c r="C88" s="591">
        <f>(IF((AND($A88&gt;=Behaviours!$C$12,$A88&lt;=Behaviours!$C$13)),$C$3*Behaviours!$C$14,0))</f>
        <v>0</v>
      </c>
      <c r="D88" s="591">
        <f>(IF((AND($A88&gt;=Behaviours!$D$12,$A88&lt;=Behaviours!$D$13)),$C$3*Behaviours!$D$14,0))</f>
        <v>0</v>
      </c>
      <c r="E88" s="662">
        <f t="shared" si="3"/>
        <v>0</v>
      </c>
      <c r="G88" s="591">
        <f>(IF((AND($A88&gt;=Behaviours!B$17,$A88&lt;=Behaviours!B$18)),$C$4*Behaviours!B$19,0))</f>
        <v>0</v>
      </c>
      <c r="H88" s="591">
        <f>(IF((AND($A88&gt;=Behaviours!C$17,$A88&lt;=Behaviours!C$18)),$C$4*Behaviours!C$19,0))</f>
        <v>0</v>
      </c>
      <c r="I88" s="591">
        <f>(IF((AND($A88&gt;=Behaviours!D$17,$A88&lt;=Behaviours!D$18)),$C$4*Behaviours!D$19,0))</f>
        <v>0</v>
      </c>
      <c r="J88" s="662">
        <f t="shared" si="4"/>
        <v>0</v>
      </c>
      <c r="L88" s="591">
        <f>(IF((AND($A88&gt;=Behaviours!B$22,$A88&lt;=Behaviours!B$23)),$C$5*Behaviours!B$24,0))</f>
        <v>0</v>
      </c>
      <c r="M88" s="591">
        <f>(IF((AND($A88&gt;=Behaviours!C$22,$A88&lt;=Behaviours!C$23)),$C$5*Behaviours!C$24,0))</f>
        <v>0</v>
      </c>
      <c r="N88" s="591">
        <f>(IF((AND($A88&gt;=Behaviours!D$22,$A88&lt;=Behaviours!D$23)),$C$5*Behaviours!D$24,0))</f>
        <v>0</v>
      </c>
      <c r="O88" s="662">
        <f t="shared" si="5"/>
        <v>0</v>
      </c>
      <c r="P88" s="593">
        <v>80</v>
      </c>
    </row>
    <row r="89" spans="1:16">
      <c r="A89" s="40" t="s">
        <v>87</v>
      </c>
      <c r="B89" s="591">
        <f>(IF((AND($A89&gt;=Behaviours!$B$12,$A89&lt;=Behaviours!$B$13)),$C$3*Behaviours!$B$14,0))</f>
        <v>0</v>
      </c>
      <c r="C89" s="591">
        <f>(IF((AND($A89&gt;=Behaviours!$C$12,$A89&lt;=Behaviours!$C$13)),$C$3*Behaviours!$C$14,0))</f>
        <v>0</v>
      </c>
      <c r="D89" s="591">
        <f>(IF((AND($A89&gt;=Behaviours!$D$12,$A89&lt;=Behaviours!$D$13)),$C$3*Behaviours!$D$14,0))</f>
        <v>0</v>
      </c>
      <c r="E89" s="662">
        <f t="shared" si="3"/>
        <v>0</v>
      </c>
      <c r="G89" s="591">
        <f>(IF((AND($A89&gt;=Behaviours!B$17,$A89&lt;=Behaviours!B$18)),$C$4*Behaviours!B$19,0))</f>
        <v>0</v>
      </c>
      <c r="H89" s="591">
        <f>(IF((AND($A89&gt;=Behaviours!C$17,$A89&lt;=Behaviours!C$18)),$C$4*Behaviours!C$19,0))</f>
        <v>0</v>
      </c>
      <c r="I89" s="591">
        <f>(IF((AND($A89&gt;=Behaviours!D$17,$A89&lt;=Behaviours!D$18)),$C$4*Behaviours!D$19,0))</f>
        <v>0</v>
      </c>
      <c r="J89" s="662">
        <f t="shared" si="4"/>
        <v>0</v>
      </c>
      <c r="L89" s="591">
        <f>(IF((AND($A89&gt;=Behaviours!B$22,$A89&lt;=Behaviours!B$23)),$C$5*Behaviours!B$24,0))</f>
        <v>0</v>
      </c>
      <c r="M89" s="591">
        <f>(IF((AND($A89&gt;=Behaviours!C$22,$A89&lt;=Behaviours!C$23)),$C$5*Behaviours!C$24,0))</f>
        <v>0</v>
      </c>
      <c r="N89" s="591">
        <f>(IF((AND($A89&gt;=Behaviours!D$22,$A89&lt;=Behaviours!D$23)),$C$5*Behaviours!D$24,0))</f>
        <v>0</v>
      </c>
      <c r="O89" s="662">
        <f t="shared" si="5"/>
        <v>0</v>
      </c>
      <c r="P89" s="593">
        <v>81</v>
      </c>
    </row>
    <row r="90" spans="1:16">
      <c r="A90" s="40" t="s">
        <v>88</v>
      </c>
      <c r="B90" s="591">
        <f>(IF((AND($A90&gt;=Behaviours!$B$12,$A90&lt;=Behaviours!$B$13)),$C$3*Behaviours!$B$14,0))</f>
        <v>0</v>
      </c>
      <c r="C90" s="591">
        <f>(IF((AND($A90&gt;=Behaviours!$C$12,$A90&lt;=Behaviours!$C$13)),$C$3*Behaviours!$C$14,0))</f>
        <v>0</v>
      </c>
      <c r="D90" s="591">
        <f>(IF((AND($A90&gt;=Behaviours!$D$12,$A90&lt;=Behaviours!$D$13)),$C$3*Behaviours!$D$14,0))</f>
        <v>0</v>
      </c>
      <c r="E90" s="662">
        <f t="shared" si="3"/>
        <v>0</v>
      </c>
      <c r="G90" s="591">
        <f>(IF((AND($A90&gt;=Behaviours!B$17,$A90&lt;=Behaviours!B$18)),$C$4*Behaviours!B$19,0))</f>
        <v>0</v>
      </c>
      <c r="H90" s="591">
        <f>(IF((AND($A90&gt;=Behaviours!C$17,$A90&lt;=Behaviours!C$18)),$C$4*Behaviours!C$19,0))</f>
        <v>0</v>
      </c>
      <c r="I90" s="591">
        <f>(IF((AND($A90&gt;=Behaviours!D$17,$A90&lt;=Behaviours!D$18)),$C$4*Behaviours!D$19,0))</f>
        <v>0</v>
      </c>
      <c r="J90" s="662">
        <f t="shared" si="4"/>
        <v>0</v>
      </c>
      <c r="L90" s="591">
        <f>(IF((AND($A90&gt;=Behaviours!B$22,$A90&lt;=Behaviours!B$23)),$C$5*Behaviours!B$24,0))</f>
        <v>0</v>
      </c>
      <c r="M90" s="591">
        <f>(IF((AND($A90&gt;=Behaviours!C$22,$A90&lt;=Behaviours!C$23)),$C$5*Behaviours!C$24,0))</f>
        <v>0</v>
      </c>
      <c r="N90" s="591">
        <f>(IF((AND($A90&gt;=Behaviours!D$22,$A90&lt;=Behaviours!D$23)),$C$5*Behaviours!D$24,0))</f>
        <v>0</v>
      </c>
      <c r="O90" s="662">
        <f t="shared" si="5"/>
        <v>0</v>
      </c>
      <c r="P90" s="593">
        <v>82</v>
      </c>
    </row>
    <row r="91" spans="1:16">
      <c r="A91" s="40" t="s">
        <v>89</v>
      </c>
      <c r="B91" s="591">
        <f>(IF((AND($A91&gt;=Behaviours!$B$12,$A91&lt;=Behaviours!$B$13)),$C$3*Behaviours!$B$14,0))</f>
        <v>0</v>
      </c>
      <c r="C91" s="591">
        <f>(IF((AND($A91&gt;=Behaviours!$C$12,$A91&lt;=Behaviours!$C$13)),$C$3*Behaviours!$C$14,0))</f>
        <v>0</v>
      </c>
      <c r="D91" s="591">
        <f>(IF((AND($A91&gt;=Behaviours!$D$12,$A91&lt;=Behaviours!$D$13)),$C$3*Behaviours!$D$14,0))</f>
        <v>0</v>
      </c>
      <c r="E91" s="662">
        <f t="shared" si="3"/>
        <v>0</v>
      </c>
      <c r="G91" s="591">
        <f>(IF((AND($A91&gt;=Behaviours!B$17,$A91&lt;=Behaviours!B$18)),$C$4*Behaviours!B$19,0))</f>
        <v>0</v>
      </c>
      <c r="H91" s="591">
        <f>(IF((AND($A91&gt;=Behaviours!C$17,$A91&lt;=Behaviours!C$18)),$C$4*Behaviours!C$19,0))</f>
        <v>0</v>
      </c>
      <c r="I91" s="591">
        <f>(IF((AND($A91&gt;=Behaviours!D$17,$A91&lt;=Behaviours!D$18)),$C$4*Behaviours!D$19,0))</f>
        <v>0</v>
      </c>
      <c r="J91" s="662">
        <f t="shared" si="4"/>
        <v>0</v>
      </c>
      <c r="L91" s="591">
        <f>(IF((AND($A91&gt;=Behaviours!B$22,$A91&lt;=Behaviours!B$23)),$C$5*Behaviours!B$24,0))</f>
        <v>0</v>
      </c>
      <c r="M91" s="591">
        <f>(IF((AND($A91&gt;=Behaviours!C$22,$A91&lt;=Behaviours!C$23)),$C$5*Behaviours!C$24,0))</f>
        <v>0</v>
      </c>
      <c r="N91" s="591">
        <f>(IF((AND($A91&gt;=Behaviours!D$22,$A91&lt;=Behaviours!D$23)),$C$5*Behaviours!D$24,0))</f>
        <v>0</v>
      </c>
      <c r="O91" s="662">
        <f t="shared" si="5"/>
        <v>0</v>
      </c>
      <c r="P91" s="593">
        <v>83</v>
      </c>
    </row>
    <row r="92" spans="1:16">
      <c r="A92" s="40" t="s">
        <v>90</v>
      </c>
      <c r="B92" s="591">
        <f>(IF((AND($A92&gt;=Behaviours!$B$12,$A92&lt;=Behaviours!$B$13)),$C$3*Behaviours!$B$14,0))</f>
        <v>0</v>
      </c>
      <c r="C92" s="591">
        <f>(IF((AND($A92&gt;=Behaviours!$C$12,$A92&lt;=Behaviours!$C$13)),$C$3*Behaviours!$C$14,0))</f>
        <v>0</v>
      </c>
      <c r="D92" s="591">
        <f>(IF((AND($A92&gt;=Behaviours!$D$12,$A92&lt;=Behaviours!$D$13)),$C$3*Behaviours!$D$14,0))</f>
        <v>0</v>
      </c>
      <c r="E92" s="662">
        <f t="shared" si="3"/>
        <v>0</v>
      </c>
      <c r="G92" s="591">
        <f>(IF((AND($A92&gt;=Behaviours!B$17,$A92&lt;=Behaviours!B$18)),$C$4*Behaviours!B$19,0))</f>
        <v>0</v>
      </c>
      <c r="H92" s="591">
        <f>(IF((AND($A92&gt;=Behaviours!C$17,$A92&lt;=Behaviours!C$18)),$C$4*Behaviours!C$19,0))</f>
        <v>0</v>
      </c>
      <c r="I92" s="591">
        <f>(IF((AND($A92&gt;=Behaviours!D$17,$A92&lt;=Behaviours!D$18)),$C$4*Behaviours!D$19,0))</f>
        <v>0</v>
      </c>
      <c r="J92" s="662">
        <f t="shared" si="4"/>
        <v>0</v>
      </c>
      <c r="L92" s="591">
        <f>(IF((AND($A92&gt;=Behaviours!B$22,$A92&lt;=Behaviours!B$23)),$C$5*Behaviours!B$24,0))</f>
        <v>0</v>
      </c>
      <c r="M92" s="591">
        <f>(IF((AND($A92&gt;=Behaviours!C$22,$A92&lt;=Behaviours!C$23)),$C$5*Behaviours!C$24,0))</f>
        <v>0</v>
      </c>
      <c r="N92" s="591">
        <f>(IF((AND($A92&gt;=Behaviours!D$22,$A92&lt;=Behaviours!D$23)),$C$5*Behaviours!D$24,0))</f>
        <v>0</v>
      </c>
      <c r="O92" s="662">
        <f t="shared" si="5"/>
        <v>0</v>
      </c>
      <c r="P92" s="593">
        <v>84</v>
      </c>
    </row>
    <row r="93" spans="1:16">
      <c r="A93" s="40" t="s">
        <v>91</v>
      </c>
      <c r="B93" s="591">
        <f>(IF((AND($A93&gt;=Behaviours!$B$12,$A93&lt;=Behaviours!$B$13)),$C$3*Behaviours!$B$14,0))</f>
        <v>0</v>
      </c>
      <c r="C93" s="591">
        <f>(IF((AND($A93&gt;=Behaviours!$C$12,$A93&lt;=Behaviours!$C$13)),$C$3*Behaviours!$C$14,0))</f>
        <v>0</v>
      </c>
      <c r="D93" s="591">
        <f>(IF((AND($A93&gt;=Behaviours!$D$12,$A93&lt;=Behaviours!$D$13)),$C$3*Behaviours!$D$14,0))</f>
        <v>0</v>
      </c>
      <c r="E93" s="662">
        <f t="shared" si="3"/>
        <v>0</v>
      </c>
      <c r="G93" s="591">
        <f>(IF((AND($A93&gt;=Behaviours!B$17,$A93&lt;=Behaviours!B$18)),$C$4*Behaviours!B$19,0))</f>
        <v>0</v>
      </c>
      <c r="H93" s="591">
        <f>(IF((AND($A93&gt;=Behaviours!C$17,$A93&lt;=Behaviours!C$18)),$C$4*Behaviours!C$19,0))</f>
        <v>0</v>
      </c>
      <c r="I93" s="591">
        <f>(IF((AND($A93&gt;=Behaviours!D$17,$A93&lt;=Behaviours!D$18)),$C$4*Behaviours!D$19,0))</f>
        <v>0</v>
      </c>
      <c r="J93" s="662">
        <f t="shared" si="4"/>
        <v>0</v>
      </c>
      <c r="L93" s="591">
        <f>(IF((AND($A93&gt;=Behaviours!B$22,$A93&lt;=Behaviours!B$23)),$C$5*Behaviours!B$24,0))</f>
        <v>0</v>
      </c>
      <c r="M93" s="591">
        <f>(IF((AND($A93&gt;=Behaviours!C$22,$A93&lt;=Behaviours!C$23)),$C$5*Behaviours!C$24,0))</f>
        <v>0</v>
      </c>
      <c r="N93" s="591">
        <f>(IF((AND($A93&gt;=Behaviours!D$22,$A93&lt;=Behaviours!D$23)),$C$5*Behaviours!D$24,0))</f>
        <v>0</v>
      </c>
      <c r="O93" s="662">
        <f t="shared" si="5"/>
        <v>0</v>
      </c>
      <c r="P93" s="593">
        <v>85</v>
      </c>
    </row>
    <row r="94" spans="1:16">
      <c r="A94" s="40" t="s">
        <v>92</v>
      </c>
      <c r="B94" s="591">
        <f>(IF((AND($A94&gt;=Behaviours!$B$12,$A94&lt;=Behaviours!$B$13)),$C$3*Behaviours!$B$14,0))</f>
        <v>0</v>
      </c>
      <c r="C94" s="591">
        <f>(IF((AND($A94&gt;=Behaviours!$C$12,$A94&lt;=Behaviours!$C$13)),$C$3*Behaviours!$C$14,0))</f>
        <v>0</v>
      </c>
      <c r="D94" s="591">
        <f>(IF((AND($A94&gt;=Behaviours!$D$12,$A94&lt;=Behaviours!$D$13)),$C$3*Behaviours!$D$14,0))</f>
        <v>0</v>
      </c>
      <c r="E94" s="662">
        <f t="shared" si="3"/>
        <v>0</v>
      </c>
      <c r="G94" s="591">
        <f>(IF((AND($A94&gt;=Behaviours!B$17,$A94&lt;=Behaviours!B$18)),$C$4*Behaviours!B$19,0))</f>
        <v>0</v>
      </c>
      <c r="H94" s="591">
        <f>(IF((AND($A94&gt;=Behaviours!C$17,$A94&lt;=Behaviours!C$18)),$C$4*Behaviours!C$19,0))</f>
        <v>0</v>
      </c>
      <c r="I94" s="591">
        <f>(IF((AND($A94&gt;=Behaviours!D$17,$A94&lt;=Behaviours!D$18)),$C$4*Behaviours!D$19,0))</f>
        <v>0</v>
      </c>
      <c r="J94" s="662">
        <f t="shared" si="4"/>
        <v>0</v>
      </c>
      <c r="L94" s="591">
        <f>(IF((AND($A94&gt;=Behaviours!B$22,$A94&lt;=Behaviours!B$23)),$C$5*Behaviours!B$24,0))</f>
        <v>0</v>
      </c>
      <c r="M94" s="591">
        <f>(IF((AND($A94&gt;=Behaviours!C$22,$A94&lt;=Behaviours!C$23)),$C$5*Behaviours!C$24,0))</f>
        <v>0</v>
      </c>
      <c r="N94" s="591">
        <f>(IF((AND($A94&gt;=Behaviours!D$22,$A94&lt;=Behaviours!D$23)),$C$5*Behaviours!D$24,0))</f>
        <v>0</v>
      </c>
      <c r="O94" s="662">
        <f t="shared" si="5"/>
        <v>0</v>
      </c>
      <c r="P94" s="593">
        <v>86</v>
      </c>
    </row>
    <row r="95" spans="1:16">
      <c r="A95" s="40" t="s">
        <v>93</v>
      </c>
      <c r="B95" s="591">
        <f>(IF((AND($A95&gt;=Behaviours!$B$12,$A95&lt;=Behaviours!$B$13)),$C$3*Behaviours!$B$14,0))</f>
        <v>0</v>
      </c>
      <c r="C95" s="591">
        <f>(IF((AND($A95&gt;=Behaviours!$C$12,$A95&lt;=Behaviours!$C$13)),$C$3*Behaviours!$C$14,0))</f>
        <v>0</v>
      </c>
      <c r="D95" s="591">
        <f>(IF((AND($A95&gt;=Behaviours!$D$12,$A95&lt;=Behaviours!$D$13)),$C$3*Behaviours!$D$14,0))</f>
        <v>0</v>
      </c>
      <c r="E95" s="662">
        <f t="shared" si="3"/>
        <v>0</v>
      </c>
      <c r="G95" s="591">
        <f>(IF((AND($A95&gt;=Behaviours!B$17,$A95&lt;=Behaviours!B$18)),$C$4*Behaviours!B$19,0))</f>
        <v>0</v>
      </c>
      <c r="H95" s="591">
        <f>(IF((AND($A95&gt;=Behaviours!C$17,$A95&lt;=Behaviours!C$18)),$C$4*Behaviours!C$19,0))</f>
        <v>0</v>
      </c>
      <c r="I95" s="591">
        <f>(IF((AND($A95&gt;=Behaviours!D$17,$A95&lt;=Behaviours!D$18)),$C$4*Behaviours!D$19,0))</f>
        <v>0</v>
      </c>
      <c r="J95" s="662">
        <f t="shared" si="4"/>
        <v>0</v>
      </c>
      <c r="L95" s="591">
        <f>(IF((AND($A95&gt;=Behaviours!B$22,$A95&lt;=Behaviours!B$23)),$C$5*Behaviours!B$24,0))</f>
        <v>0</v>
      </c>
      <c r="M95" s="591">
        <f>(IF((AND($A95&gt;=Behaviours!C$22,$A95&lt;=Behaviours!C$23)),$C$5*Behaviours!C$24,0))</f>
        <v>0</v>
      </c>
      <c r="N95" s="591">
        <f>(IF((AND($A95&gt;=Behaviours!D$22,$A95&lt;=Behaviours!D$23)),$C$5*Behaviours!D$24,0))</f>
        <v>0</v>
      </c>
      <c r="O95" s="662">
        <f t="shared" si="5"/>
        <v>0</v>
      </c>
      <c r="P95" s="593">
        <v>87</v>
      </c>
    </row>
    <row r="96" spans="1:16">
      <c r="A96" s="40" t="s">
        <v>20</v>
      </c>
      <c r="B96" s="591">
        <f>(IF((AND($A96&gt;=Behaviours!$B$12,$A96&lt;=Behaviours!$B$13)),$C$3*Behaviours!$B$14,0))</f>
        <v>0</v>
      </c>
      <c r="C96" s="591">
        <f>(IF((AND($A96&gt;=Behaviours!$C$12,$A96&lt;=Behaviours!$C$13)),$C$3*Behaviours!$C$14,0))</f>
        <v>0</v>
      </c>
      <c r="D96" s="591">
        <f>(IF((AND($A96&gt;=Behaviours!$D$12,$A96&lt;=Behaviours!$D$13)),$C$3*Behaviours!$D$14,0))</f>
        <v>0</v>
      </c>
      <c r="E96" s="662">
        <f t="shared" si="3"/>
        <v>0</v>
      </c>
      <c r="G96" s="591">
        <f>(IF((AND($A96&gt;=Behaviours!B$17,$A96&lt;=Behaviours!B$18)),$C$4*Behaviours!B$19,0))</f>
        <v>0</v>
      </c>
      <c r="H96" s="591">
        <f>(IF((AND($A96&gt;=Behaviours!C$17,$A96&lt;=Behaviours!C$18)),$C$4*Behaviours!C$19,0))</f>
        <v>0</v>
      </c>
      <c r="I96" s="591">
        <f>(IF((AND($A96&gt;=Behaviours!D$17,$A96&lt;=Behaviours!D$18)),$C$4*Behaviours!D$19,0))</f>
        <v>0</v>
      </c>
      <c r="J96" s="662">
        <f t="shared" si="4"/>
        <v>0</v>
      </c>
      <c r="L96" s="591">
        <f>(IF((AND($A96&gt;=Behaviours!B$22,$A96&lt;=Behaviours!B$23)),$C$5*Behaviours!B$24,0))</f>
        <v>0</v>
      </c>
      <c r="M96" s="591">
        <f>(IF((AND($A96&gt;=Behaviours!C$22,$A96&lt;=Behaviours!C$23)),$C$5*Behaviours!C$24,0))</f>
        <v>0</v>
      </c>
      <c r="N96" s="591">
        <f>(IF((AND($A96&gt;=Behaviours!D$22,$A96&lt;=Behaviours!D$23)),$C$5*Behaviours!D$24,0))</f>
        <v>0</v>
      </c>
      <c r="O96" s="662">
        <f t="shared" si="5"/>
        <v>0</v>
      </c>
      <c r="P96" s="593">
        <v>88</v>
      </c>
    </row>
    <row r="97" spans="1:16">
      <c r="A97" s="40" t="s">
        <v>21</v>
      </c>
      <c r="B97" s="591">
        <f>(IF((AND($A97&gt;=Behaviours!$B$12,$A97&lt;=Behaviours!$B$13)),$C$3*Behaviours!$B$14,0))</f>
        <v>0</v>
      </c>
      <c r="C97" s="591">
        <f>(IF((AND($A97&gt;=Behaviours!$C$12,$A97&lt;=Behaviours!$C$13)),$C$3*Behaviours!$C$14,0))</f>
        <v>0</v>
      </c>
      <c r="D97" s="591">
        <f>(IF((AND($A97&gt;=Behaviours!$D$12,$A97&lt;=Behaviours!$D$13)),$C$3*Behaviours!$D$14,0))</f>
        <v>0</v>
      </c>
      <c r="E97" s="662">
        <f t="shared" si="3"/>
        <v>0</v>
      </c>
      <c r="G97" s="591">
        <f>(IF((AND($A97&gt;=Behaviours!B$17,$A97&lt;=Behaviours!B$18)),$C$4*Behaviours!B$19,0))</f>
        <v>0</v>
      </c>
      <c r="H97" s="591">
        <f>(IF((AND($A97&gt;=Behaviours!C$17,$A97&lt;=Behaviours!C$18)),$C$4*Behaviours!C$19,0))</f>
        <v>0</v>
      </c>
      <c r="I97" s="591">
        <f>(IF((AND($A97&gt;=Behaviours!D$17,$A97&lt;=Behaviours!D$18)),$C$4*Behaviours!D$19,0))</f>
        <v>0</v>
      </c>
      <c r="J97" s="662">
        <f t="shared" si="4"/>
        <v>0</v>
      </c>
      <c r="L97" s="591">
        <f>(IF((AND($A97&gt;=Behaviours!B$22,$A97&lt;=Behaviours!B$23)),$C$5*Behaviours!B$24,0))</f>
        <v>0</v>
      </c>
      <c r="M97" s="591">
        <f>(IF((AND($A97&gt;=Behaviours!C$22,$A97&lt;=Behaviours!C$23)),$C$5*Behaviours!C$24,0))</f>
        <v>0</v>
      </c>
      <c r="N97" s="591">
        <f>(IF((AND($A97&gt;=Behaviours!D$22,$A97&lt;=Behaviours!D$23)),$C$5*Behaviours!D$24,0))</f>
        <v>0</v>
      </c>
      <c r="O97" s="662">
        <f t="shared" si="5"/>
        <v>0</v>
      </c>
      <c r="P97" s="593">
        <v>89</v>
      </c>
    </row>
    <row r="98" spans="1:16">
      <c r="A98" s="40" t="s">
        <v>22</v>
      </c>
      <c r="B98" s="591">
        <f>(IF((AND($A98&gt;=Behaviours!$B$12,$A98&lt;=Behaviours!$B$13)),$C$3*Behaviours!$B$14,0))</f>
        <v>0</v>
      </c>
      <c r="C98" s="591">
        <f>(IF((AND($A98&gt;=Behaviours!$C$12,$A98&lt;=Behaviours!$C$13)),$C$3*Behaviours!$C$14,0))</f>
        <v>0</v>
      </c>
      <c r="D98" s="591">
        <f>(IF((AND($A98&gt;=Behaviours!$D$12,$A98&lt;=Behaviours!$D$13)),$C$3*Behaviours!$D$14,0))</f>
        <v>0</v>
      </c>
      <c r="E98" s="662">
        <f t="shared" si="3"/>
        <v>0</v>
      </c>
      <c r="G98" s="591">
        <f>(IF((AND($A98&gt;=Behaviours!B$17,$A98&lt;=Behaviours!B$18)),$C$4*Behaviours!B$19,0))</f>
        <v>0</v>
      </c>
      <c r="H98" s="591">
        <f>(IF((AND($A98&gt;=Behaviours!C$17,$A98&lt;=Behaviours!C$18)),$C$4*Behaviours!C$19,0))</f>
        <v>0</v>
      </c>
      <c r="I98" s="591">
        <f>(IF((AND($A98&gt;=Behaviours!D$17,$A98&lt;=Behaviours!D$18)),$C$4*Behaviours!D$19,0))</f>
        <v>0</v>
      </c>
      <c r="J98" s="662">
        <f t="shared" si="4"/>
        <v>0</v>
      </c>
      <c r="L98" s="591">
        <f>(IF((AND($A98&gt;=Behaviours!B$22,$A98&lt;=Behaviours!B$23)),$C$5*Behaviours!B$24,0))</f>
        <v>0</v>
      </c>
      <c r="M98" s="591">
        <f>(IF((AND($A98&gt;=Behaviours!C$22,$A98&lt;=Behaviours!C$23)),$C$5*Behaviours!C$24,0))</f>
        <v>0</v>
      </c>
      <c r="N98" s="591">
        <f>(IF((AND($A98&gt;=Behaviours!D$22,$A98&lt;=Behaviours!D$23)),$C$5*Behaviours!D$24,0))</f>
        <v>0</v>
      </c>
      <c r="O98" s="662">
        <f t="shared" si="5"/>
        <v>0</v>
      </c>
      <c r="P98" s="593">
        <v>90</v>
      </c>
    </row>
    <row r="99" spans="1:16">
      <c r="A99" s="40" t="s">
        <v>23</v>
      </c>
      <c r="B99" s="591">
        <f>(IF((AND($A99&gt;=Behaviours!$B$12,$A99&lt;=Behaviours!$B$13)),$C$3*Behaviours!$B$14,0))</f>
        <v>0</v>
      </c>
      <c r="C99" s="591">
        <f>(IF((AND($A99&gt;=Behaviours!$C$12,$A99&lt;=Behaviours!$C$13)),$C$3*Behaviours!$C$14,0))</f>
        <v>0</v>
      </c>
      <c r="D99" s="591">
        <f>(IF((AND($A99&gt;=Behaviours!$D$12,$A99&lt;=Behaviours!$D$13)),$C$3*Behaviours!$D$14,0))</f>
        <v>0</v>
      </c>
      <c r="E99" s="662">
        <f t="shared" si="3"/>
        <v>0</v>
      </c>
      <c r="G99" s="591">
        <f>(IF((AND($A99&gt;=Behaviours!B$17,$A99&lt;=Behaviours!B$18)),$C$4*Behaviours!B$19,0))</f>
        <v>0</v>
      </c>
      <c r="H99" s="591">
        <f>(IF((AND($A99&gt;=Behaviours!C$17,$A99&lt;=Behaviours!C$18)),$C$4*Behaviours!C$19,0))</f>
        <v>0</v>
      </c>
      <c r="I99" s="591">
        <f>(IF((AND($A99&gt;=Behaviours!D$17,$A99&lt;=Behaviours!D$18)),$C$4*Behaviours!D$19,0))</f>
        <v>0</v>
      </c>
      <c r="J99" s="662">
        <f t="shared" si="4"/>
        <v>0</v>
      </c>
      <c r="L99" s="591">
        <f>(IF((AND($A99&gt;=Behaviours!B$22,$A99&lt;=Behaviours!B$23)),$C$5*Behaviours!B$24,0))</f>
        <v>0</v>
      </c>
      <c r="M99" s="591">
        <f>(IF((AND($A99&gt;=Behaviours!C$22,$A99&lt;=Behaviours!C$23)),$C$5*Behaviours!C$24,0))</f>
        <v>0</v>
      </c>
      <c r="N99" s="591">
        <f>(IF((AND($A99&gt;=Behaviours!D$22,$A99&lt;=Behaviours!D$23)),$C$5*Behaviours!D$24,0))</f>
        <v>0</v>
      </c>
      <c r="O99" s="662">
        <f t="shared" si="5"/>
        <v>0</v>
      </c>
      <c r="P99" s="593">
        <v>91</v>
      </c>
    </row>
    <row r="100" spans="1:16" s="179" customFormat="1">
      <c r="A100" s="40" t="s">
        <v>974</v>
      </c>
      <c r="B100" s="591">
        <f>(IF((AND($A100&gt;=Behaviours!$B$12,$A100&lt;=Behaviours!$B$13)),$C$3*Behaviours!$B$14,0))</f>
        <v>0</v>
      </c>
      <c r="C100" s="591">
        <f>(IF((AND($A100&gt;=Behaviours!$C$12,$A100&lt;=Behaviours!$C$13)),$C$3*Behaviours!$C$14,0))</f>
        <v>0</v>
      </c>
      <c r="D100" s="591">
        <f>(IF((AND($A100&gt;=Behaviours!$D$12,$A100&lt;=Behaviours!$D$13)),$C$3*Behaviours!$D$14,0))</f>
        <v>0</v>
      </c>
      <c r="E100" s="662">
        <f t="shared" ref="E100:E125" si="6">IF(SUM(B100:D100)&gt;0,IF(B100&gt;0,B100,IF(C100&gt;0,C100,IF(D100&gt;0,D100,"ERROR"))),0)</f>
        <v>0</v>
      </c>
      <c r="G100" s="591">
        <f>(IF((AND($A100&gt;=Behaviours!B$17,$A100&lt;=Behaviours!B$18)),$C$4*Behaviours!B$19,0))</f>
        <v>0</v>
      </c>
      <c r="H100" s="591">
        <f>(IF((AND($A100&gt;=Behaviours!C$17,$A100&lt;=Behaviours!C$18)),$C$4*Behaviours!C$19,0))</f>
        <v>0</v>
      </c>
      <c r="I100" s="591">
        <f>(IF((AND($A100&gt;=Behaviours!D$17,$A100&lt;=Behaviours!D$18)),$C$4*Behaviours!D$19,0))</f>
        <v>0</v>
      </c>
      <c r="J100" s="662">
        <f t="shared" ref="J100:J125" si="7">IF(SUM(G100:I100)&gt;0,IF(G100&gt;0,G100,IF(H100&gt;0,H100,IF(I100&gt;0,I100,"ERROR"))),0)</f>
        <v>0</v>
      </c>
      <c r="L100" s="591">
        <f>(IF((AND($A100&gt;=Behaviours!B$22,$A100&lt;=Behaviours!B$23)),$C$5*Behaviours!B$24,0))</f>
        <v>0</v>
      </c>
      <c r="M100" s="591">
        <f>(IF((AND($A100&gt;=Behaviours!C$22,$A100&lt;=Behaviours!C$23)),$C$5*Behaviours!C$24,0))</f>
        <v>0</v>
      </c>
      <c r="N100" s="591">
        <f>(IF((AND($A100&gt;=Behaviours!D$22,$A100&lt;=Behaviours!D$23)),$C$5*Behaviours!D$24,0))</f>
        <v>0</v>
      </c>
      <c r="O100" s="662">
        <f t="shared" ref="O100:O125" si="8">IF(SUM(L100:N100)&gt;0,IF(L100&gt;0,L100,IF(M100&gt;0,M100,IF(N100&gt;0,N100,"ERROR"))),0)</f>
        <v>0</v>
      </c>
      <c r="P100" s="593">
        <v>92</v>
      </c>
    </row>
    <row r="101" spans="1:16" s="179" customFormat="1">
      <c r="A101" s="40" t="s">
        <v>975</v>
      </c>
      <c r="B101" s="591">
        <f>(IF((AND($A101&gt;=Behaviours!$B$12,$A101&lt;=Behaviours!$B$13)),$C$3*Behaviours!$B$14,0))</f>
        <v>0</v>
      </c>
      <c r="C101" s="591">
        <f>(IF((AND($A101&gt;=Behaviours!$C$12,$A101&lt;=Behaviours!$C$13)),$C$3*Behaviours!$C$14,0))</f>
        <v>0</v>
      </c>
      <c r="D101" s="591">
        <f>(IF((AND($A101&gt;=Behaviours!$D$12,$A101&lt;=Behaviours!$D$13)),$C$3*Behaviours!$D$14,0))</f>
        <v>0</v>
      </c>
      <c r="E101" s="662">
        <f t="shared" si="6"/>
        <v>0</v>
      </c>
      <c r="G101" s="591">
        <f>(IF((AND($A101&gt;=Behaviours!B$17,$A101&lt;=Behaviours!B$18)),$C$4*Behaviours!B$19,0))</f>
        <v>0</v>
      </c>
      <c r="H101" s="591">
        <f>(IF((AND($A101&gt;=Behaviours!C$17,$A101&lt;=Behaviours!C$18)),$C$4*Behaviours!C$19,0))</f>
        <v>0</v>
      </c>
      <c r="I101" s="591">
        <f>(IF((AND($A101&gt;=Behaviours!D$17,$A101&lt;=Behaviours!D$18)),$C$4*Behaviours!D$19,0))</f>
        <v>0</v>
      </c>
      <c r="J101" s="662">
        <f t="shared" si="7"/>
        <v>0</v>
      </c>
      <c r="L101" s="591">
        <f>(IF((AND($A101&gt;=Behaviours!B$22,$A101&lt;=Behaviours!B$23)),$C$5*Behaviours!B$24,0))</f>
        <v>0</v>
      </c>
      <c r="M101" s="591">
        <f>(IF((AND($A101&gt;=Behaviours!C$22,$A101&lt;=Behaviours!C$23)),$C$5*Behaviours!C$24,0))</f>
        <v>0</v>
      </c>
      <c r="N101" s="591">
        <f>(IF((AND($A101&gt;=Behaviours!D$22,$A101&lt;=Behaviours!D$23)),$C$5*Behaviours!D$24,0))</f>
        <v>0</v>
      </c>
      <c r="O101" s="662">
        <f t="shared" si="8"/>
        <v>0</v>
      </c>
      <c r="P101" s="593">
        <v>93</v>
      </c>
    </row>
    <row r="102" spans="1:16" s="179" customFormat="1">
      <c r="A102" s="40" t="s">
        <v>976</v>
      </c>
      <c r="B102" s="591">
        <f>(IF((AND($A102&gt;=Behaviours!$B$12,$A102&lt;=Behaviours!$B$13)),$C$3*Behaviours!$B$14,0))</f>
        <v>0</v>
      </c>
      <c r="C102" s="591">
        <f>(IF((AND($A102&gt;=Behaviours!$C$12,$A102&lt;=Behaviours!$C$13)),$C$3*Behaviours!$C$14,0))</f>
        <v>0</v>
      </c>
      <c r="D102" s="591">
        <f>(IF((AND($A102&gt;=Behaviours!$D$12,$A102&lt;=Behaviours!$D$13)),$C$3*Behaviours!$D$14,0))</f>
        <v>0</v>
      </c>
      <c r="E102" s="662">
        <f t="shared" si="6"/>
        <v>0</v>
      </c>
      <c r="G102" s="591">
        <f>(IF((AND($A102&gt;=Behaviours!B$17,$A102&lt;=Behaviours!B$18)),$C$4*Behaviours!B$19,0))</f>
        <v>0</v>
      </c>
      <c r="H102" s="591">
        <f>(IF((AND($A102&gt;=Behaviours!C$17,$A102&lt;=Behaviours!C$18)),$C$4*Behaviours!C$19,0))</f>
        <v>0</v>
      </c>
      <c r="I102" s="591">
        <f>(IF((AND($A102&gt;=Behaviours!D$17,$A102&lt;=Behaviours!D$18)),$C$4*Behaviours!D$19,0))</f>
        <v>0</v>
      </c>
      <c r="J102" s="662">
        <f t="shared" si="7"/>
        <v>0</v>
      </c>
      <c r="L102" s="591">
        <f>(IF((AND($A102&gt;=Behaviours!B$22,$A102&lt;=Behaviours!B$23)),$C$5*Behaviours!B$24,0))</f>
        <v>0</v>
      </c>
      <c r="M102" s="591">
        <f>(IF((AND($A102&gt;=Behaviours!C$22,$A102&lt;=Behaviours!C$23)),$C$5*Behaviours!C$24,0))</f>
        <v>0</v>
      </c>
      <c r="N102" s="591">
        <f>(IF((AND($A102&gt;=Behaviours!D$22,$A102&lt;=Behaviours!D$23)),$C$5*Behaviours!D$24,0))</f>
        <v>0</v>
      </c>
      <c r="O102" s="662">
        <f t="shared" si="8"/>
        <v>0</v>
      </c>
      <c r="P102" s="593">
        <v>94</v>
      </c>
    </row>
    <row r="103" spans="1:16" s="179" customFormat="1">
      <c r="A103" s="40" t="s">
        <v>977</v>
      </c>
      <c r="B103" s="591">
        <f>(IF((AND($A103&gt;=Behaviours!$B$12,$A103&lt;=Behaviours!$B$13)),$C$3*Behaviours!$B$14,0))</f>
        <v>0</v>
      </c>
      <c r="C103" s="591">
        <f>(IF((AND($A103&gt;=Behaviours!$C$12,$A103&lt;=Behaviours!$C$13)),$C$3*Behaviours!$C$14,0))</f>
        <v>0</v>
      </c>
      <c r="D103" s="591">
        <f>(IF((AND($A103&gt;=Behaviours!$D$12,$A103&lt;=Behaviours!$D$13)),$C$3*Behaviours!$D$14,0))</f>
        <v>0</v>
      </c>
      <c r="E103" s="662">
        <f t="shared" si="6"/>
        <v>0</v>
      </c>
      <c r="G103" s="591">
        <f>(IF((AND($A103&gt;=Behaviours!B$17,$A103&lt;=Behaviours!B$18)),$C$4*Behaviours!B$19,0))</f>
        <v>0</v>
      </c>
      <c r="H103" s="591">
        <f>(IF((AND($A103&gt;=Behaviours!C$17,$A103&lt;=Behaviours!C$18)),$C$4*Behaviours!C$19,0))</f>
        <v>0</v>
      </c>
      <c r="I103" s="591">
        <f>(IF((AND($A103&gt;=Behaviours!D$17,$A103&lt;=Behaviours!D$18)),$C$4*Behaviours!D$19,0))</f>
        <v>0</v>
      </c>
      <c r="J103" s="662">
        <f t="shared" si="7"/>
        <v>0</v>
      </c>
      <c r="L103" s="591">
        <f>(IF((AND($A103&gt;=Behaviours!B$22,$A103&lt;=Behaviours!B$23)),$C$5*Behaviours!B$24,0))</f>
        <v>0</v>
      </c>
      <c r="M103" s="591">
        <f>(IF((AND($A103&gt;=Behaviours!C$22,$A103&lt;=Behaviours!C$23)),$C$5*Behaviours!C$24,0))</f>
        <v>0</v>
      </c>
      <c r="N103" s="591">
        <f>(IF((AND($A103&gt;=Behaviours!D$22,$A103&lt;=Behaviours!D$23)),$C$5*Behaviours!D$24,0))</f>
        <v>0</v>
      </c>
      <c r="O103" s="662">
        <f t="shared" si="8"/>
        <v>0</v>
      </c>
      <c r="P103" s="593">
        <v>95</v>
      </c>
    </row>
    <row r="104" spans="1:16" s="179" customFormat="1">
      <c r="A104" s="40" t="s">
        <v>978</v>
      </c>
      <c r="B104" s="591">
        <f>(IF((AND($A104&gt;=Behaviours!$B$12,$A104&lt;=Behaviours!$B$13)),$C$3*Behaviours!$B$14,0))</f>
        <v>0</v>
      </c>
      <c r="C104" s="591">
        <f>(IF((AND($A104&gt;=Behaviours!$C$12,$A104&lt;=Behaviours!$C$13)),$C$3*Behaviours!$C$14,0))</f>
        <v>0</v>
      </c>
      <c r="D104" s="591">
        <f>(IF((AND($A104&gt;=Behaviours!$D$12,$A104&lt;=Behaviours!$D$13)),$C$3*Behaviours!$D$14,0))</f>
        <v>0</v>
      </c>
      <c r="E104" s="662">
        <f t="shared" si="6"/>
        <v>0</v>
      </c>
      <c r="G104" s="591">
        <f>(IF((AND($A104&gt;=Behaviours!B$17,$A104&lt;=Behaviours!B$18)),$C$4*Behaviours!B$19,0))</f>
        <v>0</v>
      </c>
      <c r="H104" s="591">
        <f>(IF((AND($A104&gt;=Behaviours!C$17,$A104&lt;=Behaviours!C$18)),$C$4*Behaviours!C$19,0))</f>
        <v>0</v>
      </c>
      <c r="I104" s="591">
        <f>(IF((AND($A104&gt;=Behaviours!D$17,$A104&lt;=Behaviours!D$18)),$C$4*Behaviours!D$19,0))</f>
        <v>0</v>
      </c>
      <c r="J104" s="662">
        <f t="shared" si="7"/>
        <v>0</v>
      </c>
      <c r="L104" s="591">
        <f>(IF((AND($A104&gt;=Behaviours!B$22,$A104&lt;=Behaviours!B$23)),$C$5*Behaviours!B$24,0))</f>
        <v>0</v>
      </c>
      <c r="M104" s="591">
        <f>(IF((AND($A104&gt;=Behaviours!C$22,$A104&lt;=Behaviours!C$23)),$C$5*Behaviours!C$24,0))</f>
        <v>0</v>
      </c>
      <c r="N104" s="591">
        <f>(IF((AND($A104&gt;=Behaviours!D$22,$A104&lt;=Behaviours!D$23)),$C$5*Behaviours!D$24,0))</f>
        <v>0</v>
      </c>
      <c r="O104" s="662">
        <f t="shared" si="8"/>
        <v>0</v>
      </c>
      <c r="P104" s="593">
        <v>96</v>
      </c>
    </row>
    <row r="105" spans="1:16" s="179" customFormat="1">
      <c r="A105" s="40" t="s">
        <v>979</v>
      </c>
      <c r="B105" s="591">
        <f>(IF((AND($A105&gt;=Behaviours!$B$12,$A105&lt;=Behaviours!$B$13)),$C$3*Behaviours!$B$14,0))</f>
        <v>0</v>
      </c>
      <c r="C105" s="591">
        <f>(IF((AND($A105&gt;=Behaviours!$C$12,$A105&lt;=Behaviours!$C$13)),$C$3*Behaviours!$C$14,0))</f>
        <v>0</v>
      </c>
      <c r="D105" s="591">
        <f>(IF((AND($A105&gt;=Behaviours!$D$12,$A105&lt;=Behaviours!$D$13)),$C$3*Behaviours!$D$14,0))</f>
        <v>0</v>
      </c>
      <c r="E105" s="662">
        <f t="shared" si="6"/>
        <v>0</v>
      </c>
      <c r="G105" s="591">
        <f>(IF((AND($A105&gt;=Behaviours!B$17,$A105&lt;=Behaviours!B$18)),$C$4*Behaviours!B$19,0))</f>
        <v>0</v>
      </c>
      <c r="H105" s="591">
        <f>(IF((AND($A105&gt;=Behaviours!C$17,$A105&lt;=Behaviours!C$18)),$C$4*Behaviours!C$19,0))</f>
        <v>0</v>
      </c>
      <c r="I105" s="591">
        <f>(IF((AND($A105&gt;=Behaviours!D$17,$A105&lt;=Behaviours!D$18)),$C$4*Behaviours!D$19,0))</f>
        <v>0</v>
      </c>
      <c r="J105" s="662">
        <f t="shared" si="7"/>
        <v>0</v>
      </c>
      <c r="L105" s="591">
        <f>(IF((AND($A105&gt;=Behaviours!B$22,$A105&lt;=Behaviours!B$23)),$C$5*Behaviours!B$24,0))</f>
        <v>0</v>
      </c>
      <c r="M105" s="591">
        <f>(IF((AND($A105&gt;=Behaviours!C$22,$A105&lt;=Behaviours!C$23)),$C$5*Behaviours!C$24,0))</f>
        <v>0</v>
      </c>
      <c r="N105" s="591">
        <f>(IF((AND($A105&gt;=Behaviours!D$22,$A105&lt;=Behaviours!D$23)),$C$5*Behaviours!D$24,0))</f>
        <v>0</v>
      </c>
      <c r="O105" s="662">
        <f t="shared" si="8"/>
        <v>0</v>
      </c>
      <c r="P105" s="593">
        <v>97</v>
      </c>
    </row>
    <row r="106" spans="1:16" s="179" customFormat="1">
      <c r="A106" s="40" t="s">
        <v>980</v>
      </c>
      <c r="B106" s="591">
        <f>(IF((AND($A106&gt;=Behaviours!$B$12,$A106&lt;=Behaviours!$B$13)),$C$3*Behaviours!$B$14,0))</f>
        <v>0</v>
      </c>
      <c r="C106" s="591">
        <f>(IF((AND($A106&gt;=Behaviours!$C$12,$A106&lt;=Behaviours!$C$13)),$C$3*Behaviours!$C$14,0))</f>
        <v>0</v>
      </c>
      <c r="D106" s="591">
        <f>(IF((AND($A106&gt;=Behaviours!$D$12,$A106&lt;=Behaviours!$D$13)),$C$3*Behaviours!$D$14,0))</f>
        <v>0</v>
      </c>
      <c r="E106" s="662">
        <f t="shared" si="6"/>
        <v>0</v>
      </c>
      <c r="G106" s="591">
        <f>(IF((AND($A106&gt;=Behaviours!B$17,$A106&lt;=Behaviours!B$18)),$C$4*Behaviours!B$19,0))</f>
        <v>0</v>
      </c>
      <c r="H106" s="591">
        <f>(IF((AND($A106&gt;=Behaviours!C$17,$A106&lt;=Behaviours!C$18)),$C$4*Behaviours!C$19,0))</f>
        <v>0</v>
      </c>
      <c r="I106" s="591">
        <f>(IF((AND($A106&gt;=Behaviours!D$17,$A106&lt;=Behaviours!D$18)),$C$4*Behaviours!D$19,0))</f>
        <v>0</v>
      </c>
      <c r="J106" s="662">
        <f t="shared" si="7"/>
        <v>0</v>
      </c>
      <c r="L106" s="591">
        <f>(IF((AND($A106&gt;=Behaviours!B$22,$A106&lt;=Behaviours!B$23)),$C$5*Behaviours!B$24,0))</f>
        <v>0</v>
      </c>
      <c r="M106" s="591">
        <f>(IF((AND($A106&gt;=Behaviours!C$22,$A106&lt;=Behaviours!C$23)),$C$5*Behaviours!C$24,0))</f>
        <v>0</v>
      </c>
      <c r="N106" s="591">
        <f>(IF((AND($A106&gt;=Behaviours!D$22,$A106&lt;=Behaviours!D$23)),$C$5*Behaviours!D$24,0))</f>
        <v>0</v>
      </c>
      <c r="O106" s="662">
        <f t="shared" si="8"/>
        <v>0</v>
      </c>
      <c r="P106" s="593">
        <v>98</v>
      </c>
    </row>
    <row r="107" spans="1:16" s="179" customFormat="1">
      <c r="A107" s="40" t="s">
        <v>981</v>
      </c>
      <c r="B107" s="591">
        <f>(IF((AND($A107&gt;=Behaviours!$B$12,$A107&lt;=Behaviours!$B$13)),$C$3*Behaviours!$B$14,0))</f>
        <v>0</v>
      </c>
      <c r="C107" s="591">
        <f>(IF((AND($A107&gt;=Behaviours!$C$12,$A107&lt;=Behaviours!$C$13)),$C$3*Behaviours!$C$14,0))</f>
        <v>0</v>
      </c>
      <c r="D107" s="591">
        <f>(IF((AND($A107&gt;=Behaviours!$D$12,$A107&lt;=Behaviours!$D$13)),$C$3*Behaviours!$D$14,0))</f>
        <v>0</v>
      </c>
      <c r="E107" s="662">
        <f t="shared" si="6"/>
        <v>0</v>
      </c>
      <c r="G107" s="591">
        <f>(IF((AND($A107&gt;=Behaviours!B$17,$A107&lt;=Behaviours!B$18)),$C$4*Behaviours!B$19,0))</f>
        <v>0</v>
      </c>
      <c r="H107" s="591">
        <f>(IF((AND($A107&gt;=Behaviours!C$17,$A107&lt;=Behaviours!C$18)),$C$4*Behaviours!C$19,0))</f>
        <v>0</v>
      </c>
      <c r="I107" s="591">
        <f>(IF((AND($A107&gt;=Behaviours!D$17,$A107&lt;=Behaviours!D$18)),$C$4*Behaviours!D$19,0))</f>
        <v>0</v>
      </c>
      <c r="J107" s="662">
        <f t="shared" si="7"/>
        <v>0</v>
      </c>
      <c r="L107" s="591">
        <f>(IF((AND($A107&gt;=Behaviours!B$22,$A107&lt;=Behaviours!B$23)),$C$5*Behaviours!B$24,0))</f>
        <v>0</v>
      </c>
      <c r="M107" s="591">
        <f>(IF((AND($A107&gt;=Behaviours!C$22,$A107&lt;=Behaviours!C$23)),$C$5*Behaviours!C$24,0))</f>
        <v>0</v>
      </c>
      <c r="N107" s="591">
        <f>(IF((AND($A107&gt;=Behaviours!D$22,$A107&lt;=Behaviours!D$23)),$C$5*Behaviours!D$24,0))</f>
        <v>0</v>
      </c>
      <c r="O107" s="662">
        <f t="shared" si="8"/>
        <v>0</v>
      </c>
      <c r="P107" s="593">
        <v>99</v>
      </c>
    </row>
    <row r="108" spans="1:16" s="179" customFormat="1">
      <c r="A108" s="40" t="s">
        <v>982</v>
      </c>
      <c r="B108" s="591">
        <f>(IF((AND($A108&gt;=Behaviours!$B$12,$A108&lt;=Behaviours!$B$13)),$C$3*Behaviours!$B$14,0))</f>
        <v>0</v>
      </c>
      <c r="C108" s="591">
        <f>(IF((AND($A108&gt;=Behaviours!$C$12,$A108&lt;=Behaviours!$C$13)),$C$3*Behaviours!$C$14,0))</f>
        <v>0</v>
      </c>
      <c r="D108" s="591">
        <f>(IF((AND($A108&gt;=Behaviours!$D$12,$A108&lt;=Behaviours!$D$13)),$C$3*Behaviours!$D$14,0))</f>
        <v>0</v>
      </c>
      <c r="E108" s="662">
        <f t="shared" si="6"/>
        <v>0</v>
      </c>
      <c r="G108" s="591">
        <f>(IF((AND($A108&gt;=Behaviours!B$17,$A108&lt;=Behaviours!B$18)),$C$4*Behaviours!B$19,0))</f>
        <v>0</v>
      </c>
      <c r="H108" s="591">
        <f>(IF((AND($A108&gt;=Behaviours!C$17,$A108&lt;=Behaviours!C$18)),$C$4*Behaviours!C$19,0))</f>
        <v>0</v>
      </c>
      <c r="I108" s="591">
        <f>(IF((AND($A108&gt;=Behaviours!D$17,$A108&lt;=Behaviours!D$18)),$C$4*Behaviours!D$19,0))</f>
        <v>0</v>
      </c>
      <c r="J108" s="662">
        <f t="shared" si="7"/>
        <v>0</v>
      </c>
      <c r="L108" s="591">
        <f>(IF((AND($A108&gt;=Behaviours!B$22,$A108&lt;=Behaviours!B$23)),$C$5*Behaviours!B$24,0))</f>
        <v>0</v>
      </c>
      <c r="M108" s="591">
        <f>(IF((AND($A108&gt;=Behaviours!C$22,$A108&lt;=Behaviours!C$23)),$C$5*Behaviours!C$24,0))</f>
        <v>0</v>
      </c>
      <c r="N108" s="591">
        <f>(IF((AND($A108&gt;=Behaviours!D$22,$A108&lt;=Behaviours!D$23)),$C$5*Behaviours!D$24,0))</f>
        <v>0</v>
      </c>
      <c r="O108" s="662">
        <f t="shared" si="8"/>
        <v>0</v>
      </c>
      <c r="P108" s="593">
        <v>100</v>
      </c>
    </row>
    <row r="109" spans="1:16" s="179" customFormat="1">
      <c r="A109" s="40" t="s">
        <v>983</v>
      </c>
      <c r="B109" s="591">
        <f>(IF((AND($A109&gt;=Behaviours!$B$12,$A109&lt;=Behaviours!$B$13)),$C$3*Behaviours!$B$14,0))</f>
        <v>0</v>
      </c>
      <c r="C109" s="591">
        <f>(IF((AND($A109&gt;=Behaviours!$C$12,$A109&lt;=Behaviours!$C$13)),$C$3*Behaviours!$C$14,0))</f>
        <v>0</v>
      </c>
      <c r="D109" s="591">
        <f>(IF((AND($A109&gt;=Behaviours!$D$12,$A109&lt;=Behaviours!$D$13)),$C$3*Behaviours!$D$14,0))</f>
        <v>0</v>
      </c>
      <c r="E109" s="662">
        <f t="shared" si="6"/>
        <v>0</v>
      </c>
      <c r="G109" s="591">
        <f>(IF((AND($A109&gt;=Behaviours!B$17,$A109&lt;=Behaviours!B$18)),$C$4*Behaviours!B$19,0))</f>
        <v>0</v>
      </c>
      <c r="H109" s="591">
        <f>(IF((AND($A109&gt;=Behaviours!C$17,$A109&lt;=Behaviours!C$18)),$C$4*Behaviours!C$19,0))</f>
        <v>0</v>
      </c>
      <c r="I109" s="591">
        <f>(IF((AND($A109&gt;=Behaviours!D$17,$A109&lt;=Behaviours!D$18)),$C$4*Behaviours!D$19,0))</f>
        <v>0</v>
      </c>
      <c r="J109" s="662">
        <f t="shared" si="7"/>
        <v>0</v>
      </c>
      <c r="L109" s="591">
        <f>(IF((AND($A109&gt;=Behaviours!B$22,$A109&lt;=Behaviours!B$23)),$C$5*Behaviours!B$24,0))</f>
        <v>0</v>
      </c>
      <c r="M109" s="591">
        <f>(IF((AND($A109&gt;=Behaviours!C$22,$A109&lt;=Behaviours!C$23)),$C$5*Behaviours!C$24,0))</f>
        <v>0</v>
      </c>
      <c r="N109" s="591">
        <f>(IF((AND($A109&gt;=Behaviours!D$22,$A109&lt;=Behaviours!D$23)),$C$5*Behaviours!D$24,0))</f>
        <v>0</v>
      </c>
      <c r="O109" s="662">
        <f t="shared" si="8"/>
        <v>0</v>
      </c>
      <c r="P109" s="593">
        <v>101</v>
      </c>
    </row>
    <row r="110" spans="1:16" s="179" customFormat="1">
      <c r="A110" s="40" t="s">
        <v>984</v>
      </c>
      <c r="B110" s="591">
        <f>(IF((AND($A110&gt;=Behaviours!$B$12,$A110&lt;=Behaviours!$B$13)),$C$3*Behaviours!$B$14,0))</f>
        <v>0</v>
      </c>
      <c r="C110" s="591">
        <f>(IF((AND($A110&gt;=Behaviours!$C$12,$A110&lt;=Behaviours!$C$13)),$C$3*Behaviours!$C$14,0))</f>
        <v>0</v>
      </c>
      <c r="D110" s="591">
        <f>(IF((AND($A110&gt;=Behaviours!$D$12,$A110&lt;=Behaviours!$D$13)),$C$3*Behaviours!$D$14,0))</f>
        <v>0</v>
      </c>
      <c r="E110" s="662">
        <f t="shared" si="6"/>
        <v>0</v>
      </c>
      <c r="G110" s="591">
        <f>(IF((AND($A110&gt;=Behaviours!B$17,$A110&lt;=Behaviours!B$18)),$C$4*Behaviours!B$19,0))</f>
        <v>0</v>
      </c>
      <c r="H110" s="591">
        <f>(IF((AND($A110&gt;=Behaviours!C$17,$A110&lt;=Behaviours!C$18)),$C$4*Behaviours!C$19,0))</f>
        <v>0</v>
      </c>
      <c r="I110" s="591">
        <f>(IF((AND($A110&gt;=Behaviours!D$17,$A110&lt;=Behaviours!D$18)),$C$4*Behaviours!D$19,0))</f>
        <v>0</v>
      </c>
      <c r="J110" s="662">
        <f t="shared" si="7"/>
        <v>0</v>
      </c>
      <c r="L110" s="591">
        <f>(IF((AND($A110&gt;=Behaviours!B$22,$A110&lt;=Behaviours!B$23)),$C$5*Behaviours!B$24,0))</f>
        <v>0</v>
      </c>
      <c r="M110" s="591">
        <f>(IF((AND($A110&gt;=Behaviours!C$22,$A110&lt;=Behaviours!C$23)),$C$5*Behaviours!C$24,0))</f>
        <v>0</v>
      </c>
      <c r="N110" s="591">
        <f>(IF((AND($A110&gt;=Behaviours!D$22,$A110&lt;=Behaviours!D$23)),$C$5*Behaviours!D$24,0))</f>
        <v>0</v>
      </c>
      <c r="O110" s="662">
        <f t="shared" si="8"/>
        <v>0</v>
      </c>
      <c r="P110" s="593">
        <v>102</v>
      </c>
    </row>
    <row r="111" spans="1:16" s="179" customFormat="1">
      <c r="A111" s="40" t="s">
        <v>985</v>
      </c>
      <c r="B111" s="591">
        <f>(IF((AND($A111&gt;=Behaviours!$B$12,$A111&lt;=Behaviours!$B$13)),$C$3*Behaviours!$B$14,0))</f>
        <v>0</v>
      </c>
      <c r="C111" s="591">
        <f>(IF((AND($A111&gt;=Behaviours!$C$12,$A111&lt;=Behaviours!$C$13)),$C$3*Behaviours!$C$14,0))</f>
        <v>0</v>
      </c>
      <c r="D111" s="591">
        <f>(IF((AND($A111&gt;=Behaviours!$D$12,$A111&lt;=Behaviours!$D$13)),$C$3*Behaviours!$D$14,0))</f>
        <v>0</v>
      </c>
      <c r="E111" s="662">
        <f t="shared" si="6"/>
        <v>0</v>
      </c>
      <c r="G111" s="591">
        <f>(IF((AND($A111&gt;=Behaviours!B$17,$A111&lt;=Behaviours!B$18)),$C$4*Behaviours!B$19,0))</f>
        <v>0</v>
      </c>
      <c r="H111" s="591">
        <f>(IF((AND($A111&gt;=Behaviours!C$17,$A111&lt;=Behaviours!C$18)),$C$4*Behaviours!C$19,0))</f>
        <v>0</v>
      </c>
      <c r="I111" s="591">
        <f>(IF((AND($A111&gt;=Behaviours!D$17,$A111&lt;=Behaviours!D$18)),$C$4*Behaviours!D$19,0))</f>
        <v>0</v>
      </c>
      <c r="J111" s="662">
        <f t="shared" si="7"/>
        <v>0</v>
      </c>
      <c r="L111" s="591">
        <f>(IF((AND($A111&gt;=Behaviours!B$22,$A111&lt;=Behaviours!B$23)),$C$5*Behaviours!B$24,0))</f>
        <v>0</v>
      </c>
      <c r="M111" s="591">
        <f>(IF((AND($A111&gt;=Behaviours!C$22,$A111&lt;=Behaviours!C$23)),$C$5*Behaviours!C$24,0))</f>
        <v>0</v>
      </c>
      <c r="N111" s="591">
        <f>(IF((AND($A111&gt;=Behaviours!D$22,$A111&lt;=Behaviours!D$23)),$C$5*Behaviours!D$24,0))</f>
        <v>0</v>
      </c>
      <c r="O111" s="662">
        <f t="shared" si="8"/>
        <v>0</v>
      </c>
      <c r="P111" s="593">
        <v>103</v>
      </c>
    </row>
    <row r="112" spans="1:16" s="179" customFormat="1">
      <c r="A112" s="40" t="s">
        <v>986</v>
      </c>
      <c r="B112" s="591">
        <f>(IF((AND($A112&gt;=Behaviours!$B$12,$A112&lt;=Behaviours!$B$13)),$C$3*Behaviours!$B$14,0))</f>
        <v>0</v>
      </c>
      <c r="C112" s="591">
        <f>(IF((AND($A112&gt;=Behaviours!$C$12,$A112&lt;=Behaviours!$C$13)),$C$3*Behaviours!$C$14,0))</f>
        <v>0</v>
      </c>
      <c r="D112" s="591">
        <f>(IF((AND($A112&gt;=Behaviours!$D$12,$A112&lt;=Behaviours!$D$13)),$C$3*Behaviours!$D$14,0))</f>
        <v>0</v>
      </c>
      <c r="E112" s="662">
        <f t="shared" si="6"/>
        <v>0</v>
      </c>
      <c r="G112" s="591">
        <f>(IF((AND($A112&gt;=Behaviours!B$17,$A112&lt;=Behaviours!B$18)),$C$4*Behaviours!B$19,0))</f>
        <v>0</v>
      </c>
      <c r="H112" s="591">
        <f>(IF((AND($A112&gt;=Behaviours!C$17,$A112&lt;=Behaviours!C$18)),$C$4*Behaviours!C$19,0))</f>
        <v>0</v>
      </c>
      <c r="I112" s="591">
        <f>(IF((AND($A112&gt;=Behaviours!D$17,$A112&lt;=Behaviours!D$18)),$C$4*Behaviours!D$19,0))</f>
        <v>0</v>
      </c>
      <c r="J112" s="662">
        <f t="shared" si="7"/>
        <v>0</v>
      </c>
      <c r="L112" s="591">
        <f>(IF((AND($A112&gt;=Behaviours!B$22,$A112&lt;=Behaviours!B$23)),$C$5*Behaviours!B$24,0))</f>
        <v>0</v>
      </c>
      <c r="M112" s="591">
        <f>(IF((AND($A112&gt;=Behaviours!C$22,$A112&lt;=Behaviours!C$23)),$C$5*Behaviours!C$24,0))</f>
        <v>0</v>
      </c>
      <c r="N112" s="591">
        <f>(IF((AND($A112&gt;=Behaviours!D$22,$A112&lt;=Behaviours!D$23)),$C$5*Behaviours!D$24,0))</f>
        <v>0</v>
      </c>
      <c r="O112" s="662">
        <f t="shared" si="8"/>
        <v>0</v>
      </c>
      <c r="P112" s="593">
        <v>104</v>
      </c>
    </row>
    <row r="113" spans="1:16" s="179" customFormat="1">
      <c r="A113" s="40" t="s">
        <v>987</v>
      </c>
      <c r="B113" s="591">
        <f>(IF((AND($A113&gt;=Behaviours!$B$12,$A113&lt;=Behaviours!$B$13)),$C$3*Behaviours!$B$14,0))</f>
        <v>0</v>
      </c>
      <c r="C113" s="591">
        <f>(IF((AND($A113&gt;=Behaviours!$C$12,$A113&lt;=Behaviours!$C$13)),$C$3*Behaviours!$C$14,0))</f>
        <v>0</v>
      </c>
      <c r="D113" s="591">
        <f>(IF((AND($A113&gt;=Behaviours!$D$12,$A113&lt;=Behaviours!$D$13)),$C$3*Behaviours!$D$14,0))</f>
        <v>0</v>
      </c>
      <c r="E113" s="662">
        <f t="shared" si="6"/>
        <v>0</v>
      </c>
      <c r="G113" s="591">
        <f>(IF((AND($A113&gt;=Behaviours!B$17,$A113&lt;=Behaviours!B$18)),$C$4*Behaviours!B$19,0))</f>
        <v>0</v>
      </c>
      <c r="H113" s="591">
        <f>(IF((AND($A113&gt;=Behaviours!C$17,$A113&lt;=Behaviours!C$18)),$C$4*Behaviours!C$19,0))</f>
        <v>0</v>
      </c>
      <c r="I113" s="591">
        <f>(IF((AND($A113&gt;=Behaviours!D$17,$A113&lt;=Behaviours!D$18)),$C$4*Behaviours!D$19,0))</f>
        <v>0</v>
      </c>
      <c r="J113" s="662">
        <f t="shared" si="7"/>
        <v>0</v>
      </c>
      <c r="L113" s="591">
        <f>(IF((AND($A113&gt;=Behaviours!B$22,$A113&lt;=Behaviours!B$23)),$C$5*Behaviours!B$24,0))</f>
        <v>0</v>
      </c>
      <c r="M113" s="591">
        <f>(IF((AND($A113&gt;=Behaviours!C$22,$A113&lt;=Behaviours!C$23)),$C$5*Behaviours!C$24,0))</f>
        <v>0</v>
      </c>
      <c r="N113" s="591">
        <f>(IF((AND($A113&gt;=Behaviours!D$22,$A113&lt;=Behaviours!D$23)),$C$5*Behaviours!D$24,0))</f>
        <v>0</v>
      </c>
      <c r="O113" s="662">
        <f t="shared" si="8"/>
        <v>0</v>
      </c>
      <c r="P113" s="593">
        <v>105</v>
      </c>
    </row>
    <row r="114" spans="1:16" s="179" customFormat="1">
      <c r="A114" s="40" t="s">
        <v>988</v>
      </c>
      <c r="B114" s="591">
        <f>(IF((AND($A114&gt;=Behaviours!$B$12,$A114&lt;=Behaviours!$B$13)),$C$3*Behaviours!$B$14,0))</f>
        <v>0</v>
      </c>
      <c r="C114" s="591">
        <f>(IF((AND($A114&gt;=Behaviours!$C$12,$A114&lt;=Behaviours!$C$13)),$C$3*Behaviours!$C$14,0))</f>
        <v>0</v>
      </c>
      <c r="D114" s="591">
        <f>(IF((AND($A114&gt;=Behaviours!$D$12,$A114&lt;=Behaviours!$D$13)),$C$3*Behaviours!$D$14,0))</f>
        <v>0</v>
      </c>
      <c r="E114" s="662">
        <f t="shared" si="6"/>
        <v>0</v>
      </c>
      <c r="G114" s="591">
        <f>(IF((AND($A114&gt;=Behaviours!B$17,$A114&lt;=Behaviours!B$18)),$C$4*Behaviours!B$19,0))</f>
        <v>0</v>
      </c>
      <c r="H114" s="591">
        <f>(IF((AND($A114&gt;=Behaviours!C$17,$A114&lt;=Behaviours!C$18)),$C$4*Behaviours!C$19,0))</f>
        <v>0</v>
      </c>
      <c r="I114" s="591">
        <f>(IF((AND($A114&gt;=Behaviours!D$17,$A114&lt;=Behaviours!D$18)),$C$4*Behaviours!D$19,0))</f>
        <v>0</v>
      </c>
      <c r="J114" s="662">
        <f t="shared" si="7"/>
        <v>0</v>
      </c>
      <c r="L114" s="591">
        <f>(IF((AND($A114&gt;=Behaviours!B$22,$A114&lt;=Behaviours!B$23)),$C$5*Behaviours!B$24,0))</f>
        <v>0</v>
      </c>
      <c r="M114" s="591">
        <f>(IF((AND($A114&gt;=Behaviours!C$22,$A114&lt;=Behaviours!C$23)),$C$5*Behaviours!C$24,0))</f>
        <v>0</v>
      </c>
      <c r="N114" s="591">
        <f>(IF((AND($A114&gt;=Behaviours!D$22,$A114&lt;=Behaviours!D$23)),$C$5*Behaviours!D$24,0))</f>
        <v>0</v>
      </c>
      <c r="O114" s="662">
        <f t="shared" si="8"/>
        <v>0</v>
      </c>
      <c r="P114" s="593">
        <v>106</v>
      </c>
    </row>
    <row r="115" spans="1:16" s="179" customFormat="1">
      <c r="A115" s="40" t="s">
        <v>989</v>
      </c>
      <c r="B115" s="591">
        <f>(IF((AND($A115&gt;=Behaviours!$B$12,$A115&lt;=Behaviours!$B$13)),$C$3*Behaviours!$B$14,0))</f>
        <v>0</v>
      </c>
      <c r="C115" s="591">
        <f>(IF((AND($A115&gt;=Behaviours!$C$12,$A115&lt;=Behaviours!$C$13)),$C$3*Behaviours!$C$14,0))</f>
        <v>0</v>
      </c>
      <c r="D115" s="591">
        <f>(IF((AND($A115&gt;=Behaviours!$D$12,$A115&lt;=Behaviours!$D$13)),$C$3*Behaviours!$D$14,0))</f>
        <v>0</v>
      </c>
      <c r="E115" s="662">
        <f t="shared" si="6"/>
        <v>0</v>
      </c>
      <c r="G115" s="591">
        <f>(IF((AND($A115&gt;=Behaviours!B$17,$A115&lt;=Behaviours!B$18)),$C$4*Behaviours!B$19,0))</f>
        <v>0</v>
      </c>
      <c r="H115" s="591">
        <f>(IF((AND($A115&gt;=Behaviours!C$17,$A115&lt;=Behaviours!C$18)),$C$4*Behaviours!C$19,0))</f>
        <v>0</v>
      </c>
      <c r="I115" s="591">
        <f>(IF((AND($A115&gt;=Behaviours!D$17,$A115&lt;=Behaviours!D$18)),$C$4*Behaviours!D$19,0))</f>
        <v>0</v>
      </c>
      <c r="J115" s="662">
        <f t="shared" si="7"/>
        <v>0</v>
      </c>
      <c r="L115" s="591">
        <f>(IF((AND($A115&gt;=Behaviours!B$22,$A115&lt;=Behaviours!B$23)),$C$5*Behaviours!B$24,0))</f>
        <v>0</v>
      </c>
      <c r="M115" s="591">
        <f>(IF((AND($A115&gt;=Behaviours!C$22,$A115&lt;=Behaviours!C$23)),$C$5*Behaviours!C$24,0))</f>
        <v>0</v>
      </c>
      <c r="N115" s="591">
        <f>(IF((AND($A115&gt;=Behaviours!D$22,$A115&lt;=Behaviours!D$23)),$C$5*Behaviours!D$24,0))</f>
        <v>0</v>
      </c>
      <c r="O115" s="662">
        <f t="shared" si="8"/>
        <v>0</v>
      </c>
      <c r="P115" s="593">
        <v>107</v>
      </c>
    </row>
    <row r="116" spans="1:16" s="179" customFormat="1">
      <c r="A116" s="40" t="s">
        <v>990</v>
      </c>
      <c r="B116" s="591">
        <f>(IF((AND($A116&gt;=Behaviours!$B$12,$A116&lt;=Behaviours!$B$13)),$C$3*Behaviours!$B$14,0))</f>
        <v>0</v>
      </c>
      <c r="C116" s="591">
        <f>(IF((AND($A116&gt;=Behaviours!$C$12,$A116&lt;=Behaviours!$C$13)),$C$3*Behaviours!$C$14,0))</f>
        <v>0</v>
      </c>
      <c r="D116" s="591">
        <f>(IF((AND($A116&gt;=Behaviours!$D$12,$A116&lt;=Behaviours!$D$13)),$C$3*Behaviours!$D$14,0))</f>
        <v>0</v>
      </c>
      <c r="E116" s="662">
        <f t="shared" si="6"/>
        <v>0</v>
      </c>
      <c r="G116" s="591">
        <f>(IF((AND($A116&gt;=Behaviours!B$17,$A116&lt;=Behaviours!B$18)),$C$4*Behaviours!B$19,0))</f>
        <v>0</v>
      </c>
      <c r="H116" s="591">
        <f>(IF((AND($A116&gt;=Behaviours!C$17,$A116&lt;=Behaviours!C$18)),$C$4*Behaviours!C$19,0))</f>
        <v>0</v>
      </c>
      <c r="I116" s="591">
        <f>(IF((AND($A116&gt;=Behaviours!D$17,$A116&lt;=Behaviours!D$18)),$C$4*Behaviours!D$19,0))</f>
        <v>0</v>
      </c>
      <c r="J116" s="662">
        <f t="shared" si="7"/>
        <v>0</v>
      </c>
      <c r="L116" s="591">
        <f>(IF((AND($A116&gt;=Behaviours!B$22,$A116&lt;=Behaviours!B$23)),$C$5*Behaviours!B$24,0))</f>
        <v>0</v>
      </c>
      <c r="M116" s="591">
        <f>(IF((AND($A116&gt;=Behaviours!C$22,$A116&lt;=Behaviours!C$23)),$C$5*Behaviours!C$24,0))</f>
        <v>0</v>
      </c>
      <c r="N116" s="591">
        <f>(IF((AND($A116&gt;=Behaviours!D$22,$A116&lt;=Behaviours!D$23)),$C$5*Behaviours!D$24,0))</f>
        <v>0</v>
      </c>
      <c r="O116" s="662">
        <f t="shared" si="8"/>
        <v>0</v>
      </c>
      <c r="P116" s="593">
        <v>108</v>
      </c>
    </row>
    <row r="117" spans="1:16" s="179" customFormat="1">
      <c r="A117" s="40" t="s">
        <v>991</v>
      </c>
      <c r="B117" s="591">
        <f>(IF((AND($A117&gt;=Behaviours!$B$12,$A117&lt;=Behaviours!$B$13)),$C$3*Behaviours!$B$14,0))</f>
        <v>0</v>
      </c>
      <c r="C117" s="591">
        <f>(IF((AND($A117&gt;=Behaviours!$C$12,$A117&lt;=Behaviours!$C$13)),$C$3*Behaviours!$C$14,0))</f>
        <v>0</v>
      </c>
      <c r="D117" s="591">
        <f>(IF((AND($A117&gt;=Behaviours!$D$12,$A117&lt;=Behaviours!$D$13)),$C$3*Behaviours!$D$14,0))</f>
        <v>0</v>
      </c>
      <c r="E117" s="662">
        <f t="shared" si="6"/>
        <v>0</v>
      </c>
      <c r="G117" s="591">
        <f>(IF((AND($A117&gt;=Behaviours!B$17,$A117&lt;=Behaviours!B$18)),$C$4*Behaviours!B$19,0))</f>
        <v>0</v>
      </c>
      <c r="H117" s="591">
        <f>(IF((AND($A117&gt;=Behaviours!C$17,$A117&lt;=Behaviours!C$18)),$C$4*Behaviours!C$19,0))</f>
        <v>0</v>
      </c>
      <c r="I117" s="591">
        <f>(IF((AND($A117&gt;=Behaviours!D$17,$A117&lt;=Behaviours!D$18)),$C$4*Behaviours!D$19,0))</f>
        <v>0</v>
      </c>
      <c r="J117" s="662">
        <f t="shared" si="7"/>
        <v>0</v>
      </c>
      <c r="L117" s="591">
        <f>(IF((AND($A117&gt;=Behaviours!B$22,$A117&lt;=Behaviours!B$23)),$C$5*Behaviours!B$24,0))</f>
        <v>0</v>
      </c>
      <c r="M117" s="591">
        <f>(IF((AND($A117&gt;=Behaviours!C$22,$A117&lt;=Behaviours!C$23)),$C$5*Behaviours!C$24,0))</f>
        <v>0</v>
      </c>
      <c r="N117" s="591">
        <f>(IF((AND($A117&gt;=Behaviours!D$22,$A117&lt;=Behaviours!D$23)),$C$5*Behaviours!D$24,0))</f>
        <v>0</v>
      </c>
      <c r="O117" s="662">
        <f t="shared" si="8"/>
        <v>0</v>
      </c>
      <c r="P117" s="593">
        <v>109</v>
      </c>
    </row>
    <row r="118" spans="1:16" s="179" customFormat="1">
      <c r="A118" s="40" t="s">
        <v>992</v>
      </c>
      <c r="B118" s="591">
        <f>(IF((AND($A118&gt;=Behaviours!$B$12,$A118&lt;=Behaviours!$B$13)),$C$3*Behaviours!$B$14,0))</f>
        <v>0</v>
      </c>
      <c r="C118" s="591">
        <f>(IF((AND($A118&gt;=Behaviours!$C$12,$A118&lt;=Behaviours!$C$13)),$C$3*Behaviours!$C$14,0))</f>
        <v>0</v>
      </c>
      <c r="D118" s="591">
        <f>(IF((AND($A118&gt;=Behaviours!$D$12,$A118&lt;=Behaviours!$D$13)),$C$3*Behaviours!$D$14,0))</f>
        <v>0</v>
      </c>
      <c r="E118" s="662">
        <f t="shared" si="6"/>
        <v>0</v>
      </c>
      <c r="G118" s="591">
        <f>(IF((AND($A118&gt;=Behaviours!B$17,$A118&lt;=Behaviours!B$18)),$C$4*Behaviours!B$19,0))</f>
        <v>0</v>
      </c>
      <c r="H118" s="591">
        <f>(IF((AND($A118&gt;=Behaviours!C$17,$A118&lt;=Behaviours!C$18)),$C$4*Behaviours!C$19,0))</f>
        <v>0</v>
      </c>
      <c r="I118" s="591">
        <f>(IF((AND($A118&gt;=Behaviours!D$17,$A118&lt;=Behaviours!D$18)),$C$4*Behaviours!D$19,0))</f>
        <v>0</v>
      </c>
      <c r="J118" s="662">
        <f t="shared" si="7"/>
        <v>0</v>
      </c>
      <c r="L118" s="591">
        <f>(IF((AND($A118&gt;=Behaviours!B$22,$A118&lt;=Behaviours!B$23)),$C$5*Behaviours!B$24,0))</f>
        <v>0</v>
      </c>
      <c r="M118" s="591">
        <f>(IF((AND($A118&gt;=Behaviours!C$22,$A118&lt;=Behaviours!C$23)),$C$5*Behaviours!C$24,0))</f>
        <v>0</v>
      </c>
      <c r="N118" s="591">
        <f>(IF((AND($A118&gt;=Behaviours!D$22,$A118&lt;=Behaviours!D$23)),$C$5*Behaviours!D$24,0))</f>
        <v>0</v>
      </c>
      <c r="O118" s="662">
        <f t="shared" si="8"/>
        <v>0</v>
      </c>
      <c r="P118" s="593">
        <v>110</v>
      </c>
    </row>
    <row r="119" spans="1:16" s="179" customFormat="1">
      <c r="A119" s="40" t="s">
        <v>993</v>
      </c>
      <c r="B119" s="591">
        <f>(IF((AND($A119&gt;=Behaviours!$B$12,$A119&lt;=Behaviours!$B$13)),$C$3*Behaviours!$B$14,0))</f>
        <v>0</v>
      </c>
      <c r="C119" s="591">
        <f>(IF((AND($A119&gt;=Behaviours!$C$12,$A119&lt;=Behaviours!$C$13)),$C$3*Behaviours!$C$14,0))</f>
        <v>0</v>
      </c>
      <c r="D119" s="591">
        <f>(IF((AND($A119&gt;=Behaviours!$D$12,$A119&lt;=Behaviours!$D$13)),$C$3*Behaviours!$D$14,0))</f>
        <v>0</v>
      </c>
      <c r="E119" s="662">
        <f t="shared" si="6"/>
        <v>0</v>
      </c>
      <c r="G119" s="591">
        <f>(IF((AND($A119&gt;=Behaviours!B$17,$A119&lt;=Behaviours!B$18)),$C$4*Behaviours!B$19,0))</f>
        <v>0</v>
      </c>
      <c r="H119" s="591">
        <f>(IF((AND($A119&gt;=Behaviours!C$17,$A119&lt;=Behaviours!C$18)),$C$4*Behaviours!C$19,0))</f>
        <v>0</v>
      </c>
      <c r="I119" s="591">
        <f>(IF((AND($A119&gt;=Behaviours!D$17,$A119&lt;=Behaviours!D$18)),$C$4*Behaviours!D$19,0))</f>
        <v>0</v>
      </c>
      <c r="J119" s="662">
        <f t="shared" si="7"/>
        <v>0</v>
      </c>
      <c r="L119" s="591">
        <f>(IF((AND($A119&gt;=Behaviours!B$22,$A119&lt;=Behaviours!B$23)),$C$5*Behaviours!B$24,0))</f>
        <v>0</v>
      </c>
      <c r="M119" s="591">
        <f>(IF((AND($A119&gt;=Behaviours!C$22,$A119&lt;=Behaviours!C$23)),$C$5*Behaviours!C$24,0))</f>
        <v>0</v>
      </c>
      <c r="N119" s="591">
        <f>(IF((AND($A119&gt;=Behaviours!D$22,$A119&lt;=Behaviours!D$23)),$C$5*Behaviours!D$24,0))</f>
        <v>0</v>
      </c>
      <c r="O119" s="662">
        <f t="shared" si="8"/>
        <v>0</v>
      </c>
      <c r="P119" s="593">
        <v>111</v>
      </c>
    </row>
    <row r="120" spans="1:16" s="179" customFormat="1">
      <c r="A120" s="40" t="s">
        <v>994</v>
      </c>
      <c r="B120" s="591">
        <f>(IF((AND($A120&gt;=Behaviours!$B$12,$A120&lt;=Behaviours!$B$13)),$C$3*Behaviours!$B$14,0))</f>
        <v>0</v>
      </c>
      <c r="C120" s="591">
        <f>(IF((AND($A120&gt;=Behaviours!$C$12,$A120&lt;=Behaviours!$C$13)),$C$3*Behaviours!$C$14,0))</f>
        <v>0</v>
      </c>
      <c r="D120" s="591">
        <f>(IF((AND($A120&gt;=Behaviours!$D$12,$A120&lt;=Behaviours!$D$13)),$C$3*Behaviours!$D$14,0))</f>
        <v>0</v>
      </c>
      <c r="E120" s="662">
        <f t="shared" si="6"/>
        <v>0</v>
      </c>
      <c r="G120" s="591">
        <f>(IF((AND($A120&gt;=Behaviours!B$17,$A120&lt;=Behaviours!B$18)),$C$4*Behaviours!B$19,0))</f>
        <v>0</v>
      </c>
      <c r="H120" s="591">
        <f>(IF((AND($A120&gt;=Behaviours!C$17,$A120&lt;=Behaviours!C$18)),$C$4*Behaviours!C$19,0))</f>
        <v>0</v>
      </c>
      <c r="I120" s="591">
        <f>(IF((AND($A120&gt;=Behaviours!D$17,$A120&lt;=Behaviours!D$18)),$C$4*Behaviours!D$19,0))</f>
        <v>0</v>
      </c>
      <c r="J120" s="662">
        <f t="shared" si="7"/>
        <v>0</v>
      </c>
      <c r="L120" s="591">
        <f>(IF((AND($A120&gt;=Behaviours!B$22,$A120&lt;=Behaviours!B$23)),$C$5*Behaviours!B$24,0))</f>
        <v>0</v>
      </c>
      <c r="M120" s="591">
        <f>(IF((AND($A120&gt;=Behaviours!C$22,$A120&lt;=Behaviours!C$23)),$C$5*Behaviours!C$24,0))</f>
        <v>0</v>
      </c>
      <c r="N120" s="591">
        <f>(IF((AND($A120&gt;=Behaviours!D$22,$A120&lt;=Behaviours!D$23)),$C$5*Behaviours!D$24,0))</f>
        <v>0</v>
      </c>
      <c r="O120" s="662">
        <f t="shared" si="8"/>
        <v>0</v>
      </c>
      <c r="P120" s="593">
        <v>112</v>
      </c>
    </row>
    <row r="121" spans="1:16" s="179" customFormat="1">
      <c r="A121" s="40" t="s">
        <v>995</v>
      </c>
      <c r="B121" s="591">
        <f>(IF((AND($A121&gt;=Behaviours!$B$12,$A121&lt;=Behaviours!$B$13)),$C$3*Behaviours!$B$14,0))</f>
        <v>0</v>
      </c>
      <c r="C121" s="591">
        <f>(IF((AND($A121&gt;=Behaviours!$C$12,$A121&lt;=Behaviours!$C$13)),$C$3*Behaviours!$C$14,0))</f>
        <v>0</v>
      </c>
      <c r="D121" s="591">
        <f>(IF((AND($A121&gt;=Behaviours!$D$12,$A121&lt;=Behaviours!$D$13)),$C$3*Behaviours!$D$14,0))</f>
        <v>0</v>
      </c>
      <c r="E121" s="662">
        <f t="shared" si="6"/>
        <v>0</v>
      </c>
      <c r="G121" s="591">
        <f>(IF((AND($A121&gt;=Behaviours!B$17,$A121&lt;=Behaviours!B$18)),$C$4*Behaviours!B$19,0))</f>
        <v>0</v>
      </c>
      <c r="H121" s="591">
        <f>(IF((AND($A121&gt;=Behaviours!C$17,$A121&lt;=Behaviours!C$18)),$C$4*Behaviours!C$19,0))</f>
        <v>0</v>
      </c>
      <c r="I121" s="591">
        <f>(IF((AND($A121&gt;=Behaviours!D$17,$A121&lt;=Behaviours!D$18)),$C$4*Behaviours!D$19,0))</f>
        <v>0</v>
      </c>
      <c r="J121" s="662">
        <f t="shared" si="7"/>
        <v>0</v>
      </c>
      <c r="L121" s="591">
        <f>(IF((AND($A121&gt;=Behaviours!B$22,$A121&lt;=Behaviours!B$23)),$C$5*Behaviours!B$24,0))</f>
        <v>0</v>
      </c>
      <c r="M121" s="591">
        <f>(IF((AND($A121&gt;=Behaviours!C$22,$A121&lt;=Behaviours!C$23)),$C$5*Behaviours!C$24,0))</f>
        <v>0</v>
      </c>
      <c r="N121" s="591">
        <f>(IF((AND($A121&gt;=Behaviours!D$22,$A121&lt;=Behaviours!D$23)),$C$5*Behaviours!D$24,0))</f>
        <v>0</v>
      </c>
      <c r="O121" s="662">
        <f t="shared" si="8"/>
        <v>0</v>
      </c>
      <c r="P121" s="593">
        <v>113</v>
      </c>
    </row>
    <row r="122" spans="1:16" s="179" customFormat="1">
      <c r="A122" s="40" t="s">
        <v>996</v>
      </c>
      <c r="B122" s="591">
        <f>(IF((AND($A122&gt;=Behaviours!$B$12,$A122&lt;=Behaviours!$B$13)),$C$3*Behaviours!$B$14,0))</f>
        <v>0</v>
      </c>
      <c r="C122" s="591">
        <f>(IF((AND($A122&gt;=Behaviours!$C$12,$A122&lt;=Behaviours!$C$13)),$C$3*Behaviours!$C$14,0))</f>
        <v>0</v>
      </c>
      <c r="D122" s="591">
        <f>(IF((AND($A122&gt;=Behaviours!$D$12,$A122&lt;=Behaviours!$D$13)),$C$3*Behaviours!$D$14,0))</f>
        <v>0</v>
      </c>
      <c r="E122" s="662">
        <f t="shared" si="6"/>
        <v>0</v>
      </c>
      <c r="G122" s="591">
        <f>(IF((AND($A122&gt;=Behaviours!B$17,$A122&lt;=Behaviours!B$18)),$C$4*Behaviours!B$19,0))</f>
        <v>0</v>
      </c>
      <c r="H122" s="591">
        <f>(IF((AND($A122&gt;=Behaviours!C$17,$A122&lt;=Behaviours!C$18)),$C$4*Behaviours!C$19,0))</f>
        <v>0</v>
      </c>
      <c r="I122" s="591">
        <f>(IF((AND($A122&gt;=Behaviours!D$17,$A122&lt;=Behaviours!D$18)),$C$4*Behaviours!D$19,0))</f>
        <v>0</v>
      </c>
      <c r="J122" s="662">
        <f t="shared" si="7"/>
        <v>0</v>
      </c>
      <c r="L122" s="591">
        <f>(IF((AND($A122&gt;=Behaviours!B$22,$A122&lt;=Behaviours!B$23)),$C$5*Behaviours!B$24,0))</f>
        <v>0</v>
      </c>
      <c r="M122" s="591">
        <f>(IF((AND($A122&gt;=Behaviours!C$22,$A122&lt;=Behaviours!C$23)),$C$5*Behaviours!C$24,0))</f>
        <v>0</v>
      </c>
      <c r="N122" s="591">
        <f>(IF((AND($A122&gt;=Behaviours!D$22,$A122&lt;=Behaviours!D$23)),$C$5*Behaviours!D$24,0))</f>
        <v>0</v>
      </c>
      <c r="O122" s="662">
        <f t="shared" si="8"/>
        <v>0</v>
      </c>
      <c r="P122" s="593">
        <v>114</v>
      </c>
    </row>
    <row r="123" spans="1:16" s="179" customFormat="1">
      <c r="A123" s="40" t="s">
        <v>997</v>
      </c>
      <c r="B123" s="591">
        <f>(IF((AND($A123&gt;=Behaviours!$B$12,$A123&lt;=Behaviours!$B$13)),$C$3*Behaviours!$B$14,0))</f>
        <v>0</v>
      </c>
      <c r="C123" s="591">
        <f>(IF((AND($A123&gt;=Behaviours!$C$12,$A123&lt;=Behaviours!$C$13)),$C$3*Behaviours!$C$14,0))</f>
        <v>0</v>
      </c>
      <c r="D123" s="591">
        <f>(IF((AND($A123&gt;=Behaviours!$D$12,$A123&lt;=Behaviours!$D$13)),$C$3*Behaviours!$D$14,0))</f>
        <v>0</v>
      </c>
      <c r="E123" s="662">
        <f t="shared" si="6"/>
        <v>0</v>
      </c>
      <c r="G123" s="591">
        <f>(IF((AND($A123&gt;=Behaviours!B$17,$A123&lt;=Behaviours!B$18)),$C$4*Behaviours!B$19,0))</f>
        <v>0</v>
      </c>
      <c r="H123" s="591">
        <f>(IF((AND($A123&gt;=Behaviours!C$17,$A123&lt;=Behaviours!C$18)),$C$4*Behaviours!C$19,0))</f>
        <v>0</v>
      </c>
      <c r="I123" s="591">
        <f>(IF((AND($A123&gt;=Behaviours!D$17,$A123&lt;=Behaviours!D$18)),$C$4*Behaviours!D$19,0))</f>
        <v>0</v>
      </c>
      <c r="J123" s="662">
        <f t="shared" si="7"/>
        <v>0</v>
      </c>
      <c r="L123" s="591">
        <f>(IF((AND($A123&gt;=Behaviours!B$22,$A123&lt;=Behaviours!B$23)),$C$5*Behaviours!B$24,0))</f>
        <v>0</v>
      </c>
      <c r="M123" s="591">
        <f>(IF((AND($A123&gt;=Behaviours!C$22,$A123&lt;=Behaviours!C$23)),$C$5*Behaviours!C$24,0))</f>
        <v>0</v>
      </c>
      <c r="N123" s="591">
        <f>(IF((AND($A123&gt;=Behaviours!D$22,$A123&lt;=Behaviours!D$23)),$C$5*Behaviours!D$24,0))</f>
        <v>0</v>
      </c>
      <c r="O123" s="662">
        <f t="shared" si="8"/>
        <v>0</v>
      </c>
      <c r="P123" s="593">
        <v>115</v>
      </c>
    </row>
    <row r="124" spans="1:16" s="179" customFormat="1">
      <c r="A124" s="40" t="s">
        <v>998</v>
      </c>
      <c r="B124" s="591">
        <f>(IF((AND($A124&gt;=Behaviours!$B$12,$A124&lt;=Behaviours!$B$13)),$C$3*Behaviours!$B$14,0))</f>
        <v>0</v>
      </c>
      <c r="C124" s="591">
        <f>(IF((AND($A124&gt;=Behaviours!$C$12,$A124&lt;=Behaviours!$C$13)),$C$3*Behaviours!$C$14,0))</f>
        <v>0</v>
      </c>
      <c r="D124" s="591">
        <f>(IF((AND($A124&gt;=Behaviours!$D$12,$A124&lt;=Behaviours!$D$13)),$C$3*Behaviours!$D$14,0))</f>
        <v>0</v>
      </c>
      <c r="E124" s="662">
        <f t="shared" si="6"/>
        <v>0</v>
      </c>
      <c r="G124" s="591">
        <f>(IF((AND($A124&gt;=Behaviours!B$17,$A124&lt;=Behaviours!B$18)),$C$4*Behaviours!B$19,0))</f>
        <v>0</v>
      </c>
      <c r="H124" s="591">
        <f>(IF((AND($A124&gt;=Behaviours!C$17,$A124&lt;=Behaviours!C$18)),$C$4*Behaviours!C$19,0))</f>
        <v>0</v>
      </c>
      <c r="I124" s="591">
        <f>(IF((AND($A124&gt;=Behaviours!D$17,$A124&lt;=Behaviours!D$18)),$C$4*Behaviours!D$19,0))</f>
        <v>0</v>
      </c>
      <c r="J124" s="662">
        <f t="shared" si="7"/>
        <v>0</v>
      </c>
      <c r="L124" s="591">
        <f>(IF((AND($A124&gt;=Behaviours!B$22,$A124&lt;=Behaviours!B$23)),$C$5*Behaviours!B$24,0))</f>
        <v>0</v>
      </c>
      <c r="M124" s="591">
        <f>(IF((AND($A124&gt;=Behaviours!C$22,$A124&lt;=Behaviours!C$23)),$C$5*Behaviours!C$24,0))</f>
        <v>0</v>
      </c>
      <c r="N124" s="591">
        <f>(IF((AND($A124&gt;=Behaviours!D$22,$A124&lt;=Behaviours!D$23)),$C$5*Behaviours!D$24,0))</f>
        <v>0</v>
      </c>
      <c r="O124" s="662">
        <f t="shared" si="8"/>
        <v>0</v>
      </c>
      <c r="P124" s="593">
        <v>116</v>
      </c>
    </row>
    <row r="125" spans="1:16" s="179" customFormat="1">
      <c r="A125" s="40" t="s">
        <v>999</v>
      </c>
      <c r="B125" s="591">
        <f>(IF((AND($A125&gt;=Behaviours!$B$12,$A125&lt;=Behaviours!$B$13)),$C$3*Behaviours!$B$14,0))</f>
        <v>0</v>
      </c>
      <c r="C125" s="591">
        <f>(IF((AND($A125&gt;=Behaviours!$C$12,$A125&lt;=Behaviours!$C$13)),$C$3*Behaviours!$C$14,0))</f>
        <v>0</v>
      </c>
      <c r="D125" s="591">
        <f>(IF((AND($A125&gt;=Behaviours!$D$12,$A125&lt;=Behaviours!$D$13)),$C$3*Behaviours!$D$14,0))</f>
        <v>0</v>
      </c>
      <c r="E125" s="662">
        <f t="shared" si="6"/>
        <v>0</v>
      </c>
      <c r="G125" s="591">
        <f>(IF((AND($A125&gt;=Behaviours!B$17,$A125&lt;=Behaviours!B$18)),$C$4*Behaviours!B$19,0))</f>
        <v>0</v>
      </c>
      <c r="H125" s="591">
        <f>(IF((AND($A125&gt;=Behaviours!C$17,$A125&lt;=Behaviours!C$18)),$C$4*Behaviours!C$19,0))</f>
        <v>0</v>
      </c>
      <c r="I125" s="591">
        <f>(IF((AND($A125&gt;=Behaviours!D$17,$A125&lt;=Behaviours!D$18)),$C$4*Behaviours!D$19,0))</f>
        <v>0</v>
      </c>
      <c r="J125" s="662">
        <f t="shared" si="7"/>
        <v>0</v>
      </c>
      <c r="L125" s="591">
        <f>(IF((AND($A125&gt;=Behaviours!B$22,$A125&lt;=Behaviours!B$23)),$C$5*Behaviours!B$24,0))</f>
        <v>0</v>
      </c>
      <c r="M125" s="591">
        <f>(IF((AND($A125&gt;=Behaviours!C$22,$A125&lt;=Behaviours!C$23)),$C$5*Behaviours!C$24,0))</f>
        <v>0</v>
      </c>
      <c r="N125" s="591">
        <f>(IF((AND($A125&gt;=Behaviours!D$22,$A125&lt;=Behaviours!D$23)),$C$5*Behaviours!D$24,0))</f>
        <v>0</v>
      </c>
      <c r="O125" s="662">
        <f t="shared" si="8"/>
        <v>0</v>
      </c>
      <c r="P125" s="594">
        <v>117</v>
      </c>
    </row>
    <row r="128" spans="1:16">
      <c r="B128" s="103">
        <f>SUM(B9:B125)</f>
        <v>10645.061538461536</v>
      </c>
      <c r="C128" s="103">
        <f t="shared" ref="C128:E128" si="9">SUM(C9:C125)</f>
        <v>0</v>
      </c>
      <c r="D128" s="103">
        <f t="shared" si="9"/>
        <v>0</v>
      </c>
      <c r="E128" s="663">
        <f t="shared" si="9"/>
        <v>10645.061538461536</v>
      </c>
      <c r="J128" s="661">
        <f>SUM(J9:J125)</f>
        <v>7996.1538461538476</v>
      </c>
      <c r="O128" s="661">
        <f>SUM(O9:O125)</f>
        <v>6106.1538461538457</v>
      </c>
    </row>
  </sheetData>
  <mergeCells count="3">
    <mergeCell ref="B7:E7"/>
    <mergeCell ref="G7:J7"/>
    <mergeCell ref="L7:O7"/>
  </mergeCells>
  <hyperlinks>
    <hyperlink ref="D1" r:id="rId1"/>
  </hyperlinks>
  <pageMargins left="0.7" right="0.7" top="0.75" bottom="0.75" header="0.3" footer="0.3"/>
  <pageSetup paperSize="9" orientation="portrait" verticalDpi="4"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topLeftCell="A52" workbookViewId="0">
      <selection activeCell="R1" sqref="R1:R1048576"/>
    </sheetView>
  </sheetViews>
  <sheetFormatPr defaultRowHeight="15"/>
  <cols>
    <col min="1" max="1" width="12.85546875" bestFit="1" customWidth="1"/>
    <col min="9" max="9" width="9.140625" style="664"/>
  </cols>
  <sheetData>
    <row r="1" spans="1:9">
      <c r="A1" t="s">
        <v>207</v>
      </c>
      <c r="I1" s="664" t="s">
        <v>112</v>
      </c>
    </row>
    <row r="2" spans="1:9">
      <c r="B2" s="70">
        <f>Behaviours!B33</f>
        <v>0</v>
      </c>
      <c r="C2" s="70">
        <f>Behaviours!C33</f>
        <v>0</v>
      </c>
      <c r="D2" s="70">
        <f>Behaviours!D33</f>
        <v>0</v>
      </c>
      <c r="E2" s="70">
        <f>Behaviours!E33</f>
        <v>0</v>
      </c>
      <c r="F2" s="70">
        <f>Behaviours!F33</f>
        <v>0</v>
      </c>
      <c r="G2" s="70">
        <f>Behaviours!G33</f>
        <v>0</v>
      </c>
    </row>
    <row r="3" spans="1:9">
      <c r="A3" s="66" t="s">
        <v>31</v>
      </c>
      <c r="B3" s="71">
        <f>IF(AND($A3&gt;=Behaviours!B$34,$A3&lt;=Behaviours!B$35),(Behaviours!B$36*(VLOOKUP("Water",Report!$A$18:$L$34,'Actual-CO2 Calculations'!$AK5,FALSE))),0)</f>
        <v>0</v>
      </c>
      <c r="C3" s="71">
        <f>IF(AND($A3&gt;=Behaviours!C$34,$A3&lt;=Behaviours!C$35),(Behaviours!C$36*(VLOOKUP("Water",Report!$A$18:$L$34,'Actual-CO2 Calculations'!$AK5,FALSE))),0)</f>
        <v>0</v>
      </c>
      <c r="D3" s="71">
        <f>IF(AND($A3&gt;=Behaviours!D$34,$A3&lt;=Behaviours!D$35),(Behaviours!D$36*(VLOOKUP("Water",Report!$A$18:$L$34,'Actual-CO2 Calculations'!$AK5,FALSE))),0)</f>
        <v>0</v>
      </c>
      <c r="E3" s="71">
        <f>IF(AND($A3&gt;=Behaviours!E$34,$A3&lt;=Behaviours!E$35),(Behaviours!E$36*(VLOOKUP("Water",Report!$A$18:$L$34,'Actual-CO2 Calculations'!$AK5,FALSE))),0)</f>
        <v>0</v>
      </c>
      <c r="F3" s="71">
        <f>IF(AND($A3&gt;=Behaviours!F$34,$A3&lt;=Behaviours!F$35),(Behaviours!F$36*(VLOOKUP("Water",Report!$A$18:$L$34,'Actual-CO2 Calculations'!$AK5,FALSE))),0)</f>
        <v>0</v>
      </c>
      <c r="G3" s="71">
        <f>IF(AND($A3&gt;=Behaviours!G$34,$A3&lt;=Behaviours!G$35),(Behaviours!G$36*(VLOOKUP("Water",Report!$A$18:$L$34,'Actual-CO2 Calculations'!$AK5,FALSE))),0)</f>
        <v>0</v>
      </c>
      <c r="I3" s="664">
        <f>SUM(B3:G3)</f>
        <v>0</v>
      </c>
    </row>
    <row r="4" spans="1:9">
      <c r="A4" s="66" t="s">
        <v>32</v>
      </c>
      <c r="B4" s="71">
        <f>IF(AND($A4&gt;=Behaviours!B$34,$A4&lt;=Behaviours!B$35),(Behaviours!B$36*(VLOOKUP("Water",Report!$A$18:$L$34,'Actual-CO2 Calculations'!$AK6,FALSE))),0)</f>
        <v>0</v>
      </c>
      <c r="C4" s="71">
        <f>IF(AND($A4&gt;=Behaviours!C$34,$A4&lt;=Behaviours!C$35),(Behaviours!C$36*(VLOOKUP("Water",Report!$A$18:$L$34,'Actual-CO2 Calculations'!$AK6,FALSE))),0)</f>
        <v>0</v>
      </c>
      <c r="D4" s="71">
        <f>IF(AND($A4&gt;=Behaviours!D$34,$A4&lt;=Behaviours!D$35),(Behaviours!D$36*(VLOOKUP("Water",Report!$A$18:$L$34,'Actual-CO2 Calculations'!$AK6,FALSE))),0)</f>
        <v>0</v>
      </c>
      <c r="E4" s="71">
        <f>IF(AND($A4&gt;=Behaviours!E$34,$A4&lt;=Behaviours!E$35),(Behaviours!E$36*(VLOOKUP("Water",Report!$A$18:$L$34,'Actual-CO2 Calculations'!$AK6,FALSE))),0)</f>
        <v>0</v>
      </c>
      <c r="F4" s="71">
        <f>IF(AND($A4&gt;=Behaviours!F$34,$A4&lt;=Behaviours!F$35),(Behaviours!F$36*(VLOOKUP("Water",Report!$A$18:$L$34,'Actual-CO2 Calculations'!$AK6,FALSE))),0)</f>
        <v>0</v>
      </c>
      <c r="G4" s="71">
        <f>IF(AND($A4&gt;=Behaviours!G$34,$A4&lt;=Behaviours!G$35),(Behaviours!G$36*(VLOOKUP("Water",Report!$A$18:$L$34,'Actual-CO2 Calculations'!$AK6,FALSE))),0)</f>
        <v>0</v>
      </c>
      <c r="I4" s="664">
        <f t="shared" ref="I4:I67" si="0">SUM(B4:G4)</f>
        <v>0</v>
      </c>
    </row>
    <row r="5" spans="1:9">
      <c r="A5" s="66" t="s">
        <v>33</v>
      </c>
      <c r="B5" s="71">
        <f>IF(AND($A5&gt;=Behaviours!B$34,$A5&lt;=Behaviours!B$35),(Behaviours!B$36*(VLOOKUP("Water",Report!$A$18:$L$34,'Actual-CO2 Calculations'!$AK7,FALSE))),0)</f>
        <v>0</v>
      </c>
      <c r="C5" s="71">
        <f>IF(AND($A5&gt;=Behaviours!C$34,$A5&lt;=Behaviours!C$35),(Behaviours!C$36*(VLOOKUP("Water",Report!$A$18:$L$34,'Actual-CO2 Calculations'!$AK7,FALSE))),0)</f>
        <v>0</v>
      </c>
      <c r="D5" s="71">
        <f>IF(AND($A5&gt;=Behaviours!D$34,$A5&lt;=Behaviours!D$35),(Behaviours!D$36*(VLOOKUP("Water",Report!$A$18:$L$34,'Actual-CO2 Calculations'!$AK7,FALSE))),0)</f>
        <v>0</v>
      </c>
      <c r="E5" s="71">
        <f>IF(AND($A5&gt;=Behaviours!E$34,$A5&lt;=Behaviours!E$35),(Behaviours!E$36*(VLOOKUP("Water",Report!$A$18:$L$34,'Actual-CO2 Calculations'!$AK7,FALSE))),0)</f>
        <v>0</v>
      </c>
      <c r="F5" s="71">
        <f>IF(AND($A5&gt;=Behaviours!F$34,$A5&lt;=Behaviours!F$35),(Behaviours!F$36*(VLOOKUP("Water",Report!$A$18:$L$34,'Actual-CO2 Calculations'!$AK7,FALSE))),0)</f>
        <v>0</v>
      </c>
      <c r="G5" s="71">
        <f>IF(AND($A5&gt;=Behaviours!G$34,$A5&lt;=Behaviours!G$35),(Behaviours!G$36*(VLOOKUP("Water",Report!$A$18:$L$34,'Actual-CO2 Calculations'!$AK7,FALSE))),0)</f>
        <v>0</v>
      </c>
      <c r="I5" s="664">
        <f t="shared" si="0"/>
        <v>0</v>
      </c>
    </row>
    <row r="6" spans="1:9">
      <c r="A6" s="66" t="s">
        <v>34</v>
      </c>
      <c r="B6" s="71">
        <f>IF(AND($A6&gt;=Behaviours!B$34,$A6&lt;=Behaviours!B$35),(Behaviours!B$36*(VLOOKUP("Water",Report!$A$18:$L$34,'Actual-CO2 Calculations'!$AK8,FALSE))),0)</f>
        <v>0</v>
      </c>
      <c r="C6" s="71">
        <f>IF(AND($A6&gt;=Behaviours!C$34,$A6&lt;=Behaviours!C$35),(Behaviours!C$36*(VLOOKUP("Water",Report!$A$18:$L$34,'Actual-CO2 Calculations'!$AK8,FALSE))),0)</f>
        <v>0</v>
      </c>
      <c r="D6" s="71">
        <f>IF(AND($A6&gt;=Behaviours!D$34,$A6&lt;=Behaviours!D$35),(Behaviours!D$36*(VLOOKUP("Water",Report!$A$18:$L$34,'Actual-CO2 Calculations'!$AK8,FALSE))),0)</f>
        <v>0</v>
      </c>
      <c r="E6" s="71">
        <f>IF(AND($A6&gt;=Behaviours!E$34,$A6&lt;=Behaviours!E$35),(Behaviours!E$36*(VLOOKUP("Water",Report!$A$18:$L$34,'Actual-CO2 Calculations'!$AK8,FALSE))),0)</f>
        <v>0</v>
      </c>
      <c r="F6" s="71">
        <f>IF(AND($A6&gt;=Behaviours!F$34,$A6&lt;=Behaviours!F$35),(Behaviours!F$36*(VLOOKUP("Water",Report!$A$18:$L$34,'Actual-CO2 Calculations'!$AK8,FALSE))),0)</f>
        <v>0</v>
      </c>
      <c r="G6" s="71">
        <f>IF(AND($A6&gt;=Behaviours!G$34,$A6&lt;=Behaviours!G$35),(Behaviours!G$36*(VLOOKUP("Water",Report!$A$18:$L$34,'Actual-CO2 Calculations'!$AK8,FALSE))),0)</f>
        <v>0</v>
      </c>
      <c r="I6" s="664">
        <f t="shared" si="0"/>
        <v>0</v>
      </c>
    </row>
    <row r="7" spans="1:9">
      <c r="A7" s="66" t="s">
        <v>35</v>
      </c>
      <c r="B7" s="71">
        <f>IF(AND($A7&gt;=Behaviours!B$34,$A7&lt;=Behaviours!B$35),(Behaviours!B$36*(VLOOKUP("Water",Report!$A$18:$L$34,'Actual-CO2 Calculations'!$AK9,FALSE))),0)</f>
        <v>0</v>
      </c>
      <c r="C7" s="71">
        <f>IF(AND($A7&gt;=Behaviours!C$34,$A7&lt;=Behaviours!C$35),(Behaviours!C$36*(VLOOKUP("Water",Report!$A$18:$L$34,'Actual-CO2 Calculations'!$AK9,FALSE))),0)</f>
        <v>0</v>
      </c>
      <c r="D7" s="71">
        <f>IF(AND($A7&gt;=Behaviours!D$34,$A7&lt;=Behaviours!D$35),(Behaviours!D$36*(VLOOKUP("Water",Report!$A$18:$L$34,'Actual-CO2 Calculations'!$AK9,FALSE))),0)</f>
        <v>0</v>
      </c>
      <c r="E7" s="71">
        <f>IF(AND($A7&gt;=Behaviours!E$34,$A7&lt;=Behaviours!E$35),(Behaviours!E$36*(VLOOKUP("Water",Report!$A$18:$L$34,'Actual-CO2 Calculations'!$AK9,FALSE))),0)</f>
        <v>0</v>
      </c>
      <c r="F7" s="71">
        <f>IF(AND($A7&gt;=Behaviours!F$34,$A7&lt;=Behaviours!F$35),(Behaviours!F$36*(VLOOKUP("Water",Report!$A$18:$L$34,'Actual-CO2 Calculations'!$AK9,FALSE))),0)</f>
        <v>0</v>
      </c>
      <c r="G7" s="71">
        <f>IF(AND($A7&gt;=Behaviours!G$34,$A7&lt;=Behaviours!G$35),(Behaviours!G$36*(VLOOKUP("Water",Report!$A$18:$L$34,'Actual-CO2 Calculations'!$AK9,FALSE))),0)</f>
        <v>0</v>
      </c>
      <c r="I7" s="664">
        <f t="shared" si="0"/>
        <v>0</v>
      </c>
    </row>
    <row r="8" spans="1:9">
      <c r="A8" s="66" t="s">
        <v>36</v>
      </c>
      <c r="B8" s="71">
        <f>IF(AND($A8&gt;=Behaviours!B$34,$A8&lt;=Behaviours!B$35),(Behaviours!B$36*(VLOOKUP("Water",Report!$A$18:$L$34,'Actual-CO2 Calculations'!$AK10,FALSE))),0)</f>
        <v>0</v>
      </c>
      <c r="C8" s="71">
        <f>IF(AND($A8&gt;=Behaviours!C$34,$A8&lt;=Behaviours!C$35),(Behaviours!C$36*(VLOOKUP("Water",Report!$A$18:$L$34,'Actual-CO2 Calculations'!$AK10,FALSE))),0)</f>
        <v>0</v>
      </c>
      <c r="D8" s="71">
        <f>IF(AND($A8&gt;=Behaviours!D$34,$A8&lt;=Behaviours!D$35),(Behaviours!D$36*(VLOOKUP("Water",Report!$A$18:$L$34,'Actual-CO2 Calculations'!$AK10,FALSE))),0)</f>
        <v>0</v>
      </c>
      <c r="E8" s="71">
        <f>IF(AND($A8&gt;=Behaviours!E$34,$A8&lt;=Behaviours!E$35),(Behaviours!E$36*(VLOOKUP("Water",Report!$A$18:$L$34,'Actual-CO2 Calculations'!$AK10,FALSE))),0)</f>
        <v>0</v>
      </c>
      <c r="F8" s="71">
        <f>IF(AND($A8&gt;=Behaviours!F$34,$A8&lt;=Behaviours!F$35),(Behaviours!F$36*(VLOOKUP("Water",Report!$A$18:$L$34,'Actual-CO2 Calculations'!$AK10,FALSE))),0)</f>
        <v>0</v>
      </c>
      <c r="G8" s="71">
        <f>IF(AND($A8&gt;=Behaviours!G$34,$A8&lt;=Behaviours!G$35),(Behaviours!G$36*(VLOOKUP("Water",Report!$A$18:$L$34,'Actual-CO2 Calculations'!$AK10,FALSE))),0)</f>
        <v>0</v>
      </c>
      <c r="I8" s="664">
        <f t="shared" si="0"/>
        <v>0</v>
      </c>
    </row>
    <row r="9" spans="1:9">
      <c r="A9" s="66" t="s">
        <v>37</v>
      </c>
      <c r="B9" s="71">
        <f>IF(AND($A9&gt;=Behaviours!B$34,$A9&lt;=Behaviours!B$35),(Behaviours!B$36*(VLOOKUP("Water",Report!$A$18:$L$34,'Actual-CO2 Calculations'!$AK11,FALSE))),0)</f>
        <v>0</v>
      </c>
      <c r="C9" s="71">
        <f>IF(AND($A9&gt;=Behaviours!C$34,$A9&lt;=Behaviours!C$35),(Behaviours!C$36*(VLOOKUP("Water",Report!$A$18:$L$34,'Actual-CO2 Calculations'!$AK11,FALSE))),0)</f>
        <v>0</v>
      </c>
      <c r="D9" s="71">
        <f>IF(AND($A9&gt;=Behaviours!D$34,$A9&lt;=Behaviours!D$35),(Behaviours!D$36*(VLOOKUP("Water",Report!$A$18:$L$34,'Actual-CO2 Calculations'!$AK11,FALSE))),0)</f>
        <v>0</v>
      </c>
      <c r="E9" s="71">
        <f>IF(AND($A9&gt;=Behaviours!E$34,$A9&lt;=Behaviours!E$35),(Behaviours!E$36*(VLOOKUP("Water",Report!$A$18:$L$34,'Actual-CO2 Calculations'!$AK11,FALSE))),0)</f>
        <v>0</v>
      </c>
      <c r="F9" s="71">
        <f>IF(AND($A9&gt;=Behaviours!F$34,$A9&lt;=Behaviours!F$35),(Behaviours!F$36*(VLOOKUP("Water",Report!$A$18:$L$34,'Actual-CO2 Calculations'!$AK11,FALSE))),0)</f>
        <v>0</v>
      </c>
      <c r="G9" s="71">
        <f>IF(AND($A9&gt;=Behaviours!G$34,$A9&lt;=Behaviours!G$35),(Behaviours!G$36*(VLOOKUP("Water",Report!$A$18:$L$34,'Actual-CO2 Calculations'!$AK11,FALSE))),0)</f>
        <v>0</v>
      </c>
      <c r="I9" s="664">
        <f t="shared" si="0"/>
        <v>0</v>
      </c>
    </row>
    <row r="10" spans="1:9">
      <c r="A10" s="66" t="s">
        <v>38</v>
      </c>
      <c r="B10" s="71">
        <f>IF(AND($A10&gt;=Behaviours!B$34,$A10&lt;=Behaviours!B$35),(Behaviours!B$36*(VLOOKUP("Water",Report!$A$18:$L$34,'Actual-CO2 Calculations'!$AK12,FALSE))),0)</f>
        <v>0</v>
      </c>
      <c r="C10" s="71">
        <f>IF(AND($A10&gt;=Behaviours!C$34,$A10&lt;=Behaviours!C$35),(Behaviours!C$36*(VLOOKUP("Water",Report!$A$18:$L$34,'Actual-CO2 Calculations'!$AK12,FALSE))),0)</f>
        <v>0</v>
      </c>
      <c r="D10" s="71">
        <f>IF(AND($A10&gt;=Behaviours!D$34,$A10&lt;=Behaviours!D$35),(Behaviours!D$36*(VLOOKUP("Water",Report!$A$18:$L$34,'Actual-CO2 Calculations'!$AK12,FALSE))),0)</f>
        <v>0</v>
      </c>
      <c r="E10" s="71">
        <f>IF(AND($A10&gt;=Behaviours!E$34,$A10&lt;=Behaviours!E$35),(Behaviours!E$36*(VLOOKUP("Water",Report!$A$18:$L$34,'Actual-CO2 Calculations'!$AK12,FALSE))),0)</f>
        <v>0</v>
      </c>
      <c r="F10" s="71">
        <f>IF(AND($A10&gt;=Behaviours!F$34,$A10&lt;=Behaviours!F$35),(Behaviours!F$36*(VLOOKUP("Water",Report!$A$18:$L$34,'Actual-CO2 Calculations'!$AK12,FALSE))),0)</f>
        <v>0</v>
      </c>
      <c r="G10" s="71">
        <f>IF(AND($A10&gt;=Behaviours!G$34,$A10&lt;=Behaviours!G$35),(Behaviours!G$36*(VLOOKUP("Water",Report!$A$18:$L$34,'Actual-CO2 Calculations'!$AK12,FALSE))),0)</f>
        <v>0</v>
      </c>
      <c r="I10" s="664">
        <f t="shared" si="0"/>
        <v>0</v>
      </c>
    </row>
    <row r="11" spans="1:9">
      <c r="A11" s="66" t="s">
        <v>39</v>
      </c>
      <c r="B11" s="71">
        <f>IF(AND($A11&gt;=Behaviours!B$34,$A11&lt;=Behaviours!B$35),(Behaviours!B$36*(VLOOKUP("Water",Report!$A$18:$L$34,'Actual-CO2 Calculations'!$AK13,FALSE))),0)</f>
        <v>0</v>
      </c>
      <c r="C11" s="71">
        <f>IF(AND($A11&gt;=Behaviours!C$34,$A11&lt;=Behaviours!C$35),(Behaviours!C$36*(VLOOKUP("Water",Report!$A$18:$L$34,'Actual-CO2 Calculations'!$AK13,FALSE))),0)</f>
        <v>0</v>
      </c>
      <c r="D11" s="71">
        <f>IF(AND($A11&gt;=Behaviours!D$34,$A11&lt;=Behaviours!D$35),(Behaviours!D$36*(VLOOKUP("Water",Report!$A$18:$L$34,'Actual-CO2 Calculations'!$AK13,FALSE))),0)</f>
        <v>0</v>
      </c>
      <c r="E11" s="71">
        <f>IF(AND($A11&gt;=Behaviours!E$34,$A11&lt;=Behaviours!E$35),(Behaviours!E$36*(VLOOKUP("Water",Report!$A$18:$L$34,'Actual-CO2 Calculations'!$AK13,FALSE))),0)</f>
        <v>0</v>
      </c>
      <c r="F11" s="71">
        <f>IF(AND($A11&gt;=Behaviours!F$34,$A11&lt;=Behaviours!F$35),(Behaviours!F$36*(VLOOKUP("Water",Report!$A$18:$L$34,'Actual-CO2 Calculations'!$AK13,FALSE))),0)</f>
        <v>0</v>
      </c>
      <c r="G11" s="71">
        <f>IF(AND($A11&gt;=Behaviours!G$34,$A11&lt;=Behaviours!G$35),(Behaviours!G$36*(VLOOKUP("Water",Report!$A$18:$L$34,'Actual-CO2 Calculations'!$AK13,FALSE))),0)</f>
        <v>0</v>
      </c>
      <c r="I11" s="664">
        <f t="shared" si="0"/>
        <v>0</v>
      </c>
    </row>
    <row r="12" spans="1:9">
      <c r="A12" s="66" t="s">
        <v>25</v>
      </c>
      <c r="B12" s="71">
        <f>IF(AND($A12&gt;=Behaviours!B$34,$A12&lt;=Behaviours!B$35),(Behaviours!B$36*(VLOOKUP("Water",Report!$A$18:$L$34,'Actual-CO2 Calculations'!$AK14,FALSE))),0)</f>
        <v>0</v>
      </c>
      <c r="C12" s="71">
        <f>IF(AND($A12&gt;=Behaviours!C$34,$A12&lt;=Behaviours!C$35),(Behaviours!C$36*(VLOOKUP("Water",Report!$A$18:$L$34,'Actual-CO2 Calculations'!$AK14,FALSE))),0)</f>
        <v>0</v>
      </c>
      <c r="D12" s="71">
        <f>IF(AND($A12&gt;=Behaviours!D$34,$A12&lt;=Behaviours!D$35),(Behaviours!D$36*(VLOOKUP("Water",Report!$A$18:$L$34,'Actual-CO2 Calculations'!$AK14,FALSE))),0)</f>
        <v>0</v>
      </c>
      <c r="E12" s="71">
        <f>IF(AND($A12&gt;=Behaviours!E$34,$A12&lt;=Behaviours!E$35),(Behaviours!E$36*(VLOOKUP("Water",Report!$A$18:$L$34,'Actual-CO2 Calculations'!$AK14,FALSE))),0)</f>
        <v>0</v>
      </c>
      <c r="F12" s="71">
        <f>IF(AND($A12&gt;=Behaviours!F$34,$A12&lt;=Behaviours!F$35),(Behaviours!F$36*(VLOOKUP("Water",Report!$A$18:$L$34,'Actual-CO2 Calculations'!$AK14,FALSE))),0)</f>
        <v>0</v>
      </c>
      <c r="G12" s="71">
        <f>IF(AND($A12&gt;=Behaviours!G$34,$A12&lt;=Behaviours!G$35),(Behaviours!G$36*(VLOOKUP("Water",Report!$A$18:$L$34,'Actual-CO2 Calculations'!$AK14,FALSE))),0)</f>
        <v>0</v>
      </c>
      <c r="I12" s="664">
        <f t="shared" si="0"/>
        <v>0</v>
      </c>
    </row>
    <row r="13" spans="1:9">
      <c r="A13" s="66" t="s">
        <v>26</v>
      </c>
      <c r="B13" s="71">
        <f>IF(AND($A13&gt;=Behaviours!B$34,$A13&lt;=Behaviours!B$35),(Behaviours!B$36*(VLOOKUP("Water",Report!$A$18:$L$34,'Actual-CO2 Calculations'!$AK15,FALSE))),0)</f>
        <v>0</v>
      </c>
      <c r="C13" s="71">
        <f>IF(AND($A13&gt;=Behaviours!C$34,$A13&lt;=Behaviours!C$35),(Behaviours!C$36*(VLOOKUP("Water",Report!$A$18:$L$34,'Actual-CO2 Calculations'!$AK15,FALSE))),0)</f>
        <v>0</v>
      </c>
      <c r="D13" s="71">
        <f>IF(AND($A13&gt;=Behaviours!D$34,$A13&lt;=Behaviours!D$35),(Behaviours!D$36*(VLOOKUP("Water",Report!$A$18:$L$34,'Actual-CO2 Calculations'!$AK15,FALSE))),0)</f>
        <v>0</v>
      </c>
      <c r="E13" s="71">
        <f>IF(AND($A13&gt;=Behaviours!E$34,$A13&lt;=Behaviours!E$35),(Behaviours!E$36*(VLOOKUP("Water",Report!$A$18:$L$34,'Actual-CO2 Calculations'!$AK15,FALSE))),0)</f>
        <v>0</v>
      </c>
      <c r="F13" s="71">
        <f>IF(AND($A13&gt;=Behaviours!F$34,$A13&lt;=Behaviours!F$35),(Behaviours!F$36*(VLOOKUP("Water",Report!$A$18:$L$34,'Actual-CO2 Calculations'!$AK15,FALSE))),0)</f>
        <v>0</v>
      </c>
      <c r="G13" s="71">
        <f>IF(AND($A13&gt;=Behaviours!G$34,$A13&lt;=Behaviours!G$35),(Behaviours!G$36*(VLOOKUP("Water",Report!$A$18:$L$34,'Actual-CO2 Calculations'!$AK15,FALSE))),0)</f>
        <v>0</v>
      </c>
      <c r="I13" s="664">
        <f t="shared" si="0"/>
        <v>0</v>
      </c>
    </row>
    <row r="14" spans="1:9">
      <c r="A14" s="66" t="s">
        <v>27</v>
      </c>
      <c r="B14" s="71">
        <f>IF(AND($A14&gt;=Behaviours!B$34,$A14&lt;=Behaviours!B$35),(Behaviours!B$36*(VLOOKUP("Water",Report!$A$18:$L$34,'Actual-CO2 Calculations'!$AK16,FALSE))),0)</f>
        <v>0</v>
      </c>
      <c r="C14" s="71">
        <f>IF(AND($A14&gt;=Behaviours!C$34,$A14&lt;=Behaviours!C$35),(Behaviours!C$36*(VLOOKUP("Water",Report!$A$18:$L$34,'Actual-CO2 Calculations'!$AK16,FALSE))),0)</f>
        <v>0</v>
      </c>
      <c r="D14" s="71">
        <f>IF(AND($A14&gt;=Behaviours!D$34,$A14&lt;=Behaviours!D$35),(Behaviours!D$36*(VLOOKUP("Water",Report!$A$18:$L$34,'Actual-CO2 Calculations'!$AK16,FALSE))),0)</f>
        <v>0</v>
      </c>
      <c r="E14" s="71">
        <f>IF(AND($A14&gt;=Behaviours!E$34,$A14&lt;=Behaviours!E$35),(Behaviours!E$36*(VLOOKUP("Water",Report!$A$18:$L$34,'Actual-CO2 Calculations'!$AK16,FALSE))),0)</f>
        <v>0</v>
      </c>
      <c r="F14" s="71">
        <f>IF(AND($A14&gt;=Behaviours!F$34,$A14&lt;=Behaviours!F$35),(Behaviours!F$36*(VLOOKUP("Water",Report!$A$18:$L$34,'Actual-CO2 Calculations'!$AK16,FALSE))),0)</f>
        <v>0</v>
      </c>
      <c r="G14" s="71">
        <f>IF(AND($A14&gt;=Behaviours!G$34,$A14&lt;=Behaviours!G$35),(Behaviours!G$36*(VLOOKUP("Water",Report!$A$18:$L$34,'Actual-CO2 Calculations'!$AK16,FALSE))),0)</f>
        <v>0</v>
      </c>
      <c r="I14" s="664">
        <f t="shared" si="0"/>
        <v>0</v>
      </c>
    </row>
    <row r="15" spans="1:9">
      <c r="A15" s="66" t="s">
        <v>24</v>
      </c>
      <c r="B15" s="71">
        <f>IF(AND($A15&gt;=Behaviours!B$34,$A15&lt;=Behaviours!B$35),(Behaviours!B$36*(VLOOKUP("Water",Report!$A$18:$L$34,'Actual-CO2 Calculations'!$AK17,FALSE))),0)</f>
        <v>0</v>
      </c>
      <c r="C15" s="71">
        <f>IF(AND($A15&gt;=Behaviours!C$34,$A15&lt;=Behaviours!C$35),(Behaviours!C$36*(VLOOKUP("Water",Report!$A$18:$L$34,'Actual-CO2 Calculations'!$AK17,FALSE))),0)</f>
        <v>0</v>
      </c>
      <c r="D15" s="71">
        <f>IF(AND($A15&gt;=Behaviours!D$34,$A15&lt;=Behaviours!D$35),(Behaviours!D$36*(VLOOKUP("Water",Report!$A$18:$L$34,'Actual-CO2 Calculations'!$AK17,FALSE))),0)</f>
        <v>0</v>
      </c>
      <c r="E15" s="71">
        <f>IF(AND($A15&gt;=Behaviours!E$34,$A15&lt;=Behaviours!E$35),(Behaviours!E$36*(VLOOKUP("Water",Report!$A$18:$L$34,'Actual-CO2 Calculations'!$AK17,FALSE))),0)</f>
        <v>0</v>
      </c>
      <c r="F15" s="71">
        <f>IF(AND($A15&gt;=Behaviours!F$34,$A15&lt;=Behaviours!F$35),(Behaviours!F$36*(VLOOKUP("Water",Report!$A$18:$L$34,'Actual-CO2 Calculations'!$AK17,FALSE))),0)</f>
        <v>0</v>
      </c>
      <c r="G15" s="71">
        <f>IF(AND($A15&gt;=Behaviours!G$34,$A15&lt;=Behaviours!G$35),(Behaviours!G$36*(VLOOKUP("Water",Report!$A$18:$L$34,'Actual-CO2 Calculations'!$AK17,FALSE))),0)</f>
        <v>0</v>
      </c>
      <c r="I15" s="664">
        <f t="shared" si="0"/>
        <v>0</v>
      </c>
    </row>
    <row r="16" spans="1:9">
      <c r="A16" s="66" t="s">
        <v>40</v>
      </c>
      <c r="B16" s="71">
        <f>IF(AND($A16&gt;=Behaviours!B$34,$A16&lt;=Behaviours!B$35),(Behaviours!B$36*(VLOOKUP("Water",Report!$A$18:$L$34,'Actual-CO2 Calculations'!$AK18,FALSE))),0)</f>
        <v>0</v>
      </c>
      <c r="C16" s="71">
        <f>IF(AND($A16&gt;=Behaviours!C$34,$A16&lt;=Behaviours!C$35),(Behaviours!C$36*(VLOOKUP("Water",Report!$A$18:$L$34,'Actual-CO2 Calculations'!$AK18,FALSE))),0)</f>
        <v>0</v>
      </c>
      <c r="D16" s="71">
        <f>IF(AND($A16&gt;=Behaviours!D$34,$A16&lt;=Behaviours!D$35),(Behaviours!D$36*(VLOOKUP("Water",Report!$A$18:$L$34,'Actual-CO2 Calculations'!$AK18,FALSE))),0)</f>
        <v>0</v>
      </c>
      <c r="E16" s="71">
        <f>IF(AND($A16&gt;=Behaviours!E$34,$A16&lt;=Behaviours!E$35),(Behaviours!E$36*(VLOOKUP("Water",Report!$A$18:$L$34,'Actual-CO2 Calculations'!$AK18,FALSE))),0)</f>
        <v>0</v>
      </c>
      <c r="F16" s="71">
        <f>IF(AND($A16&gt;=Behaviours!F$34,$A16&lt;=Behaviours!F$35),(Behaviours!F$36*(VLOOKUP("Water",Report!$A$18:$L$34,'Actual-CO2 Calculations'!$AK18,FALSE))),0)</f>
        <v>0</v>
      </c>
      <c r="G16" s="71">
        <f>IF(AND($A16&gt;=Behaviours!G$34,$A16&lt;=Behaviours!G$35),(Behaviours!G$36*(VLOOKUP("Water",Report!$A$18:$L$34,'Actual-CO2 Calculations'!$AK18,FALSE))),0)</f>
        <v>0</v>
      </c>
      <c r="I16" s="664">
        <f t="shared" si="0"/>
        <v>0</v>
      </c>
    </row>
    <row r="17" spans="1:9">
      <c r="A17" s="66" t="s">
        <v>41</v>
      </c>
      <c r="B17" s="71">
        <f>IF(AND($A17&gt;=Behaviours!B$34,$A17&lt;=Behaviours!B$35),(Behaviours!B$36*(VLOOKUP("Water",Report!$A$18:$L$34,'Actual-CO2 Calculations'!$AK19,FALSE))),0)</f>
        <v>0</v>
      </c>
      <c r="C17" s="71">
        <f>IF(AND($A17&gt;=Behaviours!C$34,$A17&lt;=Behaviours!C$35),(Behaviours!C$36*(VLOOKUP("Water",Report!$A$18:$L$34,'Actual-CO2 Calculations'!$AK19,FALSE))),0)</f>
        <v>0</v>
      </c>
      <c r="D17" s="71">
        <f>IF(AND($A17&gt;=Behaviours!D$34,$A17&lt;=Behaviours!D$35),(Behaviours!D$36*(VLOOKUP("Water",Report!$A$18:$L$34,'Actual-CO2 Calculations'!$AK19,FALSE))),0)</f>
        <v>0</v>
      </c>
      <c r="E17" s="71">
        <f>IF(AND($A17&gt;=Behaviours!E$34,$A17&lt;=Behaviours!E$35),(Behaviours!E$36*(VLOOKUP("Water",Report!$A$18:$L$34,'Actual-CO2 Calculations'!$AK19,FALSE))),0)</f>
        <v>0</v>
      </c>
      <c r="F17" s="71">
        <f>IF(AND($A17&gt;=Behaviours!F$34,$A17&lt;=Behaviours!F$35),(Behaviours!F$36*(VLOOKUP("Water",Report!$A$18:$L$34,'Actual-CO2 Calculations'!$AK19,FALSE))),0)</f>
        <v>0</v>
      </c>
      <c r="G17" s="71">
        <f>IF(AND($A17&gt;=Behaviours!G$34,$A17&lt;=Behaviours!G$35),(Behaviours!G$36*(VLOOKUP("Water",Report!$A$18:$L$34,'Actual-CO2 Calculations'!$AK19,FALSE))),0)</f>
        <v>0</v>
      </c>
      <c r="I17" s="664">
        <f t="shared" si="0"/>
        <v>0</v>
      </c>
    </row>
    <row r="18" spans="1:9">
      <c r="A18" s="66" t="s">
        <v>42</v>
      </c>
      <c r="B18" s="71">
        <f>IF(AND($A18&gt;=Behaviours!B$34,$A18&lt;=Behaviours!B$35),(Behaviours!B$36*(VLOOKUP("Water",Report!$A$18:$L$34,'Actual-CO2 Calculations'!$AK20,FALSE))),0)</f>
        <v>0</v>
      </c>
      <c r="C18" s="71">
        <f>IF(AND($A18&gt;=Behaviours!C$34,$A18&lt;=Behaviours!C$35),(Behaviours!C$36*(VLOOKUP("Water",Report!$A$18:$L$34,'Actual-CO2 Calculations'!$AK20,FALSE))),0)</f>
        <v>0</v>
      </c>
      <c r="D18" s="71">
        <f>IF(AND($A18&gt;=Behaviours!D$34,$A18&lt;=Behaviours!D$35),(Behaviours!D$36*(VLOOKUP("Water",Report!$A$18:$L$34,'Actual-CO2 Calculations'!$AK20,FALSE))),0)</f>
        <v>0</v>
      </c>
      <c r="E18" s="71">
        <f>IF(AND($A18&gt;=Behaviours!E$34,$A18&lt;=Behaviours!E$35),(Behaviours!E$36*(VLOOKUP("Water",Report!$A$18:$L$34,'Actual-CO2 Calculations'!$AK20,FALSE))),0)</f>
        <v>0</v>
      </c>
      <c r="F18" s="71">
        <f>IF(AND($A18&gt;=Behaviours!F$34,$A18&lt;=Behaviours!F$35),(Behaviours!F$36*(VLOOKUP("Water",Report!$A$18:$L$34,'Actual-CO2 Calculations'!$AK20,FALSE))),0)</f>
        <v>0</v>
      </c>
      <c r="G18" s="71">
        <f>IF(AND($A18&gt;=Behaviours!G$34,$A18&lt;=Behaviours!G$35),(Behaviours!G$36*(VLOOKUP("Water",Report!$A$18:$L$34,'Actual-CO2 Calculations'!$AK20,FALSE))),0)</f>
        <v>0</v>
      </c>
      <c r="I18" s="664">
        <f t="shared" si="0"/>
        <v>0</v>
      </c>
    </row>
    <row r="19" spans="1:9">
      <c r="A19" s="66" t="s">
        <v>43</v>
      </c>
      <c r="B19" s="71">
        <f>IF(AND($A19&gt;=Behaviours!B$34,$A19&lt;=Behaviours!B$35),(Behaviours!B$36*(VLOOKUP("Water",Report!$A$18:$L$34,'Actual-CO2 Calculations'!$AK21,FALSE))),0)</f>
        <v>0</v>
      </c>
      <c r="C19" s="71">
        <f>IF(AND($A19&gt;=Behaviours!C$34,$A19&lt;=Behaviours!C$35),(Behaviours!C$36*(VLOOKUP("Water",Report!$A$18:$L$34,'Actual-CO2 Calculations'!$AK21,FALSE))),0)</f>
        <v>0</v>
      </c>
      <c r="D19" s="71">
        <f>IF(AND($A19&gt;=Behaviours!D$34,$A19&lt;=Behaviours!D$35),(Behaviours!D$36*(VLOOKUP("Water",Report!$A$18:$L$34,'Actual-CO2 Calculations'!$AK21,FALSE))),0)</f>
        <v>0</v>
      </c>
      <c r="E19" s="71">
        <f>IF(AND($A19&gt;=Behaviours!E$34,$A19&lt;=Behaviours!E$35),(Behaviours!E$36*(VLOOKUP("Water",Report!$A$18:$L$34,'Actual-CO2 Calculations'!$AK21,FALSE))),0)</f>
        <v>0</v>
      </c>
      <c r="F19" s="71">
        <f>IF(AND($A19&gt;=Behaviours!F$34,$A19&lt;=Behaviours!F$35),(Behaviours!F$36*(VLOOKUP("Water",Report!$A$18:$L$34,'Actual-CO2 Calculations'!$AK21,FALSE))),0)</f>
        <v>0</v>
      </c>
      <c r="G19" s="71">
        <f>IF(AND($A19&gt;=Behaviours!G$34,$A19&lt;=Behaviours!G$35),(Behaviours!G$36*(VLOOKUP("Water",Report!$A$18:$L$34,'Actual-CO2 Calculations'!$AK21,FALSE))),0)</f>
        <v>0</v>
      </c>
      <c r="I19" s="664">
        <f t="shared" si="0"/>
        <v>0</v>
      </c>
    </row>
    <row r="20" spans="1:9">
      <c r="A20" s="66" t="s">
        <v>44</v>
      </c>
      <c r="B20" s="71">
        <f>IF(AND($A20&gt;=Behaviours!B$34,$A20&lt;=Behaviours!B$35),(Behaviours!B$36*(VLOOKUP("Water",Report!$A$18:$L$34,'Actual-CO2 Calculations'!$AK22,FALSE))),0)</f>
        <v>0</v>
      </c>
      <c r="C20" s="71">
        <f>IF(AND($A20&gt;=Behaviours!C$34,$A20&lt;=Behaviours!C$35),(Behaviours!C$36*(VLOOKUP("Water",Report!$A$18:$L$34,'Actual-CO2 Calculations'!$AK22,FALSE))),0)</f>
        <v>0</v>
      </c>
      <c r="D20" s="71">
        <f>IF(AND($A20&gt;=Behaviours!D$34,$A20&lt;=Behaviours!D$35),(Behaviours!D$36*(VLOOKUP("Water",Report!$A$18:$L$34,'Actual-CO2 Calculations'!$AK22,FALSE))),0)</f>
        <v>0</v>
      </c>
      <c r="E20" s="71">
        <f>IF(AND($A20&gt;=Behaviours!E$34,$A20&lt;=Behaviours!E$35),(Behaviours!E$36*(VLOOKUP("Water",Report!$A$18:$L$34,'Actual-CO2 Calculations'!$AK22,FALSE))),0)</f>
        <v>0</v>
      </c>
      <c r="F20" s="71">
        <f>IF(AND($A20&gt;=Behaviours!F$34,$A20&lt;=Behaviours!F$35),(Behaviours!F$36*(VLOOKUP("Water",Report!$A$18:$L$34,'Actual-CO2 Calculations'!$AK22,FALSE))),0)</f>
        <v>0</v>
      </c>
      <c r="G20" s="71">
        <f>IF(AND($A20&gt;=Behaviours!G$34,$A20&lt;=Behaviours!G$35),(Behaviours!G$36*(VLOOKUP("Water",Report!$A$18:$L$34,'Actual-CO2 Calculations'!$AK22,FALSE))),0)</f>
        <v>0</v>
      </c>
      <c r="I20" s="664">
        <f t="shared" si="0"/>
        <v>0</v>
      </c>
    </row>
    <row r="21" spans="1:9">
      <c r="A21" s="66" t="s">
        <v>45</v>
      </c>
      <c r="B21" s="71">
        <f>IF(AND($A21&gt;=Behaviours!B$34,$A21&lt;=Behaviours!B$35),(Behaviours!B$36*(VLOOKUP("Water",Report!$A$18:$L$34,'Actual-CO2 Calculations'!$AK23,FALSE))),0)</f>
        <v>0</v>
      </c>
      <c r="C21" s="71">
        <f>IF(AND($A21&gt;=Behaviours!C$34,$A21&lt;=Behaviours!C$35),(Behaviours!C$36*(VLOOKUP("Water",Report!$A$18:$L$34,'Actual-CO2 Calculations'!$AK23,FALSE))),0)</f>
        <v>0</v>
      </c>
      <c r="D21" s="71">
        <f>IF(AND($A21&gt;=Behaviours!D$34,$A21&lt;=Behaviours!D$35),(Behaviours!D$36*(VLOOKUP("Water",Report!$A$18:$L$34,'Actual-CO2 Calculations'!$AK23,FALSE))),0)</f>
        <v>0</v>
      </c>
      <c r="E21" s="71">
        <f>IF(AND($A21&gt;=Behaviours!E$34,$A21&lt;=Behaviours!E$35),(Behaviours!E$36*(VLOOKUP("Water",Report!$A$18:$L$34,'Actual-CO2 Calculations'!$AK23,FALSE))),0)</f>
        <v>0</v>
      </c>
      <c r="F21" s="71">
        <f>IF(AND($A21&gt;=Behaviours!F$34,$A21&lt;=Behaviours!F$35),(Behaviours!F$36*(VLOOKUP("Water",Report!$A$18:$L$34,'Actual-CO2 Calculations'!$AK23,FALSE))),0)</f>
        <v>0</v>
      </c>
      <c r="G21" s="71">
        <f>IF(AND($A21&gt;=Behaviours!G$34,$A21&lt;=Behaviours!G$35),(Behaviours!G$36*(VLOOKUP("Water",Report!$A$18:$L$34,'Actual-CO2 Calculations'!$AK23,FALSE))),0)</f>
        <v>0</v>
      </c>
      <c r="I21" s="664">
        <f t="shared" si="0"/>
        <v>0</v>
      </c>
    </row>
    <row r="22" spans="1:9">
      <c r="A22" s="66" t="s">
        <v>46</v>
      </c>
      <c r="B22" s="71">
        <f>IF(AND($A22&gt;=Behaviours!B$34,$A22&lt;=Behaviours!B$35),(Behaviours!B$36*(VLOOKUP("Water",Report!$A$18:$L$34,'Actual-CO2 Calculations'!$AK24,FALSE))),0)</f>
        <v>0</v>
      </c>
      <c r="C22" s="71">
        <f>IF(AND($A22&gt;=Behaviours!C$34,$A22&lt;=Behaviours!C$35),(Behaviours!C$36*(VLOOKUP("Water",Report!$A$18:$L$34,'Actual-CO2 Calculations'!$AK24,FALSE))),0)</f>
        <v>0</v>
      </c>
      <c r="D22" s="71">
        <f>IF(AND($A22&gt;=Behaviours!D$34,$A22&lt;=Behaviours!D$35),(Behaviours!D$36*(VLOOKUP("Water",Report!$A$18:$L$34,'Actual-CO2 Calculations'!$AK24,FALSE))),0)</f>
        <v>0</v>
      </c>
      <c r="E22" s="71">
        <f>IF(AND($A22&gt;=Behaviours!E$34,$A22&lt;=Behaviours!E$35),(Behaviours!E$36*(VLOOKUP("Water",Report!$A$18:$L$34,'Actual-CO2 Calculations'!$AK24,FALSE))),0)</f>
        <v>0</v>
      </c>
      <c r="F22" s="71">
        <f>IF(AND($A22&gt;=Behaviours!F$34,$A22&lt;=Behaviours!F$35),(Behaviours!F$36*(VLOOKUP("Water",Report!$A$18:$L$34,'Actual-CO2 Calculations'!$AK24,FALSE))),0)</f>
        <v>0</v>
      </c>
      <c r="G22" s="71">
        <f>IF(AND($A22&gt;=Behaviours!G$34,$A22&lt;=Behaviours!G$35),(Behaviours!G$36*(VLOOKUP("Water",Report!$A$18:$L$34,'Actual-CO2 Calculations'!$AK24,FALSE))),0)</f>
        <v>0</v>
      </c>
      <c r="I22" s="664">
        <f t="shared" si="0"/>
        <v>0</v>
      </c>
    </row>
    <row r="23" spans="1:9">
      <c r="A23" s="66" t="s">
        <v>47</v>
      </c>
      <c r="B23" s="71">
        <f>IF(AND($A23&gt;=Behaviours!B$34,$A23&lt;=Behaviours!B$35),(Behaviours!B$36*(VLOOKUP("Water",Report!$A$18:$L$34,'Actual-CO2 Calculations'!$AK25,FALSE))),0)</f>
        <v>0</v>
      </c>
      <c r="C23" s="71">
        <f>IF(AND($A23&gt;=Behaviours!C$34,$A23&lt;=Behaviours!C$35),(Behaviours!C$36*(VLOOKUP("Water",Report!$A$18:$L$34,'Actual-CO2 Calculations'!$AK25,FALSE))),0)</f>
        <v>0</v>
      </c>
      <c r="D23" s="71">
        <f>IF(AND($A23&gt;=Behaviours!D$34,$A23&lt;=Behaviours!D$35),(Behaviours!D$36*(VLOOKUP("Water",Report!$A$18:$L$34,'Actual-CO2 Calculations'!$AK25,FALSE))),0)</f>
        <v>0</v>
      </c>
      <c r="E23" s="71">
        <f>IF(AND($A23&gt;=Behaviours!E$34,$A23&lt;=Behaviours!E$35),(Behaviours!E$36*(VLOOKUP("Water",Report!$A$18:$L$34,'Actual-CO2 Calculations'!$AK25,FALSE))),0)</f>
        <v>0</v>
      </c>
      <c r="F23" s="71">
        <f>IF(AND($A23&gt;=Behaviours!F$34,$A23&lt;=Behaviours!F$35),(Behaviours!F$36*(VLOOKUP("Water",Report!$A$18:$L$34,'Actual-CO2 Calculations'!$AK25,FALSE))),0)</f>
        <v>0</v>
      </c>
      <c r="G23" s="71">
        <f>IF(AND($A23&gt;=Behaviours!G$34,$A23&lt;=Behaviours!G$35),(Behaviours!G$36*(VLOOKUP("Water",Report!$A$18:$L$34,'Actual-CO2 Calculations'!$AK25,FALSE))),0)</f>
        <v>0</v>
      </c>
      <c r="I23" s="664">
        <f t="shared" si="0"/>
        <v>0</v>
      </c>
    </row>
    <row r="24" spans="1:9">
      <c r="A24" s="66" t="s">
        <v>48</v>
      </c>
      <c r="B24" s="71">
        <f>IF(AND($A24&gt;=Behaviours!B$34,$A24&lt;=Behaviours!B$35),(Behaviours!B$36*(VLOOKUP("Water",Report!$A$18:$L$34,'Actual-CO2 Calculations'!$AK26,FALSE))),0)</f>
        <v>0</v>
      </c>
      <c r="C24" s="71">
        <f>IF(AND($A24&gt;=Behaviours!C$34,$A24&lt;=Behaviours!C$35),(Behaviours!C$36*(VLOOKUP("Water",Report!$A$18:$L$34,'Actual-CO2 Calculations'!$AK26,FALSE))),0)</f>
        <v>0</v>
      </c>
      <c r="D24" s="71">
        <f>IF(AND($A24&gt;=Behaviours!D$34,$A24&lt;=Behaviours!D$35),(Behaviours!D$36*(VLOOKUP("Water",Report!$A$18:$L$34,'Actual-CO2 Calculations'!$AK26,FALSE))),0)</f>
        <v>0</v>
      </c>
      <c r="E24" s="71">
        <f>IF(AND($A24&gt;=Behaviours!E$34,$A24&lt;=Behaviours!E$35),(Behaviours!E$36*(VLOOKUP("Water",Report!$A$18:$L$34,'Actual-CO2 Calculations'!$AK26,FALSE))),0)</f>
        <v>0</v>
      </c>
      <c r="F24" s="71">
        <f>IF(AND($A24&gt;=Behaviours!F$34,$A24&lt;=Behaviours!F$35),(Behaviours!F$36*(VLOOKUP("Water",Report!$A$18:$L$34,'Actual-CO2 Calculations'!$AK26,FALSE))),0)</f>
        <v>0</v>
      </c>
      <c r="G24" s="71">
        <f>IF(AND($A24&gt;=Behaviours!G$34,$A24&lt;=Behaviours!G$35),(Behaviours!G$36*(VLOOKUP("Water",Report!$A$18:$L$34,'Actual-CO2 Calculations'!$AK26,FALSE))),0)</f>
        <v>0</v>
      </c>
      <c r="I24" s="664">
        <f t="shared" si="0"/>
        <v>0</v>
      </c>
    </row>
    <row r="25" spans="1:9">
      <c r="A25" s="66" t="s">
        <v>0</v>
      </c>
      <c r="B25" s="71">
        <f>IF(AND($A25&gt;=Behaviours!B$34,$A25&lt;=Behaviours!B$35),(Behaviours!B$36*(VLOOKUP("Water",Report!$A$18:$L$34,'Actual-CO2 Calculations'!$AK27,FALSE))),0)</f>
        <v>0</v>
      </c>
      <c r="C25" s="71">
        <f>IF(AND($A25&gt;=Behaviours!C$34,$A25&lt;=Behaviours!C$35),(Behaviours!C$36*(VLOOKUP("Water",Report!$A$18:$L$34,'Actual-CO2 Calculations'!$AK27,FALSE))),0)</f>
        <v>0</v>
      </c>
      <c r="D25" s="71">
        <f>IF(AND($A25&gt;=Behaviours!D$34,$A25&lt;=Behaviours!D$35),(Behaviours!D$36*(VLOOKUP("Water",Report!$A$18:$L$34,'Actual-CO2 Calculations'!$AK27,FALSE))),0)</f>
        <v>0</v>
      </c>
      <c r="E25" s="71">
        <f>IF(AND($A25&gt;=Behaviours!E$34,$A25&lt;=Behaviours!E$35),(Behaviours!E$36*(VLOOKUP("Water",Report!$A$18:$L$34,'Actual-CO2 Calculations'!$AK27,FALSE))),0)</f>
        <v>0</v>
      </c>
      <c r="F25" s="71">
        <f>IF(AND($A25&gt;=Behaviours!F$34,$A25&lt;=Behaviours!F$35),(Behaviours!F$36*(VLOOKUP("Water",Report!$A$18:$L$34,'Actual-CO2 Calculations'!$AK27,FALSE))),0)</f>
        <v>0</v>
      </c>
      <c r="G25" s="71">
        <f>IF(AND($A25&gt;=Behaviours!G$34,$A25&lt;=Behaviours!G$35),(Behaviours!G$36*(VLOOKUP("Water",Report!$A$18:$L$34,'Actual-CO2 Calculations'!$AK27,FALSE))),0)</f>
        <v>0</v>
      </c>
      <c r="I25" s="664">
        <f t="shared" si="0"/>
        <v>0</v>
      </c>
    </row>
    <row r="26" spans="1:9">
      <c r="A26" s="66" t="s">
        <v>1</v>
      </c>
      <c r="B26" s="71">
        <f>IF(AND($A26&gt;=Behaviours!B$34,$A26&lt;=Behaviours!B$35),(Behaviours!B$36*(VLOOKUP("Water",Report!$A$18:$L$34,'Actual-CO2 Calculations'!$AK28,FALSE))),0)</f>
        <v>0</v>
      </c>
      <c r="C26" s="71">
        <f>IF(AND($A26&gt;=Behaviours!C$34,$A26&lt;=Behaviours!C$35),(Behaviours!C$36*(VLOOKUP("Water",Report!$A$18:$L$34,'Actual-CO2 Calculations'!$AK28,FALSE))),0)</f>
        <v>0</v>
      </c>
      <c r="D26" s="71">
        <f>IF(AND($A26&gt;=Behaviours!D$34,$A26&lt;=Behaviours!D$35),(Behaviours!D$36*(VLOOKUP("Water",Report!$A$18:$L$34,'Actual-CO2 Calculations'!$AK28,FALSE))),0)</f>
        <v>0</v>
      </c>
      <c r="E26" s="71">
        <f>IF(AND($A26&gt;=Behaviours!E$34,$A26&lt;=Behaviours!E$35),(Behaviours!E$36*(VLOOKUP("Water",Report!$A$18:$L$34,'Actual-CO2 Calculations'!$AK28,FALSE))),0)</f>
        <v>0</v>
      </c>
      <c r="F26" s="71">
        <f>IF(AND($A26&gt;=Behaviours!F$34,$A26&lt;=Behaviours!F$35),(Behaviours!F$36*(VLOOKUP("Water",Report!$A$18:$L$34,'Actual-CO2 Calculations'!$AK28,FALSE))),0)</f>
        <v>0</v>
      </c>
      <c r="G26" s="71">
        <f>IF(AND($A26&gt;=Behaviours!G$34,$A26&lt;=Behaviours!G$35),(Behaviours!G$36*(VLOOKUP("Water",Report!$A$18:$L$34,'Actual-CO2 Calculations'!$AK28,FALSE))),0)</f>
        <v>0</v>
      </c>
      <c r="I26" s="664">
        <f t="shared" si="0"/>
        <v>0</v>
      </c>
    </row>
    <row r="27" spans="1:9">
      <c r="A27" s="66" t="s">
        <v>2</v>
      </c>
      <c r="B27" s="71">
        <f>IF(AND($A27&gt;=Behaviours!B$34,$A27&lt;=Behaviours!B$35),(Behaviours!B$36*(VLOOKUP("Water",Report!$A$18:$L$34,'Actual-CO2 Calculations'!$AK29,FALSE))),0)</f>
        <v>0</v>
      </c>
      <c r="C27" s="71">
        <f>IF(AND($A27&gt;=Behaviours!C$34,$A27&lt;=Behaviours!C$35),(Behaviours!C$36*(VLOOKUP("Water",Report!$A$18:$L$34,'Actual-CO2 Calculations'!$AK29,FALSE))),0)</f>
        <v>0</v>
      </c>
      <c r="D27" s="71">
        <f>IF(AND($A27&gt;=Behaviours!D$34,$A27&lt;=Behaviours!D$35),(Behaviours!D$36*(VLOOKUP("Water",Report!$A$18:$L$34,'Actual-CO2 Calculations'!$AK29,FALSE))),0)</f>
        <v>0</v>
      </c>
      <c r="E27" s="71">
        <f>IF(AND($A27&gt;=Behaviours!E$34,$A27&lt;=Behaviours!E$35),(Behaviours!E$36*(VLOOKUP("Water",Report!$A$18:$L$34,'Actual-CO2 Calculations'!$AK29,FALSE))),0)</f>
        <v>0</v>
      </c>
      <c r="F27" s="71">
        <f>IF(AND($A27&gt;=Behaviours!F$34,$A27&lt;=Behaviours!F$35),(Behaviours!F$36*(VLOOKUP("Water",Report!$A$18:$L$34,'Actual-CO2 Calculations'!$AK29,FALSE))),0)</f>
        <v>0</v>
      </c>
      <c r="G27" s="71">
        <f>IF(AND($A27&gt;=Behaviours!G$34,$A27&lt;=Behaviours!G$35),(Behaviours!G$36*(VLOOKUP("Water",Report!$A$18:$L$34,'Actual-CO2 Calculations'!$AK29,FALSE))),0)</f>
        <v>0</v>
      </c>
      <c r="I27" s="664">
        <f t="shared" si="0"/>
        <v>0</v>
      </c>
    </row>
    <row r="28" spans="1:9">
      <c r="A28" s="66" t="s">
        <v>3</v>
      </c>
      <c r="B28" s="71">
        <f>IF(AND($A28&gt;=Behaviours!B$34,$A28&lt;=Behaviours!B$35),(Behaviours!B$36*(VLOOKUP("Water",Report!$A$18:$L$34,'Actual-CO2 Calculations'!$AK30,FALSE))),0)</f>
        <v>0</v>
      </c>
      <c r="C28" s="71">
        <f>IF(AND($A28&gt;=Behaviours!C$34,$A28&lt;=Behaviours!C$35),(Behaviours!C$36*(VLOOKUP("Water",Report!$A$18:$L$34,'Actual-CO2 Calculations'!$AK30,FALSE))),0)</f>
        <v>0</v>
      </c>
      <c r="D28" s="71">
        <f>IF(AND($A28&gt;=Behaviours!D$34,$A28&lt;=Behaviours!D$35),(Behaviours!D$36*(VLOOKUP("Water",Report!$A$18:$L$34,'Actual-CO2 Calculations'!$AK30,FALSE))),0)</f>
        <v>0</v>
      </c>
      <c r="E28" s="71">
        <f>IF(AND($A28&gt;=Behaviours!E$34,$A28&lt;=Behaviours!E$35),(Behaviours!E$36*(VLOOKUP("Water",Report!$A$18:$L$34,'Actual-CO2 Calculations'!$AK30,FALSE))),0)</f>
        <v>0</v>
      </c>
      <c r="F28" s="71">
        <f>IF(AND($A28&gt;=Behaviours!F$34,$A28&lt;=Behaviours!F$35),(Behaviours!F$36*(VLOOKUP("Water",Report!$A$18:$L$34,'Actual-CO2 Calculations'!$AK30,FALSE))),0)</f>
        <v>0</v>
      </c>
      <c r="G28" s="71">
        <f>IF(AND($A28&gt;=Behaviours!G$34,$A28&lt;=Behaviours!G$35),(Behaviours!G$36*(VLOOKUP("Water",Report!$A$18:$L$34,'Actual-CO2 Calculations'!$AK30,FALSE))),0)</f>
        <v>0</v>
      </c>
      <c r="I28" s="664">
        <f t="shared" si="0"/>
        <v>0</v>
      </c>
    </row>
    <row r="29" spans="1:9">
      <c r="A29" s="66" t="s">
        <v>49</v>
      </c>
      <c r="B29" s="71">
        <f>IF(AND($A29&gt;=Behaviours!B$34,$A29&lt;=Behaviours!B$35),(Behaviours!B$36*(VLOOKUP("Water",Report!$A$18:$L$34,'Actual-CO2 Calculations'!$AK31,FALSE))),0)</f>
        <v>0</v>
      </c>
      <c r="C29" s="71">
        <f>IF(AND($A29&gt;=Behaviours!C$34,$A29&lt;=Behaviours!C$35),(Behaviours!C$36*(VLOOKUP("Water",Report!$A$18:$L$34,'Actual-CO2 Calculations'!$AK31,FALSE))),0)</f>
        <v>0</v>
      </c>
      <c r="D29" s="71">
        <f>IF(AND($A29&gt;=Behaviours!D$34,$A29&lt;=Behaviours!D$35),(Behaviours!D$36*(VLOOKUP("Water",Report!$A$18:$L$34,'Actual-CO2 Calculations'!$AK31,FALSE))),0)</f>
        <v>0</v>
      </c>
      <c r="E29" s="71">
        <f>IF(AND($A29&gt;=Behaviours!E$34,$A29&lt;=Behaviours!E$35),(Behaviours!E$36*(VLOOKUP("Water",Report!$A$18:$L$34,'Actual-CO2 Calculations'!$AK31,FALSE))),0)</f>
        <v>0</v>
      </c>
      <c r="F29" s="71">
        <f>IF(AND($A29&gt;=Behaviours!F$34,$A29&lt;=Behaviours!F$35),(Behaviours!F$36*(VLOOKUP("Water",Report!$A$18:$L$34,'Actual-CO2 Calculations'!$AK31,FALSE))),0)</f>
        <v>0</v>
      </c>
      <c r="G29" s="71">
        <f>IF(AND($A29&gt;=Behaviours!G$34,$A29&lt;=Behaviours!G$35),(Behaviours!G$36*(VLOOKUP("Water",Report!$A$18:$L$34,'Actual-CO2 Calculations'!$AK31,FALSE))),0)</f>
        <v>0</v>
      </c>
      <c r="I29" s="664">
        <f t="shared" si="0"/>
        <v>0</v>
      </c>
    </row>
    <row r="30" spans="1:9">
      <c r="A30" s="66" t="s">
        <v>50</v>
      </c>
      <c r="B30" s="71">
        <f>IF(AND($A30&gt;=Behaviours!B$34,$A30&lt;=Behaviours!B$35),(Behaviours!B$36*(VLOOKUP("Water",Report!$A$18:$L$34,'Actual-CO2 Calculations'!$AK32,FALSE))),0)</f>
        <v>0</v>
      </c>
      <c r="C30" s="71">
        <f>IF(AND($A30&gt;=Behaviours!C$34,$A30&lt;=Behaviours!C$35),(Behaviours!C$36*(VLOOKUP("Water",Report!$A$18:$L$34,'Actual-CO2 Calculations'!$AK32,FALSE))),0)</f>
        <v>0</v>
      </c>
      <c r="D30" s="71">
        <f>IF(AND($A30&gt;=Behaviours!D$34,$A30&lt;=Behaviours!D$35),(Behaviours!D$36*(VLOOKUP("Water",Report!$A$18:$L$34,'Actual-CO2 Calculations'!$AK32,FALSE))),0)</f>
        <v>0</v>
      </c>
      <c r="E30" s="71">
        <f>IF(AND($A30&gt;=Behaviours!E$34,$A30&lt;=Behaviours!E$35),(Behaviours!E$36*(VLOOKUP("Water",Report!$A$18:$L$34,'Actual-CO2 Calculations'!$AK32,FALSE))),0)</f>
        <v>0</v>
      </c>
      <c r="F30" s="71">
        <f>IF(AND($A30&gt;=Behaviours!F$34,$A30&lt;=Behaviours!F$35),(Behaviours!F$36*(VLOOKUP("Water",Report!$A$18:$L$34,'Actual-CO2 Calculations'!$AK32,FALSE))),0)</f>
        <v>0</v>
      </c>
      <c r="G30" s="71">
        <f>IF(AND($A30&gt;=Behaviours!G$34,$A30&lt;=Behaviours!G$35),(Behaviours!G$36*(VLOOKUP("Water",Report!$A$18:$L$34,'Actual-CO2 Calculations'!$AK32,FALSE))),0)</f>
        <v>0</v>
      </c>
      <c r="I30" s="664">
        <f t="shared" si="0"/>
        <v>0</v>
      </c>
    </row>
    <row r="31" spans="1:9">
      <c r="A31" s="66" t="s">
        <v>51</v>
      </c>
      <c r="B31" s="71">
        <f>IF(AND($A31&gt;=Behaviours!B$34,$A31&lt;=Behaviours!B$35),(Behaviours!B$36*(VLOOKUP("Water",Report!$A$18:$L$34,'Actual-CO2 Calculations'!$AK33,FALSE))),0)</f>
        <v>0</v>
      </c>
      <c r="C31" s="71">
        <f>IF(AND($A31&gt;=Behaviours!C$34,$A31&lt;=Behaviours!C$35),(Behaviours!C$36*(VLOOKUP("Water",Report!$A$18:$L$34,'Actual-CO2 Calculations'!$AK33,FALSE))),0)</f>
        <v>0</v>
      </c>
      <c r="D31" s="71">
        <f>IF(AND($A31&gt;=Behaviours!D$34,$A31&lt;=Behaviours!D$35),(Behaviours!D$36*(VLOOKUP("Water",Report!$A$18:$L$34,'Actual-CO2 Calculations'!$AK33,FALSE))),0)</f>
        <v>0</v>
      </c>
      <c r="E31" s="71">
        <f>IF(AND($A31&gt;=Behaviours!E$34,$A31&lt;=Behaviours!E$35),(Behaviours!E$36*(VLOOKUP("Water",Report!$A$18:$L$34,'Actual-CO2 Calculations'!$AK33,FALSE))),0)</f>
        <v>0</v>
      </c>
      <c r="F31" s="71">
        <f>IF(AND($A31&gt;=Behaviours!F$34,$A31&lt;=Behaviours!F$35),(Behaviours!F$36*(VLOOKUP("Water",Report!$A$18:$L$34,'Actual-CO2 Calculations'!$AK33,FALSE))),0)</f>
        <v>0</v>
      </c>
      <c r="G31" s="71">
        <f>IF(AND($A31&gt;=Behaviours!G$34,$A31&lt;=Behaviours!G$35),(Behaviours!G$36*(VLOOKUP("Water",Report!$A$18:$L$34,'Actual-CO2 Calculations'!$AK33,FALSE))),0)</f>
        <v>0</v>
      </c>
      <c r="I31" s="664">
        <f t="shared" si="0"/>
        <v>0</v>
      </c>
    </row>
    <row r="32" spans="1:9">
      <c r="A32" s="66" t="s">
        <v>52</v>
      </c>
      <c r="B32" s="71">
        <f>IF(AND($A32&gt;=Behaviours!B$34,$A32&lt;=Behaviours!B$35),(Behaviours!B$36*(VLOOKUP("Water",Report!$A$18:$L$34,'Actual-CO2 Calculations'!$AK34,FALSE))),0)</f>
        <v>0</v>
      </c>
      <c r="C32" s="71">
        <f>IF(AND($A32&gt;=Behaviours!C$34,$A32&lt;=Behaviours!C$35),(Behaviours!C$36*(VLOOKUP("Water",Report!$A$18:$L$34,'Actual-CO2 Calculations'!$AK34,FALSE))),0)</f>
        <v>0</v>
      </c>
      <c r="D32" s="71">
        <f>IF(AND($A32&gt;=Behaviours!D$34,$A32&lt;=Behaviours!D$35),(Behaviours!D$36*(VLOOKUP("Water",Report!$A$18:$L$34,'Actual-CO2 Calculations'!$AK34,FALSE))),0)</f>
        <v>0</v>
      </c>
      <c r="E32" s="71">
        <f>IF(AND($A32&gt;=Behaviours!E$34,$A32&lt;=Behaviours!E$35),(Behaviours!E$36*(VLOOKUP("Water",Report!$A$18:$L$34,'Actual-CO2 Calculations'!$AK34,FALSE))),0)</f>
        <v>0</v>
      </c>
      <c r="F32" s="71">
        <f>IF(AND($A32&gt;=Behaviours!F$34,$A32&lt;=Behaviours!F$35),(Behaviours!F$36*(VLOOKUP("Water",Report!$A$18:$L$34,'Actual-CO2 Calculations'!$AK34,FALSE))),0)</f>
        <v>0</v>
      </c>
      <c r="G32" s="71">
        <f>IF(AND($A32&gt;=Behaviours!G$34,$A32&lt;=Behaviours!G$35),(Behaviours!G$36*(VLOOKUP("Water",Report!$A$18:$L$34,'Actual-CO2 Calculations'!$AK34,FALSE))),0)</f>
        <v>0</v>
      </c>
      <c r="I32" s="664">
        <f t="shared" si="0"/>
        <v>0</v>
      </c>
    </row>
    <row r="33" spans="1:9">
      <c r="A33" s="66" t="s">
        <v>53</v>
      </c>
      <c r="B33" s="71">
        <f>IF(AND($A33&gt;=Behaviours!B$34,$A33&lt;=Behaviours!B$35),(Behaviours!B$36*(VLOOKUP("Water",Report!$A$18:$L$34,'Actual-CO2 Calculations'!$AK35,FALSE))),0)</f>
        <v>0</v>
      </c>
      <c r="C33" s="71">
        <f>IF(AND($A33&gt;=Behaviours!C$34,$A33&lt;=Behaviours!C$35),(Behaviours!C$36*(VLOOKUP("Water",Report!$A$18:$L$34,'Actual-CO2 Calculations'!$AK35,FALSE))),0)</f>
        <v>0</v>
      </c>
      <c r="D33" s="71">
        <f>IF(AND($A33&gt;=Behaviours!D$34,$A33&lt;=Behaviours!D$35),(Behaviours!D$36*(VLOOKUP("Water",Report!$A$18:$L$34,'Actual-CO2 Calculations'!$AK35,FALSE))),0)</f>
        <v>0</v>
      </c>
      <c r="E33" s="71">
        <f>IF(AND($A33&gt;=Behaviours!E$34,$A33&lt;=Behaviours!E$35),(Behaviours!E$36*(VLOOKUP("Water",Report!$A$18:$L$34,'Actual-CO2 Calculations'!$AK35,FALSE))),0)</f>
        <v>0</v>
      </c>
      <c r="F33" s="71">
        <f>IF(AND($A33&gt;=Behaviours!F$34,$A33&lt;=Behaviours!F$35),(Behaviours!F$36*(VLOOKUP("Water",Report!$A$18:$L$34,'Actual-CO2 Calculations'!$AK35,FALSE))),0)</f>
        <v>0</v>
      </c>
      <c r="G33" s="71">
        <f>IF(AND($A33&gt;=Behaviours!G$34,$A33&lt;=Behaviours!G$35),(Behaviours!G$36*(VLOOKUP("Water",Report!$A$18:$L$34,'Actual-CO2 Calculations'!$AK35,FALSE))),0)</f>
        <v>0</v>
      </c>
      <c r="I33" s="664">
        <f t="shared" si="0"/>
        <v>0</v>
      </c>
    </row>
    <row r="34" spans="1:9">
      <c r="A34" s="66" t="s">
        <v>54</v>
      </c>
      <c r="B34" s="71">
        <f>IF(AND($A34&gt;=Behaviours!B$34,$A34&lt;=Behaviours!B$35),(Behaviours!B$36*(VLOOKUP("Water",Report!$A$18:$L$34,'Actual-CO2 Calculations'!$AK36,FALSE))),0)</f>
        <v>0</v>
      </c>
      <c r="C34" s="71">
        <f>IF(AND($A34&gt;=Behaviours!C$34,$A34&lt;=Behaviours!C$35),(Behaviours!C$36*(VLOOKUP("Water",Report!$A$18:$L$34,'Actual-CO2 Calculations'!$AK36,FALSE))),0)</f>
        <v>0</v>
      </c>
      <c r="D34" s="71">
        <f>IF(AND($A34&gt;=Behaviours!D$34,$A34&lt;=Behaviours!D$35),(Behaviours!D$36*(VLOOKUP("Water",Report!$A$18:$L$34,'Actual-CO2 Calculations'!$AK36,FALSE))),0)</f>
        <v>0</v>
      </c>
      <c r="E34" s="71">
        <f>IF(AND($A34&gt;=Behaviours!E$34,$A34&lt;=Behaviours!E$35),(Behaviours!E$36*(VLOOKUP("Water",Report!$A$18:$L$34,'Actual-CO2 Calculations'!$AK36,FALSE))),0)</f>
        <v>0</v>
      </c>
      <c r="F34" s="71">
        <f>IF(AND($A34&gt;=Behaviours!F$34,$A34&lt;=Behaviours!F$35),(Behaviours!F$36*(VLOOKUP("Water",Report!$A$18:$L$34,'Actual-CO2 Calculations'!$AK36,FALSE))),0)</f>
        <v>0</v>
      </c>
      <c r="G34" s="71">
        <f>IF(AND($A34&gt;=Behaviours!G$34,$A34&lt;=Behaviours!G$35),(Behaviours!G$36*(VLOOKUP("Water",Report!$A$18:$L$34,'Actual-CO2 Calculations'!$AK36,FALSE))),0)</f>
        <v>0</v>
      </c>
      <c r="I34" s="664">
        <f t="shared" si="0"/>
        <v>0</v>
      </c>
    </row>
    <row r="35" spans="1:9">
      <c r="A35" s="66" t="s">
        <v>55</v>
      </c>
      <c r="B35" s="71">
        <f>IF(AND($A35&gt;=Behaviours!B$34,$A35&lt;=Behaviours!B$35),(Behaviours!B$36*(VLOOKUP("Water",Report!$A$18:$L$34,'Actual-CO2 Calculations'!$AK37,FALSE))),0)</f>
        <v>0</v>
      </c>
      <c r="C35" s="71">
        <f>IF(AND($A35&gt;=Behaviours!C$34,$A35&lt;=Behaviours!C$35),(Behaviours!C$36*(VLOOKUP("Water",Report!$A$18:$L$34,'Actual-CO2 Calculations'!$AK37,FALSE))),0)</f>
        <v>0</v>
      </c>
      <c r="D35" s="71">
        <f>IF(AND($A35&gt;=Behaviours!D$34,$A35&lt;=Behaviours!D$35),(Behaviours!D$36*(VLOOKUP("Water",Report!$A$18:$L$34,'Actual-CO2 Calculations'!$AK37,FALSE))),0)</f>
        <v>0</v>
      </c>
      <c r="E35" s="71">
        <f>IF(AND($A35&gt;=Behaviours!E$34,$A35&lt;=Behaviours!E$35),(Behaviours!E$36*(VLOOKUP("Water",Report!$A$18:$L$34,'Actual-CO2 Calculations'!$AK37,FALSE))),0)</f>
        <v>0</v>
      </c>
      <c r="F35" s="71">
        <f>IF(AND($A35&gt;=Behaviours!F$34,$A35&lt;=Behaviours!F$35),(Behaviours!F$36*(VLOOKUP("Water",Report!$A$18:$L$34,'Actual-CO2 Calculations'!$AK37,FALSE))),0)</f>
        <v>0</v>
      </c>
      <c r="G35" s="71">
        <f>IF(AND($A35&gt;=Behaviours!G$34,$A35&lt;=Behaviours!G$35),(Behaviours!G$36*(VLOOKUP("Water",Report!$A$18:$L$34,'Actual-CO2 Calculations'!$AK37,FALSE))),0)</f>
        <v>0</v>
      </c>
      <c r="I35" s="664">
        <f t="shared" si="0"/>
        <v>0</v>
      </c>
    </row>
    <row r="36" spans="1:9">
      <c r="A36" s="66" t="s">
        <v>56</v>
      </c>
      <c r="B36" s="71">
        <f>IF(AND($A36&gt;=Behaviours!B$34,$A36&lt;=Behaviours!B$35),(Behaviours!B$36*(VLOOKUP("Water",Report!$A$18:$L$34,'Actual-CO2 Calculations'!$AK38,FALSE))),0)</f>
        <v>0</v>
      </c>
      <c r="C36" s="71">
        <f>IF(AND($A36&gt;=Behaviours!C$34,$A36&lt;=Behaviours!C$35),(Behaviours!C$36*(VLOOKUP("Water",Report!$A$18:$L$34,'Actual-CO2 Calculations'!$AK38,FALSE))),0)</f>
        <v>0</v>
      </c>
      <c r="D36" s="71">
        <f>IF(AND($A36&gt;=Behaviours!D$34,$A36&lt;=Behaviours!D$35),(Behaviours!D$36*(VLOOKUP("Water",Report!$A$18:$L$34,'Actual-CO2 Calculations'!$AK38,FALSE))),0)</f>
        <v>0</v>
      </c>
      <c r="E36" s="71">
        <f>IF(AND($A36&gt;=Behaviours!E$34,$A36&lt;=Behaviours!E$35),(Behaviours!E$36*(VLOOKUP("Water",Report!$A$18:$L$34,'Actual-CO2 Calculations'!$AK38,FALSE))),0)</f>
        <v>0</v>
      </c>
      <c r="F36" s="71">
        <f>IF(AND($A36&gt;=Behaviours!F$34,$A36&lt;=Behaviours!F$35),(Behaviours!F$36*(VLOOKUP("Water",Report!$A$18:$L$34,'Actual-CO2 Calculations'!$AK38,FALSE))),0)</f>
        <v>0</v>
      </c>
      <c r="G36" s="71">
        <f>IF(AND($A36&gt;=Behaviours!G$34,$A36&lt;=Behaviours!G$35),(Behaviours!G$36*(VLOOKUP("Water",Report!$A$18:$L$34,'Actual-CO2 Calculations'!$AK38,FALSE))),0)</f>
        <v>0</v>
      </c>
      <c r="I36" s="664">
        <f t="shared" si="0"/>
        <v>0</v>
      </c>
    </row>
    <row r="37" spans="1:9">
      <c r="A37" s="66" t="s">
        <v>57</v>
      </c>
      <c r="B37" s="71">
        <f>IF(AND($A37&gt;=Behaviours!B$34,$A37&lt;=Behaviours!B$35),(Behaviours!B$36*(VLOOKUP("Water",Report!$A$18:$L$34,'Actual-CO2 Calculations'!$AK39,FALSE))),0)</f>
        <v>0</v>
      </c>
      <c r="C37" s="71">
        <f>IF(AND($A37&gt;=Behaviours!C$34,$A37&lt;=Behaviours!C$35),(Behaviours!C$36*(VLOOKUP("Water",Report!$A$18:$L$34,'Actual-CO2 Calculations'!$AK39,FALSE))),0)</f>
        <v>0</v>
      </c>
      <c r="D37" s="71">
        <f>IF(AND($A37&gt;=Behaviours!D$34,$A37&lt;=Behaviours!D$35),(Behaviours!D$36*(VLOOKUP("Water",Report!$A$18:$L$34,'Actual-CO2 Calculations'!$AK39,FALSE))),0)</f>
        <v>0</v>
      </c>
      <c r="E37" s="71">
        <f>IF(AND($A37&gt;=Behaviours!E$34,$A37&lt;=Behaviours!E$35),(Behaviours!E$36*(VLOOKUP("Water",Report!$A$18:$L$34,'Actual-CO2 Calculations'!$AK39,FALSE))),0)</f>
        <v>0</v>
      </c>
      <c r="F37" s="71">
        <f>IF(AND($A37&gt;=Behaviours!F$34,$A37&lt;=Behaviours!F$35),(Behaviours!F$36*(VLOOKUP("Water",Report!$A$18:$L$34,'Actual-CO2 Calculations'!$AK39,FALSE))),0)</f>
        <v>0</v>
      </c>
      <c r="G37" s="71">
        <f>IF(AND($A37&gt;=Behaviours!G$34,$A37&lt;=Behaviours!G$35),(Behaviours!G$36*(VLOOKUP("Water",Report!$A$18:$L$34,'Actual-CO2 Calculations'!$AK39,FALSE))),0)</f>
        <v>0</v>
      </c>
      <c r="I37" s="664">
        <f t="shared" si="0"/>
        <v>0</v>
      </c>
    </row>
    <row r="38" spans="1:9">
      <c r="A38" s="66" t="s">
        <v>4</v>
      </c>
      <c r="B38" s="71">
        <f>IF(AND($A38&gt;=Behaviours!B$34,$A38&lt;=Behaviours!B$35),(Behaviours!B$36*(VLOOKUP("Water",Report!$A$18:$L$34,'Actual-CO2 Calculations'!$AK40,FALSE))),0)</f>
        <v>0</v>
      </c>
      <c r="C38" s="71">
        <f>IF(AND($A38&gt;=Behaviours!C$34,$A38&lt;=Behaviours!C$35),(Behaviours!C$36*(VLOOKUP("Water",Report!$A$18:$L$34,'Actual-CO2 Calculations'!$AK40,FALSE))),0)</f>
        <v>0</v>
      </c>
      <c r="D38" s="71">
        <f>IF(AND($A38&gt;=Behaviours!D$34,$A38&lt;=Behaviours!D$35),(Behaviours!D$36*(VLOOKUP("Water",Report!$A$18:$L$34,'Actual-CO2 Calculations'!$AK40,FALSE))),0)</f>
        <v>0</v>
      </c>
      <c r="E38" s="71">
        <f>IF(AND($A38&gt;=Behaviours!E$34,$A38&lt;=Behaviours!E$35),(Behaviours!E$36*(VLOOKUP("Water",Report!$A$18:$L$34,'Actual-CO2 Calculations'!$AK40,FALSE))),0)</f>
        <v>0</v>
      </c>
      <c r="F38" s="71">
        <f>IF(AND($A38&gt;=Behaviours!F$34,$A38&lt;=Behaviours!F$35),(Behaviours!F$36*(VLOOKUP("Water",Report!$A$18:$L$34,'Actual-CO2 Calculations'!$AK40,FALSE))),0)</f>
        <v>0</v>
      </c>
      <c r="G38" s="71">
        <f>IF(AND($A38&gt;=Behaviours!G$34,$A38&lt;=Behaviours!G$35),(Behaviours!G$36*(VLOOKUP("Water",Report!$A$18:$L$34,'Actual-CO2 Calculations'!$AK40,FALSE))),0)</f>
        <v>0</v>
      </c>
      <c r="I38" s="664">
        <f t="shared" si="0"/>
        <v>0</v>
      </c>
    </row>
    <row r="39" spans="1:9">
      <c r="A39" s="66" t="s">
        <v>5</v>
      </c>
      <c r="B39" s="71">
        <f>IF(AND($A39&gt;=Behaviours!B$34,$A39&lt;=Behaviours!B$35),(Behaviours!B$36*(VLOOKUP("Water",Report!$A$18:$L$34,'Actual-CO2 Calculations'!$AK41,FALSE))),0)</f>
        <v>0</v>
      </c>
      <c r="C39" s="71">
        <f>IF(AND($A39&gt;=Behaviours!C$34,$A39&lt;=Behaviours!C$35),(Behaviours!C$36*(VLOOKUP("Water",Report!$A$18:$L$34,'Actual-CO2 Calculations'!$AK41,FALSE))),0)</f>
        <v>0</v>
      </c>
      <c r="D39" s="71">
        <f>IF(AND($A39&gt;=Behaviours!D$34,$A39&lt;=Behaviours!D$35),(Behaviours!D$36*(VLOOKUP("Water",Report!$A$18:$L$34,'Actual-CO2 Calculations'!$AK41,FALSE))),0)</f>
        <v>0</v>
      </c>
      <c r="E39" s="71">
        <f>IF(AND($A39&gt;=Behaviours!E$34,$A39&lt;=Behaviours!E$35),(Behaviours!E$36*(VLOOKUP("Water",Report!$A$18:$L$34,'Actual-CO2 Calculations'!$AK41,FALSE))),0)</f>
        <v>0</v>
      </c>
      <c r="F39" s="71">
        <f>IF(AND($A39&gt;=Behaviours!F$34,$A39&lt;=Behaviours!F$35),(Behaviours!F$36*(VLOOKUP("Water",Report!$A$18:$L$34,'Actual-CO2 Calculations'!$AK41,FALSE))),0)</f>
        <v>0</v>
      </c>
      <c r="G39" s="71">
        <f>IF(AND($A39&gt;=Behaviours!G$34,$A39&lt;=Behaviours!G$35),(Behaviours!G$36*(VLOOKUP("Water",Report!$A$18:$L$34,'Actual-CO2 Calculations'!$AK41,FALSE))),0)</f>
        <v>0</v>
      </c>
      <c r="I39" s="664">
        <f t="shared" si="0"/>
        <v>0</v>
      </c>
    </row>
    <row r="40" spans="1:9">
      <c r="A40" s="66" t="s">
        <v>6</v>
      </c>
      <c r="B40" s="71">
        <f>IF(AND($A40&gt;=Behaviours!B$34,$A40&lt;=Behaviours!B$35),(Behaviours!B$36*(VLOOKUP("Water",Report!$A$18:$L$34,'Actual-CO2 Calculations'!$AK42,FALSE))),0)</f>
        <v>0</v>
      </c>
      <c r="C40" s="71">
        <f>IF(AND($A40&gt;=Behaviours!C$34,$A40&lt;=Behaviours!C$35),(Behaviours!C$36*(VLOOKUP("Water",Report!$A$18:$L$34,'Actual-CO2 Calculations'!$AK42,FALSE))),0)</f>
        <v>0</v>
      </c>
      <c r="D40" s="71">
        <f>IF(AND($A40&gt;=Behaviours!D$34,$A40&lt;=Behaviours!D$35),(Behaviours!D$36*(VLOOKUP("Water",Report!$A$18:$L$34,'Actual-CO2 Calculations'!$AK42,FALSE))),0)</f>
        <v>0</v>
      </c>
      <c r="E40" s="71">
        <f>IF(AND($A40&gt;=Behaviours!E$34,$A40&lt;=Behaviours!E$35),(Behaviours!E$36*(VLOOKUP("Water",Report!$A$18:$L$34,'Actual-CO2 Calculations'!$AK42,FALSE))),0)</f>
        <v>0</v>
      </c>
      <c r="F40" s="71">
        <f>IF(AND($A40&gt;=Behaviours!F$34,$A40&lt;=Behaviours!F$35),(Behaviours!F$36*(VLOOKUP("Water",Report!$A$18:$L$34,'Actual-CO2 Calculations'!$AK42,FALSE))),0)</f>
        <v>0</v>
      </c>
      <c r="G40" s="71">
        <f>IF(AND($A40&gt;=Behaviours!G$34,$A40&lt;=Behaviours!G$35),(Behaviours!G$36*(VLOOKUP("Water",Report!$A$18:$L$34,'Actual-CO2 Calculations'!$AK42,FALSE))),0)</f>
        <v>0</v>
      </c>
      <c r="I40" s="664">
        <f t="shared" si="0"/>
        <v>0</v>
      </c>
    </row>
    <row r="41" spans="1:9">
      <c r="A41" s="66" t="s">
        <v>7</v>
      </c>
      <c r="B41" s="71">
        <f>IF(AND($A41&gt;=Behaviours!B$34,$A41&lt;=Behaviours!B$35),(Behaviours!B$36*(VLOOKUP("Water",Report!$A$18:$L$34,'Actual-CO2 Calculations'!$AK43,FALSE))),0)</f>
        <v>0</v>
      </c>
      <c r="C41" s="71">
        <f>IF(AND($A41&gt;=Behaviours!C$34,$A41&lt;=Behaviours!C$35),(Behaviours!C$36*(VLOOKUP("Water",Report!$A$18:$L$34,'Actual-CO2 Calculations'!$AK43,FALSE))),0)</f>
        <v>0</v>
      </c>
      <c r="D41" s="71">
        <f>IF(AND($A41&gt;=Behaviours!D$34,$A41&lt;=Behaviours!D$35),(Behaviours!D$36*(VLOOKUP("Water",Report!$A$18:$L$34,'Actual-CO2 Calculations'!$AK43,FALSE))),0)</f>
        <v>0</v>
      </c>
      <c r="E41" s="71">
        <f>IF(AND($A41&gt;=Behaviours!E$34,$A41&lt;=Behaviours!E$35),(Behaviours!E$36*(VLOOKUP("Water",Report!$A$18:$L$34,'Actual-CO2 Calculations'!$AK43,FALSE))),0)</f>
        <v>0</v>
      </c>
      <c r="F41" s="71">
        <f>IF(AND($A41&gt;=Behaviours!F$34,$A41&lt;=Behaviours!F$35),(Behaviours!F$36*(VLOOKUP("Water",Report!$A$18:$L$34,'Actual-CO2 Calculations'!$AK43,FALSE))),0)</f>
        <v>0</v>
      </c>
      <c r="G41" s="71">
        <f>IF(AND($A41&gt;=Behaviours!G$34,$A41&lt;=Behaviours!G$35),(Behaviours!G$36*(VLOOKUP("Water",Report!$A$18:$L$34,'Actual-CO2 Calculations'!$AK43,FALSE))),0)</f>
        <v>0</v>
      </c>
      <c r="I41" s="664">
        <f t="shared" si="0"/>
        <v>0</v>
      </c>
    </row>
    <row r="42" spans="1:9">
      <c r="A42" s="66" t="s">
        <v>58</v>
      </c>
      <c r="B42" s="71">
        <f>IF(AND($A42&gt;=Behaviours!B$34,$A42&lt;=Behaviours!B$35),(Behaviours!B$36*(VLOOKUP("Water",Report!$A$18:$L$34,'Actual-CO2 Calculations'!$AK44,FALSE))),0)</f>
        <v>0</v>
      </c>
      <c r="C42" s="71">
        <f>IF(AND($A42&gt;=Behaviours!C$34,$A42&lt;=Behaviours!C$35),(Behaviours!C$36*(VLOOKUP("Water",Report!$A$18:$L$34,'Actual-CO2 Calculations'!$AK44,FALSE))),0)</f>
        <v>0</v>
      </c>
      <c r="D42" s="71">
        <f>IF(AND($A42&gt;=Behaviours!D$34,$A42&lt;=Behaviours!D$35),(Behaviours!D$36*(VLOOKUP("Water",Report!$A$18:$L$34,'Actual-CO2 Calculations'!$AK44,FALSE))),0)</f>
        <v>0</v>
      </c>
      <c r="E42" s="71">
        <f>IF(AND($A42&gt;=Behaviours!E$34,$A42&lt;=Behaviours!E$35),(Behaviours!E$36*(VLOOKUP("Water",Report!$A$18:$L$34,'Actual-CO2 Calculations'!$AK44,FALSE))),0)</f>
        <v>0</v>
      </c>
      <c r="F42" s="71">
        <f>IF(AND($A42&gt;=Behaviours!F$34,$A42&lt;=Behaviours!F$35),(Behaviours!F$36*(VLOOKUP("Water",Report!$A$18:$L$34,'Actual-CO2 Calculations'!$AK44,FALSE))),0)</f>
        <v>0</v>
      </c>
      <c r="G42" s="71">
        <f>IF(AND($A42&gt;=Behaviours!G$34,$A42&lt;=Behaviours!G$35),(Behaviours!G$36*(VLOOKUP("Water",Report!$A$18:$L$34,'Actual-CO2 Calculations'!$AK44,FALSE))),0)</f>
        <v>0</v>
      </c>
      <c r="I42" s="664">
        <f t="shared" si="0"/>
        <v>0</v>
      </c>
    </row>
    <row r="43" spans="1:9">
      <c r="A43" s="66" t="s">
        <v>59</v>
      </c>
      <c r="B43" s="71">
        <f>IF(AND($A43&gt;=Behaviours!B$34,$A43&lt;=Behaviours!B$35),(Behaviours!B$36*(VLOOKUP("Water",Report!$A$18:$L$34,'Actual-CO2 Calculations'!$AK45,FALSE))),0)</f>
        <v>0</v>
      </c>
      <c r="C43" s="71">
        <f>IF(AND($A43&gt;=Behaviours!C$34,$A43&lt;=Behaviours!C$35),(Behaviours!C$36*(VLOOKUP("Water",Report!$A$18:$L$34,'Actual-CO2 Calculations'!$AK45,FALSE))),0)</f>
        <v>0</v>
      </c>
      <c r="D43" s="71">
        <f>IF(AND($A43&gt;=Behaviours!D$34,$A43&lt;=Behaviours!D$35),(Behaviours!D$36*(VLOOKUP("Water",Report!$A$18:$L$34,'Actual-CO2 Calculations'!$AK45,FALSE))),0)</f>
        <v>0</v>
      </c>
      <c r="E43" s="71">
        <f>IF(AND($A43&gt;=Behaviours!E$34,$A43&lt;=Behaviours!E$35),(Behaviours!E$36*(VLOOKUP("Water",Report!$A$18:$L$34,'Actual-CO2 Calculations'!$AK45,FALSE))),0)</f>
        <v>0</v>
      </c>
      <c r="F43" s="71">
        <f>IF(AND($A43&gt;=Behaviours!F$34,$A43&lt;=Behaviours!F$35),(Behaviours!F$36*(VLOOKUP("Water",Report!$A$18:$L$34,'Actual-CO2 Calculations'!$AK45,FALSE))),0)</f>
        <v>0</v>
      </c>
      <c r="G43" s="71">
        <f>IF(AND($A43&gt;=Behaviours!G$34,$A43&lt;=Behaviours!G$35),(Behaviours!G$36*(VLOOKUP("Water",Report!$A$18:$L$34,'Actual-CO2 Calculations'!$AK45,FALSE))),0)</f>
        <v>0</v>
      </c>
      <c r="I43" s="664">
        <f t="shared" si="0"/>
        <v>0</v>
      </c>
    </row>
    <row r="44" spans="1:9">
      <c r="A44" s="66" t="s">
        <v>60</v>
      </c>
      <c r="B44" s="71">
        <f>IF(AND($A44&gt;=Behaviours!B$34,$A44&lt;=Behaviours!B$35),(Behaviours!B$36*(VLOOKUP("Water",Report!$A$18:$L$34,'Actual-CO2 Calculations'!$AK46,FALSE))),0)</f>
        <v>0</v>
      </c>
      <c r="C44" s="71">
        <f>IF(AND($A44&gt;=Behaviours!C$34,$A44&lt;=Behaviours!C$35),(Behaviours!C$36*(VLOOKUP("Water",Report!$A$18:$L$34,'Actual-CO2 Calculations'!$AK46,FALSE))),0)</f>
        <v>0</v>
      </c>
      <c r="D44" s="71">
        <f>IF(AND($A44&gt;=Behaviours!D$34,$A44&lt;=Behaviours!D$35),(Behaviours!D$36*(VLOOKUP("Water",Report!$A$18:$L$34,'Actual-CO2 Calculations'!$AK46,FALSE))),0)</f>
        <v>0</v>
      </c>
      <c r="E44" s="71">
        <f>IF(AND($A44&gt;=Behaviours!E$34,$A44&lt;=Behaviours!E$35),(Behaviours!E$36*(VLOOKUP("Water",Report!$A$18:$L$34,'Actual-CO2 Calculations'!$AK46,FALSE))),0)</f>
        <v>0</v>
      </c>
      <c r="F44" s="71">
        <f>IF(AND($A44&gt;=Behaviours!F$34,$A44&lt;=Behaviours!F$35),(Behaviours!F$36*(VLOOKUP("Water",Report!$A$18:$L$34,'Actual-CO2 Calculations'!$AK46,FALSE))),0)</f>
        <v>0</v>
      </c>
      <c r="G44" s="71">
        <f>IF(AND($A44&gt;=Behaviours!G$34,$A44&lt;=Behaviours!G$35),(Behaviours!G$36*(VLOOKUP("Water",Report!$A$18:$L$34,'Actual-CO2 Calculations'!$AK46,FALSE))),0)</f>
        <v>0</v>
      </c>
      <c r="I44" s="664">
        <f t="shared" si="0"/>
        <v>0</v>
      </c>
    </row>
    <row r="45" spans="1:9">
      <c r="A45" s="66" t="s">
        <v>61</v>
      </c>
      <c r="B45" s="71">
        <f>IF(AND($A45&gt;=Behaviours!B$34,$A45&lt;=Behaviours!B$35),(Behaviours!B$36*(VLOOKUP("Water",Report!$A$18:$L$34,'Actual-CO2 Calculations'!$AK47,FALSE))),0)</f>
        <v>0</v>
      </c>
      <c r="C45" s="71">
        <f>IF(AND($A45&gt;=Behaviours!C$34,$A45&lt;=Behaviours!C$35),(Behaviours!C$36*(VLOOKUP("Water",Report!$A$18:$L$34,'Actual-CO2 Calculations'!$AK47,FALSE))),0)</f>
        <v>0</v>
      </c>
      <c r="D45" s="71">
        <f>IF(AND($A45&gt;=Behaviours!D$34,$A45&lt;=Behaviours!D$35),(Behaviours!D$36*(VLOOKUP("Water",Report!$A$18:$L$34,'Actual-CO2 Calculations'!$AK47,FALSE))),0)</f>
        <v>0</v>
      </c>
      <c r="E45" s="71">
        <f>IF(AND($A45&gt;=Behaviours!E$34,$A45&lt;=Behaviours!E$35),(Behaviours!E$36*(VLOOKUP("Water",Report!$A$18:$L$34,'Actual-CO2 Calculations'!$AK47,FALSE))),0)</f>
        <v>0</v>
      </c>
      <c r="F45" s="71">
        <f>IF(AND($A45&gt;=Behaviours!F$34,$A45&lt;=Behaviours!F$35),(Behaviours!F$36*(VLOOKUP("Water",Report!$A$18:$L$34,'Actual-CO2 Calculations'!$AK47,FALSE))),0)</f>
        <v>0</v>
      </c>
      <c r="G45" s="71">
        <f>IF(AND($A45&gt;=Behaviours!G$34,$A45&lt;=Behaviours!G$35),(Behaviours!G$36*(VLOOKUP("Water",Report!$A$18:$L$34,'Actual-CO2 Calculations'!$AK47,FALSE))),0)</f>
        <v>0</v>
      </c>
      <c r="I45" s="664">
        <f t="shared" si="0"/>
        <v>0</v>
      </c>
    </row>
    <row r="46" spans="1:9">
      <c r="A46" s="66" t="s">
        <v>62</v>
      </c>
      <c r="B46" s="71">
        <f>IF(AND($A46&gt;=Behaviours!B$34,$A46&lt;=Behaviours!B$35),(Behaviours!B$36*(VLOOKUP("Water",Report!$A$18:$L$34,'Actual-CO2 Calculations'!$AK48,FALSE))),0)</f>
        <v>0</v>
      </c>
      <c r="C46" s="71">
        <f>IF(AND($A46&gt;=Behaviours!C$34,$A46&lt;=Behaviours!C$35),(Behaviours!C$36*(VLOOKUP("Water",Report!$A$18:$L$34,'Actual-CO2 Calculations'!$AK48,FALSE))),0)</f>
        <v>0</v>
      </c>
      <c r="D46" s="71">
        <f>IF(AND($A46&gt;=Behaviours!D$34,$A46&lt;=Behaviours!D$35),(Behaviours!D$36*(VLOOKUP("Water",Report!$A$18:$L$34,'Actual-CO2 Calculations'!$AK48,FALSE))),0)</f>
        <v>0</v>
      </c>
      <c r="E46" s="71">
        <f>IF(AND($A46&gt;=Behaviours!E$34,$A46&lt;=Behaviours!E$35),(Behaviours!E$36*(VLOOKUP("Water",Report!$A$18:$L$34,'Actual-CO2 Calculations'!$AK48,FALSE))),0)</f>
        <v>0</v>
      </c>
      <c r="F46" s="71">
        <f>IF(AND($A46&gt;=Behaviours!F$34,$A46&lt;=Behaviours!F$35),(Behaviours!F$36*(VLOOKUP("Water",Report!$A$18:$L$34,'Actual-CO2 Calculations'!$AK48,FALSE))),0)</f>
        <v>0</v>
      </c>
      <c r="G46" s="71">
        <f>IF(AND($A46&gt;=Behaviours!G$34,$A46&lt;=Behaviours!G$35),(Behaviours!G$36*(VLOOKUP("Water",Report!$A$18:$L$34,'Actual-CO2 Calculations'!$AK48,FALSE))),0)</f>
        <v>0</v>
      </c>
      <c r="I46" s="664">
        <f t="shared" si="0"/>
        <v>0</v>
      </c>
    </row>
    <row r="47" spans="1:9">
      <c r="A47" s="66" t="s">
        <v>63</v>
      </c>
      <c r="B47" s="71">
        <f>IF(AND($A47&gt;=Behaviours!B$34,$A47&lt;=Behaviours!B$35),(Behaviours!B$36*(VLOOKUP("Water",Report!$A$18:$L$34,'Actual-CO2 Calculations'!$AK49,FALSE))),0)</f>
        <v>0</v>
      </c>
      <c r="C47" s="71">
        <f>IF(AND($A47&gt;=Behaviours!C$34,$A47&lt;=Behaviours!C$35),(Behaviours!C$36*(VLOOKUP("Water",Report!$A$18:$L$34,'Actual-CO2 Calculations'!$AK49,FALSE))),0)</f>
        <v>0</v>
      </c>
      <c r="D47" s="71">
        <f>IF(AND($A47&gt;=Behaviours!D$34,$A47&lt;=Behaviours!D$35),(Behaviours!D$36*(VLOOKUP("Water",Report!$A$18:$L$34,'Actual-CO2 Calculations'!$AK49,FALSE))),0)</f>
        <v>0</v>
      </c>
      <c r="E47" s="71">
        <f>IF(AND($A47&gt;=Behaviours!E$34,$A47&lt;=Behaviours!E$35),(Behaviours!E$36*(VLOOKUP("Water",Report!$A$18:$L$34,'Actual-CO2 Calculations'!$AK49,FALSE))),0)</f>
        <v>0</v>
      </c>
      <c r="F47" s="71">
        <f>IF(AND($A47&gt;=Behaviours!F$34,$A47&lt;=Behaviours!F$35),(Behaviours!F$36*(VLOOKUP("Water",Report!$A$18:$L$34,'Actual-CO2 Calculations'!$AK49,FALSE))),0)</f>
        <v>0</v>
      </c>
      <c r="G47" s="71">
        <f>IF(AND($A47&gt;=Behaviours!G$34,$A47&lt;=Behaviours!G$35),(Behaviours!G$36*(VLOOKUP("Water",Report!$A$18:$L$34,'Actual-CO2 Calculations'!$AK49,FALSE))),0)</f>
        <v>0</v>
      </c>
      <c r="I47" s="664">
        <f t="shared" si="0"/>
        <v>0</v>
      </c>
    </row>
    <row r="48" spans="1:9">
      <c r="A48" s="66" t="s">
        <v>64</v>
      </c>
      <c r="B48" s="71">
        <f>IF(AND($A48&gt;=Behaviours!B$34,$A48&lt;=Behaviours!B$35),(Behaviours!B$36*(VLOOKUP("Water",Report!$A$18:$L$34,'Actual-CO2 Calculations'!$AK50,FALSE))),0)</f>
        <v>0</v>
      </c>
      <c r="C48" s="71">
        <f>IF(AND($A48&gt;=Behaviours!C$34,$A48&lt;=Behaviours!C$35),(Behaviours!C$36*(VLOOKUP("Water",Report!$A$18:$L$34,'Actual-CO2 Calculations'!$AK50,FALSE))),0)</f>
        <v>0</v>
      </c>
      <c r="D48" s="71">
        <f>IF(AND($A48&gt;=Behaviours!D$34,$A48&lt;=Behaviours!D$35),(Behaviours!D$36*(VLOOKUP("Water",Report!$A$18:$L$34,'Actual-CO2 Calculations'!$AK50,FALSE))),0)</f>
        <v>0</v>
      </c>
      <c r="E48" s="71">
        <f>IF(AND($A48&gt;=Behaviours!E$34,$A48&lt;=Behaviours!E$35),(Behaviours!E$36*(VLOOKUP("Water",Report!$A$18:$L$34,'Actual-CO2 Calculations'!$AK50,FALSE))),0)</f>
        <v>0</v>
      </c>
      <c r="F48" s="71">
        <f>IF(AND($A48&gt;=Behaviours!F$34,$A48&lt;=Behaviours!F$35),(Behaviours!F$36*(VLOOKUP("Water",Report!$A$18:$L$34,'Actual-CO2 Calculations'!$AK50,FALSE))),0)</f>
        <v>0</v>
      </c>
      <c r="G48" s="71">
        <f>IF(AND($A48&gt;=Behaviours!G$34,$A48&lt;=Behaviours!G$35),(Behaviours!G$36*(VLOOKUP("Water",Report!$A$18:$L$34,'Actual-CO2 Calculations'!$AK50,FALSE))),0)</f>
        <v>0</v>
      </c>
      <c r="I48" s="664">
        <f t="shared" si="0"/>
        <v>0</v>
      </c>
    </row>
    <row r="49" spans="1:9">
      <c r="A49" s="66" t="s">
        <v>65</v>
      </c>
      <c r="B49" s="71">
        <f>IF(AND($A49&gt;=Behaviours!B$34,$A49&lt;=Behaviours!B$35),(Behaviours!B$36*(VLOOKUP("Water",Report!$A$18:$L$34,'Actual-CO2 Calculations'!$AK51,FALSE))),0)</f>
        <v>0</v>
      </c>
      <c r="C49" s="71">
        <f>IF(AND($A49&gt;=Behaviours!C$34,$A49&lt;=Behaviours!C$35),(Behaviours!C$36*(VLOOKUP("Water",Report!$A$18:$L$34,'Actual-CO2 Calculations'!$AK51,FALSE))),0)</f>
        <v>0</v>
      </c>
      <c r="D49" s="71">
        <f>IF(AND($A49&gt;=Behaviours!D$34,$A49&lt;=Behaviours!D$35),(Behaviours!D$36*(VLOOKUP("Water",Report!$A$18:$L$34,'Actual-CO2 Calculations'!$AK51,FALSE))),0)</f>
        <v>0</v>
      </c>
      <c r="E49" s="71">
        <f>IF(AND($A49&gt;=Behaviours!E$34,$A49&lt;=Behaviours!E$35),(Behaviours!E$36*(VLOOKUP("Water",Report!$A$18:$L$34,'Actual-CO2 Calculations'!$AK51,FALSE))),0)</f>
        <v>0</v>
      </c>
      <c r="F49" s="71">
        <f>IF(AND($A49&gt;=Behaviours!F$34,$A49&lt;=Behaviours!F$35),(Behaviours!F$36*(VLOOKUP("Water",Report!$A$18:$L$34,'Actual-CO2 Calculations'!$AK51,FALSE))),0)</f>
        <v>0</v>
      </c>
      <c r="G49" s="71">
        <f>IF(AND($A49&gt;=Behaviours!G$34,$A49&lt;=Behaviours!G$35),(Behaviours!G$36*(VLOOKUP("Water",Report!$A$18:$L$34,'Actual-CO2 Calculations'!$AK51,FALSE))),0)</f>
        <v>0</v>
      </c>
      <c r="I49" s="664">
        <f t="shared" si="0"/>
        <v>0</v>
      </c>
    </row>
    <row r="50" spans="1:9">
      <c r="A50" s="66" t="s">
        <v>66</v>
      </c>
      <c r="B50" s="71">
        <f>IF(AND($A50&gt;=Behaviours!B$34,$A50&lt;=Behaviours!B$35),(Behaviours!B$36*(VLOOKUP("Water",Report!$A$18:$L$34,'Actual-CO2 Calculations'!$AK52,FALSE))),0)</f>
        <v>0</v>
      </c>
      <c r="C50" s="71">
        <f>IF(AND($A50&gt;=Behaviours!C$34,$A50&lt;=Behaviours!C$35),(Behaviours!C$36*(VLOOKUP("Water",Report!$A$18:$L$34,'Actual-CO2 Calculations'!$AK52,FALSE))),0)</f>
        <v>0</v>
      </c>
      <c r="D50" s="71">
        <f>IF(AND($A50&gt;=Behaviours!D$34,$A50&lt;=Behaviours!D$35),(Behaviours!D$36*(VLOOKUP("Water",Report!$A$18:$L$34,'Actual-CO2 Calculations'!$AK52,FALSE))),0)</f>
        <v>0</v>
      </c>
      <c r="E50" s="71">
        <f>IF(AND($A50&gt;=Behaviours!E$34,$A50&lt;=Behaviours!E$35),(Behaviours!E$36*(VLOOKUP("Water",Report!$A$18:$L$34,'Actual-CO2 Calculations'!$AK52,FALSE))),0)</f>
        <v>0</v>
      </c>
      <c r="F50" s="71">
        <f>IF(AND($A50&gt;=Behaviours!F$34,$A50&lt;=Behaviours!F$35),(Behaviours!F$36*(VLOOKUP("Water",Report!$A$18:$L$34,'Actual-CO2 Calculations'!$AK52,FALSE))),0)</f>
        <v>0</v>
      </c>
      <c r="G50" s="71">
        <f>IF(AND($A50&gt;=Behaviours!G$34,$A50&lt;=Behaviours!G$35),(Behaviours!G$36*(VLOOKUP("Water",Report!$A$18:$L$34,'Actual-CO2 Calculations'!$AK52,FALSE))),0)</f>
        <v>0</v>
      </c>
      <c r="I50" s="664">
        <f t="shared" si="0"/>
        <v>0</v>
      </c>
    </row>
    <row r="51" spans="1:9">
      <c r="A51" s="66" t="s">
        <v>8</v>
      </c>
      <c r="B51" s="71">
        <f>IF(AND($A51&gt;=Behaviours!B$34,$A51&lt;=Behaviours!B$35),(Behaviours!B$36*(VLOOKUP("Water",Report!$A$18:$L$34,'Actual-CO2 Calculations'!$AK53,FALSE))),0)</f>
        <v>0</v>
      </c>
      <c r="C51" s="71">
        <f>IF(AND($A51&gt;=Behaviours!C$34,$A51&lt;=Behaviours!C$35),(Behaviours!C$36*(VLOOKUP("Water",Report!$A$18:$L$34,'Actual-CO2 Calculations'!$AK53,FALSE))),0)</f>
        <v>0</v>
      </c>
      <c r="D51" s="71">
        <f>IF(AND($A51&gt;=Behaviours!D$34,$A51&lt;=Behaviours!D$35),(Behaviours!D$36*(VLOOKUP("Water",Report!$A$18:$L$34,'Actual-CO2 Calculations'!$AK53,FALSE))),0)</f>
        <v>0</v>
      </c>
      <c r="E51" s="71">
        <f>IF(AND($A51&gt;=Behaviours!E$34,$A51&lt;=Behaviours!E$35),(Behaviours!E$36*(VLOOKUP("Water",Report!$A$18:$L$34,'Actual-CO2 Calculations'!$AK53,FALSE))),0)</f>
        <v>0</v>
      </c>
      <c r="F51" s="71">
        <f>IF(AND($A51&gt;=Behaviours!F$34,$A51&lt;=Behaviours!F$35),(Behaviours!F$36*(VLOOKUP("Water",Report!$A$18:$L$34,'Actual-CO2 Calculations'!$AK53,FALSE))),0)</f>
        <v>0</v>
      </c>
      <c r="G51" s="71">
        <f>IF(AND($A51&gt;=Behaviours!G$34,$A51&lt;=Behaviours!G$35),(Behaviours!G$36*(VLOOKUP("Water",Report!$A$18:$L$34,'Actual-CO2 Calculations'!$AK53,FALSE))),0)</f>
        <v>0</v>
      </c>
      <c r="I51" s="664">
        <f t="shared" si="0"/>
        <v>0</v>
      </c>
    </row>
    <row r="52" spans="1:9">
      <c r="A52" s="66" t="s">
        <v>9</v>
      </c>
      <c r="B52" s="71">
        <f>IF(AND($A52&gt;=Behaviours!B$34,$A52&lt;=Behaviours!B$35),(Behaviours!B$36*(VLOOKUP("Water",Report!$A$18:$L$34,'Actual-CO2 Calculations'!$AK54,FALSE))),0)</f>
        <v>0</v>
      </c>
      <c r="C52" s="71">
        <f>IF(AND($A52&gt;=Behaviours!C$34,$A52&lt;=Behaviours!C$35),(Behaviours!C$36*(VLOOKUP("Water",Report!$A$18:$L$34,'Actual-CO2 Calculations'!$AK54,FALSE))),0)</f>
        <v>0</v>
      </c>
      <c r="D52" s="71">
        <f>IF(AND($A52&gt;=Behaviours!D$34,$A52&lt;=Behaviours!D$35),(Behaviours!D$36*(VLOOKUP("Water",Report!$A$18:$L$34,'Actual-CO2 Calculations'!$AK54,FALSE))),0)</f>
        <v>0</v>
      </c>
      <c r="E52" s="71">
        <f>IF(AND($A52&gt;=Behaviours!E$34,$A52&lt;=Behaviours!E$35),(Behaviours!E$36*(VLOOKUP("Water",Report!$A$18:$L$34,'Actual-CO2 Calculations'!$AK54,FALSE))),0)</f>
        <v>0</v>
      </c>
      <c r="F52" s="71">
        <f>IF(AND($A52&gt;=Behaviours!F$34,$A52&lt;=Behaviours!F$35),(Behaviours!F$36*(VLOOKUP("Water",Report!$A$18:$L$34,'Actual-CO2 Calculations'!$AK54,FALSE))),0)</f>
        <v>0</v>
      </c>
      <c r="G52" s="71">
        <f>IF(AND($A52&gt;=Behaviours!G$34,$A52&lt;=Behaviours!G$35),(Behaviours!G$36*(VLOOKUP("Water",Report!$A$18:$L$34,'Actual-CO2 Calculations'!$AK54,FALSE))),0)</f>
        <v>0</v>
      </c>
      <c r="I52" s="664">
        <f t="shared" si="0"/>
        <v>0</v>
      </c>
    </row>
    <row r="53" spans="1:9">
      <c r="A53" s="66" t="s">
        <v>10</v>
      </c>
      <c r="B53" s="71">
        <f>IF(AND($A53&gt;=Behaviours!B$34,$A53&lt;=Behaviours!B$35),(Behaviours!B$36*(VLOOKUP("Water",Report!$A$18:$L$34,'Actual-CO2 Calculations'!$AK55,FALSE))),0)</f>
        <v>0</v>
      </c>
      <c r="C53" s="71">
        <f>IF(AND($A53&gt;=Behaviours!C$34,$A53&lt;=Behaviours!C$35),(Behaviours!C$36*(VLOOKUP("Water",Report!$A$18:$L$34,'Actual-CO2 Calculations'!$AK55,FALSE))),0)</f>
        <v>0</v>
      </c>
      <c r="D53" s="71">
        <f>IF(AND($A53&gt;=Behaviours!D$34,$A53&lt;=Behaviours!D$35),(Behaviours!D$36*(VLOOKUP("Water",Report!$A$18:$L$34,'Actual-CO2 Calculations'!$AK55,FALSE))),0)</f>
        <v>0</v>
      </c>
      <c r="E53" s="71">
        <f>IF(AND($A53&gt;=Behaviours!E$34,$A53&lt;=Behaviours!E$35),(Behaviours!E$36*(VLOOKUP("Water",Report!$A$18:$L$34,'Actual-CO2 Calculations'!$AK55,FALSE))),0)</f>
        <v>0</v>
      </c>
      <c r="F53" s="71">
        <f>IF(AND($A53&gt;=Behaviours!F$34,$A53&lt;=Behaviours!F$35),(Behaviours!F$36*(VLOOKUP("Water",Report!$A$18:$L$34,'Actual-CO2 Calculations'!$AK55,FALSE))),0)</f>
        <v>0</v>
      </c>
      <c r="G53" s="71">
        <f>IF(AND($A53&gt;=Behaviours!G$34,$A53&lt;=Behaviours!G$35),(Behaviours!G$36*(VLOOKUP("Water",Report!$A$18:$L$34,'Actual-CO2 Calculations'!$AK55,FALSE))),0)</f>
        <v>0</v>
      </c>
      <c r="I53" s="664">
        <f t="shared" si="0"/>
        <v>0</v>
      </c>
    </row>
    <row r="54" spans="1:9">
      <c r="A54" s="66" t="s">
        <v>11</v>
      </c>
      <c r="B54" s="71">
        <f>IF(AND($A54&gt;=Behaviours!B$34,$A54&lt;=Behaviours!B$35),(Behaviours!B$36*(VLOOKUP("Water",Report!$A$18:$L$34,'Actual-CO2 Calculations'!$AK56,FALSE))),0)</f>
        <v>0</v>
      </c>
      <c r="C54" s="71">
        <f>IF(AND($A54&gt;=Behaviours!C$34,$A54&lt;=Behaviours!C$35),(Behaviours!C$36*(VLOOKUP("Water",Report!$A$18:$L$34,'Actual-CO2 Calculations'!$AK56,FALSE))),0)</f>
        <v>0</v>
      </c>
      <c r="D54" s="71">
        <f>IF(AND($A54&gt;=Behaviours!D$34,$A54&lt;=Behaviours!D$35),(Behaviours!D$36*(VLOOKUP("Water",Report!$A$18:$L$34,'Actual-CO2 Calculations'!$AK56,FALSE))),0)</f>
        <v>0</v>
      </c>
      <c r="E54" s="71">
        <f>IF(AND($A54&gt;=Behaviours!E$34,$A54&lt;=Behaviours!E$35),(Behaviours!E$36*(VLOOKUP("Water",Report!$A$18:$L$34,'Actual-CO2 Calculations'!$AK56,FALSE))),0)</f>
        <v>0</v>
      </c>
      <c r="F54" s="71">
        <f>IF(AND($A54&gt;=Behaviours!F$34,$A54&lt;=Behaviours!F$35),(Behaviours!F$36*(VLOOKUP("Water",Report!$A$18:$L$34,'Actual-CO2 Calculations'!$AK56,FALSE))),0)</f>
        <v>0</v>
      </c>
      <c r="G54" s="71">
        <f>IF(AND($A54&gt;=Behaviours!G$34,$A54&lt;=Behaviours!G$35),(Behaviours!G$36*(VLOOKUP("Water",Report!$A$18:$L$34,'Actual-CO2 Calculations'!$AK56,FALSE))),0)</f>
        <v>0</v>
      </c>
      <c r="I54" s="664">
        <f t="shared" si="0"/>
        <v>0</v>
      </c>
    </row>
    <row r="55" spans="1:9">
      <c r="A55" s="66" t="s">
        <v>67</v>
      </c>
      <c r="B55" s="71">
        <f>IF(AND($A55&gt;=Behaviours!B$34,$A55&lt;=Behaviours!B$35),(Behaviours!B$36*(VLOOKUP("Water",Report!$A$18:$L$34,'Actual-CO2 Calculations'!$AK57,FALSE))),0)</f>
        <v>0</v>
      </c>
      <c r="C55" s="71">
        <f>IF(AND($A55&gt;=Behaviours!C$34,$A55&lt;=Behaviours!C$35),(Behaviours!C$36*(VLOOKUP("Water",Report!$A$18:$L$34,'Actual-CO2 Calculations'!$AK57,FALSE))),0)</f>
        <v>0</v>
      </c>
      <c r="D55" s="71">
        <f>IF(AND($A55&gt;=Behaviours!D$34,$A55&lt;=Behaviours!D$35),(Behaviours!D$36*(VLOOKUP("Water",Report!$A$18:$L$34,'Actual-CO2 Calculations'!$AK57,FALSE))),0)</f>
        <v>0</v>
      </c>
      <c r="E55" s="71">
        <f>IF(AND($A55&gt;=Behaviours!E$34,$A55&lt;=Behaviours!E$35),(Behaviours!E$36*(VLOOKUP("Water",Report!$A$18:$L$34,'Actual-CO2 Calculations'!$AK57,FALSE))),0)</f>
        <v>0</v>
      </c>
      <c r="F55" s="71">
        <f>IF(AND($A55&gt;=Behaviours!F$34,$A55&lt;=Behaviours!F$35),(Behaviours!F$36*(VLOOKUP("Water",Report!$A$18:$L$34,'Actual-CO2 Calculations'!$AK57,FALSE))),0)</f>
        <v>0</v>
      </c>
      <c r="G55" s="71">
        <f>IF(AND($A55&gt;=Behaviours!G$34,$A55&lt;=Behaviours!G$35),(Behaviours!G$36*(VLOOKUP("Water",Report!$A$18:$L$34,'Actual-CO2 Calculations'!$AK57,FALSE))),0)</f>
        <v>0</v>
      </c>
      <c r="I55" s="664">
        <f t="shared" si="0"/>
        <v>0</v>
      </c>
    </row>
    <row r="56" spans="1:9">
      <c r="A56" s="66" t="s">
        <v>68</v>
      </c>
      <c r="B56" s="71">
        <f>IF(AND($A56&gt;=Behaviours!B$34,$A56&lt;=Behaviours!B$35),(Behaviours!B$36*(VLOOKUP("Water",Report!$A$18:$L$34,'Actual-CO2 Calculations'!$AK58,FALSE))),0)</f>
        <v>0</v>
      </c>
      <c r="C56" s="71">
        <f>IF(AND($A56&gt;=Behaviours!C$34,$A56&lt;=Behaviours!C$35),(Behaviours!C$36*(VLOOKUP("Water",Report!$A$18:$L$34,'Actual-CO2 Calculations'!$AK58,FALSE))),0)</f>
        <v>0</v>
      </c>
      <c r="D56" s="71">
        <f>IF(AND($A56&gt;=Behaviours!D$34,$A56&lt;=Behaviours!D$35),(Behaviours!D$36*(VLOOKUP("Water",Report!$A$18:$L$34,'Actual-CO2 Calculations'!$AK58,FALSE))),0)</f>
        <v>0</v>
      </c>
      <c r="E56" s="71">
        <f>IF(AND($A56&gt;=Behaviours!E$34,$A56&lt;=Behaviours!E$35),(Behaviours!E$36*(VLOOKUP("Water",Report!$A$18:$L$34,'Actual-CO2 Calculations'!$AK58,FALSE))),0)</f>
        <v>0</v>
      </c>
      <c r="F56" s="71">
        <f>IF(AND($A56&gt;=Behaviours!F$34,$A56&lt;=Behaviours!F$35),(Behaviours!F$36*(VLOOKUP("Water",Report!$A$18:$L$34,'Actual-CO2 Calculations'!$AK58,FALSE))),0)</f>
        <v>0</v>
      </c>
      <c r="G56" s="71">
        <f>IF(AND($A56&gt;=Behaviours!G$34,$A56&lt;=Behaviours!G$35),(Behaviours!G$36*(VLOOKUP("Water",Report!$A$18:$L$34,'Actual-CO2 Calculations'!$AK58,FALSE))),0)</f>
        <v>0</v>
      </c>
      <c r="I56" s="664">
        <f t="shared" si="0"/>
        <v>0</v>
      </c>
    </row>
    <row r="57" spans="1:9">
      <c r="A57" s="66" t="s">
        <v>69</v>
      </c>
      <c r="B57" s="71">
        <f>IF(AND($A57&gt;=Behaviours!B$34,$A57&lt;=Behaviours!B$35),(Behaviours!B$36*(VLOOKUP("Water",Report!$A$18:$L$34,'Actual-CO2 Calculations'!$AK59,FALSE))),0)</f>
        <v>0</v>
      </c>
      <c r="C57" s="71">
        <f>IF(AND($A57&gt;=Behaviours!C$34,$A57&lt;=Behaviours!C$35),(Behaviours!C$36*(VLOOKUP("Water",Report!$A$18:$L$34,'Actual-CO2 Calculations'!$AK59,FALSE))),0)</f>
        <v>0</v>
      </c>
      <c r="D57" s="71">
        <f>IF(AND($A57&gt;=Behaviours!D$34,$A57&lt;=Behaviours!D$35),(Behaviours!D$36*(VLOOKUP("Water",Report!$A$18:$L$34,'Actual-CO2 Calculations'!$AK59,FALSE))),0)</f>
        <v>0</v>
      </c>
      <c r="E57" s="71">
        <f>IF(AND($A57&gt;=Behaviours!E$34,$A57&lt;=Behaviours!E$35),(Behaviours!E$36*(VLOOKUP("Water",Report!$A$18:$L$34,'Actual-CO2 Calculations'!$AK59,FALSE))),0)</f>
        <v>0</v>
      </c>
      <c r="F57" s="71">
        <f>IF(AND($A57&gt;=Behaviours!F$34,$A57&lt;=Behaviours!F$35),(Behaviours!F$36*(VLOOKUP("Water",Report!$A$18:$L$34,'Actual-CO2 Calculations'!$AK59,FALSE))),0)</f>
        <v>0</v>
      </c>
      <c r="G57" s="71">
        <f>IF(AND($A57&gt;=Behaviours!G$34,$A57&lt;=Behaviours!G$35),(Behaviours!G$36*(VLOOKUP("Water",Report!$A$18:$L$34,'Actual-CO2 Calculations'!$AK59,FALSE))),0)</f>
        <v>0</v>
      </c>
      <c r="I57" s="664">
        <f t="shared" si="0"/>
        <v>0</v>
      </c>
    </row>
    <row r="58" spans="1:9">
      <c r="A58" s="66" t="s">
        <v>70</v>
      </c>
      <c r="B58" s="71">
        <f>IF(AND($A58&gt;=Behaviours!B$34,$A58&lt;=Behaviours!B$35),(Behaviours!B$36*(VLOOKUP("Water",Report!$A$18:$L$34,'Actual-CO2 Calculations'!$AK60,FALSE))),0)</f>
        <v>0</v>
      </c>
      <c r="C58" s="71">
        <f>IF(AND($A58&gt;=Behaviours!C$34,$A58&lt;=Behaviours!C$35),(Behaviours!C$36*(VLOOKUP("Water",Report!$A$18:$L$34,'Actual-CO2 Calculations'!$AK60,FALSE))),0)</f>
        <v>0</v>
      </c>
      <c r="D58" s="71">
        <f>IF(AND($A58&gt;=Behaviours!D$34,$A58&lt;=Behaviours!D$35),(Behaviours!D$36*(VLOOKUP("Water",Report!$A$18:$L$34,'Actual-CO2 Calculations'!$AK60,FALSE))),0)</f>
        <v>0</v>
      </c>
      <c r="E58" s="71">
        <f>IF(AND($A58&gt;=Behaviours!E$34,$A58&lt;=Behaviours!E$35),(Behaviours!E$36*(VLOOKUP("Water",Report!$A$18:$L$34,'Actual-CO2 Calculations'!$AK60,FALSE))),0)</f>
        <v>0</v>
      </c>
      <c r="F58" s="71">
        <f>IF(AND($A58&gt;=Behaviours!F$34,$A58&lt;=Behaviours!F$35),(Behaviours!F$36*(VLOOKUP("Water",Report!$A$18:$L$34,'Actual-CO2 Calculations'!$AK60,FALSE))),0)</f>
        <v>0</v>
      </c>
      <c r="G58" s="71">
        <f>IF(AND($A58&gt;=Behaviours!G$34,$A58&lt;=Behaviours!G$35),(Behaviours!G$36*(VLOOKUP("Water",Report!$A$18:$L$34,'Actual-CO2 Calculations'!$AK60,FALSE))),0)</f>
        <v>0</v>
      </c>
      <c r="I58" s="664">
        <f t="shared" si="0"/>
        <v>0</v>
      </c>
    </row>
    <row r="59" spans="1:9">
      <c r="A59" s="66" t="s">
        <v>71</v>
      </c>
      <c r="B59" s="71">
        <f>IF(AND($A59&gt;=Behaviours!B$34,$A59&lt;=Behaviours!B$35),(Behaviours!B$36*(VLOOKUP("Water",Report!$A$18:$L$34,'Actual-CO2 Calculations'!$AK61,FALSE))),0)</f>
        <v>0</v>
      </c>
      <c r="C59" s="71">
        <f>IF(AND($A59&gt;=Behaviours!C$34,$A59&lt;=Behaviours!C$35),(Behaviours!C$36*(VLOOKUP("Water",Report!$A$18:$L$34,'Actual-CO2 Calculations'!$AK61,FALSE))),0)</f>
        <v>0</v>
      </c>
      <c r="D59" s="71">
        <f>IF(AND($A59&gt;=Behaviours!D$34,$A59&lt;=Behaviours!D$35),(Behaviours!D$36*(VLOOKUP("Water",Report!$A$18:$L$34,'Actual-CO2 Calculations'!$AK61,FALSE))),0)</f>
        <v>0</v>
      </c>
      <c r="E59" s="71">
        <f>IF(AND($A59&gt;=Behaviours!E$34,$A59&lt;=Behaviours!E$35),(Behaviours!E$36*(VLOOKUP("Water",Report!$A$18:$L$34,'Actual-CO2 Calculations'!$AK61,FALSE))),0)</f>
        <v>0</v>
      </c>
      <c r="F59" s="71">
        <f>IF(AND($A59&gt;=Behaviours!F$34,$A59&lt;=Behaviours!F$35),(Behaviours!F$36*(VLOOKUP("Water",Report!$A$18:$L$34,'Actual-CO2 Calculations'!$AK61,FALSE))),0)</f>
        <v>0</v>
      </c>
      <c r="G59" s="71">
        <f>IF(AND($A59&gt;=Behaviours!G$34,$A59&lt;=Behaviours!G$35),(Behaviours!G$36*(VLOOKUP("Water",Report!$A$18:$L$34,'Actual-CO2 Calculations'!$AK61,FALSE))),0)</f>
        <v>0</v>
      </c>
      <c r="I59" s="664">
        <f t="shared" si="0"/>
        <v>0</v>
      </c>
    </row>
    <row r="60" spans="1:9">
      <c r="A60" s="66" t="s">
        <v>72</v>
      </c>
      <c r="B60" s="71">
        <f>IF(AND($A60&gt;=Behaviours!B$34,$A60&lt;=Behaviours!B$35),(Behaviours!B$36*(VLOOKUP("Water",Report!$A$18:$L$34,'Actual-CO2 Calculations'!$AK62,FALSE))),0)</f>
        <v>0</v>
      </c>
      <c r="C60" s="71">
        <f>IF(AND($A60&gt;=Behaviours!C$34,$A60&lt;=Behaviours!C$35),(Behaviours!C$36*(VLOOKUP("Water",Report!$A$18:$L$34,'Actual-CO2 Calculations'!$AK62,FALSE))),0)</f>
        <v>0</v>
      </c>
      <c r="D60" s="71">
        <f>IF(AND($A60&gt;=Behaviours!D$34,$A60&lt;=Behaviours!D$35),(Behaviours!D$36*(VLOOKUP("Water",Report!$A$18:$L$34,'Actual-CO2 Calculations'!$AK62,FALSE))),0)</f>
        <v>0</v>
      </c>
      <c r="E60" s="71">
        <f>IF(AND($A60&gt;=Behaviours!E$34,$A60&lt;=Behaviours!E$35),(Behaviours!E$36*(VLOOKUP("Water",Report!$A$18:$L$34,'Actual-CO2 Calculations'!$AK62,FALSE))),0)</f>
        <v>0</v>
      </c>
      <c r="F60" s="71">
        <f>IF(AND($A60&gt;=Behaviours!F$34,$A60&lt;=Behaviours!F$35),(Behaviours!F$36*(VLOOKUP("Water",Report!$A$18:$L$34,'Actual-CO2 Calculations'!$AK62,FALSE))),0)</f>
        <v>0</v>
      </c>
      <c r="G60" s="71">
        <f>IF(AND($A60&gt;=Behaviours!G$34,$A60&lt;=Behaviours!G$35),(Behaviours!G$36*(VLOOKUP("Water",Report!$A$18:$L$34,'Actual-CO2 Calculations'!$AK62,FALSE))),0)</f>
        <v>0</v>
      </c>
      <c r="I60" s="664">
        <f t="shared" si="0"/>
        <v>0</v>
      </c>
    </row>
    <row r="61" spans="1:9">
      <c r="A61" s="66" t="s">
        <v>73</v>
      </c>
      <c r="B61" s="71">
        <f>IF(AND($A61&gt;=Behaviours!B$34,$A61&lt;=Behaviours!B$35),(Behaviours!B$36*(VLOOKUP("Water",Report!$A$18:$L$34,'Actual-CO2 Calculations'!$AK63,FALSE))),0)</f>
        <v>0</v>
      </c>
      <c r="C61" s="71">
        <f>IF(AND($A61&gt;=Behaviours!C$34,$A61&lt;=Behaviours!C$35),(Behaviours!C$36*(VLOOKUP("Water",Report!$A$18:$L$34,'Actual-CO2 Calculations'!$AK63,FALSE))),0)</f>
        <v>0</v>
      </c>
      <c r="D61" s="71">
        <f>IF(AND($A61&gt;=Behaviours!D$34,$A61&lt;=Behaviours!D$35),(Behaviours!D$36*(VLOOKUP("Water",Report!$A$18:$L$34,'Actual-CO2 Calculations'!$AK63,FALSE))),0)</f>
        <v>0</v>
      </c>
      <c r="E61" s="71">
        <f>IF(AND($A61&gt;=Behaviours!E$34,$A61&lt;=Behaviours!E$35),(Behaviours!E$36*(VLOOKUP("Water",Report!$A$18:$L$34,'Actual-CO2 Calculations'!$AK63,FALSE))),0)</f>
        <v>0</v>
      </c>
      <c r="F61" s="71">
        <f>IF(AND($A61&gt;=Behaviours!F$34,$A61&lt;=Behaviours!F$35),(Behaviours!F$36*(VLOOKUP("Water",Report!$A$18:$L$34,'Actual-CO2 Calculations'!$AK63,FALSE))),0)</f>
        <v>0</v>
      </c>
      <c r="G61" s="71">
        <f>IF(AND($A61&gt;=Behaviours!G$34,$A61&lt;=Behaviours!G$35),(Behaviours!G$36*(VLOOKUP("Water",Report!$A$18:$L$34,'Actual-CO2 Calculations'!$AK63,FALSE))),0)</f>
        <v>0</v>
      </c>
      <c r="I61" s="664">
        <f t="shared" si="0"/>
        <v>0</v>
      </c>
    </row>
    <row r="62" spans="1:9">
      <c r="A62" s="66" t="s">
        <v>74</v>
      </c>
      <c r="B62" s="71">
        <f>IF(AND($A62&gt;=Behaviours!B$34,$A62&lt;=Behaviours!B$35),(Behaviours!B$36*(VLOOKUP("Water",Report!$A$18:$L$34,'Actual-CO2 Calculations'!$AK64,FALSE))),0)</f>
        <v>0</v>
      </c>
      <c r="C62" s="71">
        <f>IF(AND($A62&gt;=Behaviours!C$34,$A62&lt;=Behaviours!C$35),(Behaviours!C$36*(VLOOKUP("Water",Report!$A$18:$L$34,'Actual-CO2 Calculations'!$AK64,FALSE))),0)</f>
        <v>0</v>
      </c>
      <c r="D62" s="71">
        <f>IF(AND($A62&gt;=Behaviours!D$34,$A62&lt;=Behaviours!D$35),(Behaviours!D$36*(VLOOKUP("Water",Report!$A$18:$L$34,'Actual-CO2 Calculations'!$AK64,FALSE))),0)</f>
        <v>0</v>
      </c>
      <c r="E62" s="71">
        <f>IF(AND($A62&gt;=Behaviours!E$34,$A62&lt;=Behaviours!E$35),(Behaviours!E$36*(VLOOKUP("Water",Report!$A$18:$L$34,'Actual-CO2 Calculations'!$AK64,FALSE))),0)</f>
        <v>0</v>
      </c>
      <c r="F62" s="71">
        <f>IF(AND($A62&gt;=Behaviours!F$34,$A62&lt;=Behaviours!F$35),(Behaviours!F$36*(VLOOKUP("Water",Report!$A$18:$L$34,'Actual-CO2 Calculations'!$AK64,FALSE))),0)</f>
        <v>0</v>
      </c>
      <c r="G62" s="71">
        <f>IF(AND($A62&gt;=Behaviours!G$34,$A62&lt;=Behaviours!G$35),(Behaviours!G$36*(VLOOKUP("Water",Report!$A$18:$L$34,'Actual-CO2 Calculations'!$AK64,FALSE))),0)</f>
        <v>0</v>
      </c>
      <c r="I62" s="664">
        <f t="shared" si="0"/>
        <v>0</v>
      </c>
    </row>
    <row r="63" spans="1:9">
      <c r="A63" s="66" t="s">
        <v>75</v>
      </c>
      <c r="B63" s="71">
        <f>IF(AND($A63&gt;=Behaviours!B$34,$A63&lt;=Behaviours!B$35),(Behaviours!B$36*(VLOOKUP("Water",Report!$A$18:$L$34,'Actual-CO2 Calculations'!$AK65,FALSE))),0)</f>
        <v>0</v>
      </c>
      <c r="C63" s="71">
        <f>IF(AND($A63&gt;=Behaviours!C$34,$A63&lt;=Behaviours!C$35),(Behaviours!C$36*(VLOOKUP("Water",Report!$A$18:$L$34,'Actual-CO2 Calculations'!$AK65,FALSE))),0)</f>
        <v>0</v>
      </c>
      <c r="D63" s="71">
        <f>IF(AND($A63&gt;=Behaviours!D$34,$A63&lt;=Behaviours!D$35),(Behaviours!D$36*(VLOOKUP("Water",Report!$A$18:$L$34,'Actual-CO2 Calculations'!$AK65,FALSE))),0)</f>
        <v>0</v>
      </c>
      <c r="E63" s="71">
        <f>IF(AND($A63&gt;=Behaviours!E$34,$A63&lt;=Behaviours!E$35),(Behaviours!E$36*(VLOOKUP("Water",Report!$A$18:$L$34,'Actual-CO2 Calculations'!$AK65,FALSE))),0)</f>
        <v>0</v>
      </c>
      <c r="F63" s="71">
        <f>IF(AND($A63&gt;=Behaviours!F$34,$A63&lt;=Behaviours!F$35),(Behaviours!F$36*(VLOOKUP("Water",Report!$A$18:$L$34,'Actual-CO2 Calculations'!$AK65,FALSE))),0)</f>
        <v>0</v>
      </c>
      <c r="G63" s="71">
        <f>IF(AND($A63&gt;=Behaviours!G$34,$A63&lt;=Behaviours!G$35),(Behaviours!G$36*(VLOOKUP("Water",Report!$A$18:$L$34,'Actual-CO2 Calculations'!$AK65,FALSE))),0)</f>
        <v>0</v>
      </c>
      <c r="I63" s="664">
        <f t="shared" si="0"/>
        <v>0</v>
      </c>
    </row>
    <row r="64" spans="1:9">
      <c r="A64" s="66" t="s">
        <v>12</v>
      </c>
      <c r="B64" s="71">
        <f>IF(AND($A64&gt;=Behaviours!B$34,$A64&lt;=Behaviours!B$35),(Behaviours!B$36*(VLOOKUP("Water",Report!$A$18:$L$34,'Actual-CO2 Calculations'!$AK66,FALSE))),0)</f>
        <v>0</v>
      </c>
      <c r="C64" s="71">
        <f>IF(AND($A64&gt;=Behaviours!C$34,$A64&lt;=Behaviours!C$35),(Behaviours!C$36*(VLOOKUP("Water",Report!$A$18:$L$34,'Actual-CO2 Calculations'!$AK66,FALSE))),0)</f>
        <v>0</v>
      </c>
      <c r="D64" s="71">
        <f>IF(AND($A64&gt;=Behaviours!D$34,$A64&lt;=Behaviours!D$35),(Behaviours!D$36*(VLOOKUP("Water",Report!$A$18:$L$34,'Actual-CO2 Calculations'!$AK66,FALSE))),0)</f>
        <v>0</v>
      </c>
      <c r="E64" s="71">
        <f>IF(AND($A64&gt;=Behaviours!E$34,$A64&lt;=Behaviours!E$35),(Behaviours!E$36*(VLOOKUP("Water",Report!$A$18:$L$34,'Actual-CO2 Calculations'!$AK66,FALSE))),0)</f>
        <v>0</v>
      </c>
      <c r="F64" s="71">
        <f>IF(AND($A64&gt;=Behaviours!F$34,$A64&lt;=Behaviours!F$35),(Behaviours!F$36*(VLOOKUP("Water",Report!$A$18:$L$34,'Actual-CO2 Calculations'!$AK66,FALSE))),0)</f>
        <v>0</v>
      </c>
      <c r="G64" s="71">
        <f>IF(AND($A64&gt;=Behaviours!G$34,$A64&lt;=Behaviours!G$35),(Behaviours!G$36*(VLOOKUP("Water",Report!$A$18:$L$34,'Actual-CO2 Calculations'!$AK66,FALSE))),0)</f>
        <v>0</v>
      </c>
      <c r="I64" s="664">
        <f t="shared" si="0"/>
        <v>0</v>
      </c>
    </row>
    <row r="65" spans="1:9">
      <c r="A65" s="66" t="s">
        <v>13</v>
      </c>
      <c r="B65" s="71">
        <f>IF(AND($A65&gt;=Behaviours!B$34,$A65&lt;=Behaviours!B$35),(Behaviours!B$36*(VLOOKUP("Water",Report!$A$18:$L$34,'Actual-CO2 Calculations'!$AK67,FALSE))),0)</f>
        <v>0</v>
      </c>
      <c r="C65" s="71">
        <f>IF(AND($A65&gt;=Behaviours!C$34,$A65&lt;=Behaviours!C$35),(Behaviours!C$36*(VLOOKUP("Water",Report!$A$18:$L$34,'Actual-CO2 Calculations'!$AK67,FALSE))),0)</f>
        <v>0</v>
      </c>
      <c r="D65" s="71">
        <f>IF(AND($A65&gt;=Behaviours!D$34,$A65&lt;=Behaviours!D$35),(Behaviours!D$36*(VLOOKUP("Water",Report!$A$18:$L$34,'Actual-CO2 Calculations'!$AK67,FALSE))),0)</f>
        <v>0</v>
      </c>
      <c r="E65" s="71">
        <f>IF(AND($A65&gt;=Behaviours!E$34,$A65&lt;=Behaviours!E$35),(Behaviours!E$36*(VLOOKUP("Water",Report!$A$18:$L$34,'Actual-CO2 Calculations'!$AK67,FALSE))),0)</f>
        <v>0</v>
      </c>
      <c r="F65" s="71">
        <f>IF(AND($A65&gt;=Behaviours!F$34,$A65&lt;=Behaviours!F$35),(Behaviours!F$36*(VLOOKUP("Water",Report!$A$18:$L$34,'Actual-CO2 Calculations'!$AK67,FALSE))),0)</f>
        <v>0</v>
      </c>
      <c r="G65" s="71">
        <f>IF(AND($A65&gt;=Behaviours!G$34,$A65&lt;=Behaviours!G$35),(Behaviours!G$36*(VLOOKUP("Water",Report!$A$18:$L$34,'Actual-CO2 Calculations'!$AK67,FALSE))),0)</f>
        <v>0</v>
      </c>
      <c r="I65" s="664">
        <f t="shared" si="0"/>
        <v>0</v>
      </c>
    </row>
    <row r="66" spans="1:9">
      <c r="A66" s="66" t="s">
        <v>14</v>
      </c>
      <c r="B66" s="71">
        <f>IF(AND($A66&gt;=Behaviours!B$34,$A66&lt;=Behaviours!B$35),(Behaviours!B$36*(VLOOKUP("Water",Report!$A$18:$L$34,'Actual-CO2 Calculations'!$AK68,FALSE))),0)</f>
        <v>0</v>
      </c>
      <c r="C66" s="71">
        <f>IF(AND($A66&gt;=Behaviours!C$34,$A66&lt;=Behaviours!C$35),(Behaviours!C$36*(VLOOKUP("Water",Report!$A$18:$L$34,'Actual-CO2 Calculations'!$AK68,FALSE))),0)</f>
        <v>0</v>
      </c>
      <c r="D66" s="71">
        <f>IF(AND($A66&gt;=Behaviours!D$34,$A66&lt;=Behaviours!D$35),(Behaviours!D$36*(VLOOKUP("Water",Report!$A$18:$L$34,'Actual-CO2 Calculations'!$AK68,FALSE))),0)</f>
        <v>0</v>
      </c>
      <c r="E66" s="71">
        <f>IF(AND($A66&gt;=Behaviours!E$34,$A66&lt;=Behaviours!E$35),(Behaviours!E$36*(VLOOKUP("Water",Report!$A$18:$L$34,'Actual-CO2 Calculations'!$AK68,FALSE))),0)</f>
        <v>0</v>
      </c>
      <c r="F66" s="71">
        <f>IF(AND($A66&gt;=Behaviours!F$34,$A66&lt;=Behaviours!F$35),(Behaviours!F$36*(VLOOKUP("Water",Report!$A$18:$L$34,'Actual-CO2 Calculations'!$AK68,FALSE))),0)</f>
        <v>0</v>
      </c>
      <c r="G66" s="71">
        <f>IF(AND($A66&gt;=Behaviours!G$34,$A66&lt;=Behaviours!G$35),(Behaviours!G$36*(VLOOKUP("Water",Report!$A$18:$L$34,'Actual-CO2 Calculations'!$AK68,FALSE))),0)</f>
        <v>0</v>
      </c>
      <c r="I66" s="664">
        <f t="shared" si="0"/>
        <v>0</v>
      </c>
    </row>
    <row r="67" spans="1:9">
      <c r="A67" s="66" t="s">
        <v>15</v>
      </c>
      <c r="B67" s="71">
        <f>IF(AND($A67&gt;=Behaviours!B$34,$A67&lt;=Behaviours!B$35),(Behaviours!B$36*(VLOOKUP("Water",Report!$A$18:$L$34,'Actual-CO2 Calculations'!$AK69,FALSE))),0)</f>
        <v>0</v>
      </c>
      <c r="C67" s="71">
        <f>IF(AND($A67&gt;=Behaviours!C$34,$A67&lt;=Behaviours!C$35),(Behaviours!C$36*(VLOOKUP("Water",Report!$A$18:$L$34,'Actual-CO2 Calculations'!$AK69,FALSE))),0)</f>
        <v>0</v>
      </c>
      <c r="D67" s="71">
        <f>IF(AND($A67&gt;=Behaviours!D$34,$A67&lt;=Behaviours!D$35),(Behaviours!D$36*(VLOOKUP("Water",Report!$A$18:$L$34,'Actual-CO2 Calculations'!$AK69,FALSE))),0)</f>
        <v>0</v>
      </c>
      <c r="E67" s="71">
        <f>IF(AND($A67&gt;=Behaviours!E$34,$A67&lt;=Behaviours!E$35),(Behaviours!E$36*(VLOOKUP("Water",Report!$A$18:$L$34,'Actual-CO2 Calculations'!$AK69,FALSE))),0)</f>
        <v>0</v>
      </c>
      <c r="F67" s="71">
        <f>IF(AND($A67&gt;=Behaviours!F$34,$A67&lt;=Behaviours!F$35),(Behaviours!F$36*(VLOOKUP("Water",Report!$A$18:$L$34,'Actual-CO2 Calculations'!$AK69,FALSE))),0)</f>
        <v>0</v>
      </c>
      <c r="G67" s="71">
        <f>IF(AND($A67&gt;=Behaviours!G$34,$A67&lt;=Behaviours!G$35),(Behaviours!G$36*(VLOOKUP("Water",Report!$A$18:$L$34,'Actual-CO2 Calculations'!$AK69,FALSE))),0)</f>
        <v>0</v>
      </c>
      <c r="I67" s="664">
        <f t="shared" si="0"/>
        <v>0</v>
      </c>
    </row>
    <row r="68" spans="1:9">
      <c r="A68" s="66" t="s">
        <v>76</v>
      </c>
      <c r="B68" s="71">
        <f>IF(AND($A68&gt;=Behaviours!B$34,$A68&lt;=Behaviours!B$35),(Behaviours!B$36*(VLOOKUP("Water",Report!$A$18:$L$34,'Actual-CO2 Calculations'!$AK70,FALSE))),0)</f>
        <v>0</v>
      </c>
      <c r="C68" s="71">
        <f>IF(AND($A68&gt;=Behaviours!C$34,$A68&lt;=Behaviours!C$35),(Behaviours!C$36*(VLOOKUP("Water",Report!$A$18:$L$34,'Actual-CO2 Calculations'!$AK70,FALSE))),0)</f>
        <v>0</v>
      </c>
      <c r="D68" s="71">
        <f>IF(AND($A68&gt;=Behaviours!D$34,$A68&lt;=Behaviours!D$35),(Behaviours!D$36*(VLOOKUP("Water",Report!$A$18:$L$34,'Actual-CO2 Calculations'!$AK70,FALSE))),0)</f>
        <v>0</v>
      </c>
      <c r="E68" s="71">
        <f>IF(AND($A68&gt;=Behaviours!E$34,$A68&lt;=Behaviours!E$35),(Behaviours!E$36*(VLOOKUP("Water",Report!$A$18:$L$34,'Actual-CO2 Calculations'!$AK70,FALSE))),0)</f>
        <v>0</v>
      </c>
      <c r="F68" s="71">
        <f>IF(AND($A68&gt;=Behaviours!F$34,$A68&lt;=Behaviours!F$35),(Behaviours!F$36*(VLOOKUP("Water",Report!$A$18:$L$34,'Actual-CO2 Calculations'!$AK70,FALSE))),0)</f>
        <v>0</v>
      </c>
      <c r="G68" s="71">
        <f>IF(AND($A68&gt;=Behaviours!G$34,$A68&lt;=Behaviours!G$35),(Behaviours!G$36*(VLOOKUP("Water",Report!$A$18:$L$34,'Actual-CO2 Calculations'!$AK70,FALSE))),0)</f>
        <v>0</v>
      </c>
      <c r="I68" s="664">
        <f t="shared" ref="I68:I122" si="1">SUM(B68:G68)</f>
        <v>0</v>
      </c>
    </row>
    <row r="69" spans="1:9">
      <c r="A69" s="66" t="s">
        <v>77</v>
      </c>
      <c r="B69" s="71">
        <f>IF(AND($A69&gt;=Behaviours!B$34,$A69&lt;=Behaviours!B$35),(Behaviours!B$36*(VLOOKUP("Water",Report!$A$18:$L$34,'Actual-CO2 Calculations'!$AK71,FALSE))),0)</f>
        <v>0</v>
      </c>
      <c r="C69" s="71">
        <f>IF(AND($A69&gt;=Behaviours!C$34,$A69&lt;=Behaviours!C$35),(Behaviours!C$36*(VLOOKUP("Water",Report!$A$18:$L$34,'Actual-CO2 Calculations'!$AK71,FALSE))),0)</f>
        <v>0</v>
      </c>
      <c r="D69" s="71">
        <f>IF(AND($A69&gt;=Behaviours!D$34,$A69&lt;=Behaviours!D$35),(Behaviours!D$36*(VLOOKUP("Water",Report!$A$18:$L$34,'Actual-CO2 Calculations'!$AK71,FALSE))),0)</f>
        <v>0</v>
      </c>
      <c r="E69" s="71">
        <f>IF(AND($A69&gt;=Behaviours!E$34,$A69&lt;=Behaviours!E$35),(Behaviours!E$36*(VLOOKUP("Water",Report!$A$18:$L$34,'Actual-CO2 Calculations'!$AK71,FALSE))),0)</f>
        <v>0</v>
      </c>
      <c r="F69" s="71">
        <f>IF(AND($A69&gt;=Behaviours!F$34,$A69&lt;=Behaviours!F$35),(Behaviours!F$36*(VLOOKUP("Water",Report!$A$18:$L$34,'Actual-CO2 Calculations'!$AK71,FALSE))),0)</f>
        <v>0</v>
      </c>
      <c r="G69" s="71">
        <f>IF(AND($A69&gt;=Behaviours!G$34,$A69&lt;=Behaviours!G$35),(Behaviours!G$36*(VLOOKUP("Water",Report!$A$18:$L$34,'Actual-CO2 Calculations'!$AK71,FALSE))),0)</f>
        <v>0</v>
      </c>
      <c r="I69" s="664">
        <f t="shared" si="1"/>
        <v>0</v>
      </c>
    </row>
    <row r="70" spans="1:9">
      <c r="A70" s="66" t="s">
        <v>78</v>
      </c>
      <c r="B70" s="71">
        <f>IF(AND($A70&gt;=Behaviours!B$34,$A70&lt;=Behaviours!B$35),(Behaviours!B$36*(VLOOKUP("Water",Report!$A$18:$L$34,'Actual-CO2 Calculations'!$AK72,FALSE))),0)</f>
        <v>0</v>
      </c>
      <c r="C70" s="71">
        <f>IF(AND($A70&gt;=Behaviours!C$34,$A70&lt;=Behaviours!C$35),(Behaviours!C$36*(VLOOKUP("Water",Report!$A$18:$L$34,'Actual-CO2 Calculations'!$AK72,FALSE))),0)</f>
        <v>0</v>
      </c>
      <c r="D70" s="71">
        <f>IF(AND($A70&gt;=Behaviours!D$34,$A70&lt;=Behaviours!D$35),(Behaviours!D$36*(VLOOKUP("Water",Report!$A$18:$L$34,'Actual-CO2 Calculations'!$AK72,FALSE))),0)</f>
        <v>0</v>
      </c>
      <c r="E70" s="71">
        <f>IF(AND($A70&gt;=Behaviours!E$34,$A70&lt;=Behaviours!E$35),(Behaviours!E$36*(VLOOKUP("Water",Report!$A$18:$L$34,'Actual-CO2 Calculations'!$AK72,FALSE))),0)</f>
        <v>0</v>
      </c>
      <c r="F70" s="71">
        <f>IF(AND($A70&gt;=Behaviours!F$34,$A70&lt;=Behaviours!F$35),(Behaviours!F$36*(VLOOKUP("Water",Report!$A$18:$L$34,'Actual-CO2 Calculations'!$AK72,FALSE))),0)</f>
        <v>0</v>
      </c>
      <c r="G70" s="71">
        <f>IF(AND($A70&gt;=Behaviours!G$34,$A70&lt;=Behaviours!G$35),(Behaviours!G$36*(VLOOKUP("Water",Report!$A$18:$L$34,'Actual-CO2 Calculations'!$AK72,FALSE))),0)</f>
        <v>0</v>
      </c>
      <c r="I70" s="664">
        <f t="shared" si="1"/>
        <v>0</v>
      </c>
    </row>
    <row r="71" spans="1:9">
      <c r="A71" s="66" t="s">
        <v>79</v>
      </c>
      <c r="B71" s="71">
        <f>IF(AND($A71&gt;=Behaviours!B$34,$A71&lt;=Behaviours!B$35),(Behaviours!B$36*(VLOOKUP("Water",Report!$A$18:$L$34,'Actual-CO2 Calculations'!$AK73,FALSE))),0)</f>
        <v>0</v>
      </c>
      <c r="C71" s="71">
        <f>IF(AND($A71&gt;=Behaviours!C$34,$A71&lt;=Behaviours!C$35),(Behaviours!C$36*(VLOOKUP("Water",Report!$A$18:$L$34,'Actual-CO2 Calculations'!$AK73,FALSE))),0)</f>
        <v>0</v>
      </c>
      <c r="D71" s="71">
        <f>IF(AND($A71&gt;=Behaviours!D$34,$A71&lt;=Behaviours!D$35),(Behaviours!D$36*(VLOOKUP("Water",Report!$A$18:$L$34,'Actual-CO2 Calculations'!$AK73,FALSE))),0)</f>
        <v>0</v>
      </c>
      <c r="E71" s="71">
        <f>IF(AND($A71&gt;=Behaviours!E$34,$A71&lt;=Behaviours!E$35),(Behaviours!E$36*(VLOOKUP("Water",Report!$A$18:$L$34,'Actual-CO2 Calculations'!$AK73,FALSE))),0)</f>
        <v>0</v>
      </c>
      <c r="F71" s="71">
        <f>IF(AND($A71&gt;=Behaviours!F$34,$A71&lt;=Behaviours!F$35),(Behaviours!F$36*(VLOOKUP("Water",Report!$A$18:$L$34,'Actual-CO2 Calculations'!$AK73,FALSE))),0)</f>
        <v>0</v>
      </c>
      <c r="G71" s="71">
        <f>IF(AND($A71&gt;=Behaviours!G$34,$A71&lt;=Behaviours!G$35),(Behaviours!G$36*(VLOOKUP("Water",Report!$A$18:$L$34,'Actual-CO2 Calculations'!$AK73,FALSE))),0)</f>
        <v>0</v>
      </c>
      <c r="I71" s="664">
        <f t="shared" si="1"/>
        <v>0</v>
      </c>
    </row>
    <row r="72" spans="1:9">
      <c r="A72" s="66" t="s">
        <v>80</v>
      </c>
      <c r="B72" s="71">
        <f>IF(AND($A72&gt;=Behaviours!B$34,$A72&lt;=Behaviours!B$35),(Behaviours!B$36*(VLOOKUP("Water",Report!$A$18:$L$34,'Actual-CO2 Calculations'!$AK74,FALSE))),0)</f>
        <v>0</v>
      </c>
      <c r="C72" s="71">
        <f>IF(AND($A72&gt;=Behaviours!C$34,$A72&lt;=Behaviours!C$35),(Behaviours!C$36*(VLOOKUP("Water",Report!$A$18:$L$34,'Actual-CO2 Calculations'!$AK74,FALSE))),0)</f>
        <v>0</v>
      </c>
      <c r="D72" s="71">
        <f>IF(AND($A72&gt;=Behaviours!D$34,$A72&lt;=Behaviours!D$35),(Behaviours!D$36*(VLOOKUP("Water",Report!$A$18:$L$34,'Actual-CO2 Calculations'!$AK74,FALSE))),0)</f>
        <v>0</v>
      </c>
      <c r="E72" s="71">
        <f>IF(AND($A72&gt;=Behaviours!E$34,$A72&lt;=Behaviours!E$35),(Behaviours!E$36*(VLOOKUP("Water",Report!$A$18:$L$34,'Actual-CO2 Calculations'!$AK74,FALSE))),0)</f>
        <v>0</v>
      </c>
      <c r="F72" s="71">
        <f>IF(AND($A72&gt;=Behaviours!F$34,$A72&lt;=Behaviours!F$35),(Behaviours!F$36*(VLOOKUP("Water",Report!$A$18:$L$34,'Actual-CO2 Calculations'!$AK74,FALSE))),0)</f>
        <v>0</v>
      </c>
      <c r="G72" s="71">
        <f>IF(AND($A72&gt;=Behaviours!G$34,$A72&lt;=Behaviours!G$35),(Behaviours!G$36*(VLOOKUP("Water",Report!$A$18:$L$34,'Actual-CO2 Calculations'!$AK74,FALSE))),0)</f>
        <v>0</v>
      </c>
      <c r="I72" s="664">
        <f t="shared" si="1"/>
        <v>0</v>
      </c>
    </row>
    <row r="73" spans="1:9">
      <c r="A73" s="66" t="s">
        <v>81</v>
      </c>
      <c r="B73" s="71">
        <f>IF(AND($A73&gt;=Behaviours!B$34,$A73&lt;=Behaviours!B$35),(Behaviours!B$36*(VLOOKUP("Water",Report!$A$18:$L$34,'Actual-CO2 Calculations'!$AK75,FALSE))),0)</f>
        <v>0</v>
      </c>
      <c r="C73" s="71">
        <f>IF(AND($A73&gt;=Behaviours!C$34,$A73&lt;=Behaviours!C$35),(Behaviours!C$36*(VLOOKUP("Water",Report!$A$18:$L$34,'Actual-CO2 Calculations'!$AK75,FALSE))),0)</f>
        <v>0</v>
      </c>
      <c r="D73" s="71">
        <f>IF(AND($A73&gt;=Behaviours!D$34,$A73&lt;=Behaviours!D$35),(Behaviours!D$36*(VLOOKUP("Water",Report!$A$18:$L$34,'Actual-CO2 Calculations'!$AK75,FALSE))),0)</f>
        <v>0</v>
      </c>
      <c r="E73" s="71">
        <f>IF(AND($A73&gt;=Behaviours!E$34,$A73&lt;=Behaviours!E$35),(Behaviours!E$36*(VLOOKUP("Water",Report!$A$18:$L$34,'Actual-CO2 Calculations'!$AK75,FALSE))),0)</f>
        <v>0</v>
      </c>
      <c r="F73" s="71">
        <f>IF(AND($A73&gt;=Behaviours!F$34,$A73&lt;=Behaviours!F$35),(Behaviours!F$36*(VLOOKUP("Water",Report!$A$18:$L$34,'Actual-CO2 Calculations'!$AK75,FALSE))),0)</f>
        <v>0</v>
      </c>
      <c r="G73" s="71">
        <f>IF(AND($A73&gt;=Behaviours!G$34,$A73&lt;=Behaviours!G$35),(Behaviours!G$36*(VLOOKUP("Water",Report!$A$18:$L$34,'Actual-CO2 Calculations'!$AK75,FALSE))),0)</f>
        <v>0</v>
      </c>
      <c r="I73" s="664">
        <f t="shared" si="1"/>
        <v>0</v>
      </c>
    </row>
    <row r="74" spans="1:9">
      <c r="A74" s="66" t="s">
        <v>82</v>
      </c>
      <c r="B74" s="71">
        <f>IF(AND($A74&gt;=Behaviours!B$34,$A74&lt;=Behaviours!B$35),(Behaviours!B$36*(VLOOKUP("Water",Report!$A$18:$L$34,'Actual-CO2 Calculations'!$AK76,FALSE))),0)</f>
        <v>0</v>
      </c>
      <c r="C74" s="71">
        <f>IF(AND($A74&gt;=Behaviours!C$34,$A74&lt;=Behaviours!C$35),(Behaviours!C$36*(VLOOKUP("Water",Report!$A$18:$L$34,'Actual-CO2 Calculations'!$AK76,FALSE))),0)</f>
        <v>0</v>
      </c>
      <c r="D74" s="71">
        <f>IF(AND($A74&gt;=Behaviours!D$34,$A74&lt;=Behaviours!D$35),(Behaviours!D$36*(VLOOKUP("Water",Report!$A$18:$L$34,'Actual-CO2 Calculations'!$AK76,FALSE))),0)</f>
        <v>0</v>
      </c>
      <c r="E74" s="71">
        <f>IF(AND($A74&gt;=Behaviours!E$34,$A74&lt;=Behaviours!E$35),(Behaviours!E$36*(VLOOKUP("Water",Report!$A$18:$L$34,'Actual-CO2 Calculations'!$AK76,FALSE))),0)</f>
        <v>0</v>
      </c>
      <c r="F74" s="71">
        <f>IF(AND($A74&gt;=Behaviours!F$34,$A74&lt;=Behaviours!F$35),(Behaviours!F$36*(VLOOKUP("Water",Report!$A$18:$L$34,'Actual-CO2 Calculations'!$AK76,FALSE))),0)</f>
        <v>0</v>
      </c>
      <c r="G74" s="71">
        <f>IF(AND($A74&gt;=Behaviours!G$34,$A74&lt;=Behaviours!G$35),(Behaviours!G$36*(VLOOKUP("Water",Report!$A$18:$L$34,'Actual-CO2 Calculations'!$AK76,FALSE))),0)</f>
        <v>0</v>
      </c>
      <c r="I74" s="664">
        <f t="shared" si="1"/>
        <v>0</v>
      </c>
    </row>
    <row r="75" spans="1:9">
      <c r="A75" s="66" t="s">
        <v>83</v>
      </c>
      <c r="B75" s="71">
        <f>IF(AND($A75&gt;=Behaviours!B$34,$A75&lt;=Behaviours!B$35),(Behaviours!B$36*(VLOOKUP("Water",Report!$A$18:$L$34,'Actual-CO2 Calculations'!$AK77,FALSE))),0)</f>
        <v>0</v>
      </c>
      <c r="C75" s="71">
        <f>IF(AND($A75&gt;=Behaviours!C$34,$A75&lt;=Behaviours!C$35),(Behaviours!C$36*(VLOOKUP("Water",Report!$A$18:$L$34,'Actual-CO2 Calculations'!$AK77,FALSE))),0)</f>
        <v>0</v>
      </c>
      <c r="D75" s="71">
        <f>IF(AND($A75&gt;=Behaviours!D$34,$A75&lt;=Behaviours!D$35),(Behaviours!D$36*(VLOOKUP("Water",Report!$A$18:$L$34,'Actual-CO2 Calculations'!$AK77,FALSE))),0)</f>
        <v>0</v>
      </c>
      <c r="E75" s="71">
        <f>IF(AND($A75&gt;=Behaviours!E$34,$A75&lt;=Behaviours!E$35),(Behaviours!E$36*(VLOOKUP("Water",Report!$A$18:$L$34,'Actual-CO2 Calculations'!$AK77,FALSE))),0)</f>
        <v>0</v>
      </c>
      <c r="F75" s="71">
        <f>IF(AND($A75&gt;=Behaviours!F$34,$A75&lt;=Behaviours!F$35),(Behaviours!F$36*(VLOOKUP("Water",Report!$A$18:$L$34,'Actual-CO2 Calculations'!$AK77,FALSE))),0)</f>
        <v>0</v>
      </c>
      <c r="G75" s="71">
        <f>IF(AND($A75&gt;=Behaviours!G$34,$A75&lt;=Behaviours!G$35),(Behaviours!G$36*(VLOOKUP("Water",Report!$A$18:$L$34,'Actual-CO2 Calculations'!$AK77,FALSE))),0)</f>
        <v>0</v>
      </c>
      <c r="I75" s="664">
        <f t="shared" si="1"/>
        <v>0</v>
      </c>
    </row>
    <row r="76" spans="1:9">
      <c r="A76" s="66" t="s">
        <v>84</v>
      </c>
      <c r="B76" s="71">
        <f>IF(AND($A76&gt;=Behaviours!B$34,$A76&lt;=Behaviours!B$35),(Behaviours!B$36*(VLOOKUP("Water",Report!$A$18:$L$34,'Actual-CO2 Calculations'!$AK78,FALSE))),0)</f>
        <v>0</v>
      </c>
      <c r="C76" s="71">
        <f>IF(AND($A76&gt;=Behaviours!C$34,$A76&lt;=Behaviours!C$35),(Behaviours!C$36*(VLOOKUP("Water",Report!$A$18:$L$34,'Actual-CO2 Calculations'!$AK78,FALSE))),0)</f>
        <v>0</v>
      </c>
      <c r="D76" s="71">
        <f>IF(AND($A76&gt;=Behaviours!D$34,$A76&lt;=Behaviours!D$35),(Behaviours!D$36*(VLOOKUP("Water",Report!$A$18:$L$34,'Actual-CO2 Calculations'!$AK78,FALSE))),0)</f>
        <v>0</v>
      </c>
      <c r="E76" s="71">
        <f>IF(AND($A76&gt;=Behaviours!E$34,$A76&lt;=Behaviours!E$35),(Behaviours!E$36*(VLOOKUP("Water",Report!$A$18:$L$34,'Actual-CO2 Calculations'!$AK78,FALSE))),0)</f>
        <v>0</v>
      </c>
      <c r="F76" s="71">
        <f>IF(AND($A76&gt;=Behaviours!F$34,$A76&lt;=Behaviours!F$35),(Behaviours!F$36*(VLOOKUP("Water",Report!$A$18:$L$34,'Actual-CO2 Calculations'!$AK78,FALSE))),0)</f>
        <v>0</v>
      </c>
      <c r="G76" s="71">
        <f>IF(AND($A76&gt;=Behaviours!G$34,$A76&lt;=Behaviours!G$35),(Behaviours!G$36*(VLOOKUP("Water",Report!$A$18:$L$34,'Actual-CO2 Calculations'!$AK78,FALSE))),0)</f>
        <v>0</v>
      </c>
      <c r="I76" s="664">
        <f t="shared" si="1"/>
        <v>0</v>
      </c>
    </row>
    <row r="77" spans="1:9">
      <c r="A77" s="66" t="s">
        <v>16</v>
      </c>
      <c r="B77" s="71">
        <f>IF(AND($A77&gt;=Behaviours!B$34,$A77&lt;=Behaviours!B$35),(Behaviours!B$36*(VLOOKUP("Water",Report!$A$18:$L$34,'Actual-CO2 Calculations'!$AK79,FALSE))),0)</f>
        <v>0</v>
      </c>
      <c r="C77" s="71">
        <f>IF(AND($A77&gt;=Behaviours!C$34,$A77&lt;=Behaviours!C$35),(Behaviours!C$36*(VLOOKUP("Water",Report!$A$18:$L$34,'Actual-CO2 Calculations'!$AK79,FALSE))),0)</f>
        <v>0</v>
      </c>
      <c r="D77" s="71">
        <f>IF(AND($A77&gt;=Behaviours!D$34,$A77&lt;=Behaviours!D$35),(Behaviours!D$36*(VLOOKUP("Water",Report!$A$18:$L$34,'Actual-CO2 Calculations'!$AK79,FALSE))),0)</f>
        <v>0</v>
      </c>
      <c r="E77" s="71">
        <f>IF(AND($A77&gt;=Behaviours!E$34,$A77&lt;=Behaviours!E$35),(Behaviours!E$36*(VLOOKUP("Water",Report!$A$18:$L$34,'Actual-CO2 Calculations'!$AK79,FALSE))),0)</f>
        <v>0</v>
      </c>
      <c r="F77" s="71">
        <f>IF(AND($A77&gt;=Behaviours!F$34,$A77&lt;=Behaviours!F$35),(Behaviours!F$36*(VLOOKUP("Water",Report!$A$18:$L$34,'Actual-CO2 Calculations'!$AK79,FALSE))),0)</f>
        <v>0</v>
      </c>
      <c r="G77" s="71">
        <f>IF(AND($A77&gt;=Behaviours!G$34,$A77&lt;=Behaviours!G$35),(Behaviours!G$36*(VLOOKUP("Water",Report!$A$18:$L$34,'Actual-CO2 Calculations'!$AK79,FALSE))),0)</f>
        <v>0</v>
      </c>
      <c r="I77" s="664">
        <f t="shared" si="1"/>
        <v>0</v>
      </c>
    </row>
    <row r="78" spans="1:9">
      <c r="A78" s="66" t="s">
        <v>17</v>
      </c>
      <c r="B78" s="71">
        <f>IF(AND($A78&gt;=Behaviours!B$34,$A78&lt;=Behaviours!B$35),(Behaviours!B$36*(VLOOKUP("Water",Report!$A$18:$L$34,'Actual-CO2 Calculations'!$AK80,FALSE))),0)</f>
        <v>0</v>
      </c>
      <c r="C78" s="71">
        <f>IF(AND($A78&gt;=Behaviours!C$34,$A78&lt;=Behaviours!C$35),(Behaviours!C$36*(VLOOKUP("Water",Report!$A$18:$L$34,'Actual-CO2 Calculations'!$AK80,FALSE))),0)</f>
        <v>0</v>
      </c>
      <c r="D78" s="71">
        <f>IF(AND($A78&gt;=Behaviours!D$34,$A78&lt;=Behaviours!D$35),(Behaviours!D$36*(VLOOKUP("Water",Report!$A$18:$L$34,'Actual-CO2 Calculations'!$AK80,FALSE))),0)</f>
        <v>0</v>
      </c>
      <c r="E78" s="71">
        <f>IF(AND($A78&gt;=Behaviours!E$34,$A78&lt;=Behaviours!E$35),(Behaviours!E$36*(VLOOKUP("Water",Report!$A$18:$L$34,'Actual-CO2 Calculations'!$AK80,FALSE))),0)</f>
        <v>0</v>
      </c>
      <c r="F78" s="71">
        <f>IF(AND($A78&gt;=Behaviours!F$34,$A78&lt;=Behaviours!F$35),(Behaviours!F$36*(VLOOKUP("Water",Report!$A$18:$L$34,'Actual-CO2 Calculations'!$AK80,FALSE))),0)</f>
        <v>0</v>
      </c>
      <c r="G78" s="71">
        <f>IF(AND($A78&gt;=Behaviours!G$34,$A78&lt;=Behaviours!G$35),(Behaviours!G$36*(VLOOKUP("Water",Report!$A$18:$L$34,'Actual-CO2 Calculations'!$AK80,FALSE))),0)</f>
        <v>0</v>
      </c>
      <c r="I78" s="664">
        <f t="shared" si="1"/>
        <v>0</v>
      </c>
    </row>
    <row r="79" spans="1:9">
      <c r="A79" s="66" t="s">
        <v>18</v>
      </c>
      <c r="B79" s="71">
        <f>IF(AND($A79&gt;=Behaviours!B$34,$A79&lt;=Behaviours!B$35),(Behaviours!B$36*(VLOOKUP("Water",Report!$A$18:$L$34,'Actual-CO2 Calculations'!$AK81,FALSE))),0)</f>
        <v>0</v>
      </c>
      <c r="C79" s="71">
        <f>IF(AND($A79&gt;=Behaviours!C$34,$A79&lt;=Behaviours!C$35),(Behaviours!C$36*(VLOOKUP("Water",Report!$A$18:$L$34,'Actual-CO2 Calculations'!$AK81,FALSE))),0)</f>
        <v>0</v>
      </c>
      <c r="D79" s="71">
        <f>IF(AND($A79&gt;=Behaviours!D$34,$A79&lt;=Behaviours!D$35),(Behaviours!D$36*(VLOOKUP("Water",Report!$A$18:$L$34,'Actual-CO2 Calculations'!$AK81,FALSE))),0)</f>
        <v>0</v>
      </c>
      <c r="E79" s="71">
        <f>IF(AND($A79&gt;=Behaviours!E$34,$A79&lt;=Behaviours!E$35),(Behaviours!E$36*(VLOOKUP("Water",Report!$A$18:$L$34,'Actual-CO2 Calculations'!$AK81,FALSE))),0)</f>
        <v>0</v>
      </c>
      <c r="F79" s="71">
        <f>IF(AND($A79&gt;=Behaviours!F$34,$A79&lt;=Behaviours!F$35),(Behaviours!F$36*(VLOOKUP("Water",Report!$A$18:$L$34,'Actual-CO2 Calculations'!$AK81,FALSE))),0)</f>
        <v>0</v>
      </c>
      <c r="G79" s="71">
        <f>IF(AND($A79&gt;=Behaviours!G$34,$A79&lt;=Behaviours!G$35),(Behaviours!G$36*(VLOOKUP("Water",Report!$A$18:$L$34,'Actual-CO2 Calculations'!$AK81,FALSE))),0)</f>
        <v>0</v>
      </c>
      <c r="I79" s="664">
        <f t="shared" si="1"/>
        <v>0</v>
      </c>
    </row>
    <row r="80" spans="1:9">
      <c r="A80" s="66" t="s">
        <v>19</v>
      </c>
      <c r="B80" s="71">
        <f>IF(AND($A80&gt;=Behaviours!B$34,$A80&lt;=Behaviours!B$35),(Behaviours!B$36*(VLOOKUP("Water",Report!$A$18:$L$34,'Actual-CO2 Calculations'!$AK82,FALSE))),0)</f>
        <v>0</v>
      </c>
      <c r="C80" s="71">
        <f>IF(AND($A80&gt;=Behaviours!C$34,$A80&lt;=Behaviours!C$35),(Behaviours!C$36*(VLOOKUP("Water",Report!$A$18:$L$34,'Actual-CO2 Calculations'!$AK82,FALSE))),0)</f>
        <v>0</v>
      </c>
      <c r="D80" s="71">
        <f>IF(AND($A80&gt;=Behaviours!D$34,$A80&lt;=Behaviours!D$35),(Behaviours!D$36*(VLOOKUP("Water",Report!$A$18:$L$34,'Actual-CO2 Calculations'!$AK82,FALSE))),0)</f>
        <v>0</v>
      </c>
      <c r="E80" s="71">
        <f>IF(AND($A80&gt;=Behaviours!E$34,$A80&lt;=Behaviours!E$35),(Behaviours!E$36*(VLOOKUP("Water",Report!$A$18:$L$34,'Actual-CO2 Calculations'!$AK82,FALSE))),0)</f>
        <v>0</v>
      </c>
      <c r="F80" s="71">
        <f>IF(AND($A80&gt;=Behaviours!F$34,$A80&lt;=Behaviours!F$35),(Behaviours!F$36*(VLOOKUP("Water",Report!$A$18:$L$34,'Actual-CO2 Calculations'!$AK82,FALSE))),0)</f>
        <v>0</v>
      </c>
      <c r="G80" s="71">
        <f>IF(AND($A80&gt;=Behaviours!G$34,$A80&lt;=Behaviours!G$35),(Behaviours!G$36*(VLOOKUP("Water",Report!$A$18:$L$34,'Actual-CO2 Calculations'!$AK82,FALSE))),0)</f>
        <v>0</v>
      </c>
      <c r="I80" s="664">
        <f t="shared" si="1"/>
        <v>0</v>
      </c>
    </row>
    <row r="81" spans="1:9">
      <c r="A81" s="66" t="s">
        <v>85</v>
      </c>
      <c r="B81" s="71">
        <f>IF(AND($A81&gt;=Behaviours!B$34,$A81&lt;=Behaviours!B$35),(Behaviours!B$36*(VLOOKUP("Water",Report!$A$18:$L$34,'Actual-CO2 Calculations'!$AK83,FALSE))),0)</f>
        <v>0</v>
      </c>
      <c r="C81" s="71">
        <f>IF(AND($A81&gt;=Behaviours!C$34,$A81&lt;=Behaviours!C$35),(Behaviours!C$36*(VLOOKUP("Water",Report!$A$18:$L$34,'Actual-CO2 Calculations'!$AK83,FALSE))),0)</f>
        <v>0</v>
      </c>
      <c r="D81" s="71">
        <f>IF(AND($A81&gt;=Behaviours!D$34,$A81&lt;=Behaviours!D$35),(Behaviours!D$36*(VLOOKUP("Water",Report!$A$18:$L$34,'Actual-CO2 Calculations'!$AK83,FALSE))),0)</f>
        <v>0</v>
      </c>
      <c r="E81" s="71">
        <f>IF(AND($A81&gt;=Behaviours!E$34,$A81&lt;=Behaviours!E$35),(Behaviours!E$36*(VLOOKUP("Water",Report!$A$18:$L$34,'Actual-CO2 Calculations'!$AK83,FALSE))),0)</f>
        <v>0</v>
      </c>
      <c r="F81" s="71">
        <f>IF(AND($A81&gt;=Behaviours!F$34,$A81&lt;=Behaviours!F$35),(Behaviours!F$36*(VLOOKUP("Water",Report!$A$18:$L$34,'Actual-CO2 Calculations'!$AK83,FALSE))),0)</f>
        <v>0</v>
      </c>
      <c r="G81" s="71">
        <f>IF(AND($A81&gt;=Behaviours!G$34,$A81&lt;=Behaviours!G$35),(Behaviours!G$36*(VLOOKUP("Water",Report!$A$18:$L$34,'Actual-CO2 Calculations'!$AK83,FALSE))),0)</f>
        <v>0</v>
      </c>
      <c r="I81" s="664">
        <f t="shared" si="1"/>
        <v>0</v>
      </c>
    </row>
    <row r="82" spans="1:9">
      <c r="A82" s="66" t="s">
        <v>86</v>
      </c>
      <c r="B82" s="71">
        <f>IF(AND($A82&gt;=Behaviours!B$34,$A82&lt;=Behaviours!B$35),(Behaviours!B$36*(VLOOKUP("Water",Report!$A$18:$L$34,'Actual-CO2 Calculations'!$AK84,FALSE))),0)</f>
        <v>0</v>
      </c>
      <c r="C82" s="71">
        <f>IF(AND($A82&gt;=Behaviours!C$34,$A82&lt;=Behaviours!C$35),(Behaviours!C$36*(VLOOKUP("Water",Report!$A$18:$L$34,'Actual-CO2 Calculations'!$AK84,FALSE))),0)</f>
        <v>0</v>
      </c>
      <c r="D82" s="71">
        <f>IF(AND($A82&gt;=Behaviours!D$34,$A82&lt;=Behaviours!D$35),(Behaviours!D$36*(VLOOKUP("Water",Report!$A$18:$L$34,'Actual-CO2 Calculations'!$AK84,FALSE))),0)</f>
        <v>0</v>
      </c>
      <c r="E82" s="71">
        <f>IF(AND($A82&gt;=Behaviours!E$34,$A82&lt;=Behaviours!E$35),(Behaviours!E$36*(VLOOKUP("Water",Report!$A$18:$L$34,'Actual-CO2 Calculations'!$AK84,FALSE))),0)</f>
        <v>0</v>
      </c>
      <c r="F82" s="71">
        <f>IF(AND($A82&gt;=Behaviours!F$34,$A82&lt;=Behaviours!F$35),(Behaviours!F$36*(VLOOKUP("Water",Report!$A$18:$L$34,'Actual-CO2 Calculations'!$AK84,FALSE))),0)</f>
        <v>0</v>
      </c>
      <c r="G82" s="71">
        <f>IF(AND($A82&gt;=Behaviours!G$34,$A82&lt;=Behaviours!G$35),(Behaviours!G$36*(VLOOKUP("Water",Report!$A$18:$L$34,'Actual-CO2 Calculations'!$AK84,FALSE))),0)</f>
        <v>0</v>
      </c>
      <c r="I82" s="664">
        <f t="shared" si="1"/>
        <v>0</v>
      </c>
    </row>
    <row r="83" spans="1:9">
      <c r="A83" s="66" t="s">
        <v>87</v>
      </c>
      <c r="B83" s="71">
        <f>IF(AND($A83&gt;=Behaviours!B$34,$A83&lt;=Behaviours!B$35),(Behaviours!B$36*(VLOOKUP("Water",Report!$A$18:$L$34,'Actual-CO2 Calculations'!$AK85,FALSE))),0)</f>
        <v>0</v>
      </c>
      <c r="C83" s="71">
        <f>IF(AND($A83&gt;=Behaviours!C$34,$A83&lt;=Behaviours!C$35),(Behaviours!C$36*(VLOOKUP("Water",Report!$A$18:$L$34,'Actual-CO2 Calculations'!$AK85,FALSE))),0)</f>
        <v>0</v>
      </c>
      <c r="D83" s="71">
        <f>IF(AND($A83&gt;=Behaviours!D$34,$A83&lt;=Behaviours!D$35),(Behaviours!D$36*(VLOOKUP("Water",Report!$A$18:$L$34,'Actual-CO2 Calculations'!$AK85,FALSE))),0)</f>
        <v>0</v>
      </c>
      <c r="E83" s="71">
        <f>IF(AND($A83&gt;=Behaviours!E$34,$A83&lt;=Behaviours!E$35),(Behaviours!E$36*(VLOOKUP("Water",Report!$A$18:$L$34,'Actual-CO2 Calculations'!$AK85,FALSE))),0)</f>
        <v>0</v>
      </c>
      <c r="F83" s="71">
        <f>IF(AND($A83&gt;=Behaviours!F$34,$A83&lt;=Behaviours!F$35),(Behaviours!F$36*(VLOOKUP("Water",Report!$A$18:$L$34,'Actual-CO2 Calculations'!$AK85,FALSE))),0)</f>
        <v>0</v>
      </c>
      <c r="G83" s="71">
        <f>IF(AND($A83&gt;=Behaviours!G$34,$A83&lt;=Behaviours!G$35),(Behaviours!G$36*(VLOOKUP("Water",Report!$A$18:$L$34,'Actual-CO2 Calculations'!$AK85,FALSE))),0)</f>
        <v>0</v>
      </c>
      <c r="I83" s="664">
        <f t="shared" si="1"/>
        <v>0</v>
      </c>
    </row>
    <row r="84" spans="1:9">
      <c r="A84" s="66" t="s">
        <v>88</v>
      </c>
      <c r="B84" s="71">
        <f>IF(AND($A84&gt;=Behaviours!B$34,$A84&lt;=Behaviours!B$35),(Behaviours!B$36*(VLOOKUP("Water",Report!$A$18:$L$34,'Actual-CO2 Calculations'!$AK86,FALSE))),0)</f>
        <v>0</v>
      </c>
      <c r="C84" s="71">
        <f>IF(AND($A84&gt;=Behaviours!C$34,$A84&lt;=Behaviours!C$35),(Behaviours!C$36*(VLOOKUP("Water",Report!$A$18:$L$34,'Actual-CO2 Calculations'!$AK86,FALSE))),0)</f>
        <v>0</v>
      </c>
      <c r="D84" s="71">
        <f>IF(AND($A84&gt;=Behaviours!D$34,$A84&lt;=Behaviours!D$35),(Behaviours!D$36*(VLOOKUP("Water",Report!$A$18:$L$34,'Actual-CO2 Calculations'!$AK86,FALSE))),0)</f>
        <v>0</v>
      </c>
      <c r="E84" s="71">
        <f>IF(AND($A84&gt;=Behaviours!E$34,$A84&lt;=Behaviours!E$35),(Behaviours!E$36*(VLOOKUP("Water",Report!$A$18:$L$34,'Actual-CO2 Calculations'!$AK86,FALSE))),0)</f>
        <v>0</v>
      </c>
      <c r="F84" s="71">
        <f>IF(AND($A84&gt;=Behaviours!F$34,$A84&lt;=Behaviours!F$35),(Behaviours!F$36*(VLOOKUP("Water",Report!$A$18:$L$34,'Actual-CO2 Calculations'!$AK86,FALSE))),0)</f>
        <v>0</v>
      </c>
      <c r="G84" s="71">
        <f>IF(AND($A84&gt;=Behaviours!G$34,$A84&lt;=Behaviours!G$35),(Behaviours!G$36*(VLOOKUP("Water",Report!$A$18:$L$34,'Actual-CO2 Calculations'!$AK86,FALSE))),0)</f>
        <v>0</v>
      </c>
      <c r="I84" s="664">
        <f t="shared" si="1"/>
        <v>0</v>
      </c>
    </row>
    <row r="85" spans="1:9">
      <c r="A85" s="66" t="s">
        <v>89</v>
      </c>
      <c r="B85" s="71">
        <f>IF(AND($A85&gt;=Behaviours!B$34,$A85&lt;=Behaviours!B$35),(Behaviours!B$36*(VLOOKUP("Water",Report!$A$18:$L$34,'Actual-CO2 Calculations'!$AK87,FALSE))),0)</f>
        <v>0</v>
      </c>
      <c r="C85" s="71">
        <f>IF(AND($A85&gt;=Behaviours!C$34,$A85&lt;=Behaviours!C$35),(Behaviours!C$36*(VLOOKUP("Water",Report!$A$18:$L$34,'Actual-CO2 Calculations'!$AK87,FALSE))),0)</f>
        <v>0</v>
      </c>
      <c r="D85" s="71">
        <f>IF(AND($A85&gt;=Behaviours!D$34,$A85&lt;=Behaviours!D$35),(Behaviours!D$36*(VLOOKUP("Water",Report!$A$18:$L$34,'Actual-CO2 Calculations'!$AK87,FALSE))),0)</f>
        <v>0</v>
      </c>
      <c r="E85" s="71">
        <f>IF(AND($A85&gt;=Behaviours!E$34,$A85&lt;=Behaviours!E$35),(Behaviours!E$36*(VLOOKUP("Water",Report!$A$18:$L$34,'Actual-CO2 Calculations'!$AK87,FALSE))),0)</f>
        <v>0</v>
      </c>
      <c r="F85" s="71">
        <f>IF(AND($A85&gt;=Behaviours!F$34,$A85&lt;=Behaviours!F$35),(Behaviours!F$36*(VLOOKUP("Water",Report!$A$18:$L$34,'Actual-CO2 Calculations'!$AK87,FALSE))),0)</f>
        <v>0</v>
      </c>
      <c r="G85" s="71">
        <f>IF(AND($A85&gt;=Behaviours!G$34,$A85&lt;=Behaviours!G$35),(Behaviours!G$36*(VLOOKUP("Water",Report!$A$18:$L$34,'Actual-CO2 Calculations'!$AK87,FALSE))),0)</f>
        <v>0</v>
      </c>
      <c r="I85" s="664">
        <f t="shared" si="1"/>
        <v>0</v>
      </c>
    </row>
    <row r="86" spans="1:9">
      <c r="A86" s="66" t="s">
        <v>90</v>
      </c>
      <c r="B86" s="71">
        <f>IF(AND($A86&gt;=Behaviours!B$34,$A86&lt;=Behaviours!B$35),(Behaviours!B$36*(VLOOKUP("Water",Report!$A$18:$L$34,'Actual-CO2 Calculations'!$AK88,FALSE))),0)</f>
        <v>0</v>
      </c>
      <c r="C86" s="71">
        <f>IF(AND($A86&gt;=Behaviours!C$34,$A86&lt;=Behaviours!C$35),(Behaviours!C$36*(VLOOKUP("Water",Report!$A$18:$L$34,'Actual-CO2 Calculations'!$AK88,FALSE))),0)</f>
        <v>0</v>
      </c>
      <c r="D86" s="71">
        <f>IF(AND($A86&gt;=Behaviours!D$34,$A86&lt;=Behaviours!D$35),(Behaviours!D$36*(VLOOKUP("Water",Report!$A$18:$L$34,'Actual-CO2 Calculations'!$AK88,FALSE))),0)</f>
        <v>0</v>
      </c>
      <c r="E86" s="71">
        <f>IF(AND($A86&gt;=Behaviours!E$34,$A86&lt;=Behaviours!E$35),(Behaviours!E$36*(VLOOKUP("Water",Report!$A$18:$L$34,'Actual-CO2 Calculations'!$AK88,FALSE))),0)</f>
        <v>0</v>
      </c>
      <c r="F86" s="71">
        <f>IF(AND($A86&gt;=Behaviours!F$34,$A86&lt;=Behaviours!F$35),(Behaviours!F$36*(VLOOKUP("Water",Report!$A$18:$L$34,'Actual-CO2 Calculations'!$AK88,FALSE))),0)</f>
        <v>0</v>
      </c>
      <c r="G86" s="71">
        <f>IF(AND($A86&gt;=Behaviours!G$34,$A86&lt;=Behaviours!G$35),(Behaviours!G$36*(VLOOKUP("Water",Report!$A$18:$L$34,'Actual-CO2 Calculations'!$AK88,FALSE))),0)</f>
        <v>0</v>
      </c>
      <c r="I86" s="664">
        <f t="shared" si="1"/>
        <v>0</v>
      </c>
    </row>
    <row r="87" spans="1:9">
      <c r="A87" s="66" t="s">
        <v>91</v>
      </c>
      <c r="B87" s="71">
        <f>IF(AND($A87&gt;=Behaviours!B$34,$A87&lt;=Behaviours!B$35),(Behaviours!B$36*(VLOOKUP("Water",Report!$A$18:$L$34,'Actual-CO2 Calculations'!$AK89,FALSE))),0)</f>
        <v>0</v>
      </c>
      <c r="C87" s="71">
        <f>IF(AND($A87&gt;=Behaviours!C$34,$A87&lt;=Behaviours!C$35),(Behaviours!C$36*(VLOOKUP("Water",Report!$A$18:$L$34,'Actual-CO2 Calculations'!$AK89,FALSE))),0)</f>
        <v>0</v>
      </c>
      <c r="D87" s="71">
        <f>IF(AND($A87&gt;=Behaviours!D$34,$A87&lt;=Behaviours!D$35),(Behaviours!D$36*(VLOOKUP("Water",Report!$A$18:$L$34,'Actual-CO2 Calculations'!$AK89,FALSE))),0)</f>
        <v>0</v>
      </c>
      <c r="E87" s="71">
        <f>IF(AND($A87&gt;=Behaviours!E$34,$A87&lt;=Behaviours!E$35),(Behaviours!E$36*(VLOOKUP("Water",Report!$A$18:$L$34,'Actual-CO2 Calculations'!$AK89,FALSE))),0)</f>
        <v>0</v>
      </c>
      <c r="F87" s="71">
        <f>IF(AND($A87&gt;=Behaviours!F$34,$A87&lt;=Behaviours!F$35),(Behaviours!F$36*(VLOOKUP("Water",Report!$A$18:$L$34,'Actual-CO2 Calculations'!$AK89,FALSE))),0)</f>
        <v>0</v>
      </c>
      <c r="G87" s="71">
        <f>IF(AND($A87&gt;=Behaviours!G$34,$A87&lt;=Behaviours!G$35),(Behaviours!G$36*(VLOOKUP("Water",Report!$A$18:$L$34,'Actual-CO2 Calculations'!$AK89,FALSE))),0)</f>
        <v>0</v>
      </c>
      <c r="I87" s="664">
        <f t="shared" si="1"/>
        <v>0</v>
      </c>
    </row>
    <row r="88" spans="1:9">
      <c r="A88" s="66" t="s">
        <v>92</v>
      </c>
      <c r="B88" s="71">
        <f>IF(AND($A88&gt;=Behaviours!B$34,$A88&lt;=Behaviours!B$35),(Behaviours!B$36*(VLOOKUP("Water",Report!$A$18:$L$34,'Actual-CO2 Calculations'!$AK90,FALSE))),0)</f>
        <v>0</v>
      </c>
      <c r="C88" s="71">
        <f>IF(AND($A88&gt;=Behaviours!C$34,$A88&lt;=Behaviours!C$35),(Behaviours!C$36*(VLOOKUP("Water",Report!$A$18:$L$34,'Actual-CO2 Calculations'!$AK90,FALSE))),0)</f>
        <v>0</v>
      </c>
      <c r="D88" s="71">
        <f>IF(AND($A88&gt;=Behaviours!D$34,$A88&lt;=Behaviours!D$35),(Behaviours!D$36*(VLOOKUP("Water",Report!$A$18:$L$34,'Actual-CO2 Calculations'!$AK90,FALSE))),0)</f>
        <v>0</v>
      </c>
      <c r="E88" s="71">
        <f>IF(AND($A88&gt;=Behaviours!E$34,$A88&lt;=Behaviours!E$35),(Behaviours!E$36*(VLOOKUP("Water",Report!$A$18:$L$34,'Actual-CO2 Calculations'!$AK90,FALSE))),0)</f>
        <v>0</v>
      </c>
      <c r="F88" s="71">
        <f>IF(AND($A88&gt;=Behaviours!F$34,$A88&lt;=Behaviours!F$35),(Behaviours!F$36*(VLOOKUP("Water",Report!$A$18:$L$34,'Actual-CO2 Calculations'!$AK90,FALSE))),0)</f>
        <v>0</v>
      </c>
      <c r="G88" s="71">
        <f>IF(AND($A88&gt;=Behaviours!G$34,$A88&lt;=Behaviours!G$35),(Behaviours!G$36*(VLOOKUP("Water",Report!$A$18:$L$34,'Actual-CO2 Calculations'!$AK90,FALSE))),0)</f>
        <v>0</v>
      </c>
      <c r="I88" s="664">
        <f t="shared" si="1"/>
        <v>0</v>
      </c>
    </row>
    <row r="89" spans="1:9">
      <c r="A89" s="66" t="s">
        <v>93</v>
      </c>
      <c r="B89" s="71">
        <f>IF(AND($A89&gt;=Behaviours!B$34,$A89&lt;=Behaviours!B$35),(Behaviours!B$36*(VLOOKUP("Water",Report!$A$18:$L$34,'Actual-CO2 Calculations'!$AK91,FALSE))),0)</f>
        <v>0</v>
      </c>
      <c r="C89" s="71">
        <f>IF(AND($A89&gt;=Behaviours!C$34,$A89&lt;=Behaviours!C$35),(Behaviours!C$36*(VLOOKUP("Water",Report!$A$18:$L$34,'Actual-CO2 Calculations'!$AK91,FALSE))),0)</f>
        <v>0</v>
      </c>
      <c r="D89" s="71">
        <f>IF(AND($A89&gt;=Behaviours!D$34,$A89&lt;=Behaviours!D$35),(Behaviours!D$36*(VLOOKUP("Water",Report!$A$18:$L$34,'Actual-CO2 Calculations'!$AK91,FALSE))),0)</f>
        <v>0</v>
      </c>
      <c r="E89" s="71">
        <f>IF(AND($A89&gt;=Behaviours!E$34,$A89&lt;=Behaviours!E$35),(Behaviours!E$36*(VLOOKUP("Water",Report!$A$18:$L$34,'Actual-CO2 Calculations'!$AK91,FALSE))),0)</f>
        <v>0</v>
      </c>
      <c r="F89" s="71">
        <f>IF(AND($A89&gt;=Behaviours!F$34,$A89&lt;=Behaviours!F$35),(Behaviours!F$36*(VLOOKUP("Water",Report!$A$18:$L$34,'Actual-CO2 Calculations'!$AK91,FALSE))),0)</f>
        <v>0</v>
      </c>
      <c r="G89" s="71">
        <f>IF(AND($A89&gt;=Behaviours!G$34,$A89&lt;=Behaviours!G$35),(Behaviours!G$36*(VLOOKUP("Water",Report!$A$18:$L$34,'Actual-CO2 Calculations'!$AK91,FALSE))),0)</f>
        <v>0</v>
      </c>
      <c r="I89" s="664">
        <f t="shared" si="1"/>
        <v>0</v>
      </c>
    </row>
    <row r="90" spans="1:9">
      <c r="A90" s="66" t="s">
        <v>20</v>
      </c>
      <c r="B90" s="71">
        <f>IF(AND($A90&gt;=Behaviours!B$34,$A90&lt;=Behaviours!B$35),(Behaviours!B$36*(VLOOKUP("Water",Report!$A$18:$L$34,'Actual-CO2 Calculations'!$AK92,FALSE))),0)</f>
        <v>0</v>
      </c>
      <c r="C90" s="71">
        <f>IF(AND($A90&gt;=Behaviours!C$34,$A90&lt;=Behaviours!C$35),(Behaviours!C$36*(VLOOKUP("Water",Report!$A$18:$L$34,'Actual-CO2 Calculations'!$AK92,FALSE))),0)</f>
        <v>0</v>
      </c>
      <c r="D90" s="71">
        <f>IF(AND($A90&gt;=Behaviours!D$34,$A90&lt;=Behaviours!D$35),(Behaviours!D$36*(VLOOKUP("Water",Report!$A$18:$L$34,'Actual-CO2 Calculations'!$AK92,FALSE))),0)</f>
        <v>0</v>
      </c>
      <c r="E90" s="71">
        <f>IF(AND($A90&gt;=Behaviours!E$34,$A90&lt;=Behaviours!E$35),(Behaviours!E$36*(VLOOKUP("Water",Report!$A$18:$L$34,'Actual-CO2 Calculations'!$AK92,FALSE))),0)</f>
        <v>0</v>
      </c>
      <c r="F90" s="71">
        <f>IF(AND($A90&gt;=Behaviours!F$34,$A90&lt;=Behaviours!F$35),(Behaviours!F$36*(VLOOKUP("Water",Report!$A$18:$L$34,'Actual-CO2 Calculations'!$AK92,FALSE))),0)</f>
        <v>0</v>
      </c>
      <c r="G90" s="71">
        <f>IF(AND($A90&gt;=Behaviours!G$34,$A90&lt;=Behaviours!G$35),(Behaviours!G$36*(VLOOKUP("Water",Report!$A$18:$L$34,'Actual-CO2 Calculations'!$AK92,FALSE))),0)</f>
        <v>0</v>
      </c>
      <c r="I90" s="664">
        <f t="shared" si="1"/>
        <v>0</v>
      </c>
    </row>
    <row r="91" spans="1:9">
      <c r="A91" s="66" t="s">
        <v>21</v>
      </c>
      <c r="B91" s="71">
        <f>IF(AND($A91&gt;=Behaviours!B$34,$A91&lt;=Behaviours!B$35),(Behaviours!B$36*(VLOOKUP("Water",Report!$A$18:$L$34,'Actual-CO2 Calculations'!$AK93,FALSE))),0)</f>
        <v>0</v>
      </c>
      <c r="C91" s="71">
        <f>IF(AND($A91&gt;=Behaviours!C$34,$A91&lt;=Behaviours!C$35),(Behaviours!C$36*(VLOOKUP("Water",Report!$A$18:$L$34,'Actual-CO2 Calculations'!$AK93,FALSE))),0)</f>
        <v>0</v>
      </c>
      <c r="D91" s="71">
        <f>IF(AND($A91&gt;=Behaviours!D$34,$A91&lt;=Behaviours!D$35),(Behaviours!D$36*(VLOOKUP("Water",Report!$A$18:$L$34,'Actual-CO2 Calculations'!$AK93,FALSE))),0)</f>
        <v>0</v>
      </c>
      <c r="E91" s="71">
        <f>IF(AND($A91&gt;=Behaviours!E$34,$A91&lt;=Behaviours!E$35),(Behaviours!E$36*(VLOOKUP("Water",Report!$A$18:$L$34,'Actual-CO2 Calculations'!$AK93,FALSE))),0)</f>
        <v>0</v>
      </c>
      <c r="F91" s="71">
        <f>IF(AND($A91&gt;=Behaviours!F$34,$A91&lt;=Behaviours!F$35),(Behaviours!F$36*(VLOOKUP("Water",Report!$A$18:$L$34,'Actual-CO2 Calculations'!$AK93,FALSE))),0)</f>
        <v>0</v>
      </c>
      <c r="G91" s="71">
        <f>IF(AND($A91&gt;=Behaviours!G$34,$A91&lt;=Behaviours!G$35),(Behaviours!G$36*(VLOOKUP("Water",Report!$A$18:$L$34,'Actual-CO2 Calculations'!$AK93,FALSE))),0)</f>
        <v>0</v>
      </c>
      <c r="I91" s="664">
        <f t="shared" si="1"/>
        <v>0</v>
      </c>
    </row>
    <row r="92" spans="1:9">
      <c r="A92" s="66" t="s">
        <v>22</v>
      </c>
      <c r="B92" s="71">
        <f>IF(AND($A92&gt;=Behaviours!B$34,$A92&lt;=Behaviours!B$35),(Behaviours!B$36*(VLOOKUP("Water",Report!$A$18:$L$34,'Actual-CO2 Calculations'!$AK94,FALSE))),0)</f>
        <v>0</v>
      </c>
      <c r="C92" s="71">
        <f>IF(AND($A92&gt;=Behaviours!C$34,$A92&lt;=Behaviours!C$35),(Behaviours!C$36*(VLOOKUP("Water",Report!$A$18:$L$34,'Actual-CO2 Calculations'!$AK94,FALSE))),0)</f>
        <v>0</v>
      </c>
      <c r="D92" s="71">
        <f>IF(AND($A92&gt;=Behaviours!D$34,$A92&lt;=Behaviours!D$35),(Behaviours!D$36*(VLOOKUP("Water",Report!$A$18:$L$34,'Actual-CO2 Calculations'!$AK94,FALSE))),0)</f>
        <v>0</v>
      </c>
      <c r="E92" s="71">
        <f>IF(AND($A92&gt;=Behaviours!E$34,$A92&lt;=Behaviours!E$35),(Behaviours!E$36*(VLOOKUP("Water",Report!$A$18:$L$34,'Actual-CO2 Calculations'!$AK94,FALSE))),0)</f>
        <v>0</v>
      </c>
      <c r="F92" s="71">
        <f>IF(AND($A92&gt;=Behaviours!F$34,$A92&lt;=Behaviours!F$35),(Behaviours!F$36*(VLOOKUP("Water",Report!$A$18:$L$34,'Actual-CO2 Calculations'!$AK94,FALSE))),0)</f>
        <v>0</v>
      </c>
      <c r="G92" s="71">
        <f>IF(AND($A92&gt;=Behaviours!G$34,$A92&lt;=Behaviours!G$35),(Behaviours!G$36*(VLOOKUP("Water",Report!$A$18:$L$34,'Actual-CO2 Calculations'!$AK94,FALSE))),0)</f>
        <v>0</v>
      </c>
      <c r="I92" s="664">
        <f t="shared" si="1"/>
        <v>0</v>
      </c>
    </row>
    <row r="93" spans="1:9">
      <c r="A93" s="66" t="s">
        <v>23</v>
      </c>
      <c r="B93" s="71">
        <f>IF(AND($A93&gt;=Behaviours!B$34,$A93&lt;=Behaviours!B$35),(Behaviours!B$36*(VLOOKUP("Water",Report!$A$18:$L$34,'Actual-CO2 Calculations'!$AK95,FALSE))),0)</f>
        <v>0</v>
      </c>
      <c r="C93" s="71">
        <f>IF(AND($A93&gt;=Behaviours!C$34,$A93&lt;=Behaviours!C$35),(Behaviours!C$36*(VLOOKUP("Water",Report!$A$18:$L$34,'Actual-CO2 Calculations'!$AK95,FALSE))),0)</f>
        <v>0</v>
      </c>
      <c r="D93" s="71">
        <f>IF(AND($A93&gt;=Behaviours!D$34,$A93&lt;=Behaviours!D$35),(Behaviours!D$36*(VLOOKUP("Water",Report!$A$18:$L$34,'Actual-CO2 Calculations'!$AK95,FALSE))),0)</f>
        <v>0</v>
      </c>
      <c r="E93" s="71">
        <f>IF(AND($A93&gt;=Behaviours!E$34,$A93&lt;=Behaviours!E$35),(Behaviours!E$36*(VLOOKUP("Water",Report!$A$18:$L$34,'Actual-CO2 Calculations'!$AK95,FALSE))),0)</f>
        <v>0</v>
      </c>
      <c r="F93" s="71">
        <f>IF(AND($A93&gt;=Behaviours!F$34,$A93&lt;=Behaviours!F$35),(Behaviours!F$36*(VLOOKUP("Water",Report!$A$18:$L$34,'Actual-CO2 Calculations'!$AK95,FALSE))),0)</f>
        <v>0</v>
      </c>
      <c r="G93" s="71">
        <f>IF(AND($A93&gt;=Behaviours!G$34,$A93&lt;=Behaviours!G$35),(Behaviours!G$36*(VLOOKUP("Water",Report!$A$18:$L$34,'Actual-CO2 Calculations'!$AK95,FALSE))),0)</f>
        <v>0</v>
      </c>
      <c r="I93" s="664">
        <f t="shared" si="1"/>
        <v>0</v>
      </c>
    </row>
    <row r="94" spans="1:9" s="179" customFormat="1">
      <c r="A94" s="66" t="s">
        <v>974</v>
      </c>
      <c r="B94" s="71">
        <f>IF(AND($A94&gt;=Behaviours!B$34,$A94&lt;=Behaviours!B$35),(Behaviours!B$36*(VLOOKUP("Water",Report!$A$18:$L$34,'Actual-CO2 Calculations'!$AK96,FALSE))),0)</f>
        <v>0</v>
      </c>
      <c r="C94" s="71">
        <f>IF(AND($A94&gt;=Behaviours!C$34,$A94&lt;=Behaviours!C$35),(Behaviours!C$36*(VLOOKUP("Water",Report!$A$18:$L$34,'Actual-CO2 Calculations'!$AK96,FALSE))),0)</f>
        <v>0</v>
      </c>
      <c r="D94" s="71">
        <f>IF(AND($A94&gt;=Behaviours!D$34,$A94&lt;=Behaviours!D$35),(Behaviours!D$36*(VLOOKUP("Water",Report!$A$18:$L$34,'Actual-CO2 Calculations'!$AK96,FALSE))),0)</f>
        <v>0</v>
      </c>
      <c r="E94" s="71">
        <f>IF(AND($A94&gt;=Behaviours!E$34,$A94&lt;=Behaviours!E$35),(Behaviours!E$36*(VLOOKUP("Water",Report!$A$18:$L$34,'Actual-CO2 Calculations'!$AK96,FALSE))),0)</f>
        <v>0</v>
      </c>
      <c r="F94" s="71">
        <f>IF(AND($A94&gt;=Behaviours!F$34,$A94&lt;=Behaviours!F$35),(Behaviours!F$36*(VLOOKUP("Water",Report!$A$18:$L$34,'Actual-CO2 Calculations'!$AK96,FALSE))),0)</f>
        <v>0</v>
      </c>
      <c r="G94" s="71">
        <f>IF(AND($A94&gt;=Behaviours!G$34,$A94&lt;=Behaviours!G$35),(Behaviours!G$36*(VLOOKUP("Water",Report!$A$18:$L$34,'Actual-CO2 Calculations'!$AK96,FALSE))),0)</f>
        <v>0</v>
      </c>
      <c r="I94" s="664">
        <f t="shared" si="1"/>
        <v>0</v>
      </c>
    </row>
    <row r="95" spans="1:9" s="179" customFormat="1">
      <c r="A95" s="66" t="s">
        <v>975</v>
      </c>
      <c r="B95" s="71">
        <f>IF(AND($A95&gt;=Behaviours!B$34,$A95&lt;=Behaviours!B$35),(Behaviours!B$36*(VLOOKUP("Water",Report!$A$18:$L$34,'Actual-CO2 Calculations'!$AK97,FALSE))),0)</f>
        <v>0</v>
      </c>
      <c r="C95" s="71">
        <f>IF(AND($A95&gt;=Behaviours!C$34,$A95&lt;=Behaviours!C$35),(Behaviours!C$36*(VLOOKUP("Water",Report!$A$18:$L$34,'Actual-CO2 Calculations'!$AK97,FALSE))),0)</f>
        <v>0</v>
      </c>
      <c r="D95" s="71">
        <f>IF(AND($A95&gt;=Behaviours!D$34,$A95&lt;=Behaviours!D$35),(Behaviours!D$36*(VLOOKUP("Water",Report!$A$18:$L$34,'Actual-CO2 Calculations'!$AK97,FALSE))),0)</f>
        <v>0</v>
      </c>
      <c r="E95" s="71">
        <f>IF(AND($A95&gt;=Behaviours!E$34,$A95&lt;=Behaviours!E$35),(Behaviours!E$36*(VLOOKUP("Water",Report!$A$18:$L$34,'Actual-CO2 Calculations'!$AK97,FALSE))),0)</f>
        <v>0</v>
      </c>
      <c r="F95" s="71">
        <f>IF(AND($A95&gt;=Behaviours!F$34,$A95&lt;=Behaviours!F$35),(Behaviours!F$36*(VLOOKUP("Water",Report!$A$18:$L$34,'Actual-CO2 Calculations'!$AK97,FALSE))),0)</f>
        <v>0</v>
      </c>
      <c r="G95" s="71">
        <f>IF(AND($A95&gt;=Behaviours!G$34,$A95&lt;=Behaviours!G$35),(Behaviours!G$36*(VLOOKUP("Water",Report!$A$18:$L$34,'Actual-CO2 Calculations'!$AK97,FALSE))),0)</f>
        <v>0</v>
      </c>
      <c r="I95" s="664">
        <f t="shared" si="1"/>
        <v>0</v>
      </c>
    </row>
    <row r="96" spans="1:9" s="179" customFormat="1">
      <c r="A96" s="66" t="s">
        <v>976</v>
      </c>
      <c r="B96" s="71">
        <f>IF(AND($A96&gt;=Behaviours!B$34,$A96&lt;=Behaviours!B$35),(Behaviours!B$36*(VLOOKUP("Water",Report!$A$18:$L$34,'Actual-CO2 Calculations'!$AK98,FALSE))),0)</f>
        <v>0</v>
      </c>
      <c r="C96" s="71">
        <f>IF(AND($A96&gt;=Behaviours!C$34,$A96&lt;=Behaviours!C$35),(Behaviours!C$36*(VLOOKUP("Water",Report!$A$18:$L$34,'Actual-CO2 Calculations'!$AK98,FALSE))),0)</f>
        <v>0</v>
      </c>
      <c r="D96" s="71">
        <f>IF(AND($A96&gt;=Behaviours!D$34,$A96&lt;=Behaviours!D$35),(Behaviours!D$36*(VLOOKUP("Water",Report!$A$18:$L$34,'Actual-CO2 Calculations'!$AK98,FALSE))),0)</f>
        <v>0</v>
      </c>
      <c r="E96" s="71">
        <f>IF(AND($A96&gt;=Behaviours!E$34,$A96&lt;=Behaviours!E$35),(Behaviours!E$36*(VLOOKUP("Water",Report!$A$18:$L$34,'Actual-CO2 Calculations'!$AK98,FALSE))),0)</f>
        <v>0</v>
      </c>
      <c r="F96" s="71">
        <f>IF(AND($A96&gt;=Behaviours!F$34,$A96&lt;=Behaviours!F$35),(Behaviours!F$36*(VLOOKUP("Water",Report!$A$18:$L$34,'Actual-CO2 Calculations'!$AK98,FALSE))),0)</f>
        <v>0</v>
      </c>
      <c r="G96" s="71">
        <f>IF(AND($A96&gt;=Behaviours!G$34,$A96&lt;=Behaviours!G$35),(Behaviours!G$36*(VLOOKUP("Water",Report!$A$18:$L$34,'Actual-CO2 Calculations'!$AK98,FALSE))),0)</f>
        <v>0</v>
      </c>
      <c r="I96" s="664">
        <f t="shared" si="1"/>
        <v>0</v>
      </c>
    </row>
    <row r="97" spans="1:9" s="179" customFormat="1">
      <c r="A97" s="66" t="s">
        <v>977</v>
      </c>
      <c r="B97" s="71">
        <f>IF(AND($A97&gt;=Behaviours!B$34,$A97&lt;=Behaviours!B$35),(Behaviours!B$36*(VLOOKUP("Water",Report!$A$18:$L$34,'Actual-CO2 Calculations'!$AK99,FALSE))),0)</f>
        <v>0</v>
      </c>
      <c r="C97" s="71">
        <f>IF(AND($A97&gt;=Behaviours!C$34,$A97&lt;=Behaviours!C$35),(Behaviours!C$36*(VLOOKUP("Water",Report!$A$18:$L$34,'Actual-CO2 Calculations'!$AK99,FALSE))),0)</f>
        <v>0</v>
      </c>
      <c r="D97" s="71">
        <f>IF(AND($A97&gt;=Behaviours!D$34,$A97&lt;=Behaviours!D$35),(Behaviours!D$36*(VLOOKUP("Water",Report!$A$18:$L$34,'Actual-CO2 Calculations'!$AK99,FALSE))),0)</f>
        <v>0</v>
      </c>
      <c r="E97" s="71">
        <f>IF(AND($A97&gt;=Behaviours!E$34,$A97&lt;=Behaviours!E$35),(Behaviours!E$36*(VLOOKUP("Water",Report!$A$18:$L$34,'Actual-CO2 Calculations'!$AK99,FALSE))),0)</f>
        <v>0</v>
      </c>
      <c r="F97" s="71">
        <f>IF(AND($A97&gt;=Behaviours!F$34,$A97&lt;=Behaviours!F$35),(Behaviours!F$36*(VLOOKUP("Water",Report!$A$18:$L$34,'Actual-CO2 Calculations'!$AK99,FALSE))),0)</f>
        <v>0</v>
      </c>
      <c r="G97" s="71">
        <f>IF(AND($A97&gt;=Behaviours!G$34,$A97&lt;=Behaviours!G$35),(Behaviours!G$36*(VLOOKUP("Water",Report!$A$18:$L$34,'Actual-CO2 Calculations'!$AK99,FALSE))),0)</f>
        <v>0</v>
      </c>
      <c r="I97" s="664">
        <f t="shared" si="1"/>
        <v>0</v>
      </c>
    </row>
    <row r="98" spans="1:9" s="179" customFormat="1">
      <c r="A98" s="66" t="s">
        <v>978</v>
      </c>
      <c r="B98" s="71">
        <f>IF(AND($A98&gt;=Behaviours!B$34,$A98&lt;=Behaviours!B$35),(Behaviours!B$36*(VLOOKUP("Water",Report!$A$18:$L$34,'Actual-CO2 Calculations'!$AK100,FALSE))),0)</f>
        <v>0</v>
      </c>
      <c r="C98" s="71">
        <f>IF(AND($A98&gt;=Behaviours!C$34,$A98&lt;=Behaviours!C$35),(Behaviours!C$36*(VLOOKUP("Water",Report!$A$18:$L$34,'Actual-CO2 Calculations'!$AK100,FALSE))),0)</f>
        <v>0</v>
      </c>
      <c r="D98" s="71">
        <f>IF(AND($A98&gt;=Behaviours!D$34,$A98&lt;=Behaviours!D$35),(Behaviours!D$36*(VLOOKUP("Water",Report!$A$18:$L$34,'Actual-CO2 Calculations'!$AK100,FALSE))),0)</f>
        <v>0</v>
      </c>
      <c r="E98" s="71">
        <f>IF(AND($A98&gt;=Behaviours!E$34,$A98&lt;=Behaviours!E$35),(Behaviours!E$36*(VLOOKUP("Water",Report!$A$18:$L$34,'Actual-CO2 Calculations'!$AK100,FALSE))),0)</f>
        <v>0</v>
      </c>
      <c r="F98" s="71">
        <f>IF(AND($A98&gt;=Behaviours!F$34,$A98&lt;=Behaviours!F$35),(Behaviours!F$36*(VLOOKUP("Water",Report!$A$18:$L$34,'Actual-CO2 Calculations'!$AK100,FALSE))),0)</f>
        <v>0</v>
      </c>
      <c r="G98" s="71">
        <f>IF(AND($A98&gt;=Behaviours!G$34,$A98&lt;=Behaviours!G$35),(Behaviours!G$36*(VLOOKUP("Water",Report!$A$18:$L$34,'Actual-CO2 Calculations'!$AK100,FALSE))),0)</f>
        <v>0</v>
      </c>
      <c r="I98" s="664">
        <f t="shared" si="1"/>
        <v>0</v>
      </c>
    </row>
    <row r="99" spans="1:9" s="179" customFormat="1">
      <c r="A99" s="66" t="s">
        <v>979</v>
      </c>
      <c r="B99" s="71">
        <f>IF(AND($A99&gt;=Behaviours!B$34,$A99&lt;=Behaviours!B$35),(Behaviours!B$36*(VLOOKUP("Water",Report!$A$18:$L$34,'Actual-CO2 Calculations'!$AK101,FALSE))),0)</f>
        <v>0</v>
      </c>
      <c r="C99" s="71">
        <f>IF(AND($A99&gt;=Behaviours!C$34,$A99&lt;=Behaviours!C$35),(Behaviours!C$36*(VLOOKUP("Water",Report!$A$18:$L$34,'Actual-CO2 Calculations'!$AK101,FALSE))),0)</f>
        <v>0</v>
      </c>
      <c r="D99" s="71">
        <f>IF(AND($A99&gt;=Behaviours!D$34,$A99&lt;=Behaviours!D$35),(Behaviours!D$36*(VLOOKUP("Water",Report!$A$18:$L$34,'Actual-CO2 Calculations'!$AK101,FALSE))),0)</f>
        <v>0</v>
      </c>
      <c r="E99" s="71">
        <f>IF(AND($A99&gt;=Behaviours!E$34,$A99&lt;=Behaviours!E$35),(Behaviours!E$36*(VLOOKUP("Water",Report!$A$18:$L$34,'Actual-CO2 Calculations'!$AK101,FALSE))),0)</f>
        <v>0</v>
      </c>
      <c r="F99" s="71">
        <f>IF(AND($A99&gt;=Behaviours!F$34,$A99&lt;=Behaviours!F$35),(Behaviours!F$36*(VLOOKUP("Water",Report!$A$18:$L$34,'Actual-CO2 Calculations'!$AK101,FALSE))),0)</f>
        <v>0</v>
      </c>
      <c r="G99" s="71">
        <f>IF(AND($A99&gt;=Behaviours!G$34,$A99&lt;=Behaviours!G$35),(Behaviours!G$36*(VLOOKUP("Water",Report!$A$18:$L$34,'Actual-CO2 Calculations'!$AK101,FALSE))),0)</f>
        <v>0</v>
      </c>
      <c r="I99" s="664">
        <f t="shared" si="1"/>
        <v>0</v>
      </c>
    </row>
    <row r="100" spans="1:9" s="179" customFormat="1">
      <c r="A100" s="66" t="s">
        <v>980</v>
      </c>
      <c r="B100" s="71">
        <f>IF(AND($A100&gt;=Behaviours!B$34,$A100&lt;=Behaviours!B$35),(Behaviours!B$36*(VLOOKUP("Water",Report!$A$18:$L$34,'Actual-CO2 Calculations'!$AK102,FALSE))),0)</f>
        <v>0</v>
      </c>
      <c r="C100" s="71">
        <f>IF(AND($A100&gt;=Behaviours!C$34,$A100&lt;=Behaviours!C$35),(Behaviours!C$36*(VLOOKUP("Water",Report!$A$18:$L$34,'Actual-CO2 Calculations'!$AK102,FALSE))),0)</f>
        <v>0</v>
      </c>
      <c r="D100" s="71">
        <f>IF(AND($A100&gt;=Behaviours!D$34,$A100&lt;=Behaviours!D$35),(Behaviours!D$36*(VLOOKUP("Water",Report!$A$18:$L$34,'Actual-CO2 Calculations'!$AK102,FALSE))),0)</f>
        <v>0</v>
      </c>
      <c r="E100" s="71">
        <f>IF(AND($A100&gt;=Behaviours!E$34,$A100&lt;=Behaviours!E$35),(Behaviours!E$36*(VLOOKUP("Water",Report!$A$18:$L$34,'Actual-CO2 Calculations'!$AK102,FALSE))),0)</f>
        <v>0</v>
      </c>
      <c r="F100" s="71">
        <f>IF(AND($A100&gt;=Behaviours!F$34,$A100&lt;=Behaviours!F$35),(Behaviours!F$36*(VLOOKUP("Water",Report!$A$18:$L$34,'Actual-CO2 Calculations'!$AK102,FALSE))),0)</f>
        <v>0</v>
      </c>
      <c r="G100" s="71">
        <f>IF(AND($A100&gt;=Behaviours!G$34,$A100&lt;=Behaviours!G$35),(Behaviours!G$36*(VLOOKUP("Water",Report!$A$18:$L$34,'Actual-CO2 Calculations'!$AK102,FALSE))),0)</f>
        <v>0</v>
      </c>
      <c r="I100" s="664">
        <f t="shared" si="1"/>
        <v>0</v>
      </c>
    </row>
    <row r="101" spans="1:9" s="179" customFormat="1">
      <c r="A101" s="66" t="s">
        <v>981</v>
      </c>
      <c r="B101" s="71">
        <f>IF(AND($A101&gt;=Behaviours!B$34,$A101&lt;=Behaviours!B$35),(Behaviours!B$36*(VLOOKUP("Water",Report!$A$18:$L$34,'Actual-CO2 Calculations'!$AK103,FALSE))),0)</f>
        <v>0</v>
      </c>
      <c r="C101" s="71">
        <f>IF(AND($A101&gt;=Behaviours!C$34,$A101&lt;=Behaviours!C$35),(Behaviours!C$36*(VLOOKUP("Water",Report!$A$18:$L$34,'Actual-CO2 Calculations'!$AK103,FALSE))),0)</f>
        <v>0</v>
      </c>
      <c r="D101" s="71">
        <f>IF(AND($A101&gt;=Behaviours!D$34,$A101&lt;=Behaviours!D$35),(Behaviours!D$36*(VLOOKUP("Water",Report!$A$18:$L$34,'Actual-CO2 Calculations'!$AK103,FALSE))),0)</f>
        <v>0</v>
      </c>
      <c r="E101" s="71">
        <f>IF(AND($A101&gt;=Behaviours!E$34,$A101&lt;=Behaviours!E$35),(Behaviours!E$36*(VLOOKUP("Water",Report!$A$18:$L$34,'Actual-CO2 Calculations'!$AK103,FALSE))),0)</f>
        <v>0</v>
      </c>
      <c r="F101" s="71">
        <f>IF(AND($A101&gt;=Behaviours!F$34,$A101&lt;=Behaviours!F$35),(Behaviours!F$36*(VLOOKUP("Water",Report!$A$18:$L$34,'Actual-CO2 Calculations'!$AK103,FALSE))),0)</f>
        <v>0</v>
      </c>
      <c r="G101" s="71">
        <f>IF(AND($A101&gt;=Behaviours!G$34,$A101&lt;=Behaviours!G$35),(Behaviours!G$36*(VLOOKUP("Water",Report!$A$18:$L$34,'Actual-CO2 Calculations'!$AK103,FALSE))),0)</f>
        <v>0</v>
      </c>
      <c r="I101" s="664">
        <f t="shared" si="1"/>
        <v>0</v>
      </c>
    </row>
    <row r="102" spans="1:9" s="179" customFormat="1">
      <c r="A102" s="66" t="s">
        <v>982</v>
      </c>
      <c r="B102" s="71">
        <f>IF(AND($A102&gt;=Behaviours!B$34,$A102&lt;=Behaviours!B$35),(Behaviours!B$36*(VLOOKUP("Water",Report!$A$18:$L$34,'Actual-CO2 Calculations'!$AK104,FALSE))),0)</f>
        <v>0</v>
      </c>
      <c r="C102" s="71">
        <f>IF(AND($A102&gt;=Behaviours!C$34,$A102&lt;=Behaviours!C$35),(Behaviours!C$36*(VLOOKUP("Water",Report!$A$18:$L$34,'Actual-CO2 Calculations'!$AK104,FALSE))),0)</f>
        <v>0</v>
      </c>
      <c r="D102" s="71">
        <f>IF(AND($A102&gt;=Behaviours!D$34,$A102&lt;=Behaviours!D$35),(Behaviours!D$36*(VLOOKUP("Water",Report!$A$18:$L$34,'Actual-CO2 Calculations'!$AK104,FALSE))),0)</f>
        <v>0</v>
      </c>
      <c r="E102" s="71">
        <f>IF(AND($A102&gt;=Behaviours!E$34,$A102&lt;=Behaviours!E$35),(Behaviours!E$36*(VLOOKUP("Water",Report!$A$18:$L$34,'Actual-CO2 Calculations'!$AK104,FALSE))),0)</f>
        <v>0</v>
      </c>
      <c r="F102" s="71">
        <f>IF(AND($A102&gt;=Behaviours!F$34,$A102&lt;=Behaviours!F$35),(Behaviours!F$36*(VLOOKUP("Water",Report!$A$18:$L$34,'Actual-CO2 Calculations'!$AK104,FALSE))),0)</f>
        <v>0</v>
      </c>
      <c r="G102" s="71">
        <f>IF(AND($A102&gt;=Behaviours!G$34,$A102&lt;=Behaviours!G$35),(Behaviours!G$36*(VLOOKUP("Water",Report!$A$18:$L$34,'Actual-CO2 Calculations'!$AK104,FALSE))),0)</f>
        <v>0</v>
      </c>
      <c r="I102" s="664">
        <f t="shared" si="1"/>
        <v>0</v>
      </c>
    </row>
    <row r="103" spans="1:9" s="179" customFormat="1">
      <c r="A103" s="66" t="s">
        <v>983</v>
      </c>
      <c r="B103" s="71">
        <f>IF(AND($A103&gt;=Behaviours!B$34,$A103&lt;=Behaviours!B$35),(Behaviours!B$36*(VLOOKUP("Water",Report!$A$18:$L$34,'Actual-CO2 Calculations'!$AK105,FALSE))),0)</f>
        <v>0</v>
      </c>
      <c r="C103" s="71">
        <f>IF(AND($A103&gt;=Behaviours!C$34,$A103&lt;=Behaviours!C$35),(Behaviours!C$36*(VLOOKUP("Water",Report!$A$18:$L$34,'Actual-CO2 Calculations'!$AK105,FALSE))),0)</f>
        <v>0</v>
      </c>
      <c r="D103" s="71">
        <f>IF(AND($A103&gt;=Behaviours!D$34,$A103&lt;=Behaviours!D$35),(Behaviours!D$36*(VLOOKUP("Water",Report!$A$18:$L$34,'Actual-CO2 Calculations'!$AK105,FALSE))),0)</f>
        <v>0</v>
      </c>
      <c r="E103" s="71">
        <f>IF(AND($A103&gt;=Behaviours!E$34,$A103&lt;=Behaviours!E$35),(Behaviours!E$36*(VLOOKUP("Water",Report!$A$18:$L$34,'Actual-CO2 Calculations'!$AK105,FALSE))),0)</f>
        <v>0</v>
      </c>
      <c r="F103" s="71">
        <f>IF(AND($A103&gt;=Behaviours!F$34,$A103&lt;=Behaviours!F$35),(Behaviours!F$36*(VLOOKUP("Water",Report!$A$18:$L$34,'Actual-CO2 Calculations'!$AK105,FALSE))),0)</f>
        <v>0</v>
      </c>
      <c r="G103" s="71">
        <f>IF(AND($A103&gt;=Behaviours!G$34,$A103&lt;=Behaviours!G$35),(Behaviours!G$36*(VLOOKUP("Water",Report!$A$18:$L$34,'Actual-CO2 Calculations'!$AK105,FALSE))),0)</f>
        <v>0</v>
      </c>
      <c r="I103" s="664">
        <f t="shared" si="1"/>
        <v>0</v>
      </c>
    </row>
    <row r="104" spans="1:9" s="179" customFormat="1">
      <c r="A104" s="66" t="s">
        <v>984</v>
      </c>
      <c r="B104" s="71">
        <f>IF(AND($A104&gt;=Behaviours!B$34,$A104&lt;=Behaviours!B$35),(Behaviours!B$36*(VLOOKUP("Water",Report!$A$18:$L$34,'Actual-CO2 Calculations'!$AK106,FALSE))),0)</f>
        <v>0</v>
      </c>
      <c r="C104" s="71">
        <f>IF(AND($A104&gt;=Behaviours!C$34,$A104&lt;=Behaviours!C$35),(Behaviours!C$36*(VLOOKUP("Water",Report!$A$18:$L$34,'Actual-CO2 Calculations'!$AK106,FALSE))),0)</f>
        <v>0</v>
      </c>
      <c r="D104" s="71">
        <f>IF(AND($A104&gt;=Behaviours!D$34,$A104&lt;=Behaviours!D$35),(Behaviours!D$36*(VLOOKUP("Water",Report!$A$18:$L$34,'Actual-CO2 Calculations'!$AK106,FALSE))),0)</f>
        <v>0</v>
      </c>
      <c r="E104" s="71">
        <f>IF(AND($A104&gt;=Behaviours!E$34,$A104&lt;=Behaviours!E$35),(Behaviours!E$36*(VLOOKUP("Water",Report!$A$18:$L$34,'Actual-CO2 Calculations'!$AK106,FALSE))),0)</f>
        <v>0</v>
      </c>
      <c r="F104" s="71">
        <f>IF(AND($A104&gt;=Behaviours!F$34,$A104&lt;=Behaviours!F$35),(Behaviours!F$36*(VLOOKUP("Water",Report!$A$18:$L$34,'Actual-CO2 Calculations'!$AK106,FALSE))),0)</f>
        <v>0</v>
      </c>
      <c r="G104" s="71">
        <f>IF(AND($A104&gt;=Behaviours!G$34,$A104&lt;=Behaviours!G$35),(Behaviours!G$36*(VLOOKUP("Water",Report!$A$18:$L$34,'Actual-CO2 Calculations'!$AK106,FALSE))),0)</f>
        <v>0</v>
      </c>
      <c r="I104" s="664">
        <f t="shared" si="1"/>
        <v>0</v>
      </c>
    </row>
    <row r="105" spans="1:9" s="179" customFormat="1">
      <c r="A105" s="66" t="s">
        <v>985</v>
      </c>
      <c r="B105" s="71">
        <f>IF(AND($A105&gt;=Behaviours!B$34,$A105&lt;=Behaviours!B$35),(Behaviours!B$36*(VLOOKUP("Water",Report!$A$18:$L$34,'Actual-CO2 Calculations'!$AK107,FALSE))),0)</f>
        <v>0</v>
      </c>
      <c r="C105" s="71">
        <f>IF(AND($A105&gt;=Behaviours!C$34,$A105&lt;=Behaviours!C$35),(Behaviours!C$36*(VLOOKUP("Water",Report!$A$18:$L$34,'Actual-CO2 Calculations'!$AK107,FALSE))),0)</f>
        <v>0</v>
      </c>
      <c r="D105" s="71">
        <f>IF(AND($A105&gt;=Behaviours!D$34,$A105&lt;=Behaviours!D$35),(Behaviours!D$36*(VLOOKUP("Water",Report!$A$18:$L$34,'Actual-CO2 Calculations'!$AK107,FALSE))),0)</f>
        <v>0</v>
      </c>
      <c r="E105" s="71">
        <f>IF(AND($A105&gt;=Behaviours!E$34,$A105&lt;=Behaviours!E$35),(Behaviours!E$36*(VLOOKUP("Water",Report!$A$18:$L$34,'Actual-CO2 Calculations'!$AK107,FALSE))),0)</f>
        <v>0</v>
      </c>
      <c r="F105" s="71">
        <f>IF(AND($A105&gt;=Behaviours!F$34,$A105&lt;=Behaviours!F$35),(Behaviours!F$36*(VLOOKUP("Water",Report!$A$18:$L$34,'Actual-CO2 Calculations'!$AK107,FALSE))),0)</f>
        <v>0</v>
      </c>
      <c r="G105" s="71">
        <f>IF(AND($A105&gt;=Behaviours!G$34,$A105&lt;=Behaviours!G$35),(Behaviours!G$36*(VLOOKUP("Water",Report!$A$18:$L$34,'Actual-CO2 Calculations'!$AK107,FALSE))),0)</f>
        <v>0</v>
      </c>
      <c r="I105" s="664">
        <f t="shared" si="1"/>
        <v>0</v>
      </c>
    </row>
    <row r="106" spans="1:9" s="179" customFormat="1">
      <c r="A106" s="66" t="s">
        <v>986</v>
      </c>
      <c r="B106" s="71">
        <f>IF(AND($A106&gt;=Behaviours!B$34,$A106&lt;=Behaviours!B$35),(Behaviours!B$36*(VLOOKUP("Water",Report!$A$18:$L$34,'Actual-CO2 Calculations'!$AK108,FALSE))),0)</f>
        <v>0</v>
      </c>
      <c r="C106" s="71">
        <f>IF(AND($A106&gt;=Behaviours!C$34,$A106&lt;=Behaviours!C$35),(Behaviours!C$36*(VLOOKUP("Water",Report!$A$18:$L$34,'Actual-CO2 Calculations'!$AK108,FALSE))),0)</f>
        <v>0</v>
      </c>
      <c r="D106" s="71">
        <f>IF(AND($A106&gt;=Behaviours!D$34,$A106&lt;=Behaviours!D$35),(Behaviours!D$36*(VLOOKUP("Water",Report!$A$18:$L$34,'Actual-CO2 Calculations'!$AK108,FALSE))),0)</f>
        <v>0</v>
      </c>
      <c r="E106" s="71">
        <f>IF(AND($A106&gt;=Behaviours!E$34,$A106&lt;=Behaviours!E$35),(Behaviours!E$36*(VLOOKUP("Water",Report!$A$18:$L$34,'Actual-CO2 Calculations'!$AK108,FALSE))),0)</f>
        <v>0</v>
      </c>
      <c r="F106" s="71">
        <f>IF(AND($A106&gt;=Behaviours!F$34,$A106&lt;=Behaviours!F$35),(Behaviours!F$36*(VLOOKUP("Water",Report!$A$18:$L$34,'Actual-CO2 Calculations'!$AK108,FALSE))),0)</f>
        <v>0</v>
      </c>
      <c r="G106" s="71">
        <f>IF(AND($A106&gt;=Behaviours!G$34,$A106&lt;=Behaviours!G$35),(Behaviours!G$36*(VLOOKUP("Water",Report!$A$18:$L$34,'Actual-CO2 Calculations'!$AK108,FALSE))),0)</f>
        <v>0</v>
      </c>
      <c r="I106" s="664">
        <f t="shared" si="1"/>
        <v>0</v>
      </c>
    </row>
    <row r="107" spans="1:9" s="179" customFormat="1">
      <c r="A107" s="66" t="s">
        <v>987</v>
      </c>
      <c r="B107" s="71">
        <f>IF(AND($A107&gt;=Behaviours!B$34,$A107&lt;=Behaviours!B$35),(Behaviours!B$36*(VLOOKUP("Water",Report!$A$18:$L$34,'Actual-CO2 Calculations'!$AK109,FALSE))),0)</f>
        <v>0</v>
      </c>
      <c r="C107" s="71">
        <f>IF(AND($A107&gt;=Behaviours!C$34,$A107&lt;=Behaviours!C$35),(Behaviours!C$36*(VLOOKUP("Water",Report!$A$18:$L$34,'Actual-CO2 Calculations'!$AK109,FALSE))),0)</f>
        <v>0</v>
      </c>
      <c r="D107" s="71">
        <f>IF(AND($A107&gt;=Behaviours!D$34,$A107&lt;=Behaviours!D$35),(Behaviours!D$36*(VLOOKUP("Water",Report!$A$18:$L$34,'Actual-CO2 Calculations'!$AK109,FALSE))),0)</f>
        <v>0</v>
      </c>
      <c r="E107" s="71">
        <f>IF(AND($A107&gt;=Behaviours!E$34,$A107&lt;=Behaviours!E$35),(Behaviours!E$36*(VLOOKUP("Water",Report!$A$18:$L$34,'Actual-CO2 Calculations'!$AK109,FALSE))),0)</f>
        <v>0</v>
      </c>
      <c r="F107" s="71">
        <f>IF(AND($A107&gt;=Behaviours!F$34,$A107&lt;=Behaviours!F$35),(Behaviours!F$36*(VLOOKUP("Water",Report!$A$18:$L$34,'Actual-CO2 Calculations'!$AK109,FALSE))),0)</f>
        <v>0</v>
      </c>
      <c r="G107" s="71">
        <f>IF(AND($A107&gt;=Behaviours!G$34,$A107&lt;=Behaviours!G$35),(Behaviours!G$36*(VLOOKUP("Water",Report!$A$18:$L$34,'Actual-CO2 Calculations'!$AK109,FALSE))),0)</f>
        <v>0</v>
      </c>
      <c r="I107" s="664">
        <f t="shared" si="1"/>
        <v>0</v>
      </c>
    </row>
    <row r="108" spans="1:9" s="179" customFormat="1">
      <c r="A108" s="66" t="s">
        <v>988</v>
      </c>
      <c r="B108" s="71">
        <f>IF(AND($A108&gt;=Behaviours!B$34,$A108&lt;=Behaviours!B$35),(Behaviours!B$36*(VLOOKUP("Water",Report!$A$18:$L$34,'Actual-CO2 Calculations'!$AK110,FALSE))),0)</f>
        <v>0</v>
      </c>
      <c r="C108" s="71">
        <f>IF(AND($A108&gt;=Behaviours!C$34,$A108&lt;=Behaviours!C$35),(Behaviours!C$36*(VLOOKUP("Water",Report!$A$18:$L$34,'Actual-CO2 Calculations'!$AK110,FALSE))),0)</f>
        <v>0</v>
      </c>
      <c r="D108" s="71">
        <f>IF(AND($A108&gt;=Behaviours!D$34,$A108&lt;=Behaviours!D$35),(Behaviours!D$36*(VLOOKUP("Water",Report!$A$18:$L$34,'Actual-CO2 Calculations'!$AK110,FALSE))),0)</f>
        <v>0</v>
      </c>
      <c r="E108" s="71">
        <f>IF(AND($A108&gt;=Behaviours!E$34,$A108&lt;=Behaviours!E$35),(Behaviours!E$36*(VLOOKUP("Water",Report!$A$18:$L$34,'Actual-CO2 Calculations'!$AK110,FALSE))),0)</f>
        <v>0</v>
      </c>
      <c r="F108" s="71">
        <f>IF(AND($A108&gt;=Behaviours!F$34,$A108&lt;=Behaviours!F$35),(Behaviours!F$36*(VLOOKUP("Water",Report!$A$18:$L$34,'Actual-CO2 Calculations'!$AK110,FALSE))),0)</f>
        <v>0</v>
      </c>
      <c r="G108" s="71">
        <f>IF(AND($A108&gt;=Behaviours!G$34,$A108&lt;=Behaviours!G$35),(Behaviours!G$36*(VLOOKUP("Water",Report!$A$18:$L$34,'Actual-CO2 Calculations'!$AK110,FALSE))),0)</f>
        <v>0</v>
      </c>
      <c r="I108" s="664">
        <f t="shared" si="1"/>
        <v>0</v>
      </c>
    </row>
    <row r="109" spans="1:9" s="179" customFormat="1">
      <c r="A109" s="66" t="s">
        <v>989</v>
      </c>
      <c r="B109" s="71">
        <f>IF(AND($A109&gt;=Behaviours!B$34,$A109&lt;=Behaviours!B$35),(Behaviours!B$36*(VLOOKUP("Water",Report!$A$18:$L$34,'Actual-CO2 Calculations'!$AK111,FALSE))),0)</f>
        <v>0</v>
      </c>
      <c r="C109" s="71">
        <f>IF(AND($A109&gt;=Behaviours!C$34,$A109&lt;=Behaviours!C$35),(Behaviours!C$36*(VLOOKUP("Water",Report!$A$18:$L$34,'Actual-CO2 Calculations'!$AK111,FALSE))),0)</f>
        <v>0</v>
      </c>
      <c r="D109" s="71">
        <f>IF(AND($A109&gt;=Behaviours!D$34,$A109&lt;=Behaviours!D$35),(Behaviours!D$36*(VLOOKUP("Water",Report!$A$18:$L$34,'Actual-CO2 Calculations'!$AK111,FALSE))),0)</f>
        <v>0</v>
      </c>
      <c r="E109" s="71">
        <f>IF(AND($A109&gt;=Behaviours!E$34,$A109&lt;=Behaviours!E$35),(Behaviours!E$36*(VLOOKUP("Water",Report!$A$18:$L$34,'Actual-CO2 Calculations'!$AK111,FALSE))),0)</f>
        <v>0</v>
      </c>
      <c r="F109" s="71">
        <f>IF(AND($A109&gt;=Behaviours!F$34,$A109&lt;=Behaviours!F$35),(Behaviours!F$36*(VLOOKUP("Water",Report!$A$18:$L$34,'Actual-CO2 Calculations'!$AK111,FALSE))),0)</f>
        <v>0</v>
      </c>
      <c r="G109" s="71">
        <f>IF(AND($A109&gt;=Behaviours!G$34,$A109&lt;=Behaviours!G$35),(Behaviours!G$36*(VLOOKUP("Water",Report!$A$18:$L$34,'Actual-CO2 Calculations'!$AK111,FALSE))),0)</f>
        <v>0</v>
      </c>
      <c r="I109" s="664">
        <f t="shared" si="1"/>
        <v>0</v>
      </c>
    </row>
    <row r="110" spans="1:9" s="179" customFormat="1">
      <c r="A110" s="66" t="s">
        <v>990</v>
      </c>
      <c r="B110" s="71">
        <f>IF(AND($A110&gt;=Behaviours!B$34,$A110&lt;=Behaviours!B$35),(Behaviours!B$36*(VLOOKUP("Water",Report!$A$18:$L$34,'Actual-CO2 Calculations'!$AK112,FALSE))),0)</f>
        <v>0</v>
      </c>
      <c r="C110" s="71">
        <f>IF(AND($A110&gt;=Behaviours!C$34,$A110&lt;=Behaviours!C$35),(Behaviours!C$36*(VLOOKUP("Water",Report!$A$18:$L$34,'Actual-CO2 Calculations'!$AK112,FALSE))),0)</f>
        <v>0</v>
      </c>
      <c r="D110" s="71">
        <f>IF(AND($A110&gt;=Behaviours!D$34,$A110&lt;=Behaviours!D$35),(Behaviours!D$36*(VLOOKUP("Water",Report!$A$18:$L$34,'Actual-CO2 Calculations'!$AK112,FALSE))),0)</f>
        <v>0</v>
      </c>
      <c r="E110" s="71">
        <f>IF(AND($A110&gt;=Behaviours!E$34,$A110&lt;=Behaviours!E$35),(Behaviours!E$36*(VLOOKUP("Water",Report!$A$18:$L$34,'Actual-CO2 Calculations'!$AK112,FALSE))),0)</f>
        <v>0</v>
      </c>
      <c r="F110" s="71">
        <f>IF(AND($A110&gt;=Behaviours!F$34,$A110&lt;=Behaviours!F$35),(Behaviours!F$36*(VLOOKUP("Water",Report!$A$18:$L$34,'Actual-CO2 Calculations'!$AK112,FALSE))),0)</f>
        <v>0</v>
      </c>
      <c r="G110" s="71">
        <f>IF(AND($A110&gt;=Behaviours!G$34,$A110&lt;=Behaviours!G$35),(Behaviours!G$36*(VLOOKUP("Water",Report!$A$18:$L$34,'Actual-CO2 Calculations'!$AK112,FALSE))),0)</f>
        <v>0</v>
      </c>
      <c r="I110" s="664">
        <f t="shared" si="1"/>
        <v>0</v>
      </c>
    </row>
    <row r="111" spans="1:9" s="179" customFormat="1">
      <c r="A111" s="66" t="s">
        <v>991</v>
      </c>
      <c r="B111" s="71">
        <f>IF(AND($A111&gt;=Behaviours!B$34,$A111&lt;=Behaviours!B$35),(Behaviours!B$36*(VLOOKUP("Water",Report!$A$18:$L$34,'Actual-CO2 Calculations'!$AK113,FALSE))),0)</f>
        <v>0</v>
      </c>
      <c r="C111" s="71">
        <f>IF(AND($A111&gt;=Behaviours!C$34,$A111&lt;=Behaviours!C$35),(Behaviours!C$36*(VLOOKUP("Water",Report!$A$18:$L$34,'Actual-CO2 Calculations'!$AK113,FALSE))),0)</f>
        <v>0</v>
      </c>
      <c r="D111" s="71">
        <f>IF(AND($A111&gt;=Behaviours!D$34,$A111&lt;=Behaviours!D$35),(Behaviours!D$36*(VLOOKUP("Water",Report!$A$18:$L$34,'Actual-CO2 Calculations'!$AK113,FALSE))),0)</f>
        <v>0</v>
      </c>
      <c r="E111" s="71">
        <f>IF(AND($A111&gt;=Behaviours!E$34,$A111&lt;=Behaviours!E$35),(Behaviours!E$36*(VLOOKUP("Water",Report!$A$18:$L$34,'Actual-CO2 Calculations'!$AK113,FALSE))),0)</f>
        <v>0</v>
      </c>
      <c r="F111" s="71">
        <f>IF(AND($A111&gt;=Behaviours!F$34,$A111&lt;=Behaviours!F$35),(Behaviours!F$36*(VLOOKUP("Water",Report!$A$18:$L$34,'Actual-CO2 Calculations'!$AK113,FALSE))),0)</f>
        <v>0</v>
      </c>
      <c r="G111" s="71">
        <f>IF(AND($A111&gt;=Behaviours!G$34,$A111&lt;=Behaviours!G$35),(Behaviours!G$36*(VLOOKUP("Water",Report!$A$18:$L$34,'Actual-CO2 Calculations'!$AK113,FALSE))),0)</f>
        <v>0</v>
      </c>
      <c r="I111" s="664">
        <f t="shared" si="1"/>
        <v>0</v>
      </c>
    </row>
    <row r="112" spans="1:9" s="179" customFormat="1">
      <c r="A112" s="66" t="s">
        <v>992</v>
      </c>
      <c r="B112" s="71">
        <f>IF(AND($A112&gt;=Behaviours!B$34,$A112&lt;=Behaviours!B$35),(Behaviours!B$36*(VLOOKUP("Water",Report!$A$18:$L$34,'Actual-CO2 Calculations'!$AK114,FALSE))),0)</f>
        <v>0</v>
      </c>
      <c r="C112" s="71">
        <f>IF(AND($A112&gt;=Behaviours!C$34,$A112&lt;=Behaviours!C$35),(Behaviours!C$36*(VLOOKUP("Water",Report!$A$18:$L$34,'Actual-CO2 Calculations'!$AK114,FALSE))),0)</f>
        <v>0</v>
      </c>
      <c r="D112" s="71">
        <f>IF(AND($A112&gt;=Behaviours!D$34,$A112&lt;=Behaviours!D$35),(Behaviours!D$36*(VLOOKUP("Water",Report!$A$18:$L$34,'Actual-CO2 Calculations'!$AK114,FALSE))),0)</f>
        <v>0</v>
      </c>
      <c r="E112" s="71">
        <f>IF(AND($A112&gt;=Behaviours!E$34,$A112&lt;=Behaviours!E$35),(Behaviours!E$36*(VLOOKUP("Water",Report!$A$18:$L$34,'Actual-CO2 Calculations'!$AK114,FALSE))),0)</f>
        <v>0</v>
      </c>
      <c r="F112" s="71">
        <f>IF(AND($A112&gt;=Behaviours!F$34,$A112&lt;=Behaviours!F$35),(Behaviours!F$36*(VLOOKUP("Water",Report!$A$18:$L$34,'Actual-CO2 Calculations'!$AK114,FALSE))),0)</f>
        <v>0</v>
      </c>
      <c r="G112" s="71">
        <f>IF(AND($A112&gt;=Behaviours!G$34,$A112&lt;=Behaviours!G$35),(Behaviours!G$36*(VLOOKUP("Water",Report!$A$18:$L$34,'Actual-CO2 Calculations'!$AK114,FALSE))),0)</f>
        <v>0</v>
      </c>
      <c r="I112" s="664">
        <f t="shared" si="1"/>
        <v>0</v>
      </c>
    </row>
    <row r="113" spans="1:9" s="179" customFormat="1">
      <c r="A113" s="66" t="s">
        <v>993</v>
      </c>
      <c r="B113" s="71">
        <f>IF(AND($A113&gt;=Behaviours!B$34,$A113&lt;=Behaviours!B$35),(Behaviours!B$36*(VLOOKUP("Water",Report!$A$18:$L$34,'Actual-CO2 Calculations'!$AK115,FALSE))),0)</f>
        <v>0</v>
      </c>
      <c r="C113" s="71">
        <f>IF(AND($A113&gt;=Behaviours!C$34,$A113&lt;=Behaviours!C$35),(Behaviours!C$36*(VLOOKUP("Water",Report!$A$18:$L$34,'Actual-CO2 Calculations'!$AK115,FALSE))),0)</f>
        <v>0</v>
      </c>
      <c r="D113" s="71">
        <f>IF(AND($A113&gt;=Behaviours!D$34,$A113&lt;=Behaviours!D$35),(Behaviours!D$36*(VLOOKUP("Water",Report!$A$18:$L$34,'Actual-CO2 Calculations'!$AK115,FALSE))),0)</f>
        <v>0</v>
      </c>
      <c r="E113" s="71">
        <f>IF(AND($A113&gt;=Behaviours!E$34,$A113&lt;=Behaviours!E$35),(Behaviours!E$36*(VLOOKUP("Water",Report!$A$18:$L$34,'Actual-CO2 Calculations'!$AK115,FALSE))),0)</f>
        <v>0</v>
      </c>
      <c r="F113" s="71">
        <f>IF(AND($A113&gt;=Behaviours!F$34,$A113&lt;=Behaviours!F$35),(Behaviours!F$36*(VLOOKUP("Water",Report!$A$18:$L$34,'Actual-CO2 Calculations'!$AK115,FALSE))),0)</f>
        <v>0</v>
      </c>
      <c r="G113" s="71">
        <f>IF(AND($A113&gt;=Behaviours!G$34,$A113&lt;=Behaviours!G$35),(Behaviours!G$36*(VLOOKUP("Water",Report!$A$18:$L$34,'Actual-CO2 Calculations'!$AK115,FALSE))),0)</f>
        <v>0</v>
      </c>
      <c r="I113" s="664">
        <f t="shared" si="1"/>
        <v>0</v>
      </c>
    </row>
    <row r="114" spans="1:9" s="179" customFormat="1">
      <c r="A114" s="66" t="s">
        <v>994</v>
      </c>
      <c r="B114" s="71">
        <f>IF(AND($A114&gt;=Behaviours!B$34,$A114&lt;=Behaviours!B$35),(Behaviours!B$36*(VLOOKUP("Water",Report!$A$18:$L$34,'Actual-CO2 Calculations'!$AK116,FALSE))),0)</f>
        <v>0</v>
      </c>
      <c r="C114" s="71">
        <f>IF(AND($A114&gt;=Behaviours!C$34,$A114&lt;=Behaviours!C$35),(Behaviours!C$36*(VLOOKUP("Water",Report!$A$18:$L$34,'Actual-CO2 Calculations'!$AK116,FALSE))),0)</f>
        <v>0</v>
      </c>
      <c r="D114" s="71">
        <f>IF(AND($A114&gt;=Behaviours!D$34,$A114&lt;=Behaviours!D$35),(Behaviours!D$36*(VLOOKUP("Water",Report!$A$18:$L$34,'Actual-CO2 Calculations'!$AK116,FALSE))),0)</f>
        <v>0</v>
      </c>
      <c r="E114" s="71">
        <f>IF(AND($A114&gt;=Behaviours!E$34,$A114&lt;=Behaviours!E$35),(Behaviours!E$36*(VLOOKUP("Water",Report!$A$18:$L$34,'Actual-CO2 Calculations'!$AK116,FALSE))),0)</f>
        <v>0</v>
      </c>
      <c r="F114" s="71">
        <f>IF(AND($A114&gt;=Behaviours!F$34,$A114&lt;=Behaviours!F$35),(Behaviours!F$36*(VLOOKUP("Water",Report!$A$18:$L$34,'Actual-CO2 Calculations'!$AK116,FALSE))),0)</f>
        <v>0</v>
      </c>
      <c r="G114" s="71">
        <f>IF(AND($A114&gt;=Behaviours!G$34,$A114&lt;=Behaviours!G$35),(Behaviours!G$36*(VLOOKUP("Water",Report!$A$18:$L$34,'Actual-CO2 Calculations'!$AK116,FALSE))),0)</f>
        <v>0</v>
      </c>
      <c r="I114" s="664">
        <f t="shared" si="1"/>
        <v>0</v>
      </c>
    </row>
    <row r="115" spans="1:9" s="179" customFormat="1">
      <c r="A115" s="66" t="s">
        <v>995</v>
      </c>
      <c r="B115" s="71">
        <f>IF(AND($A115&gt;=Behaviours!B$34,$A115&lt;=Behaviours!B$35),(Behaviours!B$36*(VLOOKUP("Water",Report!$A$18:$L$34,'Actual-CO2 Calculations'!$AK117,FALSE))),0)</f>
        <v>0</v>
      </c>
      <c r="C115" s="71">
        <f>IF(AND($A115&gt;=Behaviours!C$34,$A115&lt;=Behaviours!C$35),(Behaviours!C$36*(VLOOKUP("Water",Report!$A$18:$L$34,'Actual-CO2 Calculations'!$AK117,FALSE))),0)</f>
        <v>0</v>
      </c>
      <c r="D115" s="71">
        <f>IF(AND($A115&gt;=Behaviours!D$34,$A115&lt;=Behaviours!D$35),(Behaviours!D$36*(VLOOKUP("Water",Report!$A$18:$L$34,'Actual-CO2 Calculations'!$AK117,FALSE))),0)</f>
        <v>0</v>
      </c>
      <c r="E115" s="71">
        <f>IF(AND($A115&gt;=Behaviours!E$34,$A115&lt;=Behaviours!E$35),(Behaviours!E$36*(VLOOKUP("Water",Report!$A$18:$L$34,'Actual-CO2 Calculations'!$AK117,FALSE))),0)</f>
        <v>0</v>
      </c>
      <c r="F115" s="71">
        <f>IF(AND($A115&gt;=Behaviours!F$34,$A115&lt;=Behaviours!F$35),(Behaviours!F$36*(VLOOKUP("Water",Report!$A$18:$L$34,'Actual-CO2 Calculations'!$AK117,FALSE))),0)</f>
        <v>0</v>
      </c>
      <c r="G115" s="71">
        <f>IF(AND($A115&gt;=Behaviours!G$34,$A115&lt;=Behaviours!G$35),(Behaviours!G$36*(VLOOKUP("Water",Report!$A$18:$L$34,'Actual-CO2 Calculations'!$AK117,FALSE))),0)</f>
        <v>0</v>
      </c>
      <c r="I115" s="664">
        <f t="shared" si="1"/>
        <v>0</v>
      </c>
    </row>
    <row r="116" spans="1:9" s="179" customFormat="1">
      <c r="A116" s="66" t="s">
        <v>996</v>
      </c>
      <c r="B116" s="71">
        <f>IF(AND($A116&gt;=Behaviours!B$34,$A116&lt;=Behaviours!B$35),(Behaviours!B$36*(VLOOKUP("Water",Report!$A$18:$L$34,'Actual-CO2 Calculations'!$AK118,FALSE))),0)</f>
        <v>0</v>
      </c>
      <c r="C116" s="71">
        <f>IF(AND($A116&gt;=Behaviours!C$34,$A116&lt;=Behaviours!C$35),(Behaviours!C$36*(VLOOKUP("Water",Report!$A$18:$L$34,'Actual-CO2 Calculations'!$AK118,FALSE))),0)</f>
        <v>0</v>
      </c>
      <c r="D116" s="71">
        <f>IF(AND($A116&gt;=Behaviours!D$34,$A116&lt;=Behaviours!D$35),(Behaviours!D$36*(VLOOKUP("Water",Report!$A$18:$L$34,'Actual-CO2 Calculations'!$AK118,FALSE))),0)</f>
        <v>0</v>
      </c>
      <c r="E116" s="71">
        <f>IF(AND($A116&gt;=Behaviours!E$34,$A116&lt;=Behaviours!E$35),(Behaviours!E$36*(VLOOKUP("Water",Report!$A$18:$L$34,'Actual-CO2 Calculations'!$AK118,FALSE))),0)</f>
        <v>0</v>
      </c>
      <c r="F116" s="71">
        <f>IF(AND($A116&gt;=Behaviours!F$34,$A116&lt;=Behaviours!F$35),(Behaviours!F$36*(VLOOKUP("Water",Report!$A$18:$L$34,'Actual-CO2 Calculations'!$AK118,FALSE))),0)</f>
        <v>0</v>
      </c>
      <c r="G116" s="71">
        <f>IF(AND($A116&gt;=Behaviours!G$34,$A116&lt;=Behaviours!G$35),(Behaviours!G$36*(VLOOKUP("Water",Report!$A$18:$L$34,'Actual-CO2 Calculations'!$AK118,FALSE))),0)</f>
        <v>0</v>
      </c>
      <c r="I116" s="664">
        <f t="shared" si="1"/>
        <v>0</v>
      </c>
    </row>
    <row r="117" spans="1:9" s="179" customFormat="1">
      <c r="A117" s="66" t="s">
        <v>997</v>
      </c>
      <c r="B117" s="71">
        <f>IF(AND($A117&gt;=Behaviours!B$34,$A117&lt;=Behaviours!B$35),(Behaviours!B$36*(VLOOKUP("Water",Report!$A$18:$L$34,'Actual-CO2 Calculations'!$AK119,FALSE))),0)</f>
        <v>0</v>
      </c>
      <c r="C117" s="71">
        <f>IF(AND($A117&gt;=Behaviours!C$34,$A117&lt;=Behaviours!C$35),(Behaviours!C$36*(VLOOKUP("Water",Report!$A$18:$L$34,'Actual-CO2 Calculations'!$AK119,FALSE))),0)</f>
        <v>0</v>
      </c>
      <c r="D117" s="71">
        <f>IF(AND($A117&gt;=Behaviours!D$34,$A117&lt;=Behaviours!D$35),(Behaviours!D$36*(VLOOKUP("Water",Report!$A$18:$L$34,'Actual-CO2 Calculations'!$AK119,FALSE))),0)</f>
        <v>0</v>
      </c>
      <c r="E117" s="71">
        <f>IF(AND($A117&gt;=Behaviours!E$34,$A117&lt;=Behaviours!E$35),(Behaviours!E$36*(VLOOKUP("Water",Report!$A$18:$L$34,'Actual-CO2 Calculations'!$AK119,FALSE))),0)</f>
        <v>0</v>
      </c>
      <c r="F117" s="71">
        <f>IF(AND($A117&gt;=Behaviours!F$34,$A117&lt;=Behaviours!F$35),(Behaviours!F$36*(VLOOKUP("Water",Report!$A$18:$L$34,'Actual-CO2 Calculations'!$AK119,FALSE))),0)</f>
        <v>0</v>
      </c>
      <c r="G117" s="71">
        <f>IF(AND($A117&gt;=Behaviours!G$34,$A117&lt;=Behaviours!G$35),(Behaviours!G$36*(VLOOKUP("Water",Report!$A$18:$L$34,'Actual-CO2 Calculations'!$AK119,FALSE))),0)</f>
        <v>0</v>
      </c>
      <c r="I117" s="664">
        <f t="shared" si="1"/>
        <v>0</v>
      </c>
    </row>
    <row r="118" spans="1:9" s="179" customFormat="1">
      <c r="A118" s="66" t="s">
        <v>998</v>
      </c>
      <c r="B118" s="71">
        <f>IF(AND($A118&gt;=Behaviours!B$34,$A118&lt;=Behaviours!B$35),(Behaviours!B$36*(VLOOKUP("Water",Report!$A$18:$L$34,'Actual-CO2 Calculations'!$AK120,FALSE))),0)</f>
        <v>0</v>
      </c>
      <c r="C118" s="71">
        <f>IF(AND($A118&gt;=Behaviours!C$34,$A118&lt;=Behaviours!C$35),(Behaviours!C$36*(VLOOKUP("Water",Report!$A$18:$L$34,'Actual-CO2 Calculations'!$AK120,FALSE))),0)</f>
        <v>0</v>
      </c>
      <c r="D118" s="71">
        <f>IF(AND($A118&gt;=Behaviours!D$34,$A118&lt;=Behaviours!D$35),(Behaviours!D$36*(VLOOKUP("Water",Report!$A$18:$L$34,'Actual-CO2 Calculations'!$AK120,FALSE))),0)</f>
        <v>0</v>
      </c>
      <c r="E118" s="71">
        <f>IF(AND($A118&gt;=Behaviours!E$34,$A118&lt;=Behaviours!E$35),(Behaviours!E$36*(VLOOKUP("Water",Report!$A$18:$L$34,'Actual-CO2 Calculations'!$AK120,FALSE))),0)</f>
        <v>0</v>
      </c>
      <c r="F118" s="71">
        <f>IF(AND($A118&gt;=Behaviours!F$34,$A118&lt;=Behaviours!F$35),(Behaviours!F$36*(VLOOKUP("Water",Report!$A$18:$L$34,'Actual-CO2 Calculations'!$AK120,FALSE))),0)</f>
        <v>0</v>
      </c>
      <c r="G118" s="71">
        <f>IF(AND($A118&gt;=Behaviours!G$34,$A118&lt;=Behaviours!G$35),(Behaviours!G$36*(VLOOKUP("Water",Report!$A$18:$L$34,'Actual-CO2 Calculations'!$AK120,FALSE))),0)</f>
        <v>0</v>
      </c>
      <c r="I118" s="664">
        <f t="shared" si="1"/>
        <v>0</v>
      </c>
    </row>
    <row r="119" spans="1:9" s="179" customFormat="1">
      <c r="A119" s="66" t="s">
        <v>999</v>
      </c>
      <c r="B119" s="71">
        <f>IF(AND($A119&gt;=Behaviours!B$34,$A119&lt;=Behaviours!B$35),(Behaviours!B$36*(VLOOKUP("Water",Report!$A$18:$L$34,'Actual-CO2 Calculations'!$AK121,FALSE))),0)</f>
        <v>0</v>
      </c>
      <c r="C119" s="71">
        <f>IF(AND($A119&gt;=Behaviours!C$34,$A119&lt;=Behaviours!C$35),(Behaviours!C$36*(VLOOKUP("Water",Report!$A$18:$L$34,'Actual-CO2 Calculations'!$AK121,FALSE))),0)</f>
        <v>0</v>
      </c>
      <c r="D119" s="71">
        <f>IF(AND($A119&gt;=Behaviours!D$34,$A119&lt;=Behaviours!D$35),(Behaviours!D$36*(VLOOKUP("Water",Report!$A$18:$L$34,'Actual-CO2 Calculations'!$AK121,FALSE))),0)</f>
        <v>0</v>
      </c>
      <c r="E119" s="71">
        <f>IF(AND($A119&gt;=Behaviours!E$34,$A119&lt;=Behaviours!E$35),(Behaviours!E$36*(VLOOKUP("Water",Report!$A$18:$L$34,'Actual-CO2 Calculations'!$AK121,FALSE))),0)</f>
        <v>0</v>
      </c>
      <c r="F119" s="71">
        <f>IF(AND($A119&gt;=Behaviours!F$34,$A119&lt;=Behaviours!F$35),(Behaviours!F$36*(VLOOKUP("Water",Report!$A$18:$L$34,'Actual-CO2 Calculations'!$AK121,FALSE))),0)</f>
        <v>0</v>
      </c>
      <c r="G119" s="71">
        <f>IF(AND($A119&gt;=Behaviours!G$34,$A119&lt;=Behaviours!G$35),(Behaviours!G$36*(VLOOKUP("Water",Report!$A$18:$L$34,'Actual-CO2 Calculations'!$AK121,FALSE))),0)</f>
        <v>0</v>
      </c>
      <c r="I119" s="664">
        <f t="shared" si="1"/>
        <v>0</v>
      </c>
    </row>
    <row r="122" spans="1:9">
      <c r="B122">
        <f>SUM(B3:B119)</f>
        <v>0</v>
      </c>
      <c r="C122" s="179">
        <f t="shared" ref="C122:G122" si="2">SUM(C3:C119)</f>
        <v>0</v>
      </c>
      <c r="D122" s="179">
        <f t="shared" si="2"/>
        <v>0</v>
      </c>
      <c r="E122" s="179">
        <f t="shared" si="2"/>
        <v>0</v>
      </c>
      <c r="F122" s="179">
        <f t="shared" si="2"/>
        <v>0</v>
      </c>
      <c r="G122" s="179">
        <f t="shared" si="2"/>
        <v>0</v>
      </c>
      <c r="I122" s="664">
        <f t="shared" si="1"/>
        <v>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282"/>
  <sheetViews>
    <sheetView zoomScale="70" zoomScaleNormal="70" workbookViewId="0">
      <selection activeCell="K45" sqref="K45"/>
    </sheetView>
  </sheetViews>
  <sheetFormatPr defaultRowHeight="15"/>
  <cols>
    <col min="1" max="1" width="20.85546875" customWidth="1"/>
    <col min="2" max="6" width="20.7109375" customWidth="1"/>
    <col min="8" max="8" width="14.28515625" customWidth="1"/>
    <col min="11" max="11" width="50.5703125" bestFit="1" customWidth="1"/>
    <col min="12" max="12" width="15.140625" customWidth="1"/>
    <col min="13" max="13" width="12.5703125" customWidth="1"/>
    <col min="22" max="22" width="12.140625" customWidth="1"/>
    <col min="23" max="23" width="12.85546875" customWidth="1"/>
  </cols>
  <sheetData>
    <row r="1" spans="1:40">
      <c r="A1" s="72"/>
      <c r="B1" s="72"/>
      <c r="C1" s="72"/>
      <c r="D1" s="72"/>
      <c r="E1" s="72"/>
      <c r="F1" s="72"/>
      <c r="G1" s="72"/>
    </row>
    <row r="2" spans="1:40" ht="15.75">
      <c r="A2" s="87"/>
      <c r="B2" s="85" t="str">
        <f>Report!B3</f>
        <v>2015/16-Q1</v>
      </c>
      <c r="C2" s="86"/>
      <c r="D2" s="953" t="s">
        <v>973</v>
      </c>
      <c r="E2" s="953"/>
      <c r="F2" s="953"/>
      <c r="G2" s="86"/>
      <c r="H2" s="86"/>
    </row>
    <row r="3" spans="1:40" ht="15.75">
      <c r="A3" s="92" t="s">
        <v>881</v>
      </c>
      <c r="B3" s="516"/>
      <c r="C3" s="155"/>
      <c r="D3" s="953"/>
      <c r="E3" s="953"/>
      <c r="F3" s="953"/>
      <c r="G3" s="86"/>
      <c r="H3" s="86"/>
    </row>
    <row r="4" spans="1:40" ht="15.75">
      <c r="A4" s="92" t="s">
        <v>882</v>
      </c>
      <c r="B4" s="516"/>
      <c r="C4" s="155"/>
      <c r="D4" s="953"/>
      <c r="E4" s="953"/>
      <c r="F4" s="953"/>
      <c r="G4" s="86"/>
      <c r="H4" s="86"/>
    </row>
    <row r="5" spans="1:40" ht="31.5">
      <c r="A5" s="160" t="s">
        <v>208</v>
      </c>
      <c r="B5" s="516"/>
      <c r="C5" s="155"/>
      <c r="D5" s="953"/>
      <c r="E5" s="953"/>
      <c r="F5" s="953"/>
      <c r="G5" s="86"/>
      <c r="H5" s="86"/>
    </row>
    <row r="6" spans="1:40" ht="15.75">
      <c r="A6" s="86"/>
      <c r="B6" s="87"/>
      <c r="C6" s="86"/>
      <c r="D6" s="953"/>
      <c r="E6" s="953"/>
      <c r="F6" s="953"/>
      <c r="G6" s="86"/>
      <c r="H6" s="86"/>
    </row>
    <row r="7" spans="1:40" ht="15.75">
      <c r="A7" s="92" t="s">
        <v>862</v>
      </c>
      <c r="B7" s="520"/>
      <c r="C7" s="86"/>
      <c r="D7" s="953"/>
      <c r="E7" s="953"/>
      <c r="F7" s="953"/>
      <c r="G7" s="86"/>
      <c r="H7" s="86"/>
    </row>
    <row r="8" spans="1:40" ht="15.75">
      <c r="A8" s="86"/>
      <c r="B8" s="86"/>
      <c r="C8" s="86"/>
      <c r="D8" s="86"/>
      <c r="E8" s="86"/>
      <c r="F8" s="86"/>
      <c r="G8" s="86"/>
      <c r="H8" s="86"/>
    </row>
    <row r="9" spans="1:40" ht="15.75">
      <c r="A9" s="86"/>
      <c r="B9" s="86"/>
      <c r="C9" s="86"/>
      <c r="D9" s="86"/>
      <c r="E9" s="86"/>
      <c r="F9" s="86"/>
      <c r="G9" s="86"/>
      <c r="H9" s="86"/>
    </row>
    <row r="10" spans="1:40" ht="28.5" thickBot="1">
      <c r="A10" s="952" t="s">
        <v>284</v>
      </c>
      <c r="B10" s="952"/>
      <c r="C10" s="952"/>
      <c r="D10" s="156"/>
      <c r="E10" s="110"/>
      <c r="F10" s="110"/>
      <c r="G10" s="86"/>
      <c r="H10" s="86"/>
    </row>
    <row r="11" spans="1:40" ht="30" customHeight="1">
      <c r="A11" s="157" t="s">
        <v>143</v>
      </c>
      <c r="B11" s="140"/>
      <c r="C11" s="140"/>
      <c r="D11" s="140"/>
      <c r="E11" s="140"/>
      <c r="F11" s="140"/>
      <c r="G11" s="86"/>
      <c r="H11" s="86"/>
    </row>
    <row r="12" spans="1:40" s="179" customFormat="1" ht="30" customHeight="1">
      <c r="A12" s="157" t="s">
        <v>1031</v>
      </c>
      <c r="B12" s="124"/>
      <c r="C12" s="124"/>
      <c r="D12" s="124"/>
      <c r="E12" s="124"/>
      <c r="F12" s="124"/>
      <c r="G12" s="86"/>
      <c r="H12" s="86"/>
    </row>
    <row r="13" spans="1:40" ht="75" customHeight="1" thickBot="1">
      <c r="A13" s="158" t="s">
        <v>285</v>
      </c>
      <c r="B13" s="124"/>
      <c r="C13" s="124"/>
      <c r="D13" s="124"/>
      <c r="E13" s="124"/>
      <c r="F13" s="124"/>
      <c r="G13" s="86"/>
      <c r="H13" s="86"/>
      <c r="K13" s="493"/>
      <c r="L13" s="493"/>
      <c r="M13" s="493"/>
      <c r="N13" s="493"/>
      <c r="O13" s="493"/>
      <c r="P13" s="493"/>
      <c r="Q13" s="493"/>
      <c r="R13" s="493"/>
      <c r="S13" s="493"/>
      <c r="T13" s="493"/>
      <c r="U13" s="493"/>
      <c r="V13" s="493"/>
      <c r="W13" s="493"/>
      <c r="X13" s="493"/>
    </row>
    <row r="14" spans="1:40" s="72" customFormat="1" ht="45.75" thickTop="1">
      <c r="A14" s="158" t="s">
        <v>293</v>
      </c>
      <c r="B14" s="167"/>
      <c r="C14" s="167"/>
      <c r="D14" s="167"/>
      <c r="E14" s="167"/>
      <c r="F14" s="167"/>
      <c r="G14" s="86"/>
      <c r="H14" s="86"/>
      <c r="K14" s="824" t="str">
        <f>Report!A16</f>
        <v>Fuel emissions type</v>
      </c>
      <c r="L14" s="825" t="str">
        <f>Report!B16</f>
        <v>Unit</v>
      </c>
      <c r="M14" s="825">
        <f>Report!C17</f>
        <v>2009</v>
      </c>
      <c r="N14" s="825">
        <f>Report!D17</f>
        <v>2010</v>
      </c>
      <c r="O14" s="825">
        <f>Report!E17</f>
        <v>2011</v>
      </c>
      <c r="P14" s="825">
        <f>Report!F17</f>
        <v>2012</v>
      </c>
      <c r="Q14" s="825">
        <f>Report!G17</f>
        <v>2013</v>
      </c>
      <c r="R14" s="825">
        <f>Report!H17</f>
        <v>2014</v>
      </c>
      <c r="S14" s="825">
        <f>Report!I17</f>
        <v>2015</v>
      </c>
      <c r="T14" s="825">
        <f>Report!J17</f>
        <v>2016</v>
      </c>
      <c r="U14" s="825">
        <f>Report!K17</f>
        <v>2017</v>
      </c>
      <c r="V14" s="826">
        <f>Report!L17</f>
        <v>2018</v>
      </c>
      <c r="W14" s="493"/>
      <c r="X14" s="493"/>
      <c r="Y14" s="493"/>
      <c r="Z14" s="493"/>
      <c r="AA14" s="493"/>
      <c r="AB14" s="493"/>
      <c r="AC14" s="493"/>
      <c r="AD14" s="493"/>
      <c r="AE14" s="493"/>
      <c r="AF14" s="493"/>
      <c r="AG14" s="493"/>
      <c r="AH14" s="493"/>
      <c r="AI14" s="493"/>
      <c r="AJ14" s="493"/>
      <c r="AK14" s="493"/>
      <c r="AL14" s="493"/>
      <c r="AM14" s="493"/>
      <c r="AN14" s="493"/>
    </row>
    <row r="15" spans="1:40" ht="30">
      <c r="A15" s="158" t="s">
        <v>292</v>
      </c>
      <c r="B15" s="164" t="str">
        <f>IF(B14=0," ",VLOOKUP(B14,$K$15:$L$32,2,FALSE))</f>
        <v xml:space="preserve"> </v>
      </c>
      <c r="C15" s="164" t="str">
        <f>IF(C14=0," ",VLOOKUP(C14,$K$15:$L$32,2,FALSE))</f>
        <v xml:space="preserve"> </v>
      </c>
      <c r="D15" s="164" t="str">
        <f>IF(D14=0," ",VLOOKUP(D14,$K$15:$L$32,2,FALSE))</f>
        <v xml:space="preserve"> </v>
      </c>
      <c r="E15" s="164" t="str">
        <f>IF(E14=0," ",VLOOKUP(E14,$K$15:$L$32,2,FALSE))</f>
        <v xml:space="preserve"> </v>
      </c>
      <c r="F15" s="164" t="str">
        <f>IF(F14=0," ",VLOOKUP(F14,$K$15:$L$32,2,FALSE))</f>
        <v xml:space="preserve"> </v>
      </c>
      <c r="G15" s="86"/>
      <c r="H15" s="96" t="s">
        <v>112</v>
      </c>
      <c r="K15" s="739" t="s">
        <v>294</v>
      </c>
      <c r="L15" s="148" t="s">
        <v>295</v>
      </c>
      <c r="M15" s="148">
        <v>1</v>
      </c>
      <c r="N15" s="148">
        <v>1</v>
      </c>
      <c r="O15" s="148">
        <v>1</v>
      </c>
      <c r="P15" s="148">
        <v>1</v>
      </c>
      <c r="Q15" s="148">
        <v>1</v>
      </c>
      <c r="R15" s="148">
        <v>1</v>
      </c>
      <c r="S15" s="148">
        <v>1</v>
      </c>
      <c r="T15" s="148">
        <v>1</v>
      </c>
      <c r="U15" s="148">
        <v>1</v>
      </c>
      <c r="V15" s="666">
        <v>1</v>
      </c>
      <c r="W15" s="493"/>
      <c r="X15" s="493"/>
    </row>
    <row r="16" spans="1:40" ht="15.75">
      <c r="A16" s="86" t="s">
        <v>31</v>
      </c>
      <c r="B16" s="124"/>
      <c r="C16" s="124"/>
      <c r="D16" s="124"/>
      <c r="E16" s="124"/>
      <c r="F16" s="124"/>
      <c r="G16" s="86"/>
      <c r="H16" s="159">
        <f>SUM(B164:F164)</f>
        <v>0</v>
      </c>
      <c r="K16" s="739" t="str">
        <f>Report!A18</f>
        <v>Diesel (average biofuel blend)</v>
      </c>
      <c r="L16" s="148" t="s">
        <v>296</v>
      </c>
      <c r="M16" s="148">
        <f>Report!C18</f>
        <v>2.56721666666667</v>
      </c>
      <c r="N16" s="148">
        <f>Report!D18</f>
        <v>2.56721666666667</v>
      </c>
      <c r="O16" s="148">
        <f>Report!E18</f>
        <v>2.5766666666666702</v>
      </c>
      <c r="P16" s="148">
        <f>Report!F18</f>
        <v>2.5834999999999999</v>
      </c>
      <c r="Q16" s="148">
        <f>Report!G18</f>
        <v>2.6008</v>
      </c>
      <c r="R16" s="148">
        <f>Report!H18</f>
        <v>2.6023999999999998</v>
      </c>
      <c r="S16" s="148">
        <f>Report!I18</f>
        <v>2.5838999999999999</v>
      </c>
      <c r="T16" s="148">
        <f>Report!J18</f>
        <v>2.6194166666666598</v>
      </c>
      <c r="U16" s="148">
        <f>Report!K18</f>
        <v>2.6194166666666598</v>
      </c>
      <c r="V16" s="666">
        <f>Report!L18</f>
        <v>2.6194166666666598</v>
      </c>
      <c r="W16" s="665"/>
      <c r="X16" s="665"/>
      <c r="Y16" s="73"/>
      <c r="Z16" s="73"/>
      <c r="AA16" s="73"/>
      <c r="AB16" s="73"/>
      <c r="AC16" s="73"/>
      <c r="AD16" s="73"/>
      <c r="AE16" s="73"/>
      <c r="AF16" s="73"/>
    </row>
    <row r="17" spans="1:24" ht="15.75">
      <c r="A17" s="86" t="s">
        <v>32</v>
      </c>
      <c r="B17" s="124"/>
      <c r="C17" s="124"/>
      <c r="D17" s="124"/>
      <c r="E17" s="124"/>
      <c r="F17" s="124"/>
      <c r="G17" s="86"/>
      <c r="H17" s="159">
        <f t="shared" ref="H17:H80" si="0">SUM(B165:F165)</f>
        <v>0</v>
      </c>
      <c r="K17" s="739" t="str">
        <f>Report!A19</f>
        <v>Diesel (100% mineral diesel)</v>
      </c>
      <c r="L17" s="148" t="s">
        <v>296</v>
      </c>
      <c r="M17" s="148">
        <f>Report!C19</f>
        <v>2.6838158268333299</v>
      </c>
      <c r="N17" s="148">
        <f>Report!D19</f>
        <v>2.6838158268333299</v>
      </c>
      <c r="O17" s="148">
        <f>Report!E19</f>
        <v>2.6799376153333299</v>
      </c>
      <c r="P17" s="148">
        <f>Report!F19</f>
        <v>2.6768999999999998</v>
      </c>
      <c r="Q17" s="148">
        <f>Report!G19</f>
        <v>2.6705000000000001</v>
      </c>
      <c r="R17" s="148">
        <f>Report!H19</f>
        <v>2.6691435769999998</v>
      </c>
      <c r="S17" s="148">
        <f>Report!I19</f>
        <v>2.6761400000000002</v>
      </c>
      <c r="T17" s="148">
        <f>Report!J19</f>
        <v>2.66239332521429</v>
      </c>
      <c r="U17" s="148">
        <f>Report!K19</f>
        <v>2.66239332521429</v>
      </c>
      <c r="V17" s="666">
        <f>Report!L19</f>
        <v>2.66239332521429</v>
      </c>
      <c r="W17" s="493"/>
      <c r="X17" s="493"/>
    </row>
    <row r="18" spans="1:24" ht="15.75">
      <c r="A18" s="86" t="s">
        <v>33</v>
      </c>
      <c r="B18" s="124"/>
      <c r="C18" s="124"/>
      <c r="D18" s="124"/>
      <c r="E18" s="124"/>
      <c r="F18" s="124"/>
      <c r="G18" s="86"/>
      <c r="H18" s="159">
        <f t="shared" si="0"/>
        <v>0</v>
      </c>
      <c r="K18" s="739" t="str">
        <f>Report!A20</f>
        <v>Gas oil (aka Red diesel)</v>
      </c>
      <c r="L18" s="148" t="s">
        <v>296</v>
      </c>
      <c r="M18" s="148">
        <f>Report!C20</f>
        <v>3.10375122916667</v>
      </c>
      <c r="N18" s="148">
        <f>Report!D20</f>
        <v>3.10375122916667</v>
      </c>
      <c r="O18" s="148">
        <f>Report!E20</f>
        <v>3.0559864166666699</v>
      </c>
      <c r="P18" s="148">
        <f>Report!F20</f>
        <v>3.0213000000000001</v>
      </c>
      <c r="Q18" s="148">
        <f>Report!G20</f>
        <v>2.9342999999999999</v>
      </c>
      <c r="R18" s="148">
        <f>Report!H20</f>
        <v>2.9257703749999999</v>
      </c>
      <c r="S18" s="148">
        <f>Report!I20</f>
        <v>2.9088400000000001</v>
      </c>
      <c r="T18" s="148">
        <f>Report!J20</f>
        <v>2.8399075029761902</v>
      </c>
      <c r="U18" s="148">
        <f>Report!K20</f>
        <v>2.8399075029761902</v>
      </c>
      <c r="V18" s="666">
        <f>Report!L20</f>
        <v>2.8399075029761902</v>
      </c>
      <c r="W18" s="493"/>
      <c r="X18" s="493"/>
    </row>
    <row r="19" spans="1:24" ht="15.75">
      <c r="A19" s="86" t="s">
        <v>34</v>
      </c>
      <c r="B19" s="124"/>
      <c r="C19" s="124"/>
      <c r="D19" s="124"/>
      <c r="E19" s="124"/>
      <c r="F19" s="124"/>
      <c r="G19" s="86"/>
      <c r="H19" s="159">
        <f t="shared" si="0"/>
        <v>0</v>
      </c>
      <c r="K19" s="739" t="str">
        <f>Report!A21</f>
        <v>Petrol (average biofuel blend)</v>
      </c>
      <c r="L19" s="148" t="s">
        <v>296</v>
      </c>
      <c r="M19" s="148">
        <f>Report!C21</f>
        <v>2.2923833333333299</v>
      </c>
      <c r="N19" s="148">
        <f>Report!D21</f>
        <v>2.2923833333333299</v>
      </c>
      <c r="O19" s="148">
        <f>Report!E21</f>
        <v>2.2669333333333301</v>
      </c>
      <c r="P19" s="148">
        <f>Report!F21</f>
        <v>2.2423000000000002</v>
      </c>
      <c r="Q19" s="148">
        <f>Report!G21</f>
        <v>2.2143999999999999</v>
      </c>
      <c r="R19" s="148">
        <f>Report!H21</f>
        <v>2.1913999999999998</v>
      </c>
      <c r="S19" s="148">
        <f>Report!I21</f>
        <v>2.1943999999999999</v>
      </c>
      <c r="T19" s="148">
        <f>Report!J21</f>
        <v>2.1518023809523799</v>
      </c>
      <c r="U19" s="148">
        <f>Report!K21</f>
        <v>2.1518023809523799</v>
      </c>
      <c r="V19" s="666">
        <f>Report!L21</f>
        <v>2.1518023809523799</v>
      </c>
      <c r="W19" s="493"/>
      <c r="X19" s="493"/>
    </row>
    <row r="20" spans="1:24" ht="15.75">
      <c r="A20" s="86" t="s">
        <v>35</v>
      </c>
      <c r="B20" s="124"/>
      <c r="C20" s="124"/>
      <c r="D20" s="124"/>
      <c r="E20" s="124"/>
      <c r="F20" s="124"/>
      <c r="G20" s="86"/>
      <c r="H20" s="159">
        <f t="shared" si="0"/>
        <v>0</v>
      </c>
      <c r="K20" s="739" t="str">
        <f>Report!A22</f>
        <v>Natural Gas</v>
      </c>
      <c r="L20" s="148" t="s">
        <v>296</v>
      </c>
      <c r="M20" s="148">
        <f>Report!C22</f>
        <v>2.026777777777778E-3</v>
      </c>
      <c r="N20" s="148">
        <f>Report!D22</f>
        <v>2.0287333333333336E-3</v>
      </c>
      <c r="O20" s="148">
        <f>Report!E22</f>
        <v>2.0287333333333336E-3</v>
      </c>
      <c r="P20" s="148">
        <f>Report!F22</f>
        <v>2.0322000000000001E-3</v>
      </c>
      <c r="Q20" s="148">
        <f>Report!G22</f>
        <v>2.0194000000000002E-3</v>
      </c>
      <c r="R20" s="148">
        <f>Report!H22</f>
        <v>2.0346000000000001E-3</v>
      </c>
      <c r="S20" s="148">
        <f>Report!I22</f>
        <v>2.0331999999999998E-3</v>
      </c>
      <c r="T20" s="148">
        <f>Report!J22</f>
        <v>2.0287333333333336E-3</v>
      </c>
      <c r="U20" s="148">
        <f>Report!K22</f>
        <v>2.027577777777778E-3</v>
      </c>
      <c r="V20" s="666">
        <f>Report!L22</f>
        <v>2.0306888888888893E-3</v>
      </c>
      <c r="W20" s="493"/>
      <c r="X20" s="493"/>
    </row>
    <row r="21" spans="1:24" ht="15.75">
      <c r="A21" s="86" t="s">
        <v>36</v>
      </c>
      <c r="B21" s="124"/>
      <c r="C21" s="124"/>
      <c r="D21" s="124"/>
      <c r="E21" s="124"/>
      <c r="F21" s="124"/>
      <c r="G21" s="86"/>
      <c r="H21" s="159">
        <f t="shared" si="0"/>
        <v>0</v>
      </c>
      <c r="K21" s="739" t="str">
        <f>Report!A23</f>
        <v>LPG</v>
      </c>
      <c r="L21" s="148" t="s">
        <v>296</v>
      </c>
      <c r="M21" s="148">
        <f>Report!C23</f>
        <v>1.55477215566667</v>
      </c>
      <c r="N21" s="148">
        <f>Report!D23</f>
        <v>1.55477215566667</v>
      </c>
      <c r="O21" s="148">
        <f>Report!E23</f>
        <v>1.5395983746666699</v>
      </c>
      <c r="P21" s="148">
        <f>Report!F23</f>
        <v>1.5326</v>
      </c>
      <c r="Q21" s="148">
        <f>Report!G23</f>
        <v>1.4928999999999999</v>
      </c>
      <c r="R21" s="148">
        <f>Report!H23</f>
        <v>1.502252438</v>
      </c>
      <c r="S21" s="148">
        <f>Report!I23</f>
        <v>1.5093799999999999</v>
      </c>
      <c r="T21" s="148">
        <f>Report!J23</f>
        <v>1.4709550796666599</v>
      </c>
      <c r="U21" s="148">
        <f>Report!K23</f>
        <v>2.4709550796666599</v>
      </c>
      <c r="V21" s="666">
        <f>Report!L23</f>
        <v>3.4709550796666599</v>
      </c>
      <c r="W21" s="493"/>
      <c r="X21" s="493"/>
    </row>
    <row r="22" spans="1:24" ht="15.75">
      <c r="A22" s="86" t="s">
        <v>37</v>
      </c>
      <c r="B22" s="124"/>
      <c r="C22" s="124"/>
      <c r="D22" s="124"/>
      <c r="E22" s="124"/>
      <c r="F22" s="124"/>
      <c r="G22" s="86"/>
      <c r="H22" s="159">
        <f t="shared" si="0"/>
        <v>0</v>
      </c>
      <c r="K22" s="739" t="str">
        <f>Report!A24</f>
        <v>Bioethanol 100%</v>
      </c>
      <c r="L22" s="570" t="s">
        <v>296</v>
      </c>
      <c r="M22" s="148">
        <f>Report!C24</f>
        <v>6.1666666666666701E-3</v>
      </c>
      <c r="N22" s="148">
        <f>Report!D24</f>
        <v>6.0166666666666702E-3</v>
      </c>
      <c r="O22" s="148">
        <f>Report!E24</f>
        <v>5.8666666666666702E-3</v>
      </c>
      <c r="P22" s="148">
        <f>Report!F24</f>
        <v>5.7000000000000002E-3</v>
      </c>
      <c r="Q22" s="148">
        <f>Report!G24</f>
        <v>5.5999999999999999E-3</v>
      </c>
      <c r="R22" s="148">
        <f>Report!H24</f>
        <v>5.4000000000000003E-3</v>
      </c>
      <c r="S22" s="148">
        <f>Report!I24</f>
        <v>5.2100000000000002E-3</v>
      </c>
      <c r="T22" s="148">
        <f>Report!J24</f>
        <v>5.1166666666666704E-3</v>
      </c>
      <c r="U22" s="148">
        <f>Report!K24</f>
        <v>4.9666666666666696E-3</v>
      </c>
      <c r="V22" s="666">
        <f>Report!L24</f>
        <v>4.8166666666666696E-3</v>
      </c>
      <c r="W22" s="493"/>
      <c r="X22" s="493"/>
    </row>
    <row r="23" spans="1:24" ht="15.75">
      <c r="A23" s="86" t="s">
        <v>38</v>
      </c>
      <c r="B23" s="124"/>
      <c r="C23" s="124"/>
      <c r="D23" s="124"/>
      <c r="E23" s="124"/>
      <c r="F23" s="124"/>
      <c r="G23" s="86"/>
      <c r="H23" s="159">
        <f t="shared" si="0"/>
        <v>0</v>
      </c>
      <c r="K23" s="739" t="str">
        <f>Report!A25</f>
        <v>Biodiesel 100%</v>
      </c>
      <c r="L23" s="570" t="s">
        <v>296</v>
      </c>
      <c r="M23" s="148">
        <f>('Data Entry Fuel'!$I$3*Report!C25)+((1-'Data Entry Fuel'!$I$3)*'Additional Initiatives'!M17)</f>
        <v>2.6838158268333299</v>
      </c>
      <c r="N23" s="148">
        <f>('Data Entry Fuel'!$I$3*Report!D25)+((1-'Data Entry Fuel'!$I$3)*'Additional Initiatives'!N17)</f>
        <v>2.6838158268333299</v>
      </c>
      <c r="O23" s="148">
        <f>('Data Entry Fuel'!$I$3*Report!E25)+((1-'Data Entry Fuel'!$I$3)*'Additional Initiatives'!O17)</f>
        <v>2.6799376153333299</v>
      </c>
      <c r="P23" s="148">
        <f>('Data Entry Fuel'!$I$3*Report!F25)+((1-'Data Entry Fuel'!$I$3)*'Additional Initiatives'!P17)</f>
        <v>2.6768999999999998</v>
      </c>
      <c r="Q23" s="148">
        <f>('Data Entry Fuel'!$I$3*Report!G25)+((1-'Data Entry Fuel'!$I$3)*'Additional Initiatives'!Q17)</f>
        <v>2.6705000000000001</v>
      </c>
      <c r="R23" s="148">
        <f>('Data Entry Fuel'!$I$3*Report!H25)+((1-'Data Entry Fuel'!$I$3)*'Additional Initiatives'!R17)</f>
        <v>2.6691435769999998</v>
      </c>
      <c r="S23" s="148">
        <f>('Data Entry Fuel'!$I$3*Report!I25)+((1-'Data Entry Fuel'!$I$3)*'Additional Initiatives'!S17)</f>
        <v>2.6761400000000002</v>
      </c>
      <c r="T23" s="148">
        <f>('Data Entry Fuel'!$I$3*Report!J25)+((1-'Data Entry Fuel'!$I$3)*'Additional Initiatives'!T17)</f>
        <v>2.66239332521429</v>
      </c>
      <c r="U23" s="148">
        <f>('Data Entry Fuel'!$I$3*Report!K25)+((1-'Data Entry Fuel'!$I$3)*'Additional Initiatives'!U17)</f>
        <v>2.66239332521429</v>
      </c>
      <c r="V23" s="666">
        <f>('Data Entry Fuel'!$I$3*Report!L25)+((1-'Data Entry Fuel'!$I$3)*'Additional Initiatives'!V17)</f>
        <v>2.66239332521429</v>
      </c>
      <c r="W23" s="493"/>
      <c r="X23" s="493"/>
    </row>
    <row r="24" spans="1:24" ht="15.75">
      <c r="A24" s="86" t="s">
        <v>39</v>
      </c>
      <c r="B24" s="124"/>
      <c r="C24" s="124"/>
      <c r="D24" s="124"/>
      <c r="E24" s="124"/>
      <c r="F24" s="124"/>
      <c r="G24" s="86"/>
      <c r="H24" s="159">
        <f t="shared" si="0"/>
        <v>0</v>
      </c>
      <c r="K24" s="739" t="str">
        <f>Report!A26</f>
        <v>Biomethane 100%</v>
      </c>
      <c r="L24" s="570" t="s">
        <v>295</v>
      </c>
      <c r="M24" s="148">
        <f>Report!C26</f>
        <v>3.8333333333333301E-3</v>
      </c>
      <c r="N24" s="148">
        <f>Report!D26</f>
        <v>4.28333333333333E-3</v>
      </c>
      <c r="O24" s="148">
        <f>Report!E26</f>
        <v>4.7333333333333298E-3</v>
      </c>
      <c r="P24" s="148">
        <f>Report!F26</f>
        <v>5.1999999999999998E-3</v>
      </c>
      <c r="Q24" s="148">
        <f>Report!G26</f>
        <v>5.5999999999999999E-3</v>
      </c>
      <c r="R24" s="148">
        <f>Report!H26</f>
        <v>6.1000000000000004E-3</v>
      </c>
      <c r="S24" s="148">
        <f>Report!I26</f>
        <v>5.4900000000000001E-3</v>
      </c>
      <c r="T24" s="148">
        <f>Report!J26</f>
        <v>6.9833333333333301E-3</v>
      </c>
      <c r="U24" s="148">
        <f>Report!K26</f>
        <v>7.43333333333333E-3</v>
      </c>
      <c r="V24" s="666">
        <f>Report!L26</f>
        <v>7.8833333333333307E-3</v>
      </c>
      <c r="W24" s="493"/>
      <c r="X24" s="493"/>
    </row>
    <row r="25" spans="1:24" ht="15.75">
      <c r="A25" s="86" t="s">
        <v>25</v>
      </c>
      <c r="B25" s="124"/>
      <c r="C25" s="124"/>
      <c r="D25" s="124"/>
      <c r="E25" s="124"/>
      <c r="F25" s="124"/>
      <c r="G25" s="86"/>
      <c r="H25" s="159">
        <f t="shared" si="0"/>
        <v>0</v>
      </c>
      <c r="K25" s="739" t="str">
        <f>Report!A27</f>
        <v>UK electricity generated (Scope 2)</v>
      </c>
      <c r="L25" s="148" t="s">
        <v>298</v>
      </c>
      <c r="M25" s="148">
        <f>Report!C27</f>
        <v>0.49381000000000003</v>
      </c>
      <c r="N25" s="148">
        <f>Report!D27</f>
        <v>0.48531000000000002</v>
      </c>
      <c r="O25" s="148">
        <f>Report!E27</f>
        <v>0.45205000000000001</v>
      </c>
      <c r="P25" s="148">
        <f>Report!F27</f>
        <v>0.46001999999999998</v>
      </c>
      <c r="Q25" s="148">
        <f>Report!G27</f>
        <v>0.44547999999999999</v>
      </c>
      <c r="R25" s="148">
        <f>Report!H27</f>
        <v>0.49425999999999998</v>
      </c>
      <c r="S25" s="148">
        <f>Report!I27</f>
        <v>0.4621981</v>
      </c>
      <c r="T25" s="148">
        <f>Report!J27</f>
        <v>0.48531000000000002</v>
      </c>
      <c r="U25" s="148">
        <f>Report!K27</f>
        <v>0.48531000000000002</v>
      </c>
      <c r="V25" s="666">
        <f>Report!L27</f>
        <v>0.48531000000000002</v>
      </c>
      <c r="W25" s="493"/>
      <c r="X25" s="493"/>
    </row>
    <row r="26" spans="1:24" ht="15.75">
      <c r="A26" s="86" t="s">
        <v>26</v>
      </c>
      <c r="B26" s="124"/>
      <c r="C26" s="124"/>
      <c r="D26" s="124"/>
      <c r="E26" s="124"/>
      <c r="F26" s="124"/>
      <c r="G26" s="86"/>
      <c r="H26" s="159">
        <f t="shared" si="0"/>
        <v>0</v>
      </c>
      <c r="K26" s="739" t="str">
        <f>Report!A28</f>
        <v>UK electricity - transmission &amp; distribution (Scope 3)</v>
      </c>
      <c r="L26" s="148" t="s">
        <v>298</v>
      </c>
      <c r="M26" s="148">
        <f>Report!C28</f>
        <v>3.9100000000000003E-2</v>
      </c>
      <c r="N26" s="148">
        <f>Report!D28</f>
        <v>3.9079999999999997E-2</v>
      </c>
      <c r="O26" s="148">
        <f>Report!E28</f>
        <v>3.8629999999999998E-2</v>
      </c>
      <c r="P26" s="148">
        <f>Report!F28</f>
        <v>3.6339999999999997E-2</v>
      </c>
      <c r="Q26" s="148">
        <f>Report!G28</f>
        <v>3.8089999999999999E-2</v>
      </c>
      <c r="R26" s="148">
        <f>Report!H28</f>
        <v>4.3220000000000001E-2</v>
      </c>
      <c r="S26" s="148">
        <f>Report!I28</f>
        <v>3.8159999999999999E-2</v>
      </c>
      <c r="T26" s="148">
        <f>Report!J28</f>
        <v>4.1048952380952401E-2</v>
      </c>
      <c r="U26" s="148">
        <f>Report!K28</f>
        <v>4.1048952380952401E-2</v>
      </c>
      <c r="V26" s="666">
        <f>Report!L28</f>
        <v>4.1048952380952401E-2</v>
      </c>
      <c r="W26" s="493"/>
      <c r="X26" s="493"/>
    </row>
    <row r="27" spans="1:24" ht="15.75">
      <c r="A27" s="86" t="s">
        <v>27</v>
      </c>
      <c r="B27" s="124"/>
      <c r="C27" s="124"/>
      <c r="D27" s="124"/>
      <c r="E27" s="124"/>
      <c r="F27" s="124"/>
      <c r="G27" s="86"/>
      <c r="H27" s="159">
        <f t="shared" si="0"/>
        <v>0</v>
      </c>
      <c r="K27" s="739" t="str">
        <f>Report!A29</f>
        <v>Water</v>
      </c>
      <c r="L27" s="148" t="s">
        <v>297</v>
      </c>
      <c r="M27" s="148">
        <f>Report!C29</f>
        <v>0.34410000000000002</v>
      </c>
      <c r="N27" s="148">
        <f>Report!D29</f>
        <v>0.34410000000000002</v>
      </c>
      <c r="O27" s="148">
        <f>Report!E29</f>
        <v>0.34410000000000002</v>
      </c>
      <c r="P27" s="148">
        <f>Report!F29</f>
        <v>0.34410000000000002</v>
      </c>
      <c r="Q27" s="148">
        <f>Report!G29</f>
        <v>0.34410000000000002</v>
      </c>
      <c r="R27" s="148">
        <f>Report!H29</f>
        <v>0.34410000000000002</v>
      </c>
      <c r="S27" s="148">
        <f>Report!I29</f>
        <v>0.34410000000000002</v>
      </c>
      <c r="T27" s="148">
        <f>Report!J29</f>
        <v>0.34410000000000002</v>
      </c>
      <c r="U27" s="148">
        <f>Report!K29</f>
        <v>0.34410000000000002</v>
      </c>
      <c r="V27" s="666">
        <f>Report!L29</f>
        <v>0.34410000000000002</v>
      </c>
      <c r="W27" s="493"/>
      <c r="X27" s="493"/>
    </row>
    <row r="28" spans="1:24" ht="15.75">
      <c r="A28" s="86" t="s">
        <v>24</v>
      </c>
      <c r="B28" s="124"/>
      <c r="C28" s="124"/>
      <c r="D28" s="124"/>
      <c r="E28" s="124"/>
      <c r="F28" s="124"/>
      <c r="G28" s="86"/>
      <c r="H28" s="159">
        <f t="shared" si="0"/>
        <v>0</v>
      </c>
      <c r="K28" s="739" t="str">
        <f>Report!A30</f>
        <v>Green Tariff Electricity - EDF</v>
      </c>
      <c r="L28" s="148" t="s">
        <v>298</v>
      </c>
      <c r="M28" s="148">
        <f>Report!C30</f>
        <v>0.25900000000000001</v>
      </c>
      <c r="N28" s="148">
        <f>Report!D30</f>
        <v>0.25900000000000001</v>
      </c>
      <c r="O28" s="148">
        <f>Report!E30</f>
        <v>0.25900000000000001</v>
      </c>
      <c r="P28" s="148">
        <f>Report!F30</f>
        <v>0.25900000000000001</v>
      </c>
      <c r="Q28" s="148">
        <f>Report!G30</f>
        <v>0.25900000000000001</v>
      </c>
      <c r="R28" s="148">
        <f>Report!H30</f>
        <v>0.25900000000000001</v>
      </c>
      <c r="S28" s="148">
        <f>Report!I30</f>
        <v>0.25900000000000001</v>
      </c>
      <c r="T28" s="148">
        <f>Report!J30</f>
        <v>0.25900000000000001</v>
      </c>
      <c r="U28" s="148">
        <f>Report!K30</f>
        <v>0.25900000000000001</v>
      </c>
      <c r="V28" s="666">
        <f>Report!L30</f>
        <v>0.25900000000000001</v>
      </c>
      <c r="W28" s="493"/>
      <c r="X28" s="493"/>
    </row>
    <row r="29" spans="1:24" ht="15.75">
      <c r="A29" s="86" t="s">
        <v>40</v>
      </c>
      <c r="B29" s="124"/>
      <c r="C29" s="124"/>
      <c r="D29" s="124"/>
      <c r="E29" s="124"/>
      <c r="F29" s="124"/>
      <c r="G29" s="86"/>
      <c r="H29" s="159">
        <f t="shared" si="0"/>
        <v>0</v>
      </c>
      <c r="K29" s="739" t="str">
        <f>Report!A31</f>
        <v>Green Tariff Electricity - npower</v>
      </c>
      <c r="L29" s="148" t="s">
        <v>298</v>
      </c>
      <c r="M29" s="148">
        <f>Report!C31</f>
        <v>0.49381000000000003</v>
      </c>
      <c r="N29" s="148">
        <f>Report!D31</f>
        <v>0.48531000000000002</v>
      </c>
      <c r="O29" s="148">
        <f>Report!E31</f>
        <v>0.45205000000000001</v>
      </c>
      <c r="P29" s="148">
        <f>Report!F31</f>
        <v>0.46001999999999998</v>
      </c>
      <c r="Q29" s="148">
        <f>Report!G31</f>
        <v>0.44547999999999999</v>
      </c>
      <c r="R29" s="148">
        <f>Report!H31</f>
        <v>0.49425999999999998</v>
      </c>
      <c r="S29" s="148">
        <f>Report!I31</f>
        <v>0.4621981</v>
      </c>
      <c r="T29" s="148">
        <f>Report!J31</f>
        <v>0.48531000000000002</v>
      </c>
      <c r="U29" s="148">
        <f>Report!K31</f>
        <v>0.48531000000000002</v>
      </c>
      <c r="V29" s="666">
        <f>Report!L31</f>
        <v>0.48531000000000002</v>
      </c>
      <c r="W29" s="493"/>
      <c r="X29" s="493"/>
    </row>
    <row r="30" spans="1:24" ht="15.75">
      <c r="A30" s="86" t="s">
        <v>41</v>
      </c>
      <c r="B30" s="124"/>
      <c r="C30" s="124"/>
      <c r="D30" s="124"/>
      <c r="E30" s="124"/>
      <c r="F30" s="124"/>
      <c r="G30" s="86"/>
      <c r="H30" s="159">
        <f t="shared" si="0"/>
        <v>0</v>
      </c>
      <c r="K30" s="739" t="str">
        <f>Report!A32</f>
        <v>Green Tariff Electricity - Ecotricity</v>
      </c>
      <c r="L30" s="148" t="s">
        <v>298</v>
      </c>
      <c r="M30" s="148">
        <f>Report!C32</f>
        <v>0.49381000000000003</v>
      </c>
      <c r="N30" s="148">
        <f>Report!D32</f>
        <v>0.48531000000000002</v>
      </c>
      <c r="O30" s="148">
        <f>Report!E32</f>
        <v>0.45205000000000001</v>
      </c>
      <c r="P30" s="148">
        <f>Report!F32</f>
        <v>0.46001999999999998</v>
      </c>
      <c r="Q30" s="148">
        <f>Report!G32</f>
        <v>0.44547999999999999</v>
      </c>
      <c r="R30" s="148">
        <f>Report!H32</f>
        <v>0.49425999999999998</v>
      </c>
      <c r="S30" s="148">
        <f>Report!I32</f>
        <v>0.4621981</v>
      </c>
      <c r="T30" s="148">
        <f>Report!J32</f>
        <v>0.48531000000000002</v>
      </c>
      <c r="U30" s="148">
        <f>Report!K32</f>
        <v>0.48531000000000002</v>
      </c>
      <c r="V30" s="666">
        <f>Report!L32</f>
        <v>0.48531000000000002</v>
      </c>
      <c r="W30" s="493"/>
      <c r="X30" s="493"/>
    </row>
    <row r="31" spans="1:24" ht="15.75">
      <c r="A31" s="86" t="s">
        <v>42</v>
      </c>
      <c r="B31" s="124"/>
      <c r="C31" s="124"/>
      <c r="D31" s="124"/>
      <c r="E31" s="124"/>
      <c r="F31" s="124"/>
      <c r="G31" s="86"/>
      <c r="H31" s="159">
        <f t="shared" si="0"/>
        <v>0</v>
      </c>
      <c r="K31" s="739" t="str">
        <f>Report!A33</f>
        <v>Green Tariff Electricity - Good Energy</v>
      </c>
      <c r="L31" s="148" t="s">
        <v>298</v>
      </c>
      <c r="M31" s="148">
        <f>Report!C33</f>
        <v>0.49381000000000003</v>
      </c>
      <c r="N31" s="148">
        <f>Report!D33</f>
        <v>0.48531000000000002</v>
      </c>
      <c r="O31" s="148">
        <f>Report!E33</f>
        <v>0.45205000000000001</v>
      </c>
      <c r="P31" s="148">
        <f>Report!F33</f>
        <v>0.46001999999999998</v>
      </c>
      <c r="Q31" s="148">
        <f>Report!G33</f>
        <v>0.44547999999999999</v>
      </c>
      <c r="R31" s="148">
        <f>Report!H33</f>
        <v>0.49425999999999998</v>
      </c>
      <c r="S31" s="148">
        <f>Report!I33</f>
        <v>0.4621981</v>
      </c>
      <c r="T31" s="148">
        <f>Report!J33</f>
        <v>0.48531000000000002</v>
      </c>
      <c r="U31" s="148">
        <f>Report!K33</f>
        <v>0.48531000000000002</v>
      </c>
      <c r="V31" s="666">
        <f>Report!L33</f>
        <v>0.48531000000000002</v>
      </c>
      <c r="W31" s="493"/>
      <c r="X31" s="493"/>
    </row>
    <row r="32" spans="1:24" ht="15.75">
      <c r="A32" s="86" t="s">
        <v>43</v>
      </c>
      <c r="B32" s="124"/>
      <c r="C32" s="124"/>
      <c r="D32" s="124"/>
      <c r="E32" s="124"/>
      <c r="F32" s="124"/>
      <c r="G32" s="86"/>
      <c r="H32" s="159">
        <f t="shared" si="0"/>
        <v>0</v>
      </c>
      <c r="K32" s="739" t="str">
        <f>Report!A34</f>
        <v>Green Tariff Electricity - UPL/Haven Power</v>
      </c>
      <c r="L32" s="148" t="s">
        <v>298</v>
      </c>
      <c r="M32" s="148">
        <f>Report!C34</f>
        <v>0.49381000000000003</v>
      </c>
      <c r="N32" s="148">
        <f>Report!D34</f>
        <v>0.48531000000000002</v>
      </c>
      <c r="O32" s="148">
        <f>Report!E34</f>
        <v>0.45205000000000001</v>
      </c>
      <c r="P32" s="148">
        <f>Report!F34</f>
        <v>0.46001999999999998</v>
      </c>
      <c r="Q32" s="148">
        <f>Report!G34</f>
        <v>0.44547999999999999</v>
      </c>
      <c r="R32" s="148">
        <f>Report!H34</f>
        <v>0.49425999999999998</v>
      </c>
      <c r="S32" s="148">
        <f>Report!I34</f>
        <v>0.4621981</v>
      </c>
      <c r="T32" s="148">
        <f>Report!J34</f>
        <v>0.48531000000000002</v>
      </c>
      <c r="U32" s="148">
        <f>Report!K34</f>
        <v>0.48531000000000002</v>
      </c>
      <c r="V32" s="666">
        <f>Report!L34</f>
        <v>0.48531000000000002</v>
      </c>
      <c r="W32" s="493"/>
      <c r="X32" s="493"/>
    </row>
    <row r="33" spans="1:24" ht="15.75">
      <c r="A33" s="86" t="s">
        <v>44</v>
      </c>
      <c r="B33" s="124"/>
      <c r="C33" s="124"/>
      <c r="D33" s="124"/>
      <c r="E33" s="124"/>
      <c r="F33" s="124"/>
      <c r="G33" s="86"/>
      <c r="H33" s="159">
        <f t="shared" si="0"/>
        <v>0</v>
      </c>
      <c r="K33" s="739"/>
      <c r="L33" s="148"/>
      <c r="M33" s="148"/>
      <c r="N33" s="148"/>
      <c r="O33" s="148"/>
      <c r="P33" s="148"/>
      <c r="Q33" s="148"/>
      <c r="R33" s="148"/>
      <c r="S33" s="148"/>
      <c r="T33" s="148"/>
      <c r="U33" s="148"/>
      <c r="V33" s="666"/>
      <c r="W33" s="493"/>
      <c r="X33" s="493"/>
    </row>
    <row r="34" spans="1:24" ht="15.75">
      <c r="A34" s="86" t="s">
        <v>45</v>
      </c>
      <c r="B34" s="124"/>
      <c r="C34" s="124"/>
      <c r="D34" s="124"/>
      <c r="E34" s="124"/>
      <c r="F34" s="124"/>
      <c r="G34" s="86"/>
      <c r="H34" s="159">
        <f t="shared" si="0"/>
        <v>0</v>
      </c>
      <c r="K34" s="739" t="s">
        <v>1023</v>
      </c>
      <c r="L34" s="148"/>
      <c r="M34" s="148"/>
      <c r="N34" s="148"/>
      <c r="O34" s="148"/>
      <c r="P34" s="148"/>
      <c r="Q34" s="148"/>
      <c r="R34" s="148"/>
      <c r="S34" s="148"/>
      <c r="T34" s="148"/>
      <c r="U34" s="148"/>
      <c r="V34" s="666"/>
      <c r="W34" s="493"/>
      <c r="X34" s="493"/>
    </row>
    <row r="35" spans="1:24" ht="15.75">
      <c r="A35" s="86" t="s">
        <v>46</v>
      </c>
      <c r="B35" s="124"/>
      <c r="C35" s="124"/>
      <c r="D35" s="124"/>
      <c r="E35" s="124"/>
      <c r="F35" s="124"/>
      <c r="G35" s="86"/>
      <c r="H35" s="159">
        <f t="shared" si="0"/>
        <v>0</v>
      </c>
      <c r="K35" s="739" t="s">
        <v>1024</v>
      </c>
      <c r="L35" s="148"/>
      <c r="M35" s="148"/>
      <c r="N35" s="148"/>
      <c r="O35" s="148"/>
      <c r="P35" s="148"/>
      <c r="Q35" s="148"/>
      <c r="R35" s="148"/>
      <c r="S35" s="148"/>
      <c r="T35" s="148"/>
      <c r="U35" s="148"/>
      <c r="V35" s="666"/>
      <c r="W35" s="493"/>
      <c r="X35" s="493"/>
    </row>
    <row r="36" spans="1:24" ht="15.75">
      <c r="A36" s="86" t="s">
        <v>47</v>
      </c>
      <c r="B36" s="124"/>
      <c r="C36" s="124"/>
      <c r="D36" s="124"/>
      <c r="E36" s="124"/>
      <c r="F36" s="124"/>
      <c r="G36" s="86"/>
      <c r="H36" s="159">
        <f t="shared" si="0"/>
        <v>0</v>
      </c>
      <c r="K36" s="739"/>
      <c r="L36" s="148"/>
      <c r="M36" s="148"/>
      <c r="N36" s="148"/>
      <c r="O36" s="148"/>
      <c r="P36" s="148"/>
      <c r="Q36" s="148"/>
      <c r="R36" s="148"/>
      <c r="S36" s="148"/>
      <c r="T36" s="148"/>
      <c r="U36" s="148"/>
      <c r="V36" s="666"/>
      <c r="W36" s="493"/>
      <c r="X36" s="493"/>
    </row>
    <row r="37" spans="1:24" ht="15.75">
      <c r="A37" s="86" t="s">
        <v>48</v>
      </c>
      <c r="B37" s="124"/>
      <c r="C37" s="124"/>
      <c r="D37" s="124"/>
      <c r="E37" s="124"/>
      <c r="F37" s="124"/>
      <c r="G37" s="86"/>
      <c r="H37" s="159">
        <f t="shared" si="0"/>
        <v>0</v>
      </c>
      <c r="K37" s="739" t="s">
        <v>1035</v>
      </c>
      <c r="L37" s="148" t="s">
        <v>1034</v>
      </c>
      <c r="M37" s="148"/>
      <c r="N37" s="148"/>
      <c r="O37" s="148"/>
      <c r="P37" s="148"/>
      <c r="Q37" s="148"/>
      <c r="R37" s="148"/>
      <c r="S37" s="148"/>
      <c r="T37" s="148"/>
      <c r="U37" s="148"/>
      <c r="V37" s="666"/>
      <c r="W37" s="493"/>
      <c r="X37" s="493"/>
    </row>
    <row r="38" spans="1:24" ht="15.75">
      <c r="A38" s="86" t="s">
        <v>0</v>
      </c>
      <c r="B38" s="124"/>
      <c r="C38" s="124"/>
      <c r="D38" s="124"/>
      <c r="E38" s="124"/>
      <c r="F38" s="124"/>
      <c r="G38" s="86"/>
      <c r="H38" s="159">
        <f t="shared" si="0"/>
        <v>0</v>
      </c>
      <c r="K38" s="739">
        <f>IFERROR(RANK(O38,O$38:O$42,0),0)</f>
        <v>0</v>
      </c>
      <c r="L38" s="148">
        <f>IFERROR(RANK(O38,O$38:O$42,1),0)</f>
        <v>0</v>
      </c>
      <c r="M38" s="712">
        <f>B12</f>
        <v>0</v>
      </c>
      <c r="N38" s="712">
        <f>B11</f>
        <v>0</v>
      </c>
      <c r="O38" s="713" t="str">
        <f>IF(M38="Scope 1",10,IF(M38="Scope 2",20,"z1"))</f>
        <v>z1</v>
      </c>
      <c r="P38" s="148"/>
      <c r="Q38" s="148"/>
      <c r="R38" s="148"/>
      <c r="S38" s="148"/>
      <c r="T38" s="148"/>
      <c r="U38" s="148"/>
      <c r="V38" s="666"/>
      <c r="W38" s="493"/>
      <c r="X38" s="493"/>
    </row>
    <row r="39" spans="1:24" ht="15.75">
      <c r="A39" s="86" t="s">
        <v>1</v>
      </c>
      <c r="B39" s="124"/>
      <c r="C39" s="124"/>
      <c r="D39" s="124"/>
      <c r="E39" s="124"/>
      <c r="F39" s="124"/>
      <c r="G39" s="86"/>
      <c r="H39" s="159">
        <f t="shared" si="0"/>
        <v>0</v>
      </c>
      <c r="K39" s="739">
        <f>IFERROR(RANK(O39,O$38:O$42,0),0)</f>
        <v>0</v>
      </c>
      <c r="L39" s="148">
        <f>IFERROR(RANK(O39,O$38:O$42,1),0)</f>
        <v>0</v>
      </c>
      <c r="M39" s="712">
        <f>C12</f>
        <v>0</v>
      </c>
      <c r="N39" s="712">
        <f>C11</f>
        <v>0</v>
      </c>
      <c r="O39" s="713" t="str">
        <f>IF(M39="Scope 1",11,IF(M39="Scope 2",21,"z2"))</f>
        <v>z2</v>
      </c>
      <c r="P39" s="148"/>
      <c r="Q39" s="148"/>
      <c r="R39" s="148"/>
      <c r="S39" s="148"/>
      <c r="T39" s="148"/>
      <c r="U39" s="148"/>
      <c r="V39" s="666"/>
      <c r="W39" s="493"/>
      <c r="X39" s="493"/>
    </row>
    <row r="40" spans="1:24" ht="15.75">
      <c r="A40" s="86" t="s">
        <v>2</v>
      </c>
      <c r="B40" s="124"/>
      <c r="C40" s="124"/>
      <c r="D40" s="124"/>
      <c r="E40" s="124"/>
      <c r="F40" s="124"/>
      <c r="G40" s="86"/>
      <c r="H40" s="159">
        <f t="shared" si="0"/>
        <v>0</v>
      </c>
      <c r="K40" s="739">
        <f>IFERROR(RANK(O40,O$38:O$42,0),0)</f>
        <v>0</v>
      </c>
      <c r="L40" s="148">
        <f>IFERROR(RANK(O40,O$38:O$42,1),0)</f>
        <v>0</v>
      </c>
      <c r="M40" s="712">
        <f>D12</f>
        <v>0</v>
      </c>
      <c r="N40" s="712">
        <f>D11</f>
        <v>0</v>
      </c>
      <c r="O40" s="713" t="str">
        <f>IF(M40="Scope 1",12,IF(M40="Scope 2",22,"z3"))</f>
        <v>z3</v>
      </c>
      <c r="P40" s="148"/>
      <c r="Q40" s="148"/>
      <c r="R40" s="148"/>
      <c r="S40" s="148"/>
      <c r="T40" s="148"/>
      <c r="U40" s="148"/>
      <c r="V40" s="666"/>
      <c r="W40" s="493"/>
      <c r="X40" s="493"/>
    </row>
    <row r="41" spans="1:24" ht="15.75">
      <c r="A41" s="86" t="s">
        <v>3</v>
      </c>
      <c r="B41" s="124"/>
      <c r="C41" s="124"/>
      <c r="D41" s="124"/>
      <c r="E41" s="124"/>
      <c r="F41" s="124"/>
      <c r="G41" s="86"/>
      <c r="H41" s="159">
        <f t="shared" si="0"/>
        <v>0</v>
      </c>
      <c r="K41" s="739">
        <f>IFERROR(RANK(O41,O$38:O$42,0),0)</f>
        <v>0</v>
      </c>
      <c r="L41" s="148">
        <f>IFERROR(RANK(O41,O$38:O$42,1),0)</f>
        <v>0</v>
      </c>
      <c r="M41" s="712">
        <f>E12</f>
        <v>0</v>
      </c>
      <c r="N41" s="712">
        <f>E11</f>
        <v>0</v>
      </c>
      <c r="O41" s="713" t="str">
        <f>IF(M41="Scope 1",13,IF(M41="Scope 2",23,"z4"))</f>
        <v>z4</v>
      </c>
      <c r="P41" s="148"/>
      <c r="Q41" s="148"/>
      <c r="R41" s="148"/>
      <c r="S41" s="148"/>
      <c r="T41" s="148"/>
      <c r="U41" s="148"/>
      <c r="V41" s="666"/>
      <c r="W41" s="493"/>
      <c r="X41" s="493"/>
    </row>
    <row r="42" spans="1:24" ht="15.75">
      <c r="A42" s="86" t="s">
        <v>49</v>
      </c>
      <c r="B42" s="124"/>
      <c r="C42" s="124"/>
      <c r="D42" s="124"/>
      <c r="E42" s="124"/>
      <c r="F42" s="124"/>
      <c r="G42" s="86"/>
      <c r="H42" s="159">
        <f t="shared" si="0"/>
        <v>0</v>
      </c>
      <c r="K42" s="739">
        <f>IFERROR(RANK(O42,O$38:O$42,0),0)</f>
        <v>0</v>
      </c>
      <c r="L42" s="148">
        <f>IFERROR(RANK(O42,O$38:O$42,1),0)</f>
        <v>0</v>
      </c>
      <c r="M42" s="712">
        <f>F12</f>
        <v>0</v>
      </c>
      <c r="N42" s="712">
        <f>F11</f>
        <v>0</v>
      </c>
      <c r="O42" s="713" t="str">
        <f>IF(M42="Scope 1",14,IF(M42="Scope 2",24,"z5"))</f>
        <v>z5</v>
      </c>
      <c r="P42" s="148"/>
      <c r="Q42" s="148"/>
      <c r="R42" s="148"/>
      <c r="S42" s="148"/>
      <c r="T42" s="148"/>
      <c r="U42" s="148"/>
      <c r="V42" s="666"/>
    </row>
    <row r="43" spans="1:24" ht="15.75">
      <c r="A43" s="86" t="s">
        <v>50</v>
      </c>
      <c r="B43" s="124"/>
      <c r="C43" s="124"/>
      <c r="D43" s="124"/>
      <c r="E43" s="124"/>
      <c r="F43" s="124"/>
      <c r="G43" s="86"/>
      <c r="H43" s="159">
        <f t="shared" si="0"/>
        <v>0</v>
      </c>
      <c r="K43" s="739"/>
      <c r="L43" s="148"/>
      <c r="M43" s="148"/>
      <c r="N43" s="148"/>
      <c r="O43" s="148"/>
      <c r="P43" s="148"/>
      <c r="Q43" s="148"/>
      <c r="R43" s="148"/>
      <c r="S43" s="148"/>
      <c r="T43" s="148"/>
      <c r="U43" s="148"/>
      <c r="V43" s="666"/>
    </row>
    <row r="44" spans="1:24" ht="15.75">
      <c r="A44" s="86" t="s">
        <v>51</v>
      </c>
      <c r="B44" s="124"/>
      <c r="C44" s="124"/>
      <c r="D44" s="124"/>
      <c r="E44" s="124"/>
      <c r="F44" s="124"/>
      <c r="G44" s="86"/>
      <c r="H44" s="159">
        <f t="shared" si="0"/>
        <v>0</v>
      </c>
      <c r="K44" s="739"/>
      <c r="L44" s="148"/>
      <c r="M44" s="148"/>
      <c r="N44" s="148"/>
      <c r="O44" s="148"/>
      <c r="P44" s="148"/>
      <c r="Q44" s="148"/>
      <c r="R44" s="148"/>
      <c r="S44" s="148"/>
      <c r="T44" s="148"/>
      <c r="U44" s="148"/>
      <c r="V44" s="666"/>
    </row>
    <row r="45" spans="1:24" ht="15.75">
      <c r="A45" s="86" t="s">
        <v>52</v>
      </c>
      <c r="B45" s="124"/>
      <c r="C45" s="124"/>
      <c r="D45" s="124"/>
      <c r="E45" s="124"/>
      <c r="F45" s="124"/>
      <c r="G45" s="86"/>
      <c r="H45" s="159">
        <f t="shared" si="0"/>
        <v>0</v>
      </c>
      <c r="K45" s="740">
        <v>1</v>
      </c>
      <c r="L45" s="148">
        <f>IFERROR(VLOOKUP(K45,$L$38:$N$42,2,FALSE),0)</f>
        <v>0</v>
      </c>
      <c r="M45" s="148">
        <f>IFERROR(VLOOKUP(K45,$L$38:$N$42,3,FALSE),0)</f>
        <v>0</v>
      </c>
      <c r="N45" s="148"/>
      <c r="O45" s="148">
        <f>IFERROR(VLOOKUP(K45,$K$38:$N$42,3,FALSE),0)</f>
        <v>0</v>
      </c>
      <c r="P45" s="148">
        <f>IFERROR(VLOOKUP(K45,$K$38:$N$42,4,FALSE),0)</f>
        <v>0</v>
      </c>
      <c r="Q45" s="148"/>
      <c r="R45" s="148"/>
      <c r="S45" s="148"/>
      <c r="T45" s="148"/>
      <c r="U45" s="148"/>
      <c r="V45" s="666"/>
    </row>
    <row r="46" spans="1:24" ht="15.75">
      <c r="A46" s="86" t="s">
        <v>53</v>
      </c>
      <c r="B46" s="124"/>
      <c r="C46" s="124"/>
      <c r="D46" s="124"/>
      <c r="E46" s="124"/>
      <c r="F46" s="124"/>
      <c r="G46" s="86"/>
      <c r="H46" s="159">
        <f t="shared" si="0"/>
        <v>0</v>
      </c>
      <c r="K46" s="740">
        <v>2</v>
      </c>
      <c r="L46" s="148">
        <f>IFERROR(VLOOKUP(K46,$L$38:$N$42,2,FALSE),0)</f>
        <v>0</v>
      </c>
      <c r="M46" s="148">
        <f>IFERROR(VLOOKUP(K46,$L$38:$N$42,3,FALSE),0)</f>
        <v>0</v>
      </c>
      <c r="N46" s="148"/>
      <c r="O46" s="148">
        <f>IFERROR(VLOOKUP(K46,$K$38:$N$42,3,FALSE),0)</f>
        <v>0</v>
      </c>
      <c r="P46" s="148">
        <f>IFERROR(VLOOKUP(K46,$K$38:$N$42,4,FALSE),0)</f>
        <v>0</v>
      </c>
      <c r="Q46" s="148"/>
      <c r="R46" s="148"/>
      <c r="S46" s="148"/>
      <c r="T46" s="148"/>
      <c r="U46" s="148"/>
      <c r="V46" s="666"/>
    </row>
    <row r="47" spans="1:24" ht="15.75">
      <c r="A47" s="86" t="s">
        <v>54</v>
      </c>
      <c r="B47" s="124"/>
      <c r="C47" s="124"/>
      <c r="D47" s="124"/>
      <c r="E47" s="124"/>
      <c r="F47" s="124"/>
      <c r="G47" s="86"/>
      <c r="H47" s="159">
        <f t="shared" si="0"/>
        <v>0</v>
      </c>
      <c r="K47" s="740">
        <v>3</v>
      </c>
      <c r="L47" s="148">
        <f>IFERROR(VLOOKUP(K47,$L$38:$N$42,2,FALSE),0)</f>
        <v>0</v>
      </c>
      <c r="M47" s="148">
        <f>IFERROR(VLOOKUP(K47,$L$38:$N$42,3,FALSE),0)</f>
        <v>0</v>
      </c>
      <c r="N47" s="148"/>
      <c r="O47" s="148">
        <f>IFERROR(VLOOKUP(K47,$K$38:$N$42,3,FALSE),0)</f>
        <v>0</v>
      </c>
      <c r="P47" s="148">
        <f>IFERROR(VLOOKUP(K47,$K$38:$N$42,4,FALSE),0)</f>
        <v>0</v>
      </c>
      <c r="Q47" s="148"/>
      <c r="R47" s="148"/>
      <c r="S47" s="148"/>
      <c r="T47" s="148"/>
      <c r="U47" s="148"/>
      <c r="V47" s="666"/>
    </row>
    <row r="48" spans="1:24" ht="15.75">
      <c r="A48" s="86" t="s">
        <v>55</v>
      </c>
      <c r="B48" s="124"/>
      <c r="C48" s="124"/>
      <c r="D48" s="124"/>
      <c r="E48" s="124"/>
      <c r="F48" s="124"/>
      <c r="G48" s="86"/>
      <c r="H48" s="159">
        <f t="shared" si="0"/>
        <v>0</v>
      </c>
      <c r="K48" s="740">
        <v>4</v>
      </c>
      <c r="L48" s="148">
        <f>IFERROR(VLOOKUP(K48,$L$38:$N$42,2,FALSE),0)</f>
        <v>0</v>
      </c>
      <c r="M48" s="148">
        <f>IFERROR(VLOOKUP(K48,$L$38:$N$42,3,FALSE),0)</f>
        <v>0</v>
      </c>
      <c r="N48" s="148"/>
      <c r="O48" s="148">
        <f>IFERROR(VLOOKUP(K48,$K$38:$N$42,3,FALSE),0)</f>
        <v>0</v>
      </c>
      <c r="P48" s="148">
        <f>IFERROR(VLOOKUP(K48,$K$38:$N$42,4,FALSE),0)</f>
        <v>0</v>
      </c>
      <c r="Q48" s="148"/>
      <c r="R48" s="148"/>
      <c r="S48" s="148"/>
      <c r="T48" s="148"/>
      <c r="U48" s="148"/>
      <c r="V48" s="666"/>
    </row>
    <row r="49" spans="1:22" ht="16.5" thickBot="1">
      <c r="A49" s="86" t="s">
        <v>56</v>
      </c>
      <c r="B49" s="124"/>
      <c r="C49" s="124"/>
      <c r="D49" s="124"/>
      <c r="E49" s="124"/>
      <c r="F49" s="124"/>
      <c r="G49" s="86"/>
      <c r="H49" s="159">
        <f t="shared" si="0"/>
        <v>0</v>
      </c>
      <c r="K49" s="741">
        <v>5</v>
      </c>
      <c r="L49" s="667">
        <f>IFERROR(VLOOKUP(K49,$L$38:$N$42,2,FALSE),0)</f>
        <v>0</v>
      </c>
      <c r="M49" s="667">
        <f>IFERROR(VLOOKUP(K49,$L$38:$N$42,3,FALSE),0)</f>
        <v>0</v>
      </c>
      <c r="N49" s="667"/>
      <c r="O49" s="667">
        <f>IFERROR(VLOOKUP(K49,$K$38:$N$42,3,FALSE),0)</f>
        <v>0</v>
      </c>
      <c r="P49" s="667">
        <f>IFERROR(VLOOKUP(K49,$K$38:$N$42,4,FALSE),0)</f>
        <v>0</v>
      </c>
      <c r="Q49" s="667"/>
      <c r="R49" s="667"/>
      <c r="S49" s="667"/>
      <c r="T49" s="667"/>
      <c r="U49" s="667"/>
      <c r="V49" s="668"/>
    </row>
    <row r="50" spans="1:22" ht="16.5" thickTop="1">
      <c r="A50" s="86" t="s">
        <v>57</v>
      </c>
      <c r="B50" s="124"/>
      <c r="C50" s="124"/>
      <c r="D50" s="124"/>
      <c r="E50" s="124"/>
      <c r="F50" s="124"/>
      <c r="G50" s="86"/>
      <c r="H50" s="159">
        <f t="shared" si="0"/>
        <v>0</v>
      </c>
      <c r="K50" s="493"/>
    </row>
    <row r="51" spans="1:22" ht="15.75">
      <c r="A51" s="86" t="s">
        <v>4</v>
      </c>
      <c r="B51" s="124"/>
      <c r="C51" s="124"/>
      <c r="D51" s="124"/>
      <c r="E51" s="124"/>
      <c r="F51" s="124"/>
      <c r="G51" s="86"/>
      <c r="H51" s="159">
        <f t="shared" si="0"/>
        <v>0</v>
      </c>
      <c r="K51" s="493"/>
    </row>
    <row r="52" spans="1:22" ht="15.75">
      <c r="A52" s="86" t="s">
        <v>5</v>
      </c>
      <c r="B52" s="124"/>
      <c r="C52" s="124"/>
      <c r="D52" s="124"/>
      <c r="E52" s="124"/>
      <c r="F52" s="124"/>
      <c r="G52" s="86"/>
      <c r="H52" s="159">
        <f t="shared" si="0"/>
        <v>0</v>
      </c>
    </row>
    <row r="53" spans="1:22" ht="15.75">
      <c r="A53" s="86" t="s">
        <v>6</v>
      </c>
      <c r="B53" s="124"/>
      <c r="C53" s="124"/>
      <c r="D53" s="124"/>
      <c r="E53" s="124"/>
      <c r="F53" s="124"/>
      <c r="G53" s="86"/>
      <c r="H53" s="159">
        <f t="shared" si="0"/>
        <v>0</v>
      </c>
    </row>
    <row r="54" spans="1:22" ht="15.75">
      <c r="A54" s="86" t="s">
        <v>7</v>
      </c>
      <c r="B54" s="124"/>
      <c r="C54" s="124"/>
      <c r="D54" s="124"/>
      <c r="E54" s="124"/>
      <c r="F54" s="124"/>
      <c r="G54" s="86"/>
      <c r="H54" s="159">
        <f t="shared" si="0"/>
        <v>0</v>
      </c>
    </row>
    <row r="55" spans="1:22" ht="15.75">
      <c r="A55" s="86" t="s">
        <v>58</v>
      </c>
      <c r="B55" s="124"/>
      <c r="C55" s="124"/>
      <c r="D55" s="124"/>
      <c r="E55" s="124"/>
      <c r="F55" s="124"/>
      <c r="G55" s="86"/>
      <c r="H55" s="159">
        <f t="shared" si="0"/>
        <v>0</v>
      </c>
    </row>
    <row r="56" spans="1:22" ht="15.75">
      <c r="A56" s="86" t="s">
        <v>59</v>
      </c>
      <c r="B56" s="124"/>
      <c r="C56" s="124"/>
      <c r="D56" s="124"/>
      <c r="E56" s="124"/>
      <c r="F56" s="124"/>
      <c r="G56" s="86"/>
      <c r="H56" s="159">
        <f t="shared" si="0"/>
        <v>0</v>
      </c>
    </row>
    <row r="57" spans="1:22" ht="15.75">
      <c r="A57" s="86" t="s">
        <v>60</v>
      </c>
      <c r="B57" s="124"/>
      <c r="C57" s="124"/>
      <c r="D57" s="124"/>
      <c r="E57" s="124"/>
      <c r="F57" s="124"/>
      <c r="G57" s="86"/>
      <c r="H57" s="159">
        <f t="shared" si="0"/>
        <v>0</v>
      </c>
    </row>
    <row r="58" spans="1:22" ht="15.75">
      <c r="A58" s="86" t="s">
        <v>61</v>
      </c>
      <c r="B58" s="124"/>
      <c r="C58" s="124"/>
      <c r="D58" s="124"/>
      <c r="E58" s="124"/>
      <c r="F58" s="124"/>
      <c r="G58" s="86"/>
      <c r="H58" s="159">
        <f t="shared" si="0"/>
        <v>0</v>
      </c>
    </row>
    <row r="59" spans="1:22" ht="15.75">
      <c r="A59" s="86" t="s">
        <v>62</v>
      </c>
      <c r="B59" s="124"/>
      <c r="C59" s="124"/>
      <c r="D59" s="124"/>
      <c r="E59" s="124"/>
      <c r="F59" s="124"/>
      <c r="G59" s="86"/>
      <c r="H59" s="159">
        <f t="shared" si="0"/>
        <v>0</v>
      </c>
    </row>
    <row r="60" spans="1:22" ht="15.75">
      <c r="A60" s="86" t="s">
        <v>63</v>
      </c>
      <c r="B60" s="124"/>
      <c r="C60" s="124"/>
      <c r="D60" s="124"/>
      <c r="E60" s="124"/>
      <c r="F60" s="124"/>
      <c r="G60" s="86"/>
      <c r="H60" s="159">
        <f t="shared" si="0"/>
        <v>0</v>
      </c>
    </row>
    <row r="61" spans="1:22" ht="15.75">
      <c r="A61" s="86" t="s">
        <v>64</v>
      </c>
      <c r="B61" s="124"/>
      <c r="C61" s="124"/>
      <c r="D61" s="124"/>
      <c r="E61" s="124"/>
      <c r="F61" s="124"/>
      <c r="G61" s="86"/>
      <c r="H61" s="159">
        <f t="shared" si="0"/>
        <v>0</v>
      </c>
    </row>
    <row r="62" spans="1:22" ht="15.75">
      <c r="A62" s="86" t="s">
        <v>65</v>
      </c>
      <c r="B62" s="124"/>
      <c r="C62" s="124"/>
      <c r="D62" s="124"/>
      <c r="E62" s="124"/>
      <c r="F62" s="124"/>
      <c r="G62" s="86"/>
      <c r="H62" s="159">
        <f t="shared" si="0"/>
        <v>0</v>
      </c>
    </row>
    <row r="63" spans="1:22" ht="15.75">
      <c r="A63" s="86" t="s">
        <v>66</v>
      </c>
      <c r="B63" s="124"/>
      <c r="C63" s="124"/>
      <c r="D63" s="124"/>
      <c r="E63" s="124"/>
      <c r="F63" s="124"/>
      <c r="G63" s="86"/>
      <c r="H63" s="159">
        <f t="shared" si="0"/>
        <v>0</v>
      </c>
    </row>
    <row r="64" spans="1:22" ht="15.75">
      <c r="A64" s="86" t="s">
        <v>8</v>
      </c>
      <c r="B64" s="124"/>
      <c r="C64" s="124"/>
      <c r="D64" s="124"/>
      <c r="E64" s="124"/>
      <c r="F64" s="124"/>
      <c r="G64" s="86"/>
      <c r="H64" s="159">
        <f t="shared" si="0"/>
        <v>0</v>
      </c>
    </row>
    <row r="65" spans="1:8" ht="15.75">
      <c r="A65" s="86" t="s">
        <v>9</v>
      </c>
      <c r="B65" s="124"/>
      <c r="C65" s="124"/>
      <c r="D65" s="124"/>
      <c r="E65" s="124"/>
      <c r="F65" s="124"/>
      <c r="G65" s="86"/>
      <c r="H65" s="159">
        <f t="shared" si="0"/>
        <v>0</v>
      </c>
    </row>
    <row r="66" spans="1:8" ht="15.75">
      <c r="A66" s="86" t="s">
        <v>10</v>
      </c>
      <c r="B66" s="124"/>
      <c r="C66" s="124"/>
      <c r="D66" s="124"/>
      <c r="E66" s="124"/>
      <c r="F66" s="124"/>
      <c r="G66" s="86"/>
      <c r="H66" s="159">
        <f t="shared" si="0"/>
        <v>0</v>
      </c>
    </row>
    <row r="67" spans="1:8" ht="15.75">
      <c r="A67" s="86" t="s">
        <v>11</v>
      </c>
      <c r="B67" s="124"/>
      <c r="C67" s="124"/>
      <c r="D67" s="124"/>
      <c r="E67" s="124"/>
      <c r="F67" s="124"/>
      <c r="G67" s="86"/>
      <c r="H67" s="159">
        <f t="shared" si="0"/>
        <v>0</v>
      </c>
    </row>
    <row r="68" spans="1:8" ht="15.75">
      <c r="A68" s="86" t="s">
        <v>67</v>
      </c>
      <c r="B68" s="124"/>
      <c r="C68" s="124"/>
      <c r="D68" s="124"/>
      <c r="E68" s="124"/>
      <c r="F68" s="124"/>
      <c r="G68" s="86"/>
      <c r="H68" s="159">
        <f t="shared" si="0"/>
        <v>0</v>
      </c>
    </row>
    <row r="69" spans="1:8" ht="15.75">
      <c r="A69" s="86" t="s">
        <v>68</v>
      </c>
      <c r="B69" s="124"/>
      <c r="C69" s="124"/>
      <c r="D69" s="124"/>
      <c r="E69" s="124"/>
      <c r="F69" s="124"/>
      <c r="G69" s="86"/>
      <c r="H69" s="159">
        <f t="shared" si="0"/>
        <v>0</v>
      </c>
    </row>
    <row r="70" spans="1:8" ht="15.75">
      <c r="A70" s="86" t="s">
        <v>69</v>
      </c>
      <c r="B70" s="124"/>
      <c r="C70" s="124"/>
      <c r="D70" s="124"/>
      <c r="E70" s="124"/>
      <c r="F70" s="124"/>
      <c r="G70" s="86"/>
      <c r="H70" s="159">
        <f t="shared" si="0"/>
        <v>0</v>
      </c>
    </row>
    <row r="71" spans="1:8" ht="15.75">
      <c r="A71" s="86" t="s">
        <v>70</v>
      </c>
      <c r="B71" s="124"/>
      <c r="C71" s="124"/>
      <c r="D71" s="124"/>
      <c r="E71" s="124"/>
      <c r="F71" s="124"/>
      <c r="G71" s="86"/>
      <c r="H71" s="159">
        <f t="shared" si="0"/>
        <v>0</v>
      </c>
    </row>
    <row r="72" spans="1:8" ht="15.75">
      <c r="A72" s="86" t="s">
        <v>71</v>
      </c>
      <c r="B72" s="124"/>
      <c r="C72" s="124"/>
      <c r="D72" s="124"/>
      <c r="E72" s="124"/>
      <c r="F72" s="124"/>
      <c r="G72" s="86"/>
      <c r="H72" s="159">
        <f t="shared" si="0"/>
        <v>0</v>
      </c>
    </row>
    <row r="73" spans="1:8" ht="15.75">
      <c r="A73" s="86" t="s">
        <v>72</v>
      </c>
      <c r="B73" s="124"/>
      <c r="C73" s="124"/>
      <c r="D73" s="124"/>
      <c r="E73" s="124"/>
      <c r="F73" s="124"/>
      <c r="G73" s="86"/>
      <c r="H73" s="159">
        <f t="shared" si="0"/>
        <v>0</v>
      </c>
    </row>
    <row r="74" spans="1:8" ht="15.75">
      <c r="A74" s="86" t="s">
        <v>73</v>
      </c>
      <c r="B74" s="124"/>
      <c r="C74" s="124"/>
      <c r="D74" s="124"/>
      <c r="E74" s="124"/>
      <c r="F74" s="124"/>
      <c r="G74" s="86"/>
      <c r="H74" s="159">
        <f t="shared" si="0"/>
        <v>0</v>
      </c>
    </row>
    <row r="75" spans="1:8" ht="15.75">
      <c r="A75" s="86" t="s">
        <v>74</v>
      </c>
      <c r="B75" s="124"/>
      <c r="C75" s="124"/>
      <c r="D75" s="124"/>
      <c r="E75" s="124"/>
      <c r="F75" s="124"/>
      <c r="G75" s="86"/>
      <c r="H75" s="159">
        <f t="shared" si="0"/>
        <v>0</v>
      </c>
    </row>
    <row r="76" spans="1:8" ht="15.75">
      <c r="A76" s="86" t="s">
        <v>75</v>
      </c>
      <c r="B76" s="124"/>
      <c r="C76" s="124"/>
      <c r="D76" s="124"/>
      <c r="E76" s="124"/>
      <c r="F76" s="124"/>
      <c r="G76" s="86"/>
      <c r="H76" s="159">
        <f t="shared" si="0"/>
        <v>0</v>
      </c>
    </row>
    <row r="77" spans="1:8" ht="15.75">
      <c r="A77" s="86" t="s">
        <v>12</v>
      </c>
      <c r="B77" s="124"/>
      <c r="C77" s="124"/>
      <c r="D77" s="124"/>
      <c r="E77" s="124"/>
      <c r="F77" s="124"/>
      <c r="G77" s="86"/>
      <c r="H77" s="159">
        <f t="shared" si="0"/>
        <v>0</v>
      </c>
    </row>
    <row r="78" spans="1:8" ht="15.75">
      <c r="A78" s="86" t="s">
        <v>13</v>
      </c>
      <c r="B78" s="124"/>
      <c r="C78" s="124"/>
      <c r="D78" s="124"/>
      <c r="E78" s="124"/>
      <c r="F78" s="124"/>
      <c r="G78" s="86"/>
      <c r="H78" s="159">
        <f t="shared" si="0"/>
        <v>0</v>
      </c>
    </row>
    <row r="79" spans="1:8" ht="15.75">
      <c r="A79" s="86" t="s">
        <v>14</v>
      </c>
      <c r="B79" s="124"/>
      <c r="C79" s="124"/>
      <c r="D79" s="124"/>
      <c r="E79" s="124"/>
      <c r="F79" s="124"/>
      <c r="G79" s="86"/>
      <c r="H79" s="159">
        <f t="shared" si="0"/>
        <v>0</v>
      </c>
    </row>
    <row r="80" spans="1:8" ht="15.75">
      <c r="A80" s="86" t="s">
        <v>15</v>
      </c>
      <c r="B80" s="124"/>
      <c r="C80" s="124"/>
      <c r="D80" s="124"/>
      <c r="E80" s="124"/>
      <c r="F80" s="124"/>
      <c r="G80" s="86"/>
      <c r="H80" s="159">
        <f t="shared" si="0"/>
        <v>0</v>
      </c>
    </row>
    <row r="81" spans="1:22" ht="15.75">
      <c r="A81" s="86" t="s">
        <v>76</v>
      </c>
      <c r="B81" s="124"/>
      <c r="C81" s="124"/>
      <c r="D81" s="124"/>
      <c r="E81" s="124"/>
      <c r="F81" s="124"/>
      <c r="G81" s="86"/>
      <c r="H81" s="159">
        <f t="shared" ref="H81:H132" si="1">SUM(B229:F229)</f>
        <v>0</v>
      </c>
    </row>
    <row r="82" spans="1:22" ht="15.75">
      <c r="A82" s="86" t="s">
        <v>77</v>
      </c>
      <c r="B82" s="124"/>
      <c r="C82" s="124"/>
      <c r="D82" s="124"/>
      <c r="E82" s="124"/>
      <c r="F82" s="124"/>
      <c r="G82" s="86"/>
      <c r="H82" s="159">
        <f t="shared" si="1"/>
        <v>0</v>
      </c>
    </row>
    <row r="83" spans="1:22" ht="15.75">
      <c r="A83" s="86" t="s">
        <v>78</v>
      </c>
      <c r="B83" s="124"/>
      <c r="C83" s="124"/>
      <c r="D83" s="124"/>
      <c r="E83" s="124"/>
      <c r="F83" s="124"/>
      <c r="G83" s="86"/>
      <c r="H83" s="159">
        <f t="shared" si="1"/>
        <v>0</v>
      </c>
    </row>
    <row r="84" spans="1:22" ht="15.75">
      <c r="A84" s="86" t="s">
        <v>79</v>
      </c>
      <c r="B84" s="124"/>
      <c r="C84" s="124"/>
      <c r="D84" s="124"/>
      <c r="E84" s="124"/>
      <c r="F84" s="124"/>
      <c r="G84" s="86"/>
      <c r="H84" s="159">
        <f t="shared" si="1"/>
        <v>0</v>
      </c>
    </row>
    <row r="85" spans="1:22" ht="15.75">
      <c r="A85" s="86" t="s">
        <v>80</v>
      </c>
      <c r="B85" s="124"/>
      <c r="C85" s="124"/>
      <c r="D85" s="124"/>
      <c r="E85" s="124"/>
      <c r="F85" s="124"/>
      <c r="G85" s="86"/>
      <c r="H85" s="159">
        <f t="shared" si="1"/>
        <v>0</v>
      </c>
    </row>
    <row r="86" spans="1:22" ht="15.75">
      <c r="A86" s="86" t="s">
        <v>81</v>
      </c>
      <c r="B86" s="124"/>
      <c r="C86" s="124"/>
      <c r="D86" s="124"/>
      <c r="E86" s="124"/>
      <c r="F86" s="124"/>
      <c r="G86" s="86"/>
      <c r="H86" s="159">
        <f t="shared" si="1"/>
        <v>0</v>
      </c>
    </row>
    <row r="87" spans="1:22" ht="15.75">
      <c r="A87" s="86" t="s">
        <v>82</v>
      </c>
      <c r="B87" s="124"/>
      <c r="C87" s="124"/>
      <c r="D87" s="124"/>
      <c r="E87" s="124"/>
      <c r="F87" s="124"/>
      <c r="G87" s="86"/>
      <c r="H87" s="159">
        <f t="shared" si="1"/>
        <v>0</v>
      </c>
    </row>
    <row r="88" spans="1:22" ht="15.75">
      <c r="A88" s="86" t="s">
        <v>83</v>
      </c>
      <c r="B88" s="124"/>
      <c r="C88" s="124"/>
      <c r="D88" s="124"/>
      <c r="E88" s="124"/>
      <c r="F88" s="124"/>
      <c r="G88" s="86"/>
      <c r="H88" s="159">
        <f t="shared" si="1"/>
        <v>0</v>
      </c>
    </row>
    <row r="89" spans="1:22" ht="15.75">
      <c r="A89" s="86" t="s">
        <v>84</v>
      </c>
      <c r="B89" s="124"/>
      <c r="C89" s="124"/>
      <c r="D89" s="124"/>
      <c r="E89" s="124"/>
      <c r="F89" s="124"/>
      <c r="G89" s="86"/>
      <c r="H89" s="159">
        <f t="shared" si="1"/>
        <v>0</v>
      </c>
    </row>
    <row r="90" spans="1:22" ht="15.75">
      <c r="A90" s="86" t="s">
        <v>16</v>
      </c>
      <c r="B90" s="124"/>
      <c r="C90" s="124"/>
      <c r="D90" s="124"/>
      <c r="E90" s="124"/>
      <c r="F90" s="124"/>
      <c r="G90" s="86"/>
      <c r="H90" s="159">
        <f t="shared" si="1"/>
        <v>0</v>
      </c>
    </row>
    <row r="91" spans="1:22" ht="15.75">
      <c r="A91" s="86" t="s">
        <v>17</v>
      </c>
      <c r="B91" s="124"/>
      <c r="C91" s="124"/>
      <c r="D91" s="124"/>
      <c r="E91" s="124"/>
      <c r="F91" s="124"/>
      <c r="G91" s="86"/>
      <c r="H91" s="159">
        <f t="shared" si="1"/>
        <v>0</v>
      </c>
    </row>
    <row r="92" spans="1:22" ht="15.75">
      <c r="A92" s="86" t="s">
        <v>18</v>
      </c>
      <c r="B92" s="124"/>
      <c r="C92" s="124"/>
      <c r="D92" s="124"/>
      <c r="E92" s="124"/>
      <c r="F92" s="124"/>
      <c r="G92" s="86"/>
      <c r="H92" s="159">
        <f t="shared" si="1"/>
        <v>0</v>
      </c>
    </row>
    <row r="93" spans="1:22" ht="15.75">
      <c r="A93" s="86" t="s">
        <v>19</v>
      </c>
      <c r="B93" s="124"/>
      <c r="C93" s="124"/>
      <c r="D93" s="124"/>
      <c r="E93" s="124"/>
      <c r="F93" s="124"/>
      <c r="G93" s="86"/>
      <c r="H93" s="159">
        <f t="shared" si="1"/>
        <v>0</v>
      </c>
    </row>
    <row r="94" spans="1:22" ht="15.75">
      <c r="A94" s="86" t="s">
        <v>85</v>
      </c>
      <c r="B94" s="124"/>
      <c r="C94" s="124"/>
      <c r="D94" s="124"/>
      <c r="E94" s="124"/>
      <c r="F94" s="124"/>
      <c r="G94" s="86"/>
      <c r="H94" s="159">
        <f t="shared" si="1"/>
        <v>0</v>
      </c>
    </row>
    <row r="95" spans="1:22" ht="15.75">
      <c r="A95" s="86" t="s">
        <v>86</v>
      </c>
      <c r="B95" s="124"/>
      <c r="C95" s="124"/>
      <c r="D95" s="124"/>
      <c r="E95" s="124"/>
      <c r="F95" s="124"/>
      <c r="G95" s="86"/>
      <c r="H95" s="159">
        <f t="shared" si="1"/>
        <v>0</v>
      </c>
    </row>
    <row r="96" spans="1:22" ht="15.75">
      <c r="A96" s="86" t="s">
        <v>87</v>
      </c>
      <c r="B96" s="124"/>
      <c r="C96" s="124"/>
      <c r="D96" s="124"/>
      <c r="E96" s="124"/>
      <c r="F96" s="124"/>
      <c r="G96" s="86"/>
      <c r="H96" s="159">
        <f t="shared" si="1"/>
        <v>0</v>
      </c>
      <c r="K96" s="179"/>
      <c r="L96" s="179"/>
      <c r="M96" s="179"/>
      <c r="N96" s="179"/>
      <c r="O96" s="179"/>
      <c r="P96" s="179"/>
      <c r="Q96" s="179"/>
      <c r="R96" s="179"/>
      <c r="S96" s="179"/>
      <c r="T96" s="179"/>
      <c r="U96" s="179"/>
      <c r="V96" s="179"/>
    </row>
    <row r="97" spans="1:22" ht="15.75">
      <c r="A97" s="86" t="s">
        <v>88</v>
      </c>
      <c r="B97" s="124"/>
      <c r="C97" s="124"/>
      <c r="D97" s="124"/>
      <c r="E97" s="124"/>
      <c r="F97" s="124"/>
      <c r="G97" s="86"/>
      <c r="H97" s="159">
        <f t="shared" si="1"/>
        <v>0</v>
      </c>
      <c r="K97" s="179"/>
      <c r="L97" s="179"/>
      <c r="M97" s="179"/>
      <c r="N97" s="179"/>
      <c r="O97" s="179"/>
      <c r="P97" s="179"/>
      <c r="Q97" s="179"/>
      <c r="R97" s="179"/>
      <c r="S97" s="179"/>
      <c r="T97" s="179"/>
      <c r="U97" s="179"/>
      <c r="V97" s="179"/>
    </row>
    <row r="98" spans="1:22" ht="15.75">
      <c r="A98" s="86" t="s">
        <v>89</v>
      </c>
      <c r="B98" s="124"/>
      <c r="C98" s="124"/>
      <c r="D98" s="124"/>
      <c r="E98" s="124"/>
      <c r="F98" s="124"/>
      <c r="G98" s="86"/>
      <c r="H98" s="159">
        <f t="shared" si="1"/>
        <v>0</v>
      </c>
      <c r="K98" s="179"/>
      <c r="L98" s="179"/>
      <c r="M98" s="179"/>
      <c r="N98" s="179"/>
      <c r="O98" s="179"/>
      <c r="P98" s="179"/>
      <c r="Q98" s="179"/>
      <c r="R98" s="179"/>
      <c r="S98" s="179"/>
      <c r="T98" s="179"/>
      <c r="U98" s="179"/>
      <c r="V98" s="179"/>
    </row>
    <row r="99" spans="1:22" ht="15.75">
      <c r="A99" s="86" t="s">
        <v>90</v>
      </c>
      <c r="B99" s="124"/>
      <c r="C99" s="124"/>
      <c r="D99" s="124"/>
      <c r="E99" s="124"/>
      <c r="F99" s="124"/>
      <c r="G99" s="86"/>
      <c r="H99" s="159">
        <f t="shared" si="1"/>
        <v>0</v>
      </c>
      <c r="K99" s="179"/>
      <c r="L99" s="179"/>
      <c r="M99" s="179"/>
      <c r="N99" s="179"/>
      <c r="O99" s="179"/>
      <c r="P99" s="179"/>
      <c r="Q99" s="179"/>
      <c r="R99" s="179"/>
      <c r="S99" s="179"/>
      <c r="T99" s="179"/>
      <c r="U99" s="179"/>
      <c r="V99" s="179"/>
    </row>
    <row r="100" spans="1:22" ht="15.75">
      <c r="A100" s="86" t="s">
        <v>91</v>
      </c>
      <c r="B100" s="124"/>
      <c r="C100" s="124"/>
      <c r="D100" s="124"/>
      <c r="E100" s="124"/>
      <c r="F100" s="124"/>
      <c r="G100" s="86"/>
      <c r="H100" s="159">
        <f t="shared" si="1"/>
        <v>0</v>
      </c>
      <c r="K100" s="179"/>
      <c r="L100" s="179"/>
      <c r="M100" s="179"/>
      <c r="N100" s="179"/>
      <c r="O100" s="179"/>
      <c r="P100" s="179"/>
      <c r="Q100" s="179"/>
      <c r="R100" s="179"/>
      <c r="S100" s="179"/>
      <c r="T100" s="179"/>
      <c r="U100" s="179"/>
      <c r="V100" s="179"/>
    </row>
    <row r="101" spans="1:22" ht="15.75">
      <c r="A101" s="86" t="s">
        <v>92</v>
      </c>
      <c r="B101" s="124"/>
      <c r="C101" s="124"/>
      <c r="D101" s="124"/>
      <c r="E101" s="124"/>
      <c r="F101" s="124"/>
      <c r="G101" s="86"/>
      <c r="H101" s="159">
        <f t="shared" si="1"/>
        <v>0</v>
      </c>
      <c r="K101" s="179"/>
      <c r="L101" s="179"/>
      <c r="M101" s="179"/>
      <c r="N101" s="179"/>
      <c r="O101" s="179"/>
      <c r="P101" s="179"/>
      <c r="Q101" s="179"/>
      <c r="R101" s="179"/>
      <c r="S101" s="179"/>
      <c r="T101" s="179"/>
      <c r="U101" s="179"/>
      <c r="V101" s="179"/>
    </row>
    <row r="102" spans="1:22" ht="15.75">
      <c r="A102" s="86" t="s">
        <v>93</v>
      </c>
      <c r="B102" s="124"/>
      <c r="C102" s="124"/>
      <c r="D102" s="124"/>
      <c r="E102" s="124"/>
      <c r="F102" s="124"/>
      <c r="G102" s="86"/>
      <c r="H102" s="159">
        <f t="shared" si="1"/>
        <v>0</v>
      </c>
      <c r="K102" s="179"/>
      <c r="L102" s="179"/>
      <c r="M102" s="179"/>
      <c r="N102" s="179"/>
      <c r="O102" s="179"/>
      <c r="P102" s="179"/>
      <c r="Q102" s="179"/>
      <c r="R102" s="179"/>
      <c r="S102" s="179"/>
      <c r="T102" s="179"/>
      <c r="U102" s="179"/>
      <c r="V102" s="179"/>
    </row>
    <row r="103" spans="1:22" ht="15.75">
      <c r="A103" s="86" t="s">
        <v>20</v>
      </c>
      <c r="B103" s="124"/>
      <c r="C103" s="124"/>
      <c r="D103" s="124"/>
      <c r="E103" s="124"/>
      <c r="F103" s="124"/>
      <c r="G103" s="86"/>
      <c r="H103" s="159">
        <f t="shared" si="1"/>
        <v>0</v>
      </c>
      <c r="K103" s="179"/>
      <c r="L103" s="179"/>
      <c r="M103" s="179"/>
      <c r="N103" s="179"/>
      <c r="O103" s="179"/>
      <c r="P103" s="179"/>
      <c r="Q103" s="179"/>
      <c r="R103" s="179"/>
      <c r="S103" s="179"/>
      <c r="T103" s="179"/>
      <c r="U103" s="179"/>
      <c r="V103" s="179"/>
    </row>
    <row r="104" spans="1:22" ht="15.75">
      <c r="A104" s="86" t="s">
        <v>21</v>
      </c>
      <c r="B104" s="124"/>
      <c r="C104" s="124"/>
      <c r="D104" s="124"/>
      <c r="E104" s="124"/>
      <c r="F104" s="124"/>
      <c r="G104" s="86"/>
      <c r="H104" s="159">
        <f t="shared" si="1"/>
        <v>0</v>
      </c>
      <c r="K104" s="179"/>
      <c r="L104" s="179"/>
      <c r="M104" s="179"/>
      <c r="N104" s="179"/>
      <c r="O104" s="179"/>
      <c r="P104" s="179"/>
      <c r="Q104" s="179"/>
      <c r="R104" s="179"/>
      <c r="S104" s="179"/>
      <c r="T104" s="179"/>
      <c r="U104" s="179"/>
      <c r="V104" s="179"/>
    </row>
    <row r="105" spans="1:22" ht="15.75">
      <c r="A105" s="86" t="s">
        <v>22</v>
      </c>
      <c r="B105" s="124"/>
      <c r="C105" s="124"/>
      <c r="D105" s="124"/>
      <c r="E105" s="124"/>
      <c r="F105" s="124"/>
      <c r="G105" s="86"/>
      <c r="H105" s="159">
        <f t="shared" si="1"/>
        <v>0</v>
      </c>
      <c r="K105" s="179"/>
      <c r="L105" s="179"/>
      <c r="M105" s="179"/>
      <c r="N105" s="179"/>
      <c r="O105" s="179"/>
      <c r="P105" s="179"/>
      <c r="Q105" s="179"/>
      <c r="R105" s="179"/>
      <c r="S105" s="179"/>
      <c r="T105" s="179"/>
      <c r="U105" s="179"/>
      <c r="V105" s="179"/>
    </row>
    <row r="106" spans="1:22" ht="15.75">
      <c r="A106" s="86" t="s">
        <v>23</v>
      </c>
      <c r="B106" s="124"/>
      <c r="C106" s="124"/>
      <c r="D106" s="124"/>
      <c r="E106" s="124"/>
      <c r="F106" s="124"/>
      <c r="G106" s="86"/>
      <c r="H106" s="159">
        <f t="shared" si="1"/>
        <v>0</v>
      </c>
      <c r="K106" s="179"/>
      <c r="L106" s="179"/>
      <c r="M106" s="179"/>
      <c r="N106" s="179"/>
      <c r="O106" s="179"/>
      <c r="P106" s="179"/>
      <c r="Q106" s="179"/>
      <c r="R106" s="179"/>
      <c r="S106" s="179"/>
      <c r="T106" s="179"/>
      <c r="U106" s="179"/>
      <c r="V106" s="179"/>
    </row>
    <row r="107" spans="1:22" s="179" customFormat="1" ht="15.75">
      <c r="A107" s="86" t="s">
        <v>974</v>
      </c>
      <c r="B107" s="124"/>
      <c r="C107" s="124"/>
      <c r="D107" s="124"/>
      <c r="E107" s="124"/>
      <c r="F107" s="124"/>
      <c r="G107" s="86"/>
      <c r="H107" s="159">
        <f t="shared" si="1"/>
        <v>0</v>
      </c>
    </row>
    <row r="108" spans="1:22" s="179" customFormat="1" ht="15.75">
      <c r="A108" s="86" t="s">
        <v>975</v>
      </c>
      <c r="B108" s="124"/>
      <c r="C108" s="124"/>
      <c r="D108" s="124"/>
      <c r="E108" s="124"/>
      <c r="F108" s="124"/>
      <c r="G108" s="86"/>
      <c r="H108" s="159">
        <f t="shared" si="1"/>
        <v>0</v>
      </c>
    </row>
    <row r="109" spans="1:22" s="179" customFormat="1" ht="15.75">
      <c r="A109" s="86" t="s">
        <v>976</v>
      </c>
      <c r="B109" s="124"/>
      <c r="C109" s="124"/>
      <c r="D109" s="124"/>
      <c r="E109" s="124"/>
      <c r="F109" s="124"/>
      <c r="G109" s="86"/>
      <c r="H109" s="159">
        <f t="shared" si="1"/>
        <v>0</v>
      </c>
    </row>
    <row r="110" spans="1:22" s="179" customFormat="1" ht="15.75">
      <c r="A110" s="86" t="s">
        <v>977</v>
      </c>
      <c r="B110" s="124"/>
      <c r="C110" s="124"/>
      <c r="D110" s="124"/>
      <c r="E110" s="124"/>
      <c r="F110" s="124"/>
      <c r="G110" s="86"/>
      <c r="H110" s="159">
        <f t="shared" si="1"/>
        <v>0</v>
      </c>
    </row>
    <row r="111" spans="1:22" s="179" customFormat="1" ht="15.75">
      <c r="A111" s="86" t="s">
        <v>978</v>
      </c>
      <c r="B111" s="124"/>
      <c r="C111" s="124"/>
      <c r="D111" s="124"/>
      <c r="E111" s="124"/>
      <c r="F111" s="124"/>
      <c r="G111" s="86"/>
      <c r="H111" s="159">
        <f t="shared" si="1"/>
        <v>0</v>
      </c>
    </row>
    <row r="112" spans="1:22" s="179" customFormat="1" ht="15.75">
      <c r="A112" s="86" t="s">
        <v>979</v>
      </c>
      <c r="B112" s="124"/>
      <c r="C112" s="124"/>
      <c r="D112" s="124"/>
      <c r="E112" s="124"/>
      <c r="F112" s="124"/>
      <c r="G112" s="86"/>
      <c r="H112" s="159">
        <f t="shared" si="1"/>
        <v>0</v>
      </c>
    </row>
    <row r="113" spans="1:22" s="179" customFormat="1" ht="15.75">
      <c r="A113" s="86" t="s">
        <v>980</v>
      </c>
      <c r="B113" s="124"/>
      <c r="C113" s="124"/>
      <c r="D113" s="124"/>
      <c r="E113" s="124"/>
      <c r="F113" s="124"/>
      <c r="G113" s="86"/>
      <c r="H113" s="159">
        <f t="shared" si="1"/>
        <v>0</v>
      </c>
    </row>
    <row r="114" spans="1:22" s="179" customFormat="1" ht="15.75">
      <c r="A114" s="86" t="s">
        <v>981</v>
      </c>
      <c r="B114" s="124"/>
      <c r="C114" s="124"/>
      <c r="D114" s="124"/>
      <c r="E114" s="124"/>
      <c r="F114" s="124"/>
      <c r="G114" s="86"/>
      <c r="H114" s="159">
        <f t="shared" si="1"/>
        <v>0</v>
      </c>
    </row>
    <row r="115" spans="1:22" s="179" customFormat="1" ht="15.75">
      <c r="A115" s="86" t="s">
        <v>982</v>
      </c>
      <c r="B115" s="124"/>
      <c r="C115" s="124"/>
      <c r="D115" s="124"/>
      <c r="E115" s="124"/>
      <c r="F115" s="124"/>
      <c r="G115" s="86"/>
      <c r="H115" s="159">
        <f t="shared" si="1"/>
        <v>0</v>
      </c>
    </row>
    <row r="116" spans="1:22" s="179" customFormat="1" ht="15.75">
      <c r="A116" s="86" t="s">
        <v>983</v>
      </c>
      <c r="B116" s="124"/>
      <c r="C116" s="124"/>
      <c r="D116" s="124"/>
      <c r="E116" s="124"/>
      <c r="F116" s="124"/>
      <c r="G116" s="86"/>
      <c r="H116" s="159">
        <f t="shared" si="1"/>
        <v>0</v>
      </c>
    </row>
    <row r="117" spans="1:22" s="179" customFormat="1" ht="15.75">
      <c r="A117" s="86" t="s">
        <v>984</v>
      </c>
      <c r="B117" s="124"/>
      <c r="C117" s="124"/>
      <c r="D117" s="124"/>
      <c r="E117" s="124"/>
      <c r="F117" s="124"/>
      <c r="G117" s="86"/>
      <c r="H117" s="159">
        <f t="shared" si="1"/>
        <v>0</v>
      </c>
    </row>
    <row r="118" spans="1:22" s="179" customFormat="1" ht="15.75">
      <c r="A118" s="86" t="s">
        <v>985</v>
      </c>
      <c r="B118" s="124"/>
      <c r="C118" s="124"/>
      <c r="D118" s="124"/>
      <c r="E118" s="124"/>
      <c r="F118" s="124"/>
      <c r="G118" s="86"/>
      <c r="H118" s="159">
        <f t="shared" si="1"/>
        <v>0</v>
      </c>
    </row>
    <row r="119" spans="1:22" s="179" customFormat="1" ht="15.75">
      <c r="A119" s="86" t="s">
        <v>986</v>
      </c>
      <c r="B119" s="124"/>
      <c r="C119" s="124"/>
      <c r="D119" s="124"/>
      <c r="E119" s="124"/>
      <c r="F119" s="124"/>
      <c r="G119" s="86"/>
      <c r="H119" s="159">
        <f t="shared" si="1"/>
        <v>0</v>
      </c>
    </row>
    <row r="120" spans="1:22" s="179" customFormat="1" ht="15.75">
      <c r="A120" s="86" t="s">
        <v>987</v>
      </c>
      <c r="B120" s="124"/>
      <c r="C120" s="124"/>
      <c r="D120" s="124"/>
      <c r="E120" s="124"/>
      <c r="F120" s="124"/>
      <c r="G120" s="86"/>
      <c r="H120" s="159">
        <f t="shared" si="1"/>
        <v>0</v>
      </c>
    </row>
    <row r="121" spans="1:22" s="179" customFormat="1" ht="15.75">
      <c r="A121" s="86" t="s">
        <v>988</v>
      </c>
      <c r="B121" s="124"/>
      <c r="C121" s="124"/>
      <c r="D121" s="124"/>
      <c r="E121" s="124"/>
      <c r="F121" s="124"/>
      <c r="G121" s="86"/>
      <c r="H121" s="159">
        <f t="shared" si="1"/>
        <v>0</v>
      </c>
    </row>
    <row r="122" spans="1:22" s="179" customFormat="1" ht="15.75">
      <c r="A122" s="86" t="s">
        <v>989</v>
      </c>
      <c r="B122" s="124"/>
      <c r="C122" s="124"/>
      <c r="D122" s="124"/>
      <c r="E122" s="124"/>
      <c r="F122" s="124"/>
      <c r="G122" s="86"/>
      <c r="H122" s="159">
        <f t="shared" si="1"/>
        <v>0</v>
      </c>
      <c r="K122" s="72"/>
      <c r="L122" s="72"/>
      <c r="M122" s="72"/>
      <c r="N122" s="72"/>
      <c r="O122" s="72"/>
      <c r="P122" s="72"/>
      <c r="Q122" s="72"/>
      <c r="R122" s="72"/>
      <c r="S122" s="72"/>
      <c r="T122" s="72"/>
      <c r="U122" s="72"/>
      <c r="V122" s="72"/>
    </row>
    <row r="123" spans="1:22" s="179" customFormat="1" ht="15.75">
      <c r="A123" s="86" t="s">
        <v>990</v>
      </c>
      <c r="B123" s="124"/>
      <c r="C123" s="124"/>
      <c r="D123" s="124"/>
      <c r="E123" s="124"/>
      <c r="F123" s="124"/>
      <c r="G123" s="86"/>
      <c r="H123" s="159">
        <f t="shared" si="1"/>
        <v>0</v>
      </c>
      <c r="K123" s="72"/>
      <c r="L123" s="72"/>
      <c r="M123" s="72"/>
      <c r="N123" s="72"/>
      <c r="O123" s="72"/>
      <c r="P123" s="72"/>
      <c r="Q123" s="72"/>
      <c r="R123" s="72"/>
      <c r="S123" s="72"/>
      <c r="T123" s="72"/>
      <c r="U123" s="72"/>
      <c r="V123" s="72"/>
    </row>
    <row r="124" spans="1:22" s="179" customFormat="1" ht="15.75">
      <c r="A124" s="86" t="s">
        <v>991</v>
      </c>
      <c r="B124" s="124"/>
      <c r="C124" s="124"/>
      <c r="D124" s="124"/>
      <c r="E124" s="124"/>
      <c r="F124" s="124"/>
      <c r="G124" s="86"/>
      <c r="H124" s="159">
        <f t="shared" si="1"/>
        <v>0</v>
      </c>
      <c r="K124"/>
      <c r="L124"/>
      <c r="M124"/>
      <c r="N124"/>
      <c r="O124"/>
      <c r="P124"/>
      <c r="Q124"/>
      <c r="R124"/>
      <c r="S124"/>
      <c r="T124"/>
      <c r="U124"/>
      <c r="V124"/>
    </row>
    <row r="125" spans="1:22" s="179" customFormat="1" ht="15.75">
      <c r="A125" s="86" t="s">
        <v>992</v>
      </c>
      <c r="B125" s="124"/>
      <c r="C125" s="124"/>
      <c r="D125" s="124"/>
      <c r="E125" s="124"/>
      <c r="F125" s="124"/>
      <c r="G125" s="86"/>
      <c r="H125" s="159">
        <f t="shared" si="1"/>
        <v>0</v>
      </c>
      <c r="K125"/>
      <c r="L125"/>
      <c r="M125"/>
      <c r="N125"/>
      <c r="O125"/>
      <c r="P125"/>
      <c r="Q125"/>
      <c r="R125"/>
      <c r="S125"/>
      <c r="T125"/>
      <c r="U125"/>
      <c r="V125"/>
    </row>
    <row r="126" spans="1:22" s="179" customFormat="1" ht="15.75">
      <c r="A126" s="86" t="s">
        <v>993</v>
      </c>
      <c r="B126" s="124"/>
      <c r="C126" s="124"/>
      <c r="D126" s="124"/>
      <c r="E126" s="124"/>
      <c r="F126" s="124"/>
      <c r="G126" s="86"/>
      <c r="H126" s="159">
        <f t="shared" si="1"/>
        <v>0</v>
      </c>
      <c r="K126" s="72"/>
      <c r="L126" s="72"/>
      <c r="M126" s="72"/>
      <c r="N126" s="72"/>
      <c r="O126" s="72"/>
      <c r="P126" s="72"/>
      <c r="Q126" s="72"/>
      <c r="R126" s="72"/>
      <c r="S126" s="72"/>
      <c r="T126" s="72"/>
      <c r="U126" s="72"/>
      <c r="V126" s="72"/>
    </row>
    <row r="127" spans="1:22" s="179" customFormat="1" ht="15.75">
      <c r="A127" s="86" t="s">
        <v>994</v>
      </c>
      <c r="B127" s="124"/>
      <c r="C127" s="124"/>
      <c r="D127" s="124"/>
      <c r="E127" s="124"/>
      <c r="F127" s="124"/>
      <c r="G127" s="86"/>
      <c r="H127" s="159">
        <f t="shared" si="1"/>
        <v>0</v>
      </c>
      <c r="K127" s="72"/>
      <c r="L127" s="72"/>
      <c r="M127" s="72"/>
      <c r="N127" s="72"/>
      <c r="O127" s="72"/>
      <c r="P127" s="72"/>
      <c r="Q127" s="72"/>
      <c r="R127" s="72"/>
      <c r="S127" s="72"/>
      <c r="T127" s="72"/>
      <c r="U127" s="72"/>
      <c r="V127" s="72"/>
    </row>
    <row r="128" spans="1:22" s="179" customFormat="1" ht="15.75">
      <c r="A128" s="86" t="s">
        <v>995</v>
      </c>
      <c r="B128" s="124"/>
      <c r="C128" s="124"/>
      <c r="D128" s="124"/>
      <c r="E128" s="124"/>
      <c r="F128" s="124"/>
      <c r="G128" s="86"/>
      <c r="H128" s="159">
        <f t="shared" si="1"/>
        <v>0</v>
      </c>
      <c r="K128" s="72"/>
      <c r="L128" s="72"/>
      <c r="M128" s="72"/>
      <c r="N128" s="72"/>
      <c r="O128" s="72"/>
      <c r="P128" s="72"/>
      <c r="Q128" s="72"/>
      <c r="R128" s="72"/>
      <c r="S128" s="72"/>
      <c r="T128" s="72"/>
      <c r="U128" s="72"/>
      <c r="V128" s="72"/>
    </row>
    <row r="129" spans="1:22" s="179" customFormat="1" ht="15.75">
      <c r="A129" s="86" t="s">
        <v>996</v>
      </c>
      <c r="B129" s="124"/>
      <c r="C129" s="124"/>
      <c r="D129" s="124"/>
      <c r="E129" s="124"/>
      <c r="F129" s="124"/>
      <c r="G129" s="86"/>
      <c r="H129" s="159">
        <f t="shared" si="1"/>
        <v>0</v>
      </c>
      <c r="K129" s="72"/>
      <c r="L129" s="72"/>
      <c r="M129" s="72"/>
      <c r="N129" s="72"/>
      <c r="O129" s="72"/>
      <c r="P129" s="72"/>
      <c r="Q129" s="72"/>
      <c r="R129" s="72"/>
      <c r="S129" s="72"/>
      <c r="T129" s="72"/>
      <c r="U129" s="72"/>
      <c r="V129" s="72"/>
    </row>
    <row r="130" spans="1:22" s="179" customFormat="1" ht="15.75">
      <c r="A130" s="86" t="s">
        <v>997</v>
      </c>
      <c r="B130" s="124"/>
      <c r="C130" s="124"/>
      <c r="D130" s="124"/>
      <c r="E130" s="124"/>
      <c r="F130" s="124"/>
      <c r="G130" s="86"/>
      <c r="H130" s="159">
        <f t="shared" si="1"/>
        <v>0</v>
      </c>
      <c r="K130" s="72"/>
      <c r="L130" s="72"/>
      <c r="M130" s="72"/>
      <c r="N130" s="72"/>
      <c r="O130" s="72"/>
      <c r="P130" s="72"/>
      <c r="Q130" s="72"/>
      <c r="R130" s="72"/>
      <c r="S130" s="72"/>
      <c r="T130" s="72"/>
      <c r="U130" s="72"/>
      <c r="V130" s="72"/>
    </row>
    <row r="131" spans="1:22" s="179" customFormat="1" ht="15.75">
      <c r="A131" s="86" t="s">
        <v>998</v>
      </c>
      <c r="B131" s="124"/>
      <c r="C131" s="124"/>
      <c r="D131" s="124"/>
      <c r="E131" s="124"/>
      <c r="F131" s="124"/>
      <c r="G131" s="86"/>
      <c r="H131" s="159">
        <f t="shared" si="1"/>
        <v>0</v>
      </c>
      <c r="K131" s="72"/>
      <c r="L131" s="72"/>
      <c r="M131" s="72"/>
      <c r="N131" s="72"/>
      <c r="O131" s="72"/>
      <c r="P131" s="72"/>
      <c r="Q131" s="72"/>
      <c r="R131" s="72"/>
      <c r="S131" s="72"/>
      <c r="T131" s="72"/>
      <c r="U131" s="72"/>
      <c r="V131" s="72"/>
    </row>
    <row r="132" spans="1:22" s="179" customFormat="1" ht="16.5" thickBot="1">
      <c r="A132" s="86" t="s">
        <v>999</v>
      </c>
      <c r="B132" s="125"/>
      <c r="C132" s="125"/>
      <c r="D132" s="125"/>
      <c r="E132" s="125"/>
      <c r="F132" s="125"/>
      <c r="G132" s="86"/>
      <c r="H132" s="159">
        <f t="shared" si="1"/>
        <v>0</v>
      </c>
      <c r="K132" s="72"/>
      <c r="L132" s="72"/>
      <c r="M132" s="72"/>
      <c r="N132" s="72"/>
      <c r="O132" s="72"/>
      <c r="P132" s="72"/>
      <c r="Q132" s="72"/>
      <c r="R132" s="72"/>
      <c r="S132" s="72"/>
      <c r="T132" s="72"/>
      <c r="U132" s="72"/>
      <c r="V132" s="72"/>
    </row>
    <row r="133" spans="1:22" s="72" customFormat="1" ht="15.75">
      <c r="A133" s="86"/>
      <c r="B133" s="126"/>
      <c r="C133" s="126"/>
      <c r="D133" s="126"/>
      <c r="E133" s="126"/>
      <c r="F133" s="126"/>
      <c r="G133" s="86"/>
      <c r="H133" s="159"/>
    </row>
    <row r="134" spans="1:22" s="72" customFormat="1" ht="15.75">
      <c r="A134" s="86" t="s">
        <v>112</v>
      </c>
      <c r="B134" s="168">
        <f>IF(B14=0,0,VLOOKUP(B14,$K$15:$M$32,3,FALSE)*SUM(B16:B132))</f>
        <v>0</v>
      </c>
      <c r="C134" s="168">
        <f>IF(C14=0,0,VLOOKUP(C14,$K$15:$M$32,3,FALSE)*SUM(C16:C132))</f>
        <v>0</v>
      </c>
      <c r="D134" s="168">
        <f>IF(D14=0,0,VLOOKUP(D14,$K$15:$M$32,3,FALSE)*SUM(D16:D132))</f>
        <v>0</v>
      </c>
      <c r="E134" s="168">
        <f>IF(E14=0,0,VLOOKUP(E14,$K$15:$M$32,3,FALSE)*SUM(E16:E132))</f>
        <v>0</v>
      </c>
      <c r="F134" s="168">
        <f>IF(F14=0,0,VLOOKUP(F14,$K$15:$M$32,3,FALSE)*SUM(F16:F132))</f>
        <v>0</v>
      </c>
      <c r="G134" s="86"/>
      <c r="H134" s="806">
        <f>SUM(H16:H132)</f>
        <v>0</v>
      </c>
    </row>
    <row r="135" spans="1:22" ht="15.75">
      <c r="A135" s="86"/>
      <c r="B135" s="86"/>
      <c r="C135" s="86"/>
      <c r="D135" s="86"/>
      <c r="E135" s="86"/>
      <c r="F135" s="86"/>
      <c r="G135" s="86"/>
      <c r="H135" s="86"/>
      <c r="K135" s="72"/>
      <c r="L135" s="72"/>
      <c r="M135" s="72"/>
      <c r="N135" s="72"/>
      <c r="O135" s="72"/>
      <c r="P135" s="72"/>
      <c r="Q135" s="72"/>
      <c r="R135" s="72"/>
      <c r="S135" s="72"/>
      <c r="T135" s="72"/>
      <c r="U135" s="72"/>
      <c r="V135" s="72"/>
    </row>
    <row r="136" spans="1:22" ht="15.75">
      <c r="A136" s="86"/>
      <c r="B136" s="86"/>
      <c r="C136" s="86"/>
      <c r="D136" s="86"/>
      <c r="E136" s="86"/>
      <c r="F136" s="86"/>
      <c r="G136" s="86"/>
      <c r="K136" s="72"/>
      <c r="L136" s="72"/>
      <c r="M136" s="72"/>
      <c r="N136" s="72"/>
      <c r="O136" s="72"/>
      <c r="P136" s="72"/>
      <c r="Q136" s="72"/>
      <c r="R136" s="72"/>
      <c r="S136" s="72"/>
      <c r="T136" s="72"/>
      <c r="U136" s="72"/>
      <c r="V136" s="72"/>
    </row>
    <row r="137" spans="1:22" s="72" customFormat="1" ht="24" thickBot="1">
      <c r="A137" s="162" t="s">
        <v>213</v>
      </c>
      <c r="B137" s="110"/>
      <c r="C137" s="110"/>
      <c r="D137" s="110"/>
      <c r="E137" s="110"/>
      <c r="F137" s="110"/>
      <c r="G137" s="86"/>
    </row>
    <row r="138" spans="1:22" s="72" customFormat="1" ht="45.75">
      <c r="A138" s="91" t="s">
        <v>218</v>
      </c>
      <c r="B138" s="161">
        <f>IF(B134&gt;0,(Report!$K$8*B134/VLOOKUP(Report!$C$6,'Actual-CO2 Calculations'!$A$5:$O$121,'Actual-CO2 Calculations'!$O$1,FALSE)),0)</f>
        <v>0</v>
      </c>
      <c r="C138" s="161">
        <f>IF(C134&gt;0,(Report!$K$8*C134/VLOOKUP(Report!$C$6,'Actual-CO2 Calculations'!$A$5:$O$121,'Actual-CO2 Calculations'!$O$1,FALSE)),0)</f>
        <v>0</v>
      </c>
      <c r="D138" s="161">
        <f>IF(D134&gt;0,(Report!$K$8*D134/VLOOKUP(Report!$C$6,'Actual-CO2 Calculations'!$A$5:$O$121,'Actual-CO2 Calculations'!$O$1,FALSE)),0)</f>
        <v>0</v>
      </c>
      <c r="E138" s="161">
        <f>IF(E134&gt;0,(Report!$K$8*E134/VLOOKUP(Report!$C$6,'Actual-CO2 Calculations'!$A$5:$O$121,'Actual-CO2 Calculations'!$O$1,FALSE)),0)</f>
        <v>0</v>
      </c>
      <c r="F138" s="161">
        <f>IF(F134&gt;0,(Report!$K$8*F134/VLOOKUP(Report!$C$6,'Actual-CO2 Calculations'!$A$5:$O$121,'Actual-CO2 Calculations'!$O$1,FALSE)),0)</f>
        <v>0</v>
      </c>
      <c r="G138" s="86"/>
    </row>
    <row r="139" spans="1:22" s="72" customFormat="1" ht="15.75">
      <c r="A139" s="86"/>
      <c r="B139" s="86"/>
      <c r="C139" s="86"/>
      <c r="D139" s="86"/>
      <c r="E139" s="86"/>
      <c r="F139" s="86"/>
      <c r="G139" s="86"/>
    </row>
    <row r="140" spans="1:22" s="72" customFormat="1" ht="16.5" thickBot="1">
      <c r="A140" s="86"/>
      <c r="B140" s="86"/>
      <c r="C140" s="86"/>
      <c r="D140" s="86"/>
      <c r="E140" s="86"/>
      <c r="F140" s="86"/>
      <c r="G140" s="86"/>
    </row>
    <row r="141" spans="1:22" s="72" customFormat="1" ht="15.75">
      <c r="A141" s="595" t="s">
        <v>243</v>
      </c>
      <c r="B141" s="596"/>
      <c r="C141" s="596"/>
      <c r="D141" s="596"/>
      <c r="E141" s="596"/>
      <c r="F141" s="597"/>
      <c r="G141" s="86"/>
      <c r="K141"/>
      <c r="L141"/>
      <c r="M141"/>
      <c r="N141"/>
      <c r="O141"/>
      <c r="P141"/>
      <c r="Q141"/>
      <c r="R141"/>
      <c r="S141"/>
      <c r="T141"/>
      <c r="U141"/>
      <c r="V141"/>
    </row>
    <row r="142" spans="1:22" s="72" customFormat="1" ht="15.75">
      <c r="A142" s="598" t="s">
        <v>289</v>
      </c>
      <c r="B142" s="574">
        <f>IF(B11&gt;0,1,0)</f>
        <v>0</v>
      </c>
      <c r="C142" s="574">
        <f>IF(C11&gt;0,1,0)</f>
        <v>0</v>
      </c>
      <c r="D142" s="574">
        <f>IF(D11&gt;0,1,0)</f>
        <v>0</v>
      </c>
      <c r="E142" s="574">
        <f>IF(E11&gt;0,1,0)</f>
        <v>0</v>
      </c>
      <c r="F142" s="599">
        <f>IF(F11&gt;0,1,0)</f>
        <v>0</v>
      </c>
      <c r="G142" s="86"/>
    </row>
    <row r="143" spans="1:22" s="72" customFormat="1" ht="15.75">
      <c r="A143" s="598" t="s">
        <v>286</v>
      </c>
      <c r="B143" s="574">
        <f t="shared" ref="B143:F143" si="2">IF(B13&gt;0,1,0)</f>
        <v>0</v>
      </c>
      <c r="C143" s="574">
        <f t="shared" si="2"/>
        <v>0</v>
      </c>
      <c r="D143" s="574">
        <f t="shared" si="2"/>
        <v>0</v>
      </c>
      <c r="E143" s="574">
        <f t="shared" si="2"/>
        <v>0</v>
      </c>
      <c r="F143" s="599">
        <f t="shared" si="2"/>
        <v>0</v>
      </c>
      <c r="G143" s="86"/>
      <c r="K143"/>
      <c r="L143"/>
      <c r="M143"/>
      <c r="N143"/>
      <c r="O143"/>
      <c r="P143"/>
      <c r="Q143"/>
      <c r="R143"/>
      <c r="S143"/>
      <c r="T143"/>
      <c r="U143"/>
      <c r="V143"/>
    </row>
    <row r="144" spans="1:22" s="72" customFormat="1" ht="15.75">
      <c r="A144" s="598" t="s">
        <v>299</v>
      </c>
      <c r="B144" s="574">
        <f>IF(B14=0,0,1)</f>
        <v>0</v>
      </c>
      <c r="C144" s="574">
        <f t="shared" ref="C144:F144" si="3">IF(C14=0,0,1)</f>
        <v>0</v>
      </c>
      <c r="D144" s="574">
        <f t="shared" si="3"/>
        <v>0</v>
      </c>
      <c r="E144" s="574">
        <f t="shared" si="3"/>
        <v>0</v>
      </c>
      <c r="F144" s="599">
        <f t="shared" si="3"/>
        <v>0</v>
      </c>
      <c r="G144" s="86"/>
    </row>
    <row r="145" spans="1:7" s="72" customFormat="1" ht="15.75">
      <c r="A145" s="598" t="s">
        <v>290</v>
      </c>
      <c r="B145" s="574">
        <f>IF(SUM(B16:B106)&gt;0,1,0)</f>
        <v>0</v>
      </c>
      <c r="C145" s="574">
        <f>IF(SUM(C16:C106)&gt;0,1,0)</f>
        <v>0</v>
      </c>
      <c r="D145" s="574">
        <f>IF(SUM(D16:D106)&gt;0,1,0)</f>
        <v>0</v>
      </c>
      <c r="E145" s="574">
        <f>IF(SUM(E16:E106)&gt;0,1,0)</f>
        <v>0</v>
      </c>
      <c r="F145" s="599">
        <f>IF(SUM(F16:F106)&gt;0,1,0)</f>
        <v>0</v>
      </c>
      <c r="G145" s="86"/>
    </row>
    <row r="146" spans="1:7" s="72" customFormat="1" ht="15.75">
      <c r="A146" s="598"/>
      <c r="B146" s="574"/>
      <c r="C146" s="574"/>
      <c r="D146" s="574"/>
      <c r="E146" s="574"/>
      <c r="F146" s="599"/>
      <c r="G146" s="86"/>
    </row>
    <row r="147" spans="1:7" s="72" customFormat="1" ht="15.75">
      <c r="A147" s="598" t="s">
        <v>247</v>
      </c>
      <c r="B147" s="574">
        <f>IF(SUM(B142:B145)=0,0,1)</f>
        <v>0</v>
      </c>
      <c r="C147" s="574">
        <f>IF(SUM(C142:C145)=0,0,1)</f>
        <v>0</v>
      </c>
      <c r="D147" s="574">
        <f>IF(SUM(D142:D145)=0,0,1)</f>
        <v>0</v>
      </c>
      <c r="E147" s="574">
        <f>IF(SUM(E142:E145)=0,0,1)</f>
        <v>0</v>
      </c>
      <c r="F147" s="599">
        <f>IF(SUM(F142:F145)=0,0,1)</f>
        <v>0</v>
      </c>
      <c r="G147" s="86"/>
    </row>
    <row r="148" spans="1:7" s="72" customFormat="1" ht="15.75">
      <c r="A148" s="598" t="s">
        <v>248</v>
      </c>
      <c r="B148" s="574">
        <f>IF(SUM(B142:B145)=4,1,0)</f>
        <v>0</v>
      </c>
      <c r="C148" s="574">
        <f t="shared" ref="C148:F148" si="4">IF(SUM(C142:C145)=4,1,0)</f>
        <v>0</v>
      </c>
      <c r="D148" s="574">
        <f t="shared" si="4"/>
        <v>0</v>
      </c>
      <c r="E148" s="574">
        <f t="shared" si="4"/>
        <v>0</v>
      </c>
      <c r="F148" s="599">
        <f t="shared" si="4"/>
        <v>0</v>
      </c>
      <c r="G148" s="86"/>
    </row>
    <row r="149" spans="1:7" s="72" customFormat="1" ht="15.75">
      <c r="A149" s="598" t="s">
        <v>249</v>
      </c>
      <c r="B149" s="574">
        <f>B147+B148</f>
        <v>0</v>
      </c>
      <c r="C149" s="574">
        <f>C147+C148</f>
        <v>0</v>
      </c>
      <c r="D149" s="574">
        <f>D147+D148</f>
        <v>0</v>
      </c>
      <c r="E149" s="574">
        <f>E147+E148</f>
        <v>0</v>
      </c>
      <c r="F149" s="599">
        <f>F147+F148</f>
        <v>0</v>
      </c>
      <c r="G149" s="86"/>
    </row>
    <row r="150" spans="1:7" s="72" customFormat="1" ht="15.75">
      <c r="A150" s="598"/>
      <c r="B150" s="574"/>
      <c r="C150" s="574"/>
      <c r="D150" s="574"/>
      <c r="E150" s="574"/>
      <c r="F150" s="599"/>
      <c r="G150" s="86"/>
    </row>
    <row r="151" spans="1:7" s="72" customFormat="1" ht="15.75">
      <c r="A151" s="598"/>
      <c r="B151" s="574"/>
      <c r="C151" s="574"/>
      <c r="D151" s="574"/>
      <c r="E151" s="574"/>
      <c r="F151" s="599"/>
      <c r="G151" s="86"/>
    </row>
    <row r="152" spans="1:7" ht="15.75">
      <c r="A152" s="600" t="s">
        <v>257</v>
      </c>
      <c r="B152" s="574"/>
      <c r="C152" s="574"/>
      <c r="D152" s="574"/>
      <c r="E152" s="574"/>
      <c r="F152" s="599"/>
      <c r="G152" s="86"/>
    </row>
    <row r="153" spans="1:7" s="72" customFormat="1" ht="15.75">
      <c r="A153" s="598" t="s">
        <v>300</v>
      </c>
      <c r="B153" s="574">
        <f>IF(SUM(B16:B106)&gt;0,IF(B11=0,1,0),0)</f>
        <v>0</v>
      </c>
      <c r="C153" s="574">
        <f>IF(SUM(C16:C106)&gt;0,IF(C11=0,1,0),0)</f>
        <v>0</v>
      </c>
      <c r="D153" s="574">
        <f>IF(SUM(D16:D106)&gt;0,IF(D11=0,1,0),0)</f>
        <v>0</v>
      </c>
      <c r="E153" s="574">
        <f>IF(SUM(E16:E106)&gt;0,IF(E11=0,1,0),0)</f>
        <v>0</v>
      </c>
      <c r="F153" s="599">
        <f>IF(SUM(F16:F106)&gt;0,IF(F11=0,1,0),0)</f>
        <v>0</v>
      </c>
      <c r="G153" s="86"/>
    </row>
    <row r="154" spans="1:7" ht="15.75">
      <c r="A154" s="598" t="s">
        <v>286</v>
      </c>
      <c r="B154" s="574">
        <f>IF(SUM(B16:B106)&gt;0,IF(B13=0,1,0),0)</f>
        <v>0</v>
      </c>
      <c r="C154" s="574">
        <f t="shared" ref="C154:F154" si="5">IF(SUM(C16:C106)&gt;0,IF(C13=0,1,0),0)</f>
        <v>0</v>
      </c>
      <c r="D154" s="574">
        <f t="shared" si="5"/>
        <v>0</v>
      </c>
      <c r="E154" s="574">
        <f t="shared" si="5"/>
        <v>0</v>
      </c>
      <c r="F154" s="599">
        <f t="shared" si="5"/>
        <v>0</v>
      </c>
      <c r="G154" s="86"/>
    </row>
    <row r="155" spans="1:7" s="72" customFormat="1" ht="15.75">
      <c r="A155" s="598" t="s">
        <v>131</v>
      </c>
      <c r="B155" s="574">
        <f>IF(SUM(B16:B106)&gt;0,IF(B14=0,1,0),0)</f>
        <v>0</v>
      </c>
      <c r="C155" s="574">
        <f>IF(SUM(C16:C106)&gt;0,IF(C14=0,1,0),0)</f>
        <v>0</v>
      </c>
      <c r="D155" s="574">
        <f>IF(SUM(D16:D106)&gt;0,IF(D14=0,1,0),0)</f>
        <v>0</v>
      </c>
      <c r="E155" s="574">
        <f>IF(SUM(E16:E106)&gt;0,IF(E14=0,1,0),0)</f>
        <v>0</v>
      </c>
      <c r="F155" s="599">
        <f>IF(SUM(F16:F106)&gt;0,IF(F14=0,1,0),0)</f>
        <v>0</v>
      </c>
      <c r="G155" s="86"/>
    </row>
    <row r="156" spans="1:7" ht="15.75">
      <c r="A156" s="598"/>
      <c r="B156" s="574"/>
      <c r="C156" s="574"/>
      <c r="D156" s="574"/>
      <c r="E156" s="574"/>
      <c r="F156" s="599"/>
      <c r="G156" s="86"/>
    </row>
    <row r="157" spans="1:7" ht="15.75">
      <c r="A157" s="598" t="s">
        <v>287</v>
      </c>
      <c r="B157" s="574">
        <f>IF(B11&gt;0,IF(B13&gt;0,IF(SUM(H16:H106)&gt;0,IF(B3=0,1,0),0),0),0)</f>
        <v>0</v>
      </c>
      <c r="C157" s="574"/>
      <c r="D157" s="574"/>
      <c r="E157" s="574"/>
      <c r="F157" s="599"/>
      <c r="G157" s="86"/>
    </row>
    <row r="158" spans="1:7" ht="15.75">
      <c r="A158" s="598" t="s">
        <v>202</v>
      </c>
      <c r="B158" s="574">
        <f>IF(B11&gt;0,IF(B13&gt;0,IF(SUM(H16:H106)&gt;0,IF(B7=0,1,0),0),0),0)</f>
        <v>0</v>
      </c>
      <c r="C158" s="574"/>
      <c r="D158" s="574"/>
      <c r="E158" s="574"/>
      <c r="F158" s="599"/>
      <c r="G158" s="86"/>
    </row>
    <row r="159" spans="1:7" ht="16.5" thickBot="1">
      <c r="A159" s="601"/>
      <c r="B159" s="602"/>
      <c r="C159" s="602"/>
      <c r="D159" s="602"/>
      <c r="E159" s="602"/>
      <c r="F159" s="603"/>
      <c r="G159" s="86"/>
    </row>
    <row r="160" spans="1:7" ht="15.75">
      <c r="A160" s="86"/>
      <c r="B160" s="86"/>
      <c r="C160" s="86"/>
      <c r="D160" s="86"/>
      <c r="E160" s="86"/>
      <c r="F160" s="86"/>
      <c r="G160" s="86"/>
    </row>
    <row r="161" spans="1:7" ht="15.75">
      <c r="A161" s="86"/>
      <c r="B161" s="86"/>
      <c r="C161" s="86"/>
      <c r="D161" s="86"/>
      <c r="E161" s="86"/>
      <c r="F161" s="86"/>
      <c r="G161" s="86"/>
    </row>
    <row r="162" spans="1:7">
      <c r="B162" s="682" t="s">
        <v>1033</v>
      </c>
      <c r="C162" s="682" t="s">
        <v>1033</v>
      </c>
      <c r="D162" s="682" t="s">
        <v>1033</v>
      </c>
      <c r="E162" s="682" t="s">
        <v>1033</v>
      </c>
      <c r="F162" s="682" t="s">
        <v>1033</v>
      </c>
    </row>
    <row r="163" spans="1:7" ht="67.5" customHeight="1">
      <c r="A163" s="690" t="s">
        <v>1032</v>
      </c>
      <c r="B163" s="690">
        <f>B11</f>
        <v>0</v>
      </c>
      <c r="C163" s="690">
        <f t="shared" ref="C163:F163" si="6">C11</f>
        <v>0</v>
      </c>
      <c r="D163" s="690">
        <f t="shared" si="6"/>
        <v>0</v>
      </c>
      <c r="E163" s="690">
        <f t="shared" si="6"/>
        <v>0</v>
      </c>
      <c r="F163" s="690">
        <f t="shared" si="6"/>
        <v>0</v>
      </c>
    </row>
    <row r="164" spans="1:7">
      <c r="A164" t="s">
        <v>31</v>
      </c>
      <c r="B164">
        <f>IF(B$14=0,0,
IF(OR(B$14=$K$28,B$14=$K$29,B$14=$K$30,B$14=$K$31,B$14=$K$32),
(VLOOKUP($K$25,$K$15:$V$32,'Actual-CO2 Calculations'!$AK5,FALSE))*B16,
(VLOOKUP(B$14,$K$15:$V$32,'Actual-CO2 Calculations'!$AK5,FALSE))*B16))</f>
        <v>0</v>
      </c>
      <c r="C164" s="738">
        <f>IF(C$14=0,0,
IF(OR(C$14=$K$28,C$14=$K$29,C$14=$K$30,C$14=$K$31,C$14=$K$32),
(VLOOKUP($K$25,$K$15:$V$32,'Actual-CO2 Calculations'!$AK5,FALSE))*C16,
(VLOOKUP(C$14,$K$15:$V$32,'Actual-CO2 Calculations'!$AK5,FALSE))*C16))</f>
        <v>0</v>
      </c>
      <c r="D164" s="738">
        <f>IF(D$14=0,0,
IF(OR(D$14=$K$28,D$14=$K$29,D$14=$K$30,D$14=$K$31,D$14=$K$32),
(VLOOKUP($K$25,$K$15:$V$32,'Actual-CO2 Calculations'!$AK5,FALSE))*D16,
(VLOOKUP(D$14,$K$15:$V$32,'Actual-CO2 Calculations'!$AK5,FALSE))*D16))</f>
        <v>0</v>
      </c>
      <c r="E164" s="738">
        <f>IF(E$14=0,0,
IF(OR(E$14=$K$28,E$14=$K$29,E$14=$K$30,E$14=$K$31,E$14=$K$32),
(VLOOKUP($K$25,$K$15:$V$32,'Actual-CO2 Calculations'!$AK5,FALSE))*E16,
(VLOOKUP(E$14,$K$15:$V$32,'Actual-CO2 Calculations'!$AK5,FALSE))*E16))</f>
        <v>0</v>
      </c>
      <c r="F164" s="738">
        <f>IF(F$14=0,0,
IF(OR(F$14=$K$28,F$14=$K$29,F$14=$K$30,F$14=$K$31,F$14=$K$32),
(VLOOKUP($K$25,$K$15:$V$32,'Actual-CO2 Calculations'!$AK5,FALSE))*F16,
(VLOOKUP(F$14,$K$15:$V$32,'Actual-CO2 Calculations'!$AK5,FALSE))*F16))</f>
        <v>0</v>
      </c>
    </row>
    <row r="165" spans="1:7">
      <c r="A165" t="s">
        <v>32</v>
      </c>
      <c r="B165" s="738">
        <f>IF(B$14=0,0,
IF(OR(B$14=$K$28,B$14=$K$29,B$14=$K$30,B$14=$K$31,B$14=$K$32),
(VLOOKUP($K$25,$K$15:$V$32,'Actual-CO2 Calculations'!$AK6,FALSE))*B17,
(VLOOKUP(B$14,$K$15:$V$32,'Actual-CO2 Calculations'!$AK6,FALSE))*B17))</f>
        <v>0</v>
      </c>
      <c r="C165" s="738">
        <f>IF(C$14=0,0,
IF(OR(C$14=$K$28,C$14=$K$29,C$14=$K$30,C$14=$K$31,C$14=$K$32),
(VLOOKUP($K$25,$K$15:$V$32,'Actual-CO2 Calculations'!$AK6,FALSE))*C17,
(VLOOKUP(C$14,$K$15:$V$32,'Actual-CO2 Calculations'!$AK6,FALSE))*C17))</f>
        <v>0</v>
      </c>
      <c r="D165" s="738">
        <f>IF(D$14=0,0,
IF(OR(D$14=$K$28,D$14=$K$29,D$14=$K$30,D$14=$K$31,D$14=$K$32),
(VLOOKUP($K$25,$K$15:$V$32,'Actual-CO2 Calculations'!$AK6,FALSE))*D17,
(VLOOKUP(D$14,$K$15:$V$32,'Actual-CO2 Calculations'!$AK6,FALSE))*D17))</f>
        <v>0</v>
      </c>
      <c r="E165" s="738">
        <f>IF(E$14=0,0,
IF(OR(E$14=$K$28,E$14=$K$29,E$14=$K$30,E$14=$K$31,E$14=$K$32),
(VLOOKUP($K$25,$K$15:$V$32,'Actual-CO2 Calculations'!$AK6,FALSE))*E17,
(VLOOKUP(E$14,$K$15:$V$32,'Actual-CO2 Calculations'!$AK6,FALSE))*E17))</f>
        <v>0</v>
      </c>
      <c r="F165" s="738">
        <f>IF(F$14=0,0,
IF(OR(F$14=$K$28,F$14=$K$29,F$14=$K$30,F$14=$K$31,F$14=$K$32),
(VLOOKUP($K$25,$K$15:$V$32,'Actual-CO2 Calculations'!$AK6,FALSE))*F17,
(VLOOKUP(F$14,$K$15:$V$32,'Actual-CO2 Calculations'!$AK6,FALSE))*F17))</f>
        <v>0</v>
      </c>
    </row>
    <row r="166" spans="1:7">
      <c r="A166" t="s">
        <v>33</v>
      </c>
      <c r="B166" s="738">
        <f>IF(B$14=0,0,
IF(OR(B$14=$K$28,B$14=$K$29,B$14=$K$30,B$14=$K$31,B$14=$K$32),
(VLOOKUP($K$25,$K$15:$V$32,'Actual-CO2 Calculations'!$AK7,FALSE))*B18,
(VLOOKUP(B$14,$K$15:$V$32,'Actual-CO2 Calculations'!$AK7,FALSE))*B18))</f>
        <v>0</v>
      </c>
      <c r="C166" s="738">
        <f>IF(C$14=0,0,
IF(OR(C$14=$K$28,C$14=$K$29,C$14=$K$30,C$14=$K$31,C$14=$K$32),
(VLOOKUP($K$25,$K$15:$V$32,'Actual-CO2 Calculations'!$AK7,FALSE))*C18,
(VLOOKUP(C$14,$K$15:$V$32,'Actual-CO2 Calculations'!$AK7,FALSE))*C18))</f>
        <v>0</v>
      </c>
      <c r="D166" s="738">
        <f>IF(D$14=0,0,
IF(OR(D$14=$K$28,D$14=$K$29,D$14=$K$30,D$14=$K$31,D$14=$K$32),
(VLOOKUP($K$25,$K$15:$V$32,'Actual-CO2 Calculations'!$AK7,FALSE))*D18,
(VLOOKUP(D$14,$K$15:$V$32,'Actual-CO2 Calculations'!$AK7,FALSE))*D18))</f>
        <v>0</v>
      </c>
      <c r="E166" s="738">
        <f>IF(E$14=0,0,
IF(OR(E$14=$K$28,E$14=$K$29,E$14=$K$30,E$14=$K$31,E$14=$K$32),
(VLOOKUP($K$25,$K$15:$V$32,'Actual-CO2 Calculations'!$AK7,FALSE))*E18,
(VLOOKUP(E$14,$K$15:$V$32,'Actual-CO2 Calculations'!$AK7,FALSE))*E18))</f>
        <v>0</v>
      </c>
      <c r="F166" s="738">
        <f>IF(F$14=0,0,
IF(OR(F$14=$K$28,F$14=$K$29,F$14=$K$30,F$14=$K$31,F$14=$K$32),
(VLOOKUP($K$25,$K$15:$V$32,'Actual-CO2 Calculations'!$AK7,FALSE))*F18,
(VLOOKUP(F$14,$K$15:$V$32,'Actual-CO2 Calculations'!$AK7,FALSE))*F18))</f>
        <v>0</v>
      </c>
    </row>
    <row r="167" spans="1:7">
      <c r="A167" t="s">
        <v>34</v>
      </c>
      <c r="B167" s="738">
        <f>IF(B$14=0,0,
IF(OR(B$14=$K$28,B$14=$K$29,B$14=$K$30,B$14=$K$31,B$14=$K$32),
(VLOOKUP($K$25,$K$15:$V$32,'Actual-CO2 Calculations'!$AK8,FALSE))*B19,
(VLOOKUP(B$14,$K$15:$V$32,'Actual-CO2 Calculations'!$AK8,FALSE))*B19))</f>
        <v>0</v>
      </c>
      <c r="C167" s="738">
        <f>IF(C$14=0,0,
IF(OR(C$14=$K$28,C$14=$K$29,C$14=$K$30,C$14=$K$31,C$14=$K$32),
(VLOOKUP($K$25,$K$15:$V$32,'Actual-CO2 Calculations'!$AK8,FALSE))*C19,
(VLOOKUP(C$14,$K$15:$V$32,'Actual-CO2 Calculations'!$AK8,FALSE))*C19))</f>
        <v>0</v>
      </c>
      <c r="D167" s="738">
        <f>IF(D$14=0,0,
IF(OR(D$14=$K$28,D$14=$K$29,D$14=$K$30,D$14=$K$31,D$14=$K$32),
(VLOOKUP($K$25,$K$15:$V$32,'Actual-CO2 Calculations'!$AK8,FALSE))*D19,
(VLOOKUP(D$14,$K$15:$V$32,'Actual-CO2 Calculations'!$AK8,FALSE))*D19))</f>
        <v>0</v>
      </c>
      <c r="E167" s="738">
        <f>IF(E$14=0,0,
IF(OR(E$14=$K$28,E$14=$K$29,E$14=$K$30,E$14=$K$31,E$14=$K$32),
(VLOOKUP($K$25,$K$15:$V$32,'Actual-CO2 Calculations'!$AK8,FALSE))*E19,
(VLOOKUP(E$14,$K$15:$V$32,'Actual-CO2 Calculations'!$AK8,FALSE))*E19))</f>
        <v>0</v>
      </c>
      <c r="F167" s="738">
        <f>IF(F$14=0,0,
IF(OR(F$14=$K$28,F$14=$K$29,F$14=$K$30,F$14=$K$31,F$14=$K$32),
(VLOOKUP($K$25,$K$15:$V$32,'Actual-CO2 Calculations'!$AK8,FALSE))*F19,
(VLOOKUP(F$14,$K$15:$V$32,'Actual-CO2 Calculations'!$AK8,FALSE))*F19))</f>
        <v>0</v>
      </c>
    </row>
    <row r="168" spans="1:7">
      <c r="A168" t="s">
        <v>35</v>
      </c>
      <c r="B168" s="738">
        <f>IF(B$14=0,0,
IF(OR(B$14=$K$28,B$14=$K$29,B$14=$K$30,B$14=$K$31,B$14=$K$32),
(VLOOKUP($K$25,$K$15:$V$32,'Actual-CO2 Calculations'!$AK9,FALSE))*B20,
(VLOOKUP(B$14,$K$15:$V$32,'Actual-CO2 Calculations'!$AK9,FALSE))*B20))</f>
        <v>0</v>
      </c>
      <c r="C168" s="738">
        <f>IF(C$14=0,0,
IF(OR(C$14=$K$28,C$14=$K$29,C$14=$K$30,C$14=$K$31,C$14=$K$32),
(VLOOKUP($K$25,$K$15:$V$32,'Actual-CO2 Calculations'!$AK9,FALSE))*C20,
(VLOOKUP(C$14,$K$15:$V$32,'Actual-CO2 Calculations'!$AK9,FALSE))*C20))</f>
        <v>0</v>
      </c>
      <c r="D168" s="738">
        <f>IF(D$14=0,0,
IF(OR(D$14=$K$28,D$14=$K$29,D$14=$K$30,D$14=$K$31,D$14=$K$32),
(VLOOKUP($K$25,$K$15:$V$32,'Actual-CO2 Calculations'!$AK9,FALSE))*D20,
(VLOOKUP(D$14,$K$15:$V$32,'Actual-CO2 Calculations'!$AK9,FALSE))*D20))</f>
        <v>0</v>
      </c>
      <c r="E168" s="738">
        <f>IF(E$14=0,0,
IF(OR(E$14=$K$28,E$14=$K$29,E$14=$K$30,E$14=$K$31,E$14=$K$32),
(VLOOKUP($K$25,$K$15:$V$32,'Actual-CO2 Calculations'!$AK9,FALSE))*E20,
(VLOOKUP(E$14,$K$15:$V$32,'Actual-CO2 Calculations'!$AK9,FALSE))*E20))</f>
        <v>0</v>
      </c>
      <c r="F168" s="738">
        <f>IF(F$14=0,0,
IF(OR(F$14=$K$28,F$14=$K$29,F$14=$K$30,F$14=$K$31,F$14=$K$32),
(VLOOKUP($K$25,$K$15:$V$32,'Actual-CO2 Calculations'!$AK9,FALSE))*F20,
(VLOOKUP(F$14,$K$15:$V$32,'Actual-CO2 Calculations'!$AK9,FALSE))*F20))</f>
        <v>0</v>
      </c>
    </row>
    <row r="169" spans="1:7">
      <c r="A169" t="s">
        <v>36</v>
      </c>
      <c r="B169" s="738">
        <f>IF(B$14=0,0,
IF(OR(B$14=$K$28,B$14=$K$29,B$14=$K$30,B$14=$K$31,B$14=$K$32),
(VLOOKUP($K$25,$K$15:$V$32,'Actual-CO2 Calculations'!$AK10,FALSE))*B21,
(VLOOKUP(B$14,$K$15:$V$32,'Actual-CO2 Calculations'!$AK10,FALSE))*B21))</f>
        <v>0</v>
      </c>
      <c r="C169" s="738">
        <f>IF(C$14=0,0,
IF(OR(C$14=$K$28,C$14=$K$29,C$14=$K$30,C$14=$K$31,C$14=$K$32),
(VLOOKUP($K$25,$K$15:$V$32,'Actual-CO2 Calculations'!$AK10,FALSE))*C21,
(VLOOKUP(C$14,$K$15:$V$32,'Actual-CO2 Calculations'!$AK10,FALSE))*C21))</f>
        <v>0</v>
      </c>
      <c r="D169" s="738">
        <f>IF(D$14=0,0,
IF(OR(D$14=$K$28,D$14=$K$29,D$14=$K$30,D$14=$K$31,D$14=$K$32),
(VLOOKUP($K$25,$K$15:$V$32,'Actual-CO2 Calculations'!$AK10,FALSE))*D21,
(VLOOKUP(D$14,$K$15:$V$32,'Actual-CO2 Calculations'!$AK10,FALSE))*D21))</f>
        <v>0</v>
      </c>
      <c r="E169" s="738">
        <f>IF(E$14=0,0,
IF(OR(E$14=$K$28,E$14=$K$29,E$14=$K$30,E$14=$K$31,E$14=$K$32),
(VLOOKUP($K$25,$K$15:$V$32,'Actual-CO2 Calculations'!$AK10,FALSE))*E21,
(VLOOKUP(E$14,$K$15:$V$32,'Actual-CO2 Calculations'!$AK10,FALSE))*E21))</f>
        <v>0</v>
      </c>
      <c r="F169" s="738">
        <f>IF(F$14=0,0,
IF(OR(F$14=$K$28,F$14=$K$29,F$14=$K$30,F$14=$K$31,F$14=$K$32),
(VLOOKUP($K$25,$K$15:$V$32,'Actual-CO2 Calculations'!$AK10,FALSE))*F21,
(VLOOKUP(F$14,$K$15:$V$32,'Actual-CO2 Calculations'!$AK10,FALSE))*F21))</f>
        <v>0</v>
      </c>
    </row>
    <row r="170" spans="1:7">
      <c r="A170" t="s">
        <v>37</v>
      </c>
      <c r="B170" s="738">
        <f>IF(B$14=0,0,
IF(OR(B$14=$K$28,B$14=$K$29,B$14=$K$30,B$14=$K$31,B$14=$K$32),
(VLOOKUP($K$25,$K$15:$V$32,'Actual-CO2 Calculations'!$AK11,FALSE))*B22,
(VLOOKUP(B$14,$K$15:$V$32,'Actual-CO2 Calculations'!$AK11,FALSE))*B22))</f>
        <v>0</v>
      </c>
      <c r="C170" s="738">
        <f>IF(C$14=0,0,
IF(OR(C$14=$K$28,C$14=$K$29,C$14=$K$30,C$14=$K$31,C$14=$K$32),
(VLOOKUP($K$25,$K$15:$V$32,'Actual-CO2 Calculations'!$AK11,FALSE))*C22,
(VLOOKUP(C$14,$K$15:$V$32,'Actual-CO2 Calculations'!$AK11,FALSE))*C22))</f>
        <v>0</v>
      </c>
      <c r="D170" s="738">
        <f>IF(D$14=0,0,
IF(OR(D$14=$K$28,D$14=$K$29,D$14=$K$30,D$14=$K$31,D$14=$K$32),
(VLOOKUP($K$25,$K$15:$V$32,'Actual-CO2 Calculations'!$AK11,FALSE))*D22,
(VLOOKUP(D$14,$K$15:$V$32,'Actual-CO2 Calculations'!$AK11,FALSE))*D22))</f>
        <v>0</v>
      </c>
      <c r="E170" s="738">
        <f>IF(E$14=0,0,
IF(OR(E$14=$K$28,E$14=$K$29,E$14=$K$30,E$14=$K$31,E$14=$K$32),
(VLOOKUP($K$25,$K$15:$V$32,'Actual-CO2 Calculations'!$AK11,FALSE))*E22,
(VLOOKUP(E$14,$K$15:$V$32,'Actual-CO2 Calculations'!$AK11,FALSE))*E22))</f>
        <v>0</v>
      </c>
      <c r="F170" s="738">
        <f>IF(F$14=0,0,
IF(OR(F$14=$K$28,F$14=$K$29,F$14=$K$30,F$14=$K$31,F$14=$K$32),
(VLOOKUP($K$25,$K$15:$V$32,'Actual-CO2 Calculations'!$AK11,FALSE))*F22,
(VLOOKUP(F$14,$K$15:$V$32,'Actual-CO2 Calculations'!$AK11,FALSE))*F22))</f>
        <v>0</v>
      </c>
    </row>
    <row r="171" spans="1:7">
      <c r="A171" t="s">
        <v>38</v>
      </c>
      <c r="B171" s="738">
        <f>IF(B$14=0,0,
IF(OR(B$14=$K$28,B$14=$K$29,B$14=$K$30,B$14=$K$31,B$14=$K$32),
(VLOOKUP($K$25,$K$15:$V$32,'Actual-CO2 Calculations'!$AK12,FALSE))*B23,
(VLOOKUP(B$14,$K$15:$V$32,'Actual-CO2 Calculations'!$AK12,FALSE))*B23))</f>
        <v>0</v>
      </c>
      <c r="C171" s="738">
        <f>IF(C$14=0,0,
IF(OR(C$14=$K$28,C$14=$K$29,C$14=$K$30,C$14=$K$31,C$14=$K$32),
(VLOOKUP($K$25,$K$15:$V$32,'Actual-CO2 Calculations'!$AK12,FALSE))*C23,
(VLOOKUP(C$14,$K$15:$V$32,'Actual-CO2 Calculations'!$AK12,FALSE))*C23))</f>
        <v>0</v>
      </c>
      <c r="D171" s="738">
        <f>IF(D$14=0,0,
IF(OR(D$14=$K$28,D$14=$K$29,D$14=$K$30,D$14=$K$31,D$14=$K$32),
(VLOOKUP($K$25,$K$15:$V$32,'Actual-CO2 Calculations'!$AK12,FALSE))*D23,
(VLOOKUP(D$14,$K$15:$V$32,'Actual-CO2 Calculations'!$AK12,FALSE))*D23))</f>
        <v>0</v>
      </c>
      <c r="E171" s="738">
        <f>IF(E$14=0,0,
IF(OR(E$14=$K$28,E$14=$K$29,E$14=$K$30,E$14=$K$31,E$14=$K$32),
(VLOOKUP($K$25,$K$15:$V$32,'Actual-CO2 Calculations'!$AK12,FALSE))*E23,
(VLOOKUP(E$14,$K$15:$V$32,'Actual-CO2 Calculations'!$AK12,FALSE))*E23))</f>
        <v>0</v>
      </c>
      <c r="F171" s="738">
        <f>IF(F$14=0,0,
IF(OR(F$14=$K$28,F$14=$K$29,F$14=$K$30,F$14=$K$31,F$14=$K$32),
(VLOOKUP($K$25,$K$15:$V$32,'Actual-CO2 Calculations'!$AK12,FALSE))*F23,
(VLOOKUP(F$14,$K$15:$V$32,'Actual-CO2 Calculations'!$AK12,FALSE))*F23))</f>
        <v>0</v>
      </c>
    </row>
    <row r="172" spans="1:7">
      <c r="A172" t="s">
        <v>39</v>
      </c>
      <c r="B172" s="738">
        <f>IF(B$14=0,0,
IF(OR(B$14=$K$28,B$14=$K$29,B$14=$K$30,B$14=$K$31,B$14=$K$32),
(VLOOKUP($K$25,$K$15:$V$32,'Actual-CO2 Calculations'!$AK13,FALSE))*B24,
(VLOOKUP(B$14,$K$15:$V$32,'Actual-CO2 Calculations'!$AK13,FALSE))*B24))</f>
        <v>0</v>
      </c>
      <c r="C172" s="738">
        <f>IF(C$14=0,0,
IF(OR(C$14=$K$28,C$14=$K$29,C$14=$K$30,C$14=$K$31,C$14=$K$32),
(VLOOKUP($K$25,$K$15:$V$32,'Actual-CO2 Calculations'!$AK13,FALSE))*C24,
(VLOOKUP(C$14,$K$15:$V$32,'Actual-CO2 Calculations'!$AK13,FALSE))*C24))</f>
        <v>0</v>
      </c>
      <c r="D172" s="738">
        <f>IF(D$14=0,0,
IF(OR(D$14=$K$28,D$14=$K$29,D$14=$K$30,D$14=$K$31,D$14=$K$32),
(VLOOKUP($K$25,$K$15:$V$32,'Actual-CO2 Calculations'!$AK13,FALSE))*D24,
(VLOOKUP(D$14,$K$15:$V$32,'Actual-CO2 Calculations'!$AK13,FALSE))*D24))</f>
        <v>0</v>
      </c>
      <c r="E172" s="738">
        <f>IF(E$14=0,0,
IF(OR(E$14=$K$28,E$14=$K$29,E$14=$K$30,E$14=$K$31,E$14=$K$32),
(VLOOKUP($K$25,$K$15:$V$32,'Actual-CO2 Calculations'!$AK13,FALSE))*E24,
(VLOOKUP(E$14,$K$15:$V$32,'Actual-CO2 Calculations'!$AK13,FALSE))*E24))</f>
        <v>0</v>
      </c>
      <c r="F172" s="738">
        <f>IF(F$14=0,0,
IF(OR(F$14=$K$28,F$14=$K$29,F$14=$K$30,F$14=$K$31,F$14=$K$32),
(VLOOKUP($K$25,$K$15:$V$32,'Actual-CO2 Calculations'!$AK13,FALSE))*F24,
(VLOOKUP(F$14,$K$15:$V$32,'Actual-CO2 Calculations'!$AK13,FALSE))*F24))</f>
        <v>0</v>
      </c>
    </row>
    <row r="173" spans="1:7">
      <c r="A173" t="s">
        <v>25</v>
      </c>
      <c r="B173" s="738">
        <f>IF(B$14=0,0,
IF(OR(B$14=$K$28,B$14=$K$29,B$14=$K$30,B$14=$K$31,B$14=$K$32),
(VLOOKUP($K$25,$K$15:$V$32,'Actual-CO2 Calculations'!$AK14,FALSE))*B25,
(VLOOKUP(B$14,$K$15:$V$32,'Actual-CO2 Calculations'!$AK14,FALSE))*B25))</f>
        <v>0</v>
      </c>
      <c r="C173" s="738">
        <f>IF(C$14=0,0,
IF(OR(C$14=$K$28,C$14=$K$29,C$14=$K$30,C$14=$K$31,C$14=$K$32),
(VLOOKUP($K$25,$K$15:$V$32,'Actual-CO2 Calculations'!$AK14,FALSE))*C25,
(VLOOKUP(C$14,$K$15:$V$32,'Actual-CO2 Calculations'!$AK14,FALSE))*C25))</f>
        <v>0</v>
      </c>
      <c r="D173" s="738">
        <f>IF(D$14=0,0,
IF(OR(D$14=$K$28,D$14=$K$29,D$14=$K$30,D$14=$K$31,D$14=$K$32),
(VLOOKUP($K$25,$K$15:$V$32,'Actual-CO2 Calculations'!$AK14,FALSE))*D25,
(VLOOKUP(D$14,$K$15:$V$32,'Actual-CO2 Calculations'!$AK14,FALSE))*D25))</f>
        <v>0</v>
      </c>
      <c r="E173" s="738">
        <f>IF(E$14=0,0,
IF(OR(E$14=$K$28,E$14=$K$29,E$14=$K$30,E$14=$K$31,E$14=$K$32),
(VLOOKUP($K$25,$K$15:$V$32,'Actual-CO2 Calculations'!$AK14,FALSE))*E25,
(VLOOKUP(E$14,$K$15:$V$32,'Actual-CO2 Calculations'!$AK14,FALSE))*E25))</f>
        <v>0</v>
      </c>
      <c r="F173" s="738">
        <f>IF(F$14=0,0,
IF(OR(F$14=$K$28,F$14=$K$29,F$14=$K$30,F$14=$K$31,F$14=$K$32),
(VLOOKUP($K$25,$K$15:$V$32,'Actual-CO2 Calculations'!$AK14,FALSE))*F25,
(VLOOKUP(F$14,$K$15:$V$32,'Actual-CO2 Calculations'!$AK14,FALSE))*F25))</f>
        <v>0</v>
      </c>
    </row>
    <row r="174" spans="1:7">
      <c r="A174" t="s">
        <v>26</v>
      </c>
      <c r="B174" s="738">
        <f>IF(B$14=0,0,
IF(OR(B$14=$K$28,B$14=$K$29,B$14=$K$30,B$14=$K$31,B$14=$K$32),
(VLOOKUP($K$25,$K$15:$V$32,'Actual-CO2 Calculations'!$AK15,FALSE))*B26,
(VLOOKUP(B$14,$K$15:$V$32,'Actual-CO2 Calculations'!$AK15,FALSE))*B26))</f>
        <v>0</v>
      </c>
      <c r="C174" s="738">
        <f>IF(C$14=0,0,
IF(OR(C$14=$K$28,C$14=$K$29,C$14=$K$30,C$14=$K$31,C$14=$K$32),
(VLOOKUP($K$25,$K$15:$V$32,'Actual-CO2 Calculations'!$AK15,FALSE))*C26,
(VLOOKUP(C$14,$K$15:$V$32,'Actual-CO2 Calculations'!$AK15,FALSE))*C26))</f>
        <v>0</v>
      </c>
      <c r="D174" s="738">
        <f>IF(D$14=0,0,
IF(OR(D$14=$K$28,D$14=$K$29,D$14=$K$30,D$14=$K$31,D$14=$K$32),
(VLOOKUP($K$25,$K$15:$V$32,'Actual-CO2 Calculations'!$AK15,FALSE))*D26,
(VLOOKUP(D$14,$K$15:$V$32,'Actual-CO2 Calculations'!$AK15,FALSE))*D26))</f>
        <v>0</v>
      </c>
      <c r="E174" s="738">
        <f>IF(E$14=0,0,
IF(OR(E$14=$K$28,E$14=$K$29,E$14=$K$30,E$14=$K$31,E$14=$K$32),
(VLOOKUP($K$25,$K$15:$V$32,'Actual-CO2 Calculations'!$AK15,FALSE))*E26,
(VLOOKUP(E$14,$K$15:$V$32,'Actual-CO2 Calculations'!$AK15,FALSE))*E26))</f>
        <v>0</v>
      </c>
      <c r="F174" s="738">
        <f>IF(F$14=0,0,
IF(OR(F$14=$K$28,F$14=$K$29,F$14=$K$30,F$14=$K$31,F$14=$K$32),
(VLOOKUP($K$25,$K$15:$V$32,'Actual-CO2 Calculations'!$AK15,FALSE))*F26,
(VLOOKUP(F$14,$K$15:$V$32,'Actual-CO2 Calculations'!$AK15,FALSE))*F26))</f>
        <v>0</v>
      </c>
    </row>
    <row r="175" spans="1:7">
      <c r="A175" t="s">
        <v>27</v>
      </c>
      <c r="B175" s="738">
        <f>IF(B$14=0,0,
IF(OR(B$14=$K$28,B$14=$K$29,B$14=$K$30,B$14=$K$31,B$14=$K$32),
(VLOOKUP($K$25,$K$15:$V$32,'Actual-CO2 Calculations'!$AK16,FALSE))*B27,
(VLOOKUP(B$14,$K$15:$V$32,'Actual-CO2 Calculations'!$AK16,FALSE))*B27))</f>
        <v>0</v>
      </c>
      <c r="C175" s="738">
        <f>IF(C$14=0,0,
IF(OR(C$14=$K$28,C$14=$K$29,C$14=$K$30,C$14=$K$31,C$14=$K$32),
(VLOOKUP($K$25,$K$15:$V$32,'Actual-CO2 Calculations'!$AK16,FALSE))*C27,
(VLOOKUP(C$14,$K$15:$V$32,'Actual-CO2 Calculations'!$AK16,FALSE))*C27))</f>
        <v>0</v>
      </c>
      <c r="D175" s="738">
        <f>IF(D$14=0,0,
IF(OR(D$14=$K$28,D$14=$K$29,D$14=$K$30,D$14=$K$31,D$14=$K$32),
(VLOOKUP($K$25,$K$15:$V$32,'Actual-CO2 Calculations'!$AK16,FALSE))*D27,
(VLOOKUP(D$14,$K$15:$V$32,'Actual-CO2 Calculations'!$AK16,FALSE))*D27))</f>
        <v>0</v>
      </c>
      <c r="E175" s="738">
        <f>IF(E$14=0,0,
IF(OR(E$14=$K$28,E$14=$K$29,E$14=$K$30,E$14=$K$31,E$14=$K$32),
(VLOOKUP($K$25,$K$15:$V$32,'Actual-CO2 Calculations'!$AK16,FALSE))*E27,
(VLOOKUP(E$14,$K$15:$V$32,'Actual-CO2 Calculations'!$AK16,FALSE))*E27))</f>
        <v>0</v>
      </c>
      <c r="F175" s="738">
        <f>IF(F$14=0,0,
IF(OR(F$14=$K$28,F$14=$K$29,F$14=$K$30,F$14=$K$31,F$14=$K$32),
(VLOOKUP($K$25,$K$15:$V$32,'Actual-CO2 Calculations'!$AK16,FALSE))*F27,
(VLOOKUP(F$14,$K$15:$V$32,'Actual-CO2 Calculations'!$AK16,FALSE))*F27))</f>
        <v>0</v>
      </c>
    </row>
    <row r="176" spans="1:7">
      <c r="A176" t="s">
        <v>24</v>
      </c>
      <c r="B176" s="738">
        <f>IF(B$14=0,0,
IF(OR(B$14=$K$28,B$14=$K$29,B$14=$K$30,B$14=$K$31,B$14=$K$32),
(VLOOKUP($K$25,$K$15:$V$32,'Actual-CO2 Calculations'!$AK17,FALSE))*B28,
(VLOOKUP(B$14,$K$15:$V$32,'Actual-CO2 Calculations'!$AK17,FALSE))*B28))</f>
        <v>0</v>
      </c>
      <c r="C176" s="738">
        <f>IF(C$14=0,0,
IF(OR(C$14=$K$28,C$14=$K$29,C$14=$K$30,C$14=$K$31,C$14=$K$32),
(VLOOKUP($K$25,$K$15:$V$32,'Actual-CO2 Calculations'!$AK17,FALSE))*C28,
(VLOOKUP(C$14,$K$15:$V$32,'Actual-CO2 Calculations'!$AK17,FALSE))*C28))</f>
        <v>0</v>
      </c>
      <c r="D176" s="738">
        <f>IF(D$14=0,0,
IF(OR(D$14=$K$28,D$14=$K$29,D$14=$K$30,D$14=$K$31,D$14=$K$32),
(VLOOKUP($K$25,$K$15:$V$32,'Actual-CO2 Calculations'!$AK17,FALSE))*D28,
(VLOOKUP(D$14,$K$15:$V$32,'Actual-CO2 Calculations'!$AK17,FALSE))*D28))</f>
        <v>0</v>
      </c>
      <c r="E176" s="738">
        <f>IF(E$14=0,0,
IF(OR(E$14=$K$28,E$14=$K$29,E$14=$K$30,E$14=$K$31,E$14=$K$32),
(VLOOKUP($K$25,$K$15:$V$32,'Actual-CO2 Calculations'!$AK17,FALSE))*E28,
(VLOOKUP(E$14,$K$15:$V$32,'Actual-CO2 Calculations'!$AK17,FALSE))*E28))</f>
        <v>0</v>
      </c>
      <c r="F176" s="738">
        <f>IF(F$14=0,0,
IF(OR(F$14=$K$28,F$14=$K$29,F$14=$K$30,F$14=$K$31,F$14=$K$32),
(VLOOKUP($K$25,$K$15:$V$32,'Actual-CO2 Calculations'!$AK17,FALSE))*F28,
(VLOOKUP(F$14,$K$15:$V$32,'Actual-CO2 Calculations'!$AK17,FALSE))*F28))</f>
        <v>0</v>
      </c>
    </row>
    <row r="177" spans="1:6">
      <c r="A177" t="s">
        <v>40</v>
      </c>
      <c r="B177" s="738">
        <f>IF(B$14=0,0,
IF(OR(B$14=$K$28,B$14=$K$29,B$14=$K$30,B$14=$K$31,B$14=$K$32),
(VLOOKUP($K$25,$K$15:$V$32,'Actual-CO2 Calculations'!$AK18,FALSE))*B29,
(VLOOKUP(B$14,$K$15:$V$32,'Actual-CO2 Calculations'!$AK18,FALSE))*B29))</f>
        <v>0</v>
      </c>
      <c r="C177" s="738">
        <f>IF(C$14=0,0,
IF(OR(C$14=$K$28,C$14=$K$29,C$14=$K$30,C$14=$K$31,C$14=$K$32),
(VLOOKUP($K$25,$K$15:$V$32,'Actual-CO2 Calculations'!$AK18,FALSE))*C29,
(VLOOKUP(C$14,$K$15:$V$32,'Actual-CO2 Calculations'!$AK18,FALSE))*C29))</f>
        <v>0</v>
      </c>
      <c r="D177" s="738">
        <f>IF(D$14=0,0,
IF(OR(D$14=$K$28,D$14=$K$29,D$14=$K$30,D$14=$K$31,D$14=$K$32),
(VLOOKUP($K$25,$K$15:$V$32,'Actual-CO2 Calculations'!$AK18,FALSE))*D29,
(VLOOKUP(D$14,$K$15:$V$32,'Actual-CO2 Calculations'!$AK18,FALSE))*D29))</f>
        <v>0</v>
      </c>
      <c r="E177" s="738">
        <f>IF(E$14=0,0,
IF(OR(E$14=$K$28,E$14=$K$29,E$14=$K$30,E$14=$K$31,E$14=$K$32),
(VLOOKUP($K$25,$K$15:$V$32,'Actual-CO2 Calculations'!$AK18,FALSE))*E29,
(VLOOKUP(E$14,$K$15:$V$32,'Actual-CO2 Calculations'!$AK18,FALSE))*E29))</f>
        <v>0</v>
      </c>
      <c r="F177" s="738">
        <f>IF(F$14=0,0,
IF(OR(F$14=$K$28,F$14=$K$29,F$14=$K$30,F$14=$K$31,F$14=$K$32),
(VLOOKUP($K$25,$K$15:$V$32,'Actual-CO2 Calculations'!$AK18,FALSE))*F29,
(VLOOKUP(F$14,$K$15:$V$32,'Actual-CO2 Calculations'!$AK18,FALSE))*F29))</f>
        <v>0</v>
      </c>
    </row>
    <row r="178" spans="1:6">
      <c r="A178" t="s">
        <v>41</v>
      </c>
      <c r="B178" s="738">
        <f>IF(B$14=0,0,
IF(OR(B$14=$K$28,B$14=$K$29,B$14=$K$30,B$14=$K$31,B$14=$K$32),
(VLOOKUP($K$25,$K$15:$V$32,'Actual-CO2 Calculations'!$AK19,FALSE))*B30,
(VLOOKUP(B$14,$K$15:$V$32,'Actual-CO2 Calculations'!$AK19,FALSE))*B30))</f>
        <v>0</v>
      </c>
      <c r="C178" s="738">
        <f>IF(C$14=0,0,
IF(OR(C$14=$K$28,C$14=$K$29,C$14=$K$30,C$14=$K$31,C$14=$K$32),
(VLOOKUP($K$25,$K$15:$V$32,'Actual-CO2 Calculations'!$AK19,FALSE))*C30,
(VLOOKUP(C$14,$K$15:$V$32,'Actual-CO2 Calculations'!$AK19,FALSE))*C30))</f>
        <v>0</v>
      </c>
      <c r="D178" s="738">
        <f>IF(D$14=0,0,
IF(OR(D$14=$K$28,D$14=$K$29,D$14=$K$30,D$14=$K$31,D$14=$K$32),
(VLOOKUP($K$25,$K$15:$V$32,'Actual-CO2 Calculations'!$AK19,FALSE))*D30,
(VLOOKUP(D$14,$K$15:$V$32,'Actual-CO2 Calculations'!$AK19,FALSE))*D30))</f>
        <v>0</v>
      </c>
      <c r="E178" s="738">
        <f>IF(E$14=0,0,
IF(OR(E$14=$K$28,E$14=$K$29,E$14=$K$30,E$14=$K$31,E$14=$K$32),
(VLOOKUP($K$25,$K$15:$V$32,'Actual-CO2 Calculations'!$AK19,FALSE))*E30,
(VLOOKUP(E$14,$K$15:$V$32,'Actual-CO2 Calculations'!$AK19,FALSE))*E30))</f>
        <v>0</v>
      </c>
      <c r="F178" s="738">
        <f>IF(F$14=0,0,
IF(OR(F$14=$K$28,F$14=$K$29,F$14=$K$30,F$14=$K$31,F$14=$K$32),
(VLOOKUP($K$25,$K$15:$V$32,'Actual-CO2 Calculations'!$AK19,FALSE))*F30,
(VLOOKUP(F$14,$K$15:$V$32,'Actual-CO2 Calculations'!$AK19,FALSE))*F30))</f>
        <v>0</v>
      </c>
    </row>
    <row r="179" spans="1:6">
      <c r="A179" t="s">
        <v>42</v>
      </c>
      <c r="B179" s="738">
        <f>IF(B$14=0,0,
IF(OR(B$14=$K$28,B$14=$K$29,B$14=$K$30,B$14=$K$31,B$14=$K$32),
(VLOOKUP($K$25,$K$15:$V$32,'Actual-CO2 Calculations'!$AK20,FALSE))*B31,
(VLOOKUP(B$14,$K$15:$V$32,'Actual-CO2 Calculations'!$AK20,FALSE))*B31))</f>
        <v>0</v>
      </c>
      <c r="C179" s="738">
        <f>IF(C$14=0,0,
IF(OR(C$14=$K$28,C$14=$K$29,C$14=$K$30,C$14=$K$31,C$14=$K$32),
(VLOOKUP($K$25,$K$15:$V$32,'Actual-CO2 Calculations'!$AK20,FALSE))*C31,
(VLOOKUP(C$14,$K$15:$V$32,'Actual-CO2 Calculations'!$AK20,FALSE))*C31))</f>
        <v>0</v>
      </c>
      <c r="D179" s="738">
        <f>IF(D$14=0,0,
IF(OR(D$14=$K$28,D$14=$K$29,D$14=$K$30,D$14=$K$31,D$14=$K$32),
(VLOOKUP($K$25,$K$15:$V$32,'Actual-CO2 Calculations'!$AK20,FALSE))*D31,
(VLOOKUP(D$14,$K$15:$V$32,'Actual-CO2 Calculations'!$AK20,FALSE))*D31))</f>
        <v>0</v>
      </c>
      <c r="E179" s="738">
        <f>IF(E$14=0,0,
IF(OR(E$14=$K$28,E$14=$K$29,E$14=$K$30,E$14=$K$31,E$14=$K$32),
(VLOOKUP($K$25,$K$15:$V$32,'Actual-CO2 Calculations'!$AK20,FALSE))*E31,
(VLOOKUP(E$14,$K$15:$V$32,'Actual-CO2 Calculations'!$AK20,FALSE))*E31))</f>
        <v>0</v>
      </c>
      <c r="F179" s="738">
        <f>IF(F$14=0,0,
IF(OR(F$14=$K$28,F$14=$K$29,F$14=$K$30,F$14=$K$31,F$14=$K$32),
(VLOOKUP($K$25,$K$15:$V$32,'Actual-CO2 Calculations'!$AK20,FALSE))*F31,
(VLOOKUP(F$14,$K$15:$V$32,'Actual-CO2 Calculations'!$AK20,FALSE))*F31))</f>
        <v>0</v>
      </c>
    </row>
    <row r="180" spans="1:6">
      <c r="A180" t="s">
        <v>43</v>
      </c>
      <c r="B180" s="738">
        <f>IF(B$14=0,0,
IF(OR(B$14=$K$28,B$14=$K$29,B$14=$K$30,B$14=$K$31,B$14=$K$32),
(VLOOKUP($K$25,$K$15:$V$32,'Actual-CO2 Calculations'!$AK21,FALSE))*B32,
(VLOOKUP(B$14,$K$15:$V$32,'Actual-CO2 Calculations'!$AK21,FALSE))*B32))</f>
        <v>0</v>
      </c>
      <c r="C180" s="738">
        <f>IF(C$14=0,0,
IF(OR(C$14=$K$28,C$14=$K$29,C$14=$K$30,C$14=$K$31,C$14=$K$32),
(VLOOKUP($K$25,$K$15:$V$32,'Actual-CO2 Calculations'!$AK21,FALSE))*C32,
(VLOOKUP(C$14,$K$15:$V$32,'Actual-CO2 Calculations'!$AK21,FALSE))*C32))</f>
        <v>0</v>
      </c>
      <c r="D180" s="738">
        <f>IF(D$14=0,0,
IF(OR(D$14=$K$28,D$14=$K$29,D$14=$K$30,D$14=$K$31,D$14=$K$32),
(VLOOKUP($K$25,$K$15:$V$32,'Actual-CO2 Calculations'!$AK21,FALSE))*D32,
(VLOOKUP(D$14,$K$15:$V$32,'Actual-CO2 Calculations'!$AK21,FALSE))*D32))</f>
        <v>0</v>
      </c>
      <c r="E180" s="738">
        <f>IF(E$14=0,0,
IF(OR(E$14=$K$28,E$14=$K$29,E$14=$K$30,E$14=$K$31,E$14=$K$32),
(VLOOKUP($K$25,$K$15:$V$32,'Actual-CO2 Calculations'!$AK21,FALSE))*E32,
(VLOOKUP(E$14,$K$15:$V$32,'Actual-CO2 Calculations'!$AK21,FALSE))*E32))</f>
        <v>0</v>
      </c>
      <c r="F180" s="738">
        <f>IF(F$14=0,0,
IF(OR(F$14=$K$28,F$14=$K$29,F$14=$K$30,F$14=$K$31,F$14=$K$32),
(VLOOKUP($K$25,$K$15:$V$32,'Actual-CO2 Calculations'!$AK21,FALSE))*F32,
(VLOOKUP(F$14,$K$15:$V$32,'Actual-CO2 Calculations'!$AK21,FALSE))*F32))</f>
        <v>0</v>
      </c>
    </row>
    <row r="181" spans="1:6">
      <c r="A181" t="s">
        <v>44</v>
      </c>
      <c r="B181" s="738">
        <f>IF(B$14=0,0,
IF(OR(B$14=$K$28,B$14=$K$29,B$14=$K$30,B$14=$K$31,B$14=$K$32),
(VLOOKUP($K$25,$K$15:$V$32,'Actual-CO2 Calculations'!$AK22,FALSE))*B33,
(VLOOKUP(B$14,$K$15:$V$32,'Actual-CO2 Calculations'!$AK22,FALSE))*B33))</f>
        <v>0</v>
      </c>
      <c r="C181" s="738">
        <f>IF(C$14=0,0,
IF(OR(C$14=$K$28,C$14=$K$29,C$14=$K$30,C$14=$K$31,C$14=$K$32),
(VLOOKUP($K$25,$K$15:$V$32,'Actual-CO2 Calculations'!$AK22,FALSE))*C33,
(VLOOKUP(C$14,$K$15:$V$32,'Actual-CO2 Calculations'!$AK22,FALSE))*C33))</f>
        <v>0</v>
      </c>
      <c r="D181" s="738">
        <f>IF(D$14=0,0,
IF(OR(D$14=$K$28,D$14=$K$29,D$14=$K$30,D$14=$K$31,D$14=$K$32),
(VLOOKUP($K$25,$K$15:$V$32,'Actual-CO2 Calculations'!$AK22,FALSE))*D33,
(VLOOKUP(D$14,$K$15:$V$32,'Actual-CO2 Calculations'!$AK22,FALSE))*D33))</f>
        <v>0</v>
      </c>
      <c r="E181" s="738">
        <f>IF(E$14=0,0,
IF(OR(E$14=$K$28,E$14=$K$29,E$14=$K$30,E$14=$K$31,E$14=$K$32),
(VLOOKUP($K$25,$K$15:$V$32,'Actual-CO2 Calculations'!$AK22,FALSE))*E33,
(VLOOKUP(E$14,$K$15:$V$32,'Actual-CO2 Calculations'!$AK22,FALSE))*E33))</f>
        <v>0</v>
      </c>
      <c r="F181" s="738">
        <f>IF(F$14=0,0,
IF(OR(F$14=$K$28,F$14=$K$29,F$14=$K$30,F$14=$K$31,F$14=$K$32),
(VLOOKUP($K$25,$K$15:$V$32,'Actual-CO2 Calculations'!$AK22,FALSE))*F33,
(VLOOKUP(F$14,$K$15:$V$32,'Actual-CO2 Calculations'!$AK22,FALSE))*F33))</f>
        <v>0</v>
      </c>
    </row>
    <row r="182" spans="1:6">
      <c r="A182" t="s">
        <v>45</v>
      </c>
      <c r="B182" s="738">
        <f>IF(B$14=0,0,
IF(OR(B$14=$K$28,B$14=$K$29,B$14=$K$30,B$14=$K$31,B$14=$K$32),
(VLOOKUP($K$25,$K$15:$V$32,'Actual-CO2 Calculations'!$AK23,FALSE))*B34,
(VLOOKUP(B$14,$K$15:$V$32,'Actual-CO2 Calculations'!$AK23,FALSE))*B34))</f>
        <v>0</v>
      </c>
      <c r="C182" s="738">
        <f>IF(C$14=0,0,
IF(OR(C$14=$K$28,C$14=$K$29,C$14=$K$30,C$14=$K$31,C$14=$K$32),
(VLOOKUP($K$25,$K$15:$V$32,'Actual-CO2 Calculations'!$AK23,FALSE))*C34,
(VLOOKUP(C$14,$K$15:$V$32,'Actual-CO2 Calculations'!$AK23,FALSE))*C34))</f>
        <v>0</v>
      </c>
      <c r="D182" s="738">
        <f>IF(D$14=0,0,
IF(OR(D$14=$K$28,D$14=$K$29,D$14=$K$30,D$14=$K$31,D$14=$K$32),
(VLOOKUP($K$25,$K$15:$V$32,'Actual-CO2 Calculations'!$AK23,FALSE))*D34,
(VLOOKUP(D$14,$K$15:$V$32,'Actual-CO2 Calculations'!$AK23,FALSE))*D34))</f>
        <v>0</v>
      </c>
      <c r="E182" s="738">
        <f>IF(E$14=0,0,
IF(OR(E$14=$K$28,E$14=$K$29,E$14=$K$30,E$14=$K$31,E$14=$K$32),
(VLOOKUP($K$25,$K$15:$V$32,'Actual-CO2 Calculations'!$AK23,FALSE))*E34,
(VLOOKUP(E$14,$K$15:$V$32,'Actual-CO2 Calculations'!$AK23,FALSE))*E34))</f>
        <v>0</v>
      </c>
      <c r="F182" s="738">
        <f>IF(F$14=0,0,
IF(OR(F$14=$K$28,F$14=$K$29,F$14=$K$30,F$14=$K$31,F$14=$K$32),
(VLOOKUP($K$25,$K$15:$V$32,'Actual-CO2 Calculations'!$AK23,FALSE))*F34,
(VLOOKUP(F$14,$K$15:$V$32,'Actual-CO2 Calculations'!$AK23,FALSE))*F34))</f>
        <v>0</v>
      </c>
    </row>
    <row r="183" spans="1:6">
      <c r="A183" t="s">
        <v>46</v>
      </c>
      <c r="B183" s="738">
        <f>IF(B$14=0,0,
IF(OR(B$14=$K$28,B$14=$K$29,B$14=$K$30,B$14=$K$31,B$14=$K$32),
(VLOOKUP($K$25,$K$15:$V$32,'Actual-CO2 Calculations'!$AK24,FALSE))*B35,
(VLOOKUP(B$14,$K$15:$V$32,'Actual-CO2 Calculations'!$AK24,FALSE))*B35))</f>
        <v>0</v>
      </c>
      <c r="C183" s="738">
        <f>IF(C$14=0,0,
IF(OR(C$14=$K$28,C$14=$K$29,C$14=$K$30,C$14=$K$31,C$14=$K$32),
(VLOOKUP($K$25,$K$15:$V$32,'Actual-CO2 Calculations'!$AK24,FALSE))*C35,
(VLOOKUP(C$14,$K$15:$V$32,'Actual-CO2 Calculations'!$AK24,FALSE))*C35))</f>
        <v>0</v>
      </c>
      <c r="D183" s="738">
        <f>IF(D$14=0,0,
IF(OR(D$14=$K$28,D$14=$K$29,D$14=$K$30,D$14=$K$31,D$14=$K$32),
(VLOOKUP($K$25,$K$15:$V$32,'Actual-CO2 Calculations'!$AK24,FALSE))*D35,
(VLOOKUP(D$14,$K$15:$V$32,'Actual-CO2 Calculations'!$AK24,FALSE))*D35))</f>
        <v>0</v>
      </c>
      <c r="E183" s="738">
        <f>IF(E$14=0,0,
IF(OR(E$14=$K$28,E$14=$K$29,E$14=$K$30,E$14=$K$31,E$14=$K$32),
(VLOOKUP($K$25,$K$15:$V$32,'Actual-CO2 Calculations'!$AK24,FALSE))*E35,
(VLOOKUP(E$14,$K$15:$V$32,'Actual-CO2 Calculations'!$AK24,FALSE))*E35))</f>
        <v>0</v>
      </c>
      <c r="F183" s="738">
        <f>IF(F$14=0,0,
IF(OR(F$14=$K$28,F$14=$K$29,F$14=$K$30,F$14=$K$31,F$14=$K$32),
(VLOOKUP($K$25,$K$15:$V$32,'Actual-CO2 Calculations'!$AK24,FALSE))*F35,
(VLOOKUP(F$14,$K$15:$V$32,'Actual-CO2 Calculations'!$AK24,FALSE))*F35))</f>
        <v>0</v>
      </c>
    </row>
    <row r="184" spans="1:6">
      <c r="A184" t="s">
        <v>47</v>
      </c>
      <c r="B184" s="738">
        <f>IF(B$14=0,0,
IF(OR(B$14=$K$28,B$14=$K$29,B$14=$K$30,B$14=$K$31,B$14=$K$32),
(VLOOKUP($K$25,$K$15:$V$32,'Actual-CO2 Calculations'!$AK25,FALSE))*B36,
(VLOOKUP(B$14,$K$15:$V$32,'Actual-CO2 Calculations'!$AK25,FALSE))*B36))</f>
        <v>0</v>
      </c>
      <c r="C184" s="738">
        <f>IF(C$14=0,0,
IF(OR(C$14=$K$28,C$14=$K$29,C$14=$K$30,C$14=$K$31,C$14=$K$32),
(VLOOKUP($K$25,$K$15:$V$32,'Actual-CO2 Calculations'!$AK25,FALSE))*C36,
(VLOOKUP(C$14,$K$15:$V$32,'Actual-CO2 Calculations'!$AK25,FALSE))*C36))</f>
        <v>0</v>
      </c>
      <c r="D184" s="738">
        <f>IF(D$14=0,0,
IF(OR(D$14=$K$28,D$14=$K$29,D$14=$K$30,D$14=$K$31,D$14=$K$32),
(VLOOKUP($K$25,$K$15:$V$32,'Actual-CO2 Calculations'!$AK25,FALSE))*D36,
(VLOOKUP(D$14,$K$15:$V$32,'Actual-CO2 Calculations'!$AK25,FALSE))*D36))</f>
        <v>0</v>
      </c>
      <c r="E184" s="738">
        <f>IF(E$14=0,0,
IF(OR(E$14=$K$28,E$14=$K$29,E$14=$K$30,E$14=$K$31,E$14=$K$32),
(VLOOKUP($K$25,$K$15:$V$32,'Actual-CO2 Calculations'!$AK25,FALSE))*E36,
(VLOOKUP(E$14,$K$15:$V$32,'Actual-CO2 Calculations'!$AK25,FALSE))*E36))</f>
        <v>0</v>
      </c>
      <c r="F184" s="738">
        <f>IF(F$14=0,0,
IF(OR(F$14=$K$28,F$14=$K$29,F$14=$K$30,F$14=$K$31,F$14=$K$32),
(VLOOKUP($K$25,$K$15:$V$32,'Actual-CO2 Calculations'!$AK25,FALSE))*F36,
(VLOOKUP(F$14,$K$15:$V$32,'Actual-CO2 Calculations'!$AK25,FALSE))*F36))</f>
        <v>0</v>
      </c>
    </row>
    <row r="185" spans="1:6">
      <c r="A185" t="s">
        <v>48</v>
      </c>
      <c r="B185" s="738">
        <f>IF(B$14=0,0,
IF(OR(B$14=$K$28,B$14=$K$29,B$14=$K$30,B$14=$K$31,B$14=$K$32),
(VLOOKUP($K$25,$K$15:$V$32,'Actual-CO2 Calculations'!$AK26,FALSE))*B37,
(VLOOKUP(B$14,$K$15:$V$32,'Actual-CO2 Calculations'!$AK26,FALSE))*B37))</f>
        <v>0</v>
      </c>
      <c r="C185" s="738">
        <f>IF(C$14=0,0,
IF(OR(C$14=$K$28,C$14=$K$29,C$14=$K$30,C$14=$K$31,C$14=$K$32),
(VLOOKUP($K$25,$K$15:$V$32,'Actual-CO2 Calculations'!$AK26,FALSE))*C37,
(VLOOKUP(C$14,$K$15:$V$32,'Actual-CO2 Calculations'!$AK26,FALSE))*C37))</f>
        <v>0</v>
      </c>
      <c r="D185" s="738">
        <f>IF(D$14=0,0,
IF(OR(D$14=$K$28,D$14=$K$29,D$14=$K$30,D$14=$K$31,D$14=$K$32),
(VLOOKUP($K$25,$K$15:$V$32,'Actual-CO2 Calculations'!$AK26,FALSE))*D37,
(VLOOKUP(D$14,$K$15:$V$32,'Actual-CO2 Calculations'!$AK26,FALSE))*D37))</f>
        <v>0</v>
      </c>
      <c r="E185" s="738">
        <f>IF(E$14=0,0,
IF(OR(E$14=$K$28,E$14=$K$29,E$14=$K$30,E$14=$K$31,E$14=$K$32),
(VLOOKUP($K$25,$K$15:$V$32,'Actual-CO2 Calculations'!$AK26,FALSE))*E37,
(VLOOKUP(E$14,$K$15:$V$32,'Actual-CO2 Calculations'!$AK26,FALSE))*E37))</f>
        <v>0</v>
      </c>
      <c r="F185" s="738">
        <f>IF(F$14=0,0,
IF(OR(F$14=$K$28,F$14=$K$29,F$14=$K$30,F$14=$K$31,F$14=$K$32),
(VLOOKUP($K$25,$K$15:$V$32,'Actual-CO2 Calculations'!$AK26,FALSE))*F37,
(VLOOKUP(F$14,$K$15:$V$32,'Actual-CO2 Calculations'!$AK26,FALSE))*F37))</f>
        <v>0</v>
      </c>
    </row>
    <row r="186" spans="1:6">
      <c r="A186" t="s">
        <v>0</v>
      </c>
      <c r="B186" s="738">
        <f>IF(B$14=0,0,
IF(OR(B$14=$K$28,B$14=$K$29,B$14=$K$30,B$14=$K$31,B$14=$K$32),
(VLOOKUP($K$25,$K$15:$V$32,'Actual-CO2 Calculations'!$AK27,FALSE))*B38,
(VLOOKUP(B$14,$K$15:$V$32,'Actual-CO2 Calculations'!$AK27,FALSE))*B38))</f>
        <v>0</v>
      </c>
      <c r="C186" s="738">
        <f>IF(C$14=0,0,
IF(OR(C$14=$K$28,C$14=$K$29,C$14=$K$30,C$14=$K$31,C$14=$K$32),
(VLOOKUP($K$25,$K$15:$V$32,'Actual-CO2 Calculations'!$AK27,FALSE))*C38,
(VLOOKUP(C$14,$K$15:$V$32,'Actual-CO2 Calculations'!$AK27,FALSE))*C38))</f>
        <v>0</v>
      </c>
      <c r="D186" s="738">
        <f>IF(D$14=0,0,
IF(OR(D$14=$K$28,D$14=$K$29,D$14=$K$30,D$14=$K$31,D$14=$K$32),
(VLOOKUP($K$25,$K$15:$V$32,'Actual-CO2 Calculations'!$AK27,FALSE))*D38,
(VLOOKUP(D$14,$K$15:$V$32,'Actual-CO2 Calculations'!$AK27,FALSE))*D38))</f>
        <v>0</v>
      </c>
      <c r="E186" s="738">
        <f>IF(E$14=0,0,
IF(OR(E$14=$K$28,E$14=$K$29,E$14=$K$30,E$14=$K$31,E$14=$K$32),
(VLOOKUP($K$25,$K$15:$V$32,'Actual-CO2 Calculations'!$AK27,FALSE))*E38,
(VLOOKUP(E$14,$K$15:$V$32,'Actual-CO2 Calculations'!$AK27,FALSE))*E38))</f>
        <v>0</v>
      </c>
      <c r="F186" s="738">
        <f>IF(F$14=0,0,
IF(OR(F$14=$K$28,F$14=$K$29,F$14=$K$30,F$14=$K$31,F$14=$K$32),
(VLOOKUP($K$25,$K$15:$V$32,'Actual-CO2 Calculations'!$AK27,FALSE))*F38,
(VLOOKUP(F$14,$K$15:$V$32,'Actual-CO2 Calculations'!$AK27,FALSE))*F38))</f>
        <v>0</v>
      </c>
    </row>
    <row r="187" spans="1:6">
      <c r="A187" t="s">
        <v>1</v>
      </c>
      <c r="B187" s="738">
        <f>IF(B$14=0,0,
IF(OR(B$14=$K$28,B$14=$K$29,B$14=$K$30,B$14=$K$31,B$14=$K$32),
(VLOOKUP($K$25,$K$15:$V$32,'Actual-CO2 Calculations'!$AK28,FALSE))*B39,
(VLOOKUP(B$14,$K$15:$V$32,'Actual-CO2 Calculations'!$AK28,FALSE))*B39))</f>
        <v>0</v>
      </c>
      <c r="C187" s="738">
        <f>IF(C$14=0,0,
IF(OR(C$14=$K$28,C$14=$K$29,C$14=$K$30,C$14=$K$31,C$14=$K$32),
(VLOOKUP($K$25,$K$15:$V$32,'Actual-CO2 Calculations'!$AK28,FALSE))*C39,
(VLOOKUP(C$14,$K$15:$V$32,'Actual-CO2 Calculations'!$AK28,FALSE))*C39))</f>
        <v>0</v>
      </c>
      <c r="D187" s="738">
        <f>IF(D$14=0,0,
IF(OR(D$14=$K$28,D$14=$K$29,D$14=$K$30,D$14=$K$31,D$14=$K$32),
(VLOOKUP($K$25,$K$15:$V$32,'Actual-CO2 Calculations'!$AK28,FALSE))*D39,
(VLOOKUP(D$14,$K$15:$V$32,'Actual-CO2 Calculations'!$AK28,FALSE))*D39))</f>
        <v>0</v>
      </c>
      <c r="E187" s="738">
        <f>IF(E$14=0,0,
IF(OR(E$14=$K$28,E$14=$K$29,E$14=$K$30,E$14=$K$31,E$14=$K$32),
(VLOOKUP($K$25,$K$15:$V$32,'Actual-CO2 Calculations'!$AK28,FALSE))*E39,
(VLOOKUP(E$14,$K$15:$V$32,'Actual-CO2 Calculations'!$AK28,FALSE))*E39))</f>
        <v>0</v>
      </c>
      <c r="F187" s="738">
        <f>IF(F$14=0,0,
IF(OR(F$14=$K$28,F$14=$K$29,F$14=$K$30,F$14=$K$31,F$14=$K$32),
(VLOOKUP($K$25,$K$15:$V$32,'Actual-CO2 Calculations'!$AK28,FALSE))*F39,
(VLOOKUP(F$14,$K$15:$V$32,'Actual-CO2 Calculations'!$AK28,FALSE))*F39))</f>
        <v>0</v>
      </c>
    </row>
    <row r="188" spans="1:6">
      <c r="A188" t="s">
        <v>2</v>
      </c>
      <c r="B188" s="738">
        <f>IF(B$14=0,0,
IF(OR(B$14=$K$28,B$14=$K$29,B$14=$K$30,B$14=$K$31,B$14=$K$32),
(VLOOKUP($K$25,$K$15:$V$32,'Actual-CO2 Calculations'!$AK29,FALSE))*B40,
(VLOOKUP(B$14,$K$15:$V$32,'Actual-CO2 Calculations'!$AK29,FALSE))*B40))</f>
        <v>0</v>
      </c>
      <c r="C188" s="738">
        <f>IF(C$14=0,0,
IF(OR(C$14=$K$28,C$14=$K$29,C$14=$K$30,C$14=$K$31,C$14=$K$32),
(VLOOKUP($K$25,$K$15:$V$32,'Actual-CO2 Calculations'!$AK29,FALSE))*C40,
(VLOOKUP(C$14,$K$15:$V$32,'Actual-CO2 Calculations'!$AK29,FALSE))*C40))</f>
        <v>0</v>
      </c>
      <c r="D188" s="738">
        <f>IF(D$14=0,0,
IF(OR(D$14=$K$28,D$14=$K$29,D$14=$K$30,D$14=$K$31,D$14=$K$32),
(VLOOKUP($K$25,$K$15:$V$32,'Actual-CO2 Calculations'!$AK29,FALSE))*D40,
(VLOOKUP(D$14,$K$15:$V$32,'Actual-CO2 Calculations'!$AK29,FALSE))*D40))</f>
        <v>0</v>
      </c>
      <c r="E188" s="738">
        <f>IF(E$14=0,0,
IF(OR(E$14=$K$28,E$14=$K$29,E$14=$K$30,E$14=$K$31,E$14=$K$32),
(VLOOKUP($K$25,$K$15:$V$32,'Actual-CO2 Calculations'!$AK29,FALSE))*E40,
(VLOOKUP(E$14,$K$15:$V$32,'Actual-CO2 Calculations'!$AK29,FALSE))*E40))</f>
        <v>0</v>
      </c>
      <c r="F188" s="738">
        <f>IF(F$14=0,0,
IF(OR(F$14=$K$28,F$14=$K$29,F$14=$K$30,F$14=$K$31,F$14=$K$32),
(VLOOKUP($K$25,$K$15:$V$32,'Actual-CO2 Calculations'!$AK29,FALSE))*F40,
(VLOOKUP(F$14,$K$15:$V$32,'Actual-CO2 Calculations'!$AK29,FALSE))*F40))</f>
        <v>0</v>
      </c>
    </row>
    <row r="189" spans="1:6">
      <c r="A189" t="s">
        <v>3</v>
      </c>
      <c r="B189" s="738">
        <f>IF(B$14=0,0,
IF(OR(B$14=$K$28,B$14=$K$29,B$14=$K$30,B$14=$K$31,B$14=$K$32),
(VLOOKUP($K$25,$K$15:$V$32,'Actual-CO2 Calculations'!$AK30,FALSE))*B41,
(VLOOKUP(B$14,$K$15:$V$32,'Actual-CO2 Calculations'!$AK30,FALSE))*B41))</f>
        <v>0</v>
      </c>
      <c r="C189" s="738">
        <f>IF(C$14=0,0,
IF(OR(C$14=$K$28,C$14=$K$29,C$14=$K$30,C$14=$K$31,C$14=$K$32),
(VLOOKUP($K$25,$K$15:$V$32,'Actual-CO2 Calculations'!$AK30,FALSE))*C41,
(VLOOKUP(C$14,$K$15:$V$32,'Actual-CO2 Calculations'!$AK30,FALSE))*C41))</f>
        <v>0</v>
      </c>
      <c r="D189" s="738">
        <f>IF(D$14=0,0,
IF(OR(D$14=$K$28,D$14=$K$29,D$14=$K$30,D$14=$K$31,D$14=$K$32),
(VLOOKUP($K$25,$K$15:$V$32,'Actual-CO2 Calculations'!$AK30,FALSE))*D41,
(VLOOKUP(D$14,$K$15:$V$32,'Actual-CO2 Calculations'!$AK30,FALSE))*D41))</f>
        <v>0</v>
      </c>
      <c r="E189" s="738">
        <f>IF(E$14=0,0,
IF(OR(E$14=$K$28,E$14=$K$29,E$14=$K$30,E$14=$K$31,E$14=$K$32),
(VLOOKUP($K$25,$K$15:$V$32,'Actual-CO2 Calculations'!$AK30,FALSE))*E41,
(VLOOKUP(E$14,$K$15:$V$32,'Actual-CO2 Calculations'!$AK30,FALSE))*E41))</f>
        <v>0</v>
      </c>
      <c r="F189" s="738">
        <f>IF(F$14=0,0,
IF(OR(F$14=$K$28,F$14=$K$29,F$14=$K$30,F$14=$K$31,F$14=$K$32),
(VLOOKUP($K$25,$K$15:$V$32,'Actual-CO2 Calculations'!$AK30,FALSE))*F41,
(VLOOKUP(F$14,$K$15:$V$32,'Actual-CO2 Calculations'!$AK30,FALSE))*F41))</f>
        <v>0</v>
      </c>
    </row>
    <row r="190" spans="1:6">
      <c r="A190" t="s">
        <v>49</v>
      </c>
      <c r="B190" s="738">
        <f>IF(B$14=0,0,
IF(OR(B$14=$K$28,B$14=$K$29,B$14=$K$30,B$14=$K$31,B$14=$K$32),
(VLOOKUP($K$25,$K$15:$V$32,'Actual-CO2 Calculations'!$AK31,FALSE))*B42,
(VLOOKUP(B$14,$K$15:$V$32,'Actual-CO2 Calculations'!$AK31,FALSE))*B42))</f>
        <v>0</v>
      </c>
      <c r="C190" s="738">
        <f>IF(C$14=0,0,
IF(OR(C$14=$K$28,C$14=$K$29,C$14=$K$30,C$14=$K$31,C$14=$K$32),
(VLOOKUP($K$25,$K$15:$V$32,'Actual-CO2 Calculations'!$AK31,FALSE))*C42,
(VLOOKUP(C$14,$K$15:$V$32,'Actual-CO2 Calculations'!$AK31,FALSE))*C42))</f>
        <v>0</v>
      </c>
      <c r="D190" s="738">
        <f>IF(D$14=0,0,
IF(OR(D$14=$K$28,D$14=$K$29,D$14=$K$30,D$14=$K$31,D$14=$K$32),
(VLOOKUP($K$25,$K$15:$V$32,'Actual-CO2 Calculations'!$AK31,FALSE))*D42,
(VLOOKUP(D$14,$K$15:$V$32,'Actual-CO2 Calculations'!$AK31,FALSE))*D42))</f>
        <v>0</v>
      </c>
      <c r="E190" s="738">
        <f>IF(E$14=0,0,
IF(OR(E$14=$K$28,E$14=$K$29,E$14=$K$30,E$14=$K$31,E$14=$K$32),
(VLOOKUP($K$25,$K$15:$V$32,'Actual-CO2 Calculations'!$AK31,FALSE))*E42,
(VLOOKUP(E$14,$K$15:$V$32,'Actual-CO2 Calculations'!$AK31,FALSE))*E42))</f>
        <v>0</v>
      </c>
      <c r="F190" s="738">
        <f>IF(F$14=0,0,
IF(OR(F$14=$K$28,F$14=$K$29,F$14=$K$30,F$14=$K$31,F$14=$K$32),
(VLOOKUP($K$25,$K$15:$V$32,'Actual-CO2 Calculations'!$AK31,FALSE))*F42,
(VLOOKUP(F$14,$K$15:$V$32,'Actual-CO2 Calculations'!$AK31,FALSE))*F42))</f>
        <v>0</v>
      </c>
    </row>
    <row r="191" spans="1:6">
      <c r="A191" t="s">
        <v>50</v>
      </c>
      <c r="B191" s="738">
        <f>IF(B$14=0,0,
IF(OR(B$14=$K$28,B$14=$K$29,B$14=$K$30,B$14=$K$31,B$14=$K$32),
(VLOOKUP($K$25,$K$15:$V$32,'Actual-CO2 Calculations'!$AK32,FALSE))*B43,
(VLOOKUP(B$14,$K$15:$V$32,'Actual-CO2 Calculations'!$AK32,FALSE))*B43))</f>
        <v>0</v>
      </c>
      <c r="C191" s="738">
        <f>IF(C$14=0,0,
IF(OR(C$14=$K$28,C$14=$K$29,C$14=$K$30,C$14=$K$31,C$14=$K$32),
(VLOOKUP($K$25,$K$15:$V$32,'Actual-CO2 Calculations'!$AK32,FALSE))*C43,
(VLOOKUP(C$14,$K$15:$V$32,'Actual-CO2 Calculations'!$AK32,FALSE))*C43))</f>
        <v>0</v>
      </c>
      <c r="D191" s="738">
        <f>IF(D$14=0,0,
IF(OR(D$14=$K$28,D$14=$K$29,D$14=$K$30,D$14=$K$31,D$14=$K$32),
(VLOOKUP($K$25,$K$15:$V$32,'Actual-CO2 Calculations'!$AK32,FALSE))*D43,
(VLOOKUP(D$14,$K$15:$V$32,'Actual-CO2 Calculations'!$AK32,FALSE))*D43))</f>
        <v>0</v>
      </c>
      <c r="E191" s="738">
        <f>IF(E$14=0,0,
IF(OR(E$14=$K$28,E$14=$K$29,E$14=$K$30,E$14=$K$31,E$14=$K$32),
(VLOOKUP($K$25,$K$15:$V$32,'Actual-CO2 Calculations'!$AK32,FALSE))*E43,
(VLOOKUP(E$14,$K$15:$V$32,'Actual-CO2 Calculations'!$AK32,FALSE))*E43))</f>
        <v>0</v>
      </c>
      <c r="F191" s="738">
        <f>IF(F$14=0,0,
IF(OR(F$14=$K$28,F$14=$K$29,F$14=$K$30,F$14=$K$31,F$14=$K$32),
(VLOOKUP($K$25,$K$15:$V$32,'Actual-CO2 Calculations'!$AK32,FALSE))*F43,
(VLOOKUP(F$14,$K$15:$V$32,'Actual-CO2 Calculations'!$AK32,FALSE))*F43))</f>
        <v>0</v>
      </c>
    </row>
    <row r="192" spans="1:6">
      <c r="A192" t="s">
        <v>51</v>
      </c>
      <c r="B192" s="738">
        <f>IF(B$14=0,0,
IF(OR(B$14=$K$28,B$14=$K$29,B$14=$K$30,B$14=$K$31,B$14=$K$32),
(VLOOKUP($K$25,$K$15:$V$32,'Actual-CO2 Calculations'!$AK33,FALSE))*B44,
(VLOOKUP(B$14,$K$15:$V$32,'Actual-CO2 Calculations'!$AK33,FALSE))*B44))</f>
        <v>0</v>
      </c>
      <c r="C192" s="738">
        <f>IF(C$14=0,0,
IF(OR(C$14=$K$28,C$14=$K$29,C$14=$K$30,C$14=$K$31,C$14=$K$32),
(VLOOKUP($K$25,$K$15:$V$32,'Actual-CO2 Calculations'!$AK33,FALSE))*C44,
(VLOOKUP(C$14,$K$15:$V$32,'Actual-CO2 Calculations'!$AK33,FALSE))*C44))</f>
        <v>0</v>
      </c>
      <c r="D192" s="738">
        <f>IF(D$14=0,0,
IF(OR(D$14=$K$28,D$14=$K$29,D$14=$K$30,D$14=$K$31,D$14=$K$32),
(VLOOKUP($K$25,$K$15:$V$32,'Actual-CO2 Calculations'!$AK33,FALSE))*D44,
(VLOOKUP(D$14,$K$15:$V$32,'Actual-CO2 Calculations'!$AK33,FALSE))*D44))</f>
        <v>0</v>
      </c>
      <c r="E192" s="738">
        <f>IF(E$14=0,0,
IF(OR(E$14=$K$28,E$14=$K$29,E$14=$K$30,E$14=$K$31,E$14=$K$32),
(VLOOKUP($K$25,$K$15:$V$32,'Actual-CO2 Calculations'!$AK33,FALSE))*E44,
(VLOOKUP(E$14,$K$15:$V$32,'Actual-CO2 Calculations'!$AK33,FALSE))*E44))</f>
        <v>0</v>
      </c>
      <c r="F192" s="738">
        <f>IF(F$14=0,0,
IF(OR(F$14=$K$28,F$14=$K$29,F$14=$K$30,F$14=$K$31,F$14=$K$32),
(VLOOKUP($K$25,$K$15:$V$32,'Actual-CO2 Calculations'!$AK33,FALSE))*F44,
(VLOOKUP(F$14,$K$15:$V$32,'Actual-CO2 Calculations'!$AK33,FALSE))*F44))</f>
        <v>0</v>
      </c>
    </row>
    <row r="193" spans="1:6">
      <c r="A193" t="s">
        <v>52</v>
      </c>
      <c r="B193" s="738">
        <f>IF(B$14=0,0,
IF(OR(B$14=$K$28,B$14=$K$29,B$14=$K$30,B$14=$K$31,B$14=$K$32),
(VLOOKUP($K$25,$K$15:$V$32,'Actual-CO2 Calculations'!$AK34,FALSE))*B45,
(VLOOKUP(B$14,$K$15:$V$32,'Actual-CO2 Calculations'!$AK34,FALSE))*B45))</f>
        <v>0</v>
      </c>
      <c r="C193" s="738">
        <f>IF(C$14=0,0,
IF(OR(C$14=$K$28,C$14=$K$29,C$14=$K$30,C$14=$K$31,C$14=$K$32),
(VLOOKUP($K$25,$K$15:$V$32,'Actual-CO2 Calculations'!$AK34,FALSE))*C45,
(VLOOKUP(C$14,$K$15:$V$32,'Actual-CO2 Calculations'!$AK34,FALSE))*C45))</f>
        <v>0</v>
      </c>
      <c r="D193" s="738">
        <f>IF(D$14=0,0,
IF(OR(D$14=$K$28,D$14=$K$29,D$14=$K$30,D$14=$K$31,D$14=$K$32),
(VLOOKUP($K$25,$K$15:$V$32,'Actual-CO2 Calculations'!$AK34,FALSE))*D45,
(VLOOKUP(D$14,$K$15:$V$32,'Actual-CO2 Calculations'!$AK34,FALSE))*D45))</f>
        <v>0</v>
      </c>
      <c r="E193" s="738">
        <f>IF(E$14=0,0,
IF(OR(E$14=$K$28,E$14=$K$29,E$14=$K$30,E$14=$K$31,E$14=$K$32),
(VLOOKUP($K$25,$K$15:$V$32,'Actual-CO2 Calculations'!$AK34,FALSE))*E45,
(VLOOKUP(E$14,$K$15:$V$32,'Actual-CO2 Calculations'!$AK34,FALSE))*E45))</f>
        <v>0</v>
      </c>
      <c r="F193" s="738">
        <f>IF(F$14=0,0,
IF(OR(F$14=$K$28,F$14=$K$29,F$14=$K$30,F$14=$K$31,F$14=$K$32),
(VLOOKUP($K$25,$K$15:$V$32,'Actual-CO2 Calculations'!$AK34,FALSE))*F45,
(VLOOKUP(F$14,$K$15:$V$32,'Actual-CO2 Calculations'!$AK34,FALSE))*F45))</f>
        <v>0</v>
      </c>
    </row>
    <row r="194" spans="1:6">
      <c r="A194" t="s">
        <v>53</v>
      </c>
      <c r="B194" s="738">
        <f>IF(B$14=0,0,
IF(OR(B$14=$K$28,B$14=$K$29,B$14=$K$30,B$14=$K$31,B$14=$K$32),
(VLOOKUP($K$25,$K$15:$V$32,'Actual-CO2 Calculations'!$AK35,FALSE))*B46,
(VLOOKUP(B$14,$K$15:$V$32,'Actual-CO2 Calculations'!$AK35,FALSE))*B46))</f>
        <v>0</v>
      </c>
      <c r="C194" s="738">
        <f>IF(C$14=0,0,
IF(OR(C$14=$K$28,C$14=$K$29,C$14=$K$30,C$14=$K$31,C$14=$K$32),
(VLOOKUP($K$25,$K$15:$V$32,'Actual-CO2 Calculations'!$AK35,FALSE))*C46,
(VLOOKUP(C$14,$K$15:$V$32,'Actual-CO2 Calculations'!$AK35,FALSE))*C46))</f>
        <v>0</v>
      </c>
      <c r="D194" s="738">
        <f>IF(D$14=0,0,
IF(OR(D$14=$K$28,D$14=$K$29,D$14=$K$30,D$14=$K$31,D$14=$K$32),
(VLOOKUP($K$25,$K$15:$V$32,'Actual-CO2 Calculations'!$AK35,FALSE))*D46,
(VLOOKUP(D$14,$K$15:$V$32,'Actual-CO2 Calculations'!$AK35,FALSE))*D46))</f>
        <v>0</v>
      </c>
      <c r="E194" s="738">
        <f>IF(E$14=0,0,
IF(OR(E$14=$K$28,E$14=$K$29,E$14=$K$30,E$14=$K$31,E$14=$K$32),
(VLOOKUP($K$25,$K$15:$V$32,'Actual-CO2 Calculations'!$AK35,FALSE))*E46,
(VLOOKUP(E$14,$K$15:$V$32,'Actual-CO2 Calculations'!$AK35,FALSE))*E46))</f>
        <v>0</v>
      </c>
      <c r="F194" s="738">
        <f>IF(F$14=0,0,
IF(OR(F$14=$K$28,F$14=$K$29,F$14=$K$30,F$14=$K$31,F$14=$K$32),
(VLOOKUP($K$25,$K$15:$V$32,'Actual-CO2 Calculations'!$AK35,FALSE))*F46,
(VLOOKUP(F$14,$K$15:$V$32,'Actual-CO2 Calculations'!$AK35,FALSE))*F46))</f>
        <v>0</v>
      </c>
    </row>
    <row r="195" spans="1:6">
      <c r="A195" t="s">
        <v>54</v>
      </c>
      <c r="B195" s="738">
        <f>IF(B$14=0,0,
IF(OR(B$14=$K$28,B$14=$K$29,B$14=$K$30,B$14=$K$31,B$14=$K$32),
(VLOOKUP($K$25,$K$15:$V$32,'Actual-CO2 Calculations'!$AK36,FALSE))*B47,
(VLOOKUP(B$14,$K$15:$V$32,'Actual-CO2 Calculations'!$AK36,FALSE))*B47))</f>
        <v>0</v>
      </c>
      <c r="C195" s="738">
        <f>IF(C$14=0,0,
IF(OR(C$14=$K$28,C$14=$K$29,C$14=$K$30,C$14=$K$31,C$14=$K$32),
(VLOOKUP($K$25,$K$15:$V$32,'Actual-CO2 Calculations'!$AK36,FALSE))*C47,
(VLOOKUP(C$14,$K$15:$V$32,'Actual-CO2 Calculations'!$AK36,FALSE))*C47))</f>
        <v>0</v>
      </c>
      <c r="D195" s="738">
        <f>IF(D$14=0,0,
IF(OR(D$14=$K$28,D$14=$K$29,D$14=$K$30,D$14=$K$31,D$14=$K$32),
(VLOOKUP($K$25,$K$15:$V$32,'Actual-CO2 Calculations'!$AK36,FALSE))*D47,
(VLOOKUP(D$14,$K$15:$V$32,'Actual-CO2 Calculations'!$AK36,FALSE))*D47))</f>
        <v>0</v>
      </c>
      <c r="E195" s="738">
        <f>IF(E$14=0,0,
IF(OR(E$14=$K$28,E$14=$K$29,E$14=$K$30,E$14=$K$31,E$14=$K$32),
(VLOOKUP($K$25,$K$15:$V$32,'Actual-CO2 Calculations'!$AK36,FALSE))*E47,
(VLOOKUP(E$14,$K$15:$V$32,'Actual-CO2 Calculations'!$AK36,FALSE))*E47))</f>
        <v>0</v>
      </c>
      <c r="F195" s="738">
        <f>IF(F$14=0,0,
IF(OR(F$14=$K$28,F$14=$K$29,F$14=$K$30,F$14=$K$31,F$14=$K$32),
(VLOOKUP($K$25,$K$15:$V$32,'Actual-CO2 Calculations'!$AK36,FALSE))*F47,
(VLOOKUP(F$14,$K$15:$V$32,'Actual-CO2 Calculations'!$AK36,FALSE))*F47))</f>
        <v>0</v>
      </c>
    </row>
    <row r="196" spans="1:6">
      <c r="A196" t="s">
        <v>55</v>
      </c>
      <c r="B196" s="738">
        <f>IF(B$14=0,0,
IF(OR(B$14=$K$28,B$14=$K$29,B$14=$K$30,B$14=$K$31,B$14=$K$32),
(VLOOKUP($K$25,$K$15:$V$32,'Actual-CO2 Calculations'!$AK37,FALSE))*B48,
(VLOOKUP(B$14,$K$15:$V$32,'Actual-CO2 Calculations'!$AK37,FALSE))*B48))</f>
        <v>0</v>
      </c>
      <c r="C196" s="738">
        <f>IF(C$14=0,0,
IF(OR(C$14=$K$28,C$14=$K$29,C$14=$K$30,C$14=$K$31,C$14=$K$32),
(VLOOKUP($K$25,$K$15:$V$32,'Actual-CO2 Calculations'!$AK37,FALSE))*C48,
(VLOOKUP(C$14,$K$15:$V$32,'Actual-CO2 Calculations'!$AK37,FALSE))*C48))</f>
        <v>0</v>
      </c>
      <c r="D196" s="738">
        <f>IF(D$14=0,0,
IF(OR(D$14=$K$28,D$14=$K$29,D$14=$K$30,D$14=$K$31,D$14=$K$32),
(VLOOKUP($K$25,$K$15:$V$32,'Actual-CO2 Calculations'!$AK37,FALSE))*D48,
(VLOOKUP(D$14,$K$15:$V$32,'Actual-CO2 Calculations'!$AK37,FALSE))*D48))</f>
        <v>0</v>
      </c>
      <c r="E196" s="738">
        <f>IF(E$14=0,0,
IF(OR(E$14=$K$28,E$14=$K$29,E$14=$K$30,E$14=$K$31,E$14=$K$32),
(VLOOKUP($K$25,$K$15:$V$32,'Actual-CO2 Calculations'!$AK37,FALSE))*E48,
(VLOOKUP(E$14,$K$15:$V$32,'Actual-CO2 Calculations'!$AK37,FALSE))*E48))</f>
        <v>0</v>
      </c>
      <c r="F196" s="738">
        <f>IF(F$14=0,0,
IF(OR(F$14=$K$28,F$14=$K$29,F$14=$K$30,F$14=$K$31,F$14=$K$32),
(VLOOKUP($K$25,$K$15:$V$32,'Actual-CO2 Calculations'!$AK37,FALSE))*F48,
(VLOOKUP(F$14,$K$15:$V$32,'Actual-CO2 Calculations'!$AK37,FALSE))*F48))</f>
        <v>0</v>
      </c>
    </row>
    <row r="197" spans="1:6">
      <c r="A197" t="s">
        <v>56</v>
      </c>
      <c r="B197" s="738">
        <f>IF(B$14=0,0,
IF(OR(B$14=$K$28,B$14=$K$29,B$14=$K$30,B$14=$K$31,B$14=$K$32),
(VLOOKUP($K$25,$K$15:$V$32,'Actual-CO2 Calculations'!$AK38,FALSE))*B49,
(VLOOKUP(B$14,$K$15:$V$32,'Actual-CO2 Calculations'!$AK38,FALSE))*B49))</f>
        <v>0</v>
      </c>
      <c r="C197" s="738">
        <f>IF(C$14=0,0,
IF(OR(C$14=$K$28,C$14=$K$29,C$14=$K$30,C$14=$K$31,C$14=$K$32),
(VLOOKUP($K$25,$K$15:$V$32,'Actual-CO2 Calculations'!$AK38,FALSE))*C49,
(VLOOKUP(C$14,$K$15:$V$32,'Actual-CO2 Calculations'!$AK38,FALSE))*C49))</f>
        <v>0</v>
      </c>
      <c r="D197" s="738">
        <f>IF(D$14=0,0,
IF(OR(D$14=$K$28,D$14=$K$29,D$14=$K$30,D$14=$K$31,D$14=$K$32),
(VLOOKUP($K$25,$K$15:$V$32,'Actual-CO2 Calculations'!$AK38,FALSE))*D49,
(VLOOKUP(D$14,$K$15:$V$32,'Actual-CO2 Calculations'!$AK38,FALSE))*D49))</f>
        <v>0</v>
      </c>
      <c r="E197" s="738">
        <f>IF(E$14=0,0,
IF(OR(E$14=$K$28,E$14=$K$29,E$14=$K$30,E$14=$K$31,E$14=$K$32),
(VLOOKUP($K$25,$K$15:$V$32,'Actual-CO2 Calculations'!$AK38,FALSE))*E49,
(VLOOKUP(E$14,$K$15:$V$32,'Actual-CO2 Calculations'!$AK38,FALSE))*E49))</f>
        <v>0</v>
      </c>
      <c r="F197" s="738">
        <f>IF(F$14=0,0,
IF(OR(F$14=$K$28,F$14=$K$29,F$14=$K$30,F$14=$K$31,F$14=$K$32),
(VLOOKUP($K$25,$K$15:$V$32,'Actual-CO2 Calculations'!$AK38,FALSE))*F49,
(VLOOKUP(F$14,$K$15:$V$32,'Actual-CO2 Calculations'!$AK38,FALSE))*F49))</f>
        <v>0</v>
      </c>
    </row>
    <row r="198" spans="1:6">
      <c r="A198" t="s">
        <v>57</v>
      </c>
      <c r="B198" s="738">
        <f>IF(B$14=0,0,
IF(OR(B$14=$K$28,B$14=$K$29,B$14=$K$30,B$14=$K$31,B$14=$K$32),
(VLOOKUP($K$25,$K$15:$V$32,'Actual-CO2 Calculations'!$AK39,FALSE))*B50,
(VLOOKUP(B$14,$K$15:$V$32,'Actual-CO2 Calculations'!$AK39,FALSE))*B50))</f>
        <v>0</v>
      </c>
      <c r="C198" s="738">
        <f>IF(C$14=0,0,
IF(OR(C$14=$K$28,C$14=$K$29,C$14=$K$30,C$14=$K$31,C$14=$K$32),
(VLOOKUP($K$25,$K$15:$V$32,'Actual-CO2 Calculations'!$AK39,FALSE))*C50,
(VLOOKUP(C$14,$K$15:$V$32,'Actual-CO2 Calculations'!$AK39,FALSE))*C50))</f>
        <v>0</v>
      </c>
      <c r="D198" s="738">
        <f>IF(D$14=0,0,
IF(OR(D$14=$K$28,D$14=$K$29,D$14=$K$30,D$14=$K$31,D$14=$K$32),
(VLOOKUP($K$25,$K$15:$V$32,'Actual-CO2 Calculations'!$AK39,FALSE))*D50,
(VLOOKUP(D$14,$K$15:$V$32,'Actual-CO2 Calculations'!$AK39,FALSE))*D50))</f>
        <v>0</v>
      </c>
      <c r="E198" s="738">
        <f>IF(E$14=0,0,
IF(OR(E$14=$K$28,E$14=$K$29,E$14=$K$30,E$14=$K$31,E$14=$K$32),
(VLOOKUP($K$25,$K$15:$V$32,'Actual-CO2 Calculations'!$AK39,FALSE))*E50,
(VLOOKUP(E$14,$K$15:$V$32,'Actual-CO2 Calculations'!$AK39,FALSE))*E50))</f>
        <v>0</v>
      </c>
      <c r="F198" s="738">
        <f>IF(F$14=0,0,
IF(OR(F$14=$K$28,F$14=$K$29,F$14=$K$30,F$14=$K$31,F$14=$K$32),
(VLOOKUP($K$25,$K$15:$V$32,'Actual-CO2 Calculations'!$AK39,FALSE))*F50,
(VLOOKUP(F$14,$K$15:$V$32,'Actual-CO2 Calculations'!$AK39,FALSE))*F50))</f>
        <v>0</v>
      </c>
    </row>
    <row r="199" spans="1:6">
      <c r="A199" t="s">
        <v>4</v>
      </c>
      <c r="B199" s="738">
        <f>IF(B$14=0,0,
IF(OR(B$14=$K$28,B$14=$K$29,B$14=$K$30,B$14=$K$31,B$14=$K$32),
(VLOOKUP($K$25,$K$15:$V$32,'Actual-CO2 Calculations'!$AK40,FALSE))*B51,
(VLOOKUP(B$14,$K$15:$V$32,'Actual-CO2 Calculations'!$AK40,FALSE))*B51))</f>
        <v>0</v>
      </c>
      <c r="C199" s="738">
        <f>IF(C$14=0,0,
IF(OR(C$14=$K$28,C$14=$K$29,C$14=$K$30,C$14=$K$31,C$14=$K$32),
(VLOOKUP($K$25,$K$15:$V$32,'Actual-CO2 Calculations'!$AK40,FALSE))*C51,
(VLOOKUP(C$14,$K$15:$V$32,'Actual-CO2 Calculations'!$AK40,FALSE))*C51))</f>
        <v>0</v>
      </c>
      <c r="D199" s="738">
        <f>IF(D$14=0,0,
IF(OR(D$14=$K$28,D$14=$K$29,D$14=$K$30,D$14=$K$31,D$14=$K$32),
(VLOOKUP($K$25,$K$15:$V$32,'Actual-CO2 Calculations'!$AK40,FALSE))*D51,
(VLOOKUP(D$14,$K$15:$V$32,'Actual-CO2 Calculations'!$AK40,FALSE))*D51))</f>
        <v>0</v>
      </c>
      <c r="E199" s="738">
        <f>IF(E$14=0,0,
IF(OR(E$14=$K$28,E$14=$K$29,E$14=$K$30,E$14=$K$31,E$14=$K$32),
(VLOOKUP($K$25,$K$15:$V$32,'Actual-CO2 Calculations'!$AK40,FALSE))*E51,
(VLOOKUP(E$14,$K$15:$V$32,'Actual-CO2 Calculations'!$AK40,FALSE))*E51))</f>
        <v>0</v>
      </c>
      <c r="F199" s="738">
        <f>IF(F$14=0,0,
IF(OR(F$14=$K$28,F$14=$K$29,F$14=$K$30,F$14=$K$31,F$14=$K$32),
(VLOOKUP($K$25,$K$15:$V$32,'Actual-CO2 Calculations'!$AK40,FALSE))*F51,
(VLOOKUP(F$14,$K$15:$V$32,'Actual-CO2 Calculations'!$AK40,FALSE))*F51))</f>
        <v>0</v>
      </c>
    </row>
    <row r="200" spans="1:6">
      <c r="A200" t="s">
        <v>5</v>
      </c>
      <c r="B200" s="738">
        <f>IF(B$14=0,0,
IF(OR(B$14=$K$28,B$14=$K$29,B$14=$K$30,B$14=$K$31,B$14=$K$32),
(VLOOKUP($K$25,$K$15:$V$32,'Actual-CO2 Calculations'!$AK41,FALSE))*B52,
(VLOOKUP(B$14,$K$15:$V$32,'Actual-CO2 Calculations'!$AK41,FALSE))*B52))</f>
        <v>0</v>
      </c>
      <c r="C200" s="738">
        <f>IF(C$14=0,0,
IF(OR(C$14=$K$28,C$14=$K$29,C$14=$K$30,C$14=$K$31,C$14=$K$32),
(VLOOKUP($K$25,$K$15:$V$32,'Actual-CO2 Calculations'!$AK41,FALSE))*C52,
(VLOOKUP(C$14,$K$15:$V$32,'Actual-CO2 Calculations'!$AK41,FALSE))*C52))</f>
        <v>0</v>
      </c>
      <c r="D200" s="738">
        <f>IF(D$14=0,0,
IF(OR(D$14=$K$28,D$14=$K$29,D$14=$K$30,D$14=$K$31,D$14=$K$32),
(VLOOKUP($K$25,$K$15:$V$32,'Actual-CO2 Calculations'!$AK41,FALSE))*D52,
(VLOOKUP(D$14,$K$15:$V$32,'Actual-CO2 Calculations'!$AK41,FALSE))*D52))</f>
        <v>0</v>
      </c>
      <c r="E200" s="738">
        <f>IF(E$14=0,0,
IF(OR(E$14=$K$28,E$14=$K$29,E$14=$K$30,E$14=$K$31,E$14=$K$32),
(VLOOKUP($K$25,$K$15:$V$32,'Actual-CO2 Calculations'!$AK41,FALSE))*E52,
(VLOOKUP(E$14,$K$15:$V$32,'Actual-CO2 Calculations'!$AK41,FALSE))*E52))</f>
        <v>0</v>
      </c>
      <c r="F200" s="738">
        <f>IF(F$14=0,0,
IF(OR(F$14=$K$28,F$14=$K$29,F$14=$K$30,F$14=$K$31,F$14=$K$32),
(VLOOKUP($K$25,$K$15:$V$32,'Actual-CO2 Calculations'!$AK41,FALSE))*F52,
(VLOOKUP(F$14,$K$15:$V$32,'Actual-CO2 Calculations'!$AK41,FALSE))*F52))</f>
        <v>0</v>
      </c>
    </row>
    <row r="201" spans="1:6">
      <c r="A201" t="s">
        <v>6</v>
      </c>
      <c r="B201" s="738">
        <f>IF(B$14=0,0,
IF(OR(B$14=$K$28,B$14=$K$29,B$14=$K$30,B$14=$K$31,B$14=$K$32),
(VLOOKUP($K$25,$K$15:$V$32,'Actual-CO2 Calculations'!$AK42,FALSE))*B53,
(VLOOKUP(B$14,$K$15:$V$32,'Actual-CO2 Calculations'!$AK42,FALSE))*B53))</f>
        <v>0</v>
      </c>
      <c r="C201" s="738">
        <f>IF(C$14=0,0,
IF(OR(C$14=$K$28,C$14=$K$29,C$14=$K$30,C$14=$K$31,C$14=$K$32),
(VLOOKUP($K$25,$K$15:$V$32,'Actual-CO2 Calculations'!$AK42,FALSE))*C53,
(VLOOKUP(C$14,$K$15:$V$32,'Actual-CO2 Calculations'!$AK42,FALSE))*C53))</f>
        <v>0</v>
      </c>
      <c r="D201" s="738">
        <f>IF(D$14=0,0,
IF(OR(D$14=$K$28,D$14=$K$29,D$14=$K$30,D$14=$K$31,D$14=$K$32),
(VLOOKUP($K$25,$K$15:$V$32,'Actual-CO2 Calculations'!$AK42,FALSE))*D53,
(VLOOKUP(D$14,$K$15:$V$32,'Actual-CO2 Calculations'!$AK42,FALSE))*D53))</f>
        <v>0</v>
      </c>
      <c r="E201" s="738">
        <f>IF(E$14=0,0,
IF(OR(E$14=$K$28,E$14=$K$29,E$14=$K$30,E$14=$K$31,E$14=$K$32),
(VLOOKUP($K$25,$K$15:$V$32,'Actual-CO2 Calculations'!$AK42,FALSE))*E53,
(VLOOKUP(E$14,$K$15:$V$32,'Actual-CO2 Calculations'!$AK42,FALSE))*E53))</f>
        <v>0</v>
      </c>
      <c r="F201" s="738">
        <f>IF(F$14=0,0,
IF(OR(F$14=$K$28,F$14=$K$29,F$14=$K$30,F$14=$K$31,F$14=$K$32),
(VLOOKUP($K$25,$K$15:$V$32,'Actual-CO2 Calculations'!$AK42,FALSE))*F53,
(VLOOKUP(F$14,$K$15:$V$32,'Actual-CO2 Calculations'!$AK42,FALSE))*F53))</f>
        <v>0</v>
      </c>
    </row>
    <row r="202" spans="1:6">
      <c r="A202" t="s">
        <v>7</v>
      </c>
      <c r="B202" s="738">
        <f>IF(B$14=0,0,
IF(OR(B$14=$K$28,B$14=$K$29,B$14=$K$30,B$14=$K$31,B$14=$K$32),
(VLOOKUP($K$25,$K$15:$V$32,'Actual-CO2 Calculations'!$AK43,FALSE))*B54,
(VLOOKUP(B$14,$K$15:$V$32,'Actual-CO2 Calculations'!$AK43,FALSE))*B54))</f>
        <v>0</v>
      </c>
      <c r="C202" s="738">
        <f>IF(C$14=0,0,
IF(OR(C$14=$K$28,C$14=$K$29,C$14=$K$30,C$14=$K$31,C$14=$K$32),
(VLOOKUP($K$25,$K$15:$V$32,'Actual-CO2 Calculations'!$AK43,FALSE))*C54,
(VLOOKUP(C$14,$K$15:$V$32,'Actual-CO2 Calculations'!$AK43,FALSE))*C54))</f>
        <v>0</v>
      </c>
      <c r="D202" s="738">
        <f>IF(D$14=0,0,
IF(OR(D$14=$K$28,D$14=$K$29,D$14=$K$30,D$14=$K$31,D$14=$K$32),
(VLOOKUP($K$25,$K$15:$V$32,'Actual-CO2 Calculations'!$AK43,FALSE))*D54,
(VLOOKUP(D$14,$K$15:$V$32,'Actual-CO2 Calculations'!$AK43,FALSE))*D54))</f>
        <v>0</v>
      </c>
      <c r="E202" s="738">
        <f>IF(E$14=0,0,
IF(OR(E$14=$K$28,E$14=$K$29,E$14=$K$30,E$14=$K$31,E$14=$K$32),
(VLOOKUP($K$25,$K$15:$V$32,'Actual-CO2 Calculations'!$AK43,FALSE))*E54,
(VLOOKUP(E$14,$K$15:$V$32,'Actual-CO2 Calculations'!$AK43,FALSE))*E54))</f>
        <v>0</v>
      </c>
      <c r="F202" s="738">
        <f>IF(F$14=0,0,
IF(OR(F$14=$K$28,F$14=$K$29,F$14=$K$30,F$14=$K$31,F$14=$K$32),
(VLOOKUP($K$25,$K$15:$V$32,'Actual-CO2 Calculations'!$AK43,FALSE))*F54,
(VLOOKUP(F$14,$K$15:$V$32,'Actual-CO2 Calculations'!$AK43,FALSE))*F54))</f>
        <v>0</v>
      </c>
    </row>
    <row r="203" spans="1:6">
      <c r="A203" t="s">
        <v>58</v>
      </c>
      <c r="B203" s="738">
        <f>IF(B$14=0,0,
IF(OR(B$14=$K$28,B$14=$K$29,B$14=$K$30,B$14=$K$31,B$14=$K$32),
(VLOOKUP($K$25,$K$15:$V$32,'Actual-CO2 Calculations'!$AK44,FALSE))*B55,
(VLOOKUP(B$14,$K$15:$V$32,'Actual-CO2 Calculations'!$AK44,FALSE))*B55))</f>
        <v>0</v>
      </c>
      <c r="C203" s="738">
        <f>IF(C$14=0,0,
IF(OR(C$14=$K$28,C$14=$K$29,C$14=$K$30,C$14=$K$31,C$14=$K$32),
(VLOOKUP($K$25,$K$15:$V$32,'Actual-CO2 Calculations'!$AK44,FALSE))*C55,
(VLOOKUP(C$14,$K$15:$V$32,'Actual-CO2 Calculations'!$AK44,FALSE))*C55))</f>
        <v>0</v>
      </c>
      <c r="D203" s="738">
        <f>IF(D$14=0,0,
IF(OR(D$14=$K$28,D$14=$K$29,D$14=$K$30,D$14=$K$31,D$14=$K$32),
(VLOOKUP($K$25,$K$15:$V$32,'Actual-CO2 Calculations'!$AK44,FALSE))*D55,
(VLOOKUP(D$14,$K$15:$V$32,'Actual-CO2 Calculations'!$AK44,FALSE))*D55))</f>
        <v>0</v>
      </c>
      <c r="E203" s="738">
        <f>IF(E$14=0,0,
IF(OR(E$14=$K$28,E$14=$K$29,E$14=$K$30,E$14=$K$31,E$14=$K$32),
(VLOOKUP($K$25,$K$15:$V$32,'Actual-CO2 Calculations'!$AK44,FALSE))*E55,
(VLOOKUP(E$14,$K$15:$V$32,'Actual-CO2 Calculations'!$AK44,FALSE))*E55))</f>
        <v>0</v>
      </c>
      <c r="F203" s="738">
        <f>IF(F$14=0,0,
IF(OR(F$14=$K$28,F$14=$K$29,F$14=$K$30,F$14=$K$31,F$14=$K$32),
(VLOOKUP($K$25,$K$15:$V$32,'Actual-CO2 Calculations'!$AK44,FALSE))*F55,
(VLOOKUP(F$14,$K$15:$V$32,'Actual-CO2 Calculations'!$AK44,FALSE))*F55))</f>
        <v>0</v>
      </c>
    </row>
    <row r="204" spans="1:6">
      <c r="A204" t="s">
        <v>59</v>
      </c>
      <c r="B204" s="738">
        <f>IF(B$14=0,0,
IF(OR(B$14=$K$28,B$14=$K$29,B$14=$K$30,B$14=$K$31,B$14=$K$32),
(VLOOKUP($K$25,$K$15:$V$32,'Actual-CO2 Calculations'!$AK45,FALSE))*B56,
(VLOOKUP(B$14,$K$15:$V$32,'Actual-CO2 Calculations'!$AK45,FALSE))*B56))</f>
        <v>0</v>
      </c>
      <c r="C204" s="738">
        <f>IF(C$14=0,0,
IF(OR(C$14=$K$28,C$14=$K$29,C$14=$K$30,C$14=$K$31,C$14=$K$32),
(VLOOKUP($K$25,$K$15:$V$32,'Actual-CO2 Calculations'!$AK45,FALSE))*C56,
(VLOOKUP(C$14,$K$15:$V$32,'Actual-CO2 Calculations'!$AK45,FALSE))*C56))</f>
        <v>0</v>
      </c>
      <c r="D204" s="738">
        <f>IF(D$14=0,0,
IF(OR(D$14=$K$28,D$14=$K$29,D$14=$K$30,D$14=$K$31,D$14=$K$32),
(VLOOKUP($K$25,$K$15:$V$32,'Actual-CO2 Calculations'!$AK45,FALSE))*D56,
(VLOOKUP(D$14,$K$15:$V$32,'Actual-CO2 Calculations'!$AK45,FALSE))*D56))</f>
        <v>0</v>
      </c>
      <c r="E204" s="738">
        <f>IF(E$14=0,0,
IF(OR(E$14=$K$28,E$14=$K$29,E$14=$K$30,E$14=$K$31,E$14=$K$32),
(VLOOKUP($K$25,$K$15:$V$32,'Actual-CO2 Calculations'!$AK45,FALSE))*E56,
(VLOOKUP(E$14,$K$15:$V$32,'Actual-CO2 Calculations'!$AK45,FALSE))*E56))</f>
        <v>0</v>
      </c>
      <c r="F204" s="738">
        <f>IF(F$14=0,0,
IF(OR(F$14=$K$28,F$14=$K$29,F$14=$K$30,F$14=$K$31,F$14=$K$32),
(VLOOKUP($K$25,$K$15:$V$32,'Actual-CO2 Calculations'!$AK45,FALSE))*F56,
(VLOOKUP(F$14,$K$15:$V$32,'Actual-CO2 Calculations'!$AK45,FALSE))*F56))</f>
        <v>0</v>
      </c>
    </row>
    <row r="205" spans="1:6">
      <c r="A205" t="s">
        <v>60</v>
      </c>
      <c r="B205" s="738">
        <f>IF(B$14=0,0,
IF(OR(B$14=$K$28,B$14=$K$29,B$14=$K$30,B$14=$K$31,B$14=$K$32),
(VLOOKUP($K$25,$K$15:$V$32,'Actual-CO2 Calculations'!$AK46,FALSE))*B57,
(VLOOKUP(B$14,$K$15:$V$32,'Actual-CO2 Calculations'!$AK46,FALSE))*B57))</f>
        <v>0</v>
      </c>
      <c r="C205" s="738">
        <f>IF(C$14=0,0,
IF(OR(C$14=$K$28,C$14=$K$29,C$14=$K$30,C$14=$K$31,C$14=$K$32),
(VLOOKUP($K$25,$K$15:$V$32,'Actual-CO2 Calculations'!$AK46,FALSE))*C57,
(VLOOKUP(C$14,$K$15:$V$32,'Actual-CO2 Calculations'!$AK46,FALSE))*C57))</f>
        <v>0</v>
      </c>
      <c r="D205" s="738">
        <f>IF(D$14=0,0,
IF(OR(D$14=$K$28,D$14=$K$29,D$14=$K$30,D$14=$K$31,D$14=$K$32),
(VLOOKUP($K$25,$K$15:$V$32,'Actual-CO2 Calculations'!$AK46,FALSE))*D57,
(VLOOKUP(D$14,$K$15:$V$32,'Actual-CO2 Calculations'!$AK46,FALSE))*D57))</f>
        <v>0</v>
      </c>
      <c r="E205" s="738">
        <f>IF(E$14=0,0,
IF(OR(E$14=$K$28,E$14=$K$29,E$14=$K$30,E$14=$K$31,E$14=$K$32),
(VLOOKUP($K$25,$K$15:$V$32,'Actual-CO2 Calculations'!$AK46,FALSE))*E57,
(VLOOKUP(E$14,$K$15:$V$32,'Actual-CO2 Calculations'!$AK46,FALSE))*E57))</f>
        <v>0</v>
      </c>
      <c r="F205" s="738">
        <f>IF(F$14=0,0,
IF(OR(F$14=$K$28,F$14=$K$29,F$14=$K$30,F$14=$K$31,F$14=$K$32),
(VLOOKUP($K$25,$K$15:$V$32,'Actual-CO2 Calculations'!$AK46,FALSE))*F57,
(VLOOKUP(F$14,$K$15:$V$32,'Actual-CO2 Calculations'!$AK46,FALSE))*F57))</f>
        <v>0</v>
      </c>
    </row>
    <row r="206" spans="1:6">
      <c r="A206" t="s">
        <v>61</v>
      </c>
      <c r="B206" s="738">
        <f>IF(B$14=0,0,
IF(OR(B$14=$K$28,B$14=$K$29,B$14=$K$30,B$14=$K$31,B$14=$K$32),
(VLOOKUP($K$25,$K$15:$V$32,'Actual-CO2 Calculations'!$AK47,FALSE))*B58,
(VLOOKUP(B$14,$K$15:$V$32,'Actual-CO2 Calculations'!$AK47,FALSE))*B58))</f>
        <v>0</v>
      </c>
      <c r="C206" s="738">
        <f>IF(C$14=0,0,
IF(OR(C$14=$K$28,C$14=$K$29,C$14=$K$30,C$14=$K$31,C$14=$K$32),
(VLOOKUP($K$25,$K$15:$V$32,'Actual-CO2 Calculations'!$AK47,FALSE))*C58,
(VLOOKUP(C$14,$K$15:$V$32,'Actual-CO2 Calculations'!$AK47,FALSE))*C58))</f>
        <v>0</v>
      </c>
      <c r="D206" s="738">
        <f>IF(D$14=0,0,
IF(OR(D$14=$K$28,D$14=$K$29,D$14=$K$30,D$14=$K$31,D$14=$K$32),
(VLOOKUP($K$25,$K$15:$V$32,'Actual-CO2 Calculations'!$AK47,FALSE))*D58,
(VLOOKUP(D$14,$K$15:$V$32,'Actual-CO2 Calculations'!$AK47,FALSE))*D58))</f>
        <v>0</v>
      </c>
      <c r="E206" s="738">
        <f>IF(E$14=0,0,
IF(OR(E$14=$K$28,E$14=$K$29,E$14=$K$30,E$14=$K$31,E$14=$K$32),
(VLOOKUP($K$25,$K$15:$V$32,'Actual-CO2 Calculations'!$AK47,FALSE))*E58,
(VLOOKUP(E$14,$K$15:$V$32,'Actual-CO2 Calculations'!$AK47,FALSE))*E58))</f>
        <v>0</v>
      </c>
      <c r="F206" s="738">
        <f>IF(F$14=0,0,
IF(OR(F$14=$K$28,F$14=$K$29,F$14=$K$30,F$14=$K$31,F$14=$K$32),
(VLOOKUP($K$25,$K$15:$V$32,'Actual-CO2 Calculations'!$AK47,FALSE))*F58,
(VLOOKUP(F$14,$K$15:$V$32,'Actual-CO2 Calculations'!$AK47,FALSE))*F58))</f>
        <v>0</v>
      </c>
    </row>
    <row r="207" spans="1:6">
      <c r="A207" t="s">
        <v>62</v>
      </c>
      <c r="B207" s="738">
        <f>IF(B$14=0,0,
IF(OR(B$14=$K$28,B$14=$K$29,B$14=$K$30,B$14=$K$31,B$14=$K$32),
(VLOOKUP($K$25,$K$15:$V$32,'Actual-CO2 Calculations'!$AK48,FALSE))*B59,
(VLOOKUP(B$14,$K$15:$V$32,'Actual-CO2 Calculations'!$AK48,FALSE))*B59))</f>
        <v>0</v>
      </c>
      <c r="C207" s="738">
        <f>IF(C$14=0,0,
IF(OR(C$14=$K$28,C$14=$K$29,C$14=$K$30,C$14=$K$31,C$14=$K$32),
(VLOOKUP($K$25,$K$15:$V$32,'Actual-CO2 Calculations'!$AK48,FALSE))*C59,
(VLOOKUP(C$14,$K$15:$V$32,'Actual-CO2 Calculations'!$AK48,FALSE))*C59))</f>
        <v>0</v>
      </c>
      <c r="D207" s="738">
        <f>IF(D$14=0,0,
IF(OR(D$14=$K$28,D$14=$K$29,D$14=$K$30,D$14=$K$31,D$14=$K$32),
(VLOOKUP($K$25,$K$15:$V$32,'Actual-CO2 Calculations'!$AK48,FALSE))*D59,
(VLOOKUP(D$14,$K$15:$V$32,'Actual-CO2 Calculations'!$AK48,FALSE))*D59))</f>
        <v>0</v>
      </c>
      <c r="E207" s="738">
        <f>IF(E$14=0,0,
IF(OR(E$14=$K$28,E$14=$K$29,E$14=$K$30,E$14=$K$31,E$14=$K$32),
(VLOOKUP($K$25,$K$15:$V$32,'Actual-CO2 Calculations'!$AK48,FALSE))*E59,
(VLOOKUP(E$14,$K$15:$V$32,'Actual-CO2 Calculations'!$AK48,FALSE))*E59))</f>
        <v>0</v>
      </c>
      <c r="F207" s="738">
        <f>IF(F$14=0,0,
IF(OR(F$14=$K$28,F$14=$K$29,F$14=$K$30,F$14=$K$31,F$14=$K$32),
(VLOOKUP($K$25,$K$15:$V$32,'Actual-CO2 Calculations'!$AK48,FALSE))*F59,
(VLOOKUP(F$14,$K$15:$V$32,'Actual-CO2 Calculations'!$AK48,FALSE))*F59))</f>
        <v>0</v>
      </c>
    </row>
    <row r="208" spans="1:6">
      <c r="A208" t="s">
        <v>63</v>
      </c>
      <c r="B208" s="738">
        <f>IF(B$14=0,0,
IF(OR(B$14=$K$28,B$14=$K$29,B$14=$K$30,B$14=$K$31,B$14=$K$32),
(VLOOKUP($K$25,$K$15:$V$32,'Actual-CO2 Calculations'!$AK49,FALSE))*B60,
(VLOOKUP(B$14,$K$15:$V$32,'Actual-CO2 Calculations'!$AK49,FALSE))*B60))</f>
        <v>0</v>
      </c>
      <c r="C208" s="738">
        <f>IF(C$14=0,0,
IF(OR(C$14=$K$28,C$14=$K$29,C$14=$K$30,C$14=$K$31,C$14=$K$32),
(VLOOKUP($K$25,$K$15:$V$32,'Actual-CO2 Calculations'!$AK49,FALSE))*C60,
(VLOOKUP(C$14,$K$15:$V$32,'Actual-CO2 Calculations'!$AK49,FALSE))*C60))</f>
        <v>0</v>
      </c>
      <c r="D208" s="738">
        <f>IF(D$14=0,0,
IF(OR(D$14=$K$28,D$14=$K$29,D$14=$K$30,D$14=$K$31,D$14=$K$32),
(VLOOKUP($K$25,$K$15:$V$32,'Actual-CO2 Calculations'!$AK49,FALSE))*D60,
(VLOOKUP(D$14,$K$15:$V$32,'Actual-CO2 Calculations'!$AK49,FALSE))*D60))</f>
        <v>0</v>
      </c>
      <c r="E208" s="738">
        <f>IF(E$14=0,0,
IF(OR(E$14=$K$28,E$14=$K$29,E$14=$K$30,E$14=$K$31,E$14=$K$32),
(VLOOKUP($K$25,$K$15:$V$32,'Actual-CO2 Calculations'!$AK49,FALSE))*E60,
(VLOOKUP(E$14,$K$15:$V$32,'Actual-CO2 Calculations'!$AK49,FALSE))*E60))</f>
        <v>0</v>
      </c>
      <c r="F208" s="738">
        <f>IF(F$14=0,0,
IF(OR(F$14=$K$28,F$14=$K$29,F$14=$K$30,F$14=$K$31,F$14=$K$32),
(VLOOKUP($K$25,$K$15:$V$32,'Actual-CO2 Calculations'!$AK49,FALSE))*F60,
(VLOOKUP(F$14,$K$15:$V$32,'Actual-CO2 Calculations'!$AK49,FALSE))*F60))</f>
        <v>0</v>
      </c>
    </row>
    <row r="209" spans="1:6">
      <c r="A209" t="s">
        <v>64</v>
      </c>
      <c r="B209" s="738">
        <f>IF(B$14=0,0,
IF(OR(B$14=$K$28,B$14=$K$29,B$14=$K$30,B$14=$K$31,B$14=$K$32),
(VLOOKUP($K$25,$K$15:$V$32,'Actual-CO2 Calculations'!$AK50,FALSE))*B61,
(VLOOKUP(B$14,$K$15:$V$32,'Actual-CO2 Calculations'!$AK50,FALSE))*B61))</f>
        <v>0</v>
      </c>
      <c r="C209" s="738">
        <f>IF(C$14=0,0,
IF(OR(C$14=$K$28,C$14=$K$29,C$14=$K$30,C$14=$K$31,C$14=$K$32),
(VLOOKUP($K$25,$K$15:$V$32,'Actual-CO2 Calculations'!$AK50,FALSE))*C61,
(VLOOKUP(C$14,$K$15:$V$32,'Actual-CO2 Calculations'!$AK50,FALSE))*C61))</f>
        <v>0</v>
      </c>
      <c r="D209" s="738">
        <f>IF(D$14=0,0,
IF(OR(D$14=$K$28,D$14=$K$29,D$14=$K$30,D$14=$K$31,D$14=$K$32),
(VLOOKUP($K$25,$K$15:$V$32,'Actual-CO2 Calculations'!$AK50,FALSE))*D61,
(VLOOKUP(D$14,$K$15:$V$32,'Actual-CO2 Calculations'!$AK50,FALSE))*D61))</f>
        <v>0</v>
      </c>
      <c r="E209" s="738">
        <f>IF(E$14=0,0,
IF(OR(E$14=$K$28,E$14=$K$29,E$14=$K$30,E$14=$K$31,E$14=$K$32),
(VLOOKUP($K$25,$K$15:$V$32,'Actual-CO2 Calculations'!$AK50,FALSE))*E61,
(VLOOKUP(E$14,$K$15:$V$32,'Actual-CO2 Calculations'!$AK50,FALSE))*E61))</f>
        <v>0</v>
      </c>
      <c r="F209" s="738">
        <f>IF(F$14=0,0,
IF(OR(F$14=$K$28,F$14=$K$29,F$14=$K$30,F$14=$K$31,F$14=$K$32),
(VLOOKUP($K$25,$K$15:$V$32,'Actual-CO2 Calculations'!$AK50,FALSE))*F61,
(VLOOKUP(F$14,$K$15:$V$32,'Actual-CO2 Calculations'!$AK50,FALSE))*F61))</f>
        <v>0</v>
      </c>
    </row>
    <row r="210" spans="1:6">
      <c r="A210" t="s">
        <v>65</v>
      </c>
      <c r="B210" s="738">
        <f>IF(B$14=0,0,
IF(OR(B$14=$K$28,B$14=$K$29,B$14=$K$30,B$14=$K$31,B$14=$K$32),
(VLOOKUP($K$25,$K$15:$V$32,'Actual-CO2 Calculations'!$AK51,FALSE))*B62,
(VLOOKUP(B$14,$K$15:$V$32,'Actual-CO2 Calculations'!$AK51,FALSE))*B62))</f>
        <v>0</v>
      </c>
      <c r="C210" s="738">
        <f>IF(C$14=0,0,
IF(OR(C$14=$K$28,C$14=$K$29,C$14=$K$30,C$14=$K$31,C$14=$K$32),
(VLOOKUP($K$25,$K$15:$V$32,'Actual-CO2 Calculations'!$AK51,FALSE))*C62,
(VLOOKUP(C$14,$K$15:$V$32,'Actual-CO2 Calculations'!$AK51,FALSE))*C62))</f>
        <v>0</v>
      </c>
      <c r="D210" s="738">
        <f>IF(D$14=0,0,
IF(OR(D$14=$K$28,D$14=$K$29,D$14=$K$30,D$14=$K$31,D$14=$K$32),
(VLOOKUP($K$25,$K$15:$V$32,'Actual-CO2 Calculations'!$AK51,FALSE))*D62,
(VLOOKUP(D$14,$K$15:$V$32,'Actual-CO2 Calculations'!$AK51,FALSE))*D62))</f>
        <v>0</v>
      </c>
      <c r="E210" s="738">
        <f>IF(E$14=0,0,
IF(OR(E$14=$K$28,E$14=$K$29,E$14=$K$30,E$14=$K$31,E$14=$K$32),
(VLOOKUP($K$25,$K$15:$V$32,'Actual-CO2 Calculations'!$AK51,FALSE))*E62,
(VLOOKUP(E$14,$K$15:$V$32,'Actual-CO2 Calculations'!$AK51,FALSE))*E62))</f>
        <v>0</v>
      </c>
      <c r="F210" s="738">
        <f>IF(F$14=0,0,
IF(OR(F$14=$K$28,F$14=$K$29,F$14=$K$30,F$14=$K$31,F$14=$K$32),
(VLOOKUP($K$25,$K$15:$V$32,'Actual-CO2 Calculations'!$AK51,FALSE))*F62,
(VLOOKUP(F$14,$K$15:$V$32,'Actual-CO2 Calculations'!$AK51,FALSE))*F62))</f>
        <v>0</v>
      </c>
    </row>
    <row r="211" spans="1:6">
      <c r="A211" t="s">
        <v>66</v>
      </c>
      <c r="B211" s="738">
        <f>IF(B$14=0,0,
IF(OR(B$14=$K$28,B$14=$K$29,B$14=$K$30,B$14=$K$31,B$14=$K$32),
(VLOOKUP($K$25,$K$15:$V$32,'Actual-CO2 Calculations'!$AK52,FALSE))*B63,
(VLOOKUP(B$14,$K$15:$V$32,'Actual-CO2 Calculations'!$AK52,FALSE))*B63))</f>
        <v>0</v>
      </c>
      <c r="C211" s="738">
        <f>IF(C$14=0,0,
IF(OR(C$14=$K$28,C$14=$K$29,C$14=$K$30,C$14=$K$31,C$14=$K$32),
(VLOOKUP($K$25,$K$15:$V$32,'Actual-CO2 Calculations'!$AK52,FALSE))*C63,
(VLOOKUP(C$14,$K$15:$V$32,'Actual-CO2 Calculations'!$AK52,FALSE))*C63))</f>
        <v>0</v>
      </c>
      <c r="D211" s="738">
        <f>IF(D$14=0,0,
IF(OR(D$14=$K$28,D$14=$K$29,D$14=$K$30,D$14=$K$31,D$14=$K$32),
(VLOOKUP($K$25,$K$15:$V$32,'Actual-CO2 Calculations'!$AK52,FALSE))*D63,
(VLOOKUP(D$14,$K$15:$V$32,'Actual-CO2 Calculations'!$AK52,FALSE))*D63))</f>
        <v>0</v>
      </c>
      <c r="E211" s="738">
        <f>IF(E$14=0,0,
IF(OR(E$14=$K$28,E$14=$K$29,E$14=$K$30,E$14=$K$31,E$14=$K$32),
(VLOOKUP($K$25,$K$15:$V$32,'Actual-CO2 Calculations'!$AK52,FALSE))*E63,
(VLOOKUP(E$14,$K$15:$V$32,'Actual-CO2 Calculations'!$AK52,FALSE))*E63))</f>
        <v>0</v>
      </c>
      <c r="F211" s="738">
        <f>IF(F$14=0,0,
IF(OR(F$14=$K$28,F$14=$K$29,F$14=$K$30,F$14=$K$31,F$14=$K$32),
(VLOOKUP($K$25,$K$15:$V$32,'Actual-CO2 Calculations'!$AK52,FALSE))*F63,
(VLOOKUP(F$14,$K$15:$V$32,'Actual-CO2 Calculations'!$AK52,FALSE))*F63))</f>
        <v>0</v>
      </c>
    </row>
    <row r="212" spans="1:6">
      <c r="A212" t="s">
        <v>8</v>
      </c>
      <c r="B212" s="738">
        <f>IF(B$14=0,0,
IF(OR(B$14=$K$28,B$14=$K$29,B$14=$K$30,B$14=$K$31,B$14=$K$32),
(VLOOKUP($K$25,$K$15:$V$32,'Actual-CO2 Calculations'!$AK53,FALSE))*B64,
(VLOOKUP(B$14,$K$15:$V$32,'Actual-CO2 Calculations'!$AK53,FALSE))*B64))</f>
        <v>0</v>
      </c>
      <c r="C212" s="738">
        <f>IF(C$14=0,0,
IF(OR(C$14=$K$28,C$14=$K$29,C$14=$K$30,C$14=$K$31,C$14=$K$32),
(VLOOKUP($K$25,$K$15:$V$32,'Actual-CO2 Calculations'!$AK53,FALSE))*C64,
(VLOOKUP(C$14,$K$15:$V$32,'Actual-CO2 Calculations'!$AK53,FALSE))*C64))</f>
        <v>0</v>
      </c>
      <c r="D212" s="738">
        <f>IF(D$14=0,0,
IF(OR(D$14=$K$28,D$14=$K$29,D$14=$K$30,D$14=$K$31,D$14=$K$32),
(VLOOKUP($K$25,$K$15:$V$32,'Actual-CO2 Calculations'!$AK53,FALSE))*D64,
(VLOOKUP(D$14,$K$15:$V$32,'Actual-CO2 Calculations'!$AK53,FALSE))*D64))</f>
        <v>0</v>
      </c>
      <c r="E212" s="738">
        <f>IF(E$14=0,0,
IF(OR(E$14=$K$28,E$14=$K$29,E$14=$K$30,E$14=$K$31,E$14=$K$32),
(VLOOKUP($K$25,$K$15:$V$32,'Actual-CO2 Calculations'!$AK53,FALSE))*E64,
(VLOOKUP(E$14,$K$15:$V$32,'Actual-CO2 Calculations'!$AK53,FALSE))*E64))</f>
        <v>0</v>
      </c>
      <c r="F212" s="738">
        <f>IF(F$14=0,0,
IF(OR(F$14=$K$28,F$14=$K$29,F$14=$K$30,F$14=$K$31,F$14=$K$32),
(VLOOKUP($K$25,$K$15:$V$32,'Actual-CO2 Calculations'!$AK53,FALSE))*F64,
(VLOOKUP(F$14,$K$15:$V$32,'Actual-CO2 Calculations'!$AK53,FALSE))*F64))</f>
        <v>0</v>
      </c>
    </row>
    <row r="213" spans="1:6">
      <c r="A213" t="s">
        <v>9</v>
      </c>
      <c r="B213" s="738">
        <f>IF(B$14=0,0,
IF(OR(B$14=$K$28,B$14=$K$29,B$14=$K$30,B$14=$K$31,B$14=$K$32),
(VLOOKUP($K$25,$K$15:$V$32,'Actual-CO2 Calculations'!$AK54,FALSE))*B65,
(VLOOKUP(B$14,$K$15:$V$32,'Actual-CO2 Calculations'!$AK54,FALSE))*B65))</f>
        <v>0</v>
      </c>
      <c r="C213" s="738">
        <f>IF(C$14=0,0,
IF(OR(C$14=$K$28,C$14=$K$29,C$14=$K$30,C$14=$K$31,C$14=$K$32),
(VLOOKUP($K$25,$K$15:$V$32,'Actual-CO2 Calculations'!$AK54,FALSE))*C65,
(VLOOKUP(C$14,$K$15:$V$32,'Actual-CO2 Calculations'!$AK54,FALSE))*C65))</f>
        <v>0</v>
      </c>
      <c r="D213" s="738">
        <f>IF(D$14=0,0,
IF(OR(D$14=$K$28,D$14=$K$29,D$14=$K$30,D$14=$K$31,D$14=$K$32),
(VLOOKUP($K$25,$K$15:$V$32,'Actual-CO2 Calculations'!$AK54,FALSE))*D65,
(VLOOKUP(D$14,$K$15:$V$32,'Actual-CO2 Calculations'!$AK54,FALSE))*D65))</f>
        <v>0</v>
      </c>
      <c r="E213" s="738">
        <f>IF(E$14=0,0,
IF(OR(E$14=$K$28,E$14=$K$29,E$14=$K$30,E$14=$K$31,E$14=$K$32),
(VLOOKUP($K$25,$K$15:$V$32,'Actual-CO2 Calculations'!$AK54,FALSE))*E65,
(VLOOKUP(E$14,$K$15:$V$32,'Actual-CO2 Calculations'!$AK54,FALSE))*E65))</f>
        <v>0</v>
      </c>
      <c r="F213" s="738">
        <f>IF(F$14=0,0,
IF(OR(F$14=$K$28,F$14=$K$29,F$14=$K$30,F$14=$K$31,F$14=$K$32),
(VLOOKUP($K$25,$K$15:$V$32,'Actual-CO2 Calculations'!$AK54,FALSE))*F65,
(VLOOKUP(F$14,$K$15:$V$32,'Actual-CO2 Calculations'!$AK54,FALSE))*F65))</f>
        <v>0</v>
      </c>
    </row>
    <row r="214" spans="1:6">
      <c r="A214" t="s">
        <v>10</v>
      </c>
      <c r="B214" s="738">
        <f>IF(B$14=0,0,
IF(OR(B$14=$K$28,B$14=$K$29,B$14=$K$30,B$14=$K$31,B$14=$K$32),
(VLOOKUP($K$25,$K$15:$V$32,'Actual-CO2 Calculations'!$AK55,FALSE))*B66,
(VLOOKUP(B$14,$K$15:$V$32,'Actual-CO2 Calculations'!$AK55,FALSE))*B66))</f>
        <v>0</v>
      </c>
      <c r="C214" s="738">
        <f>IF(C$14=0,0,
IF(OR(C$14=$K$28,C$14=$K$29,C$14=$K$30,C$14=$K$31,C$14=$K$32),
(VLOOKUP($K$25,$K$15:$V$32,'Actual-CO2 Calculations'!$AK55,FALSE))*C66,
(VLOOKUP(C$14,$K$15:$V$32,'Actual-CO2 Calculations'!$AK55,FALSE))*C66))</f>
        <v>0</v>
      </c>
      <c r="D214" s="738">
        <f>IF(D$14=0,0,
IF(OR(D$14=$K$28,D$14=$K$29,D$14=$K$30,D$14=$K$31,D$14=$K$32),
(VLOOKUP($K$25,$K$15:$V$32,'Actual-CO2 Calculations'!$AK55,FALSE))*D66,
(VLOOKUP(D$14,$K$15:$V$32,'Actual-CO2 Calculations'!$AK55,FALSE))*D66))</f>
        <v>0</v>
      </c>
      <c r="E214" s="738">
        <f>IF(E$14=0,0,
IF(OR(E$14=$K$28,E$14=$K$29,E$14=$K$30,E$14=$K$31,E$14=$K$32),
(VLOOKUP($K$25,$K$15:$V$32,'Actual-CO2 Calculations'!$AK55,FALSE))*E66,
(VLOOKUP(E$14,$K$15:$V$32,'Actual-CO2 Calculations'!$AK55,FALSE))*E66))</f>
        <v>0</v>
      </c>
      <c r="F214" s="738">
        <f>IF(F$14=0,0,
IF(OR(F$14=$K$28,F$14=$K$29,F$14=$K$30,F$14=$K$31,F$14=$K$32),
(VLOOKUP($K$25,$K$15:$V$32,'Actual-CO2 Calculations'!$AK55,FALSE))*F66,
(VLOOKUP(F$14,$K$15:$V$32,'Actual-CO2 Calculations'!$AK55,FALSE))*F66))</f>
        <v>0</v>
      </c>
    </row>
    <row r="215" spans="1:6">
      <c r="A215" t="s">
        <v>11</v>
      </c>
      <c r="B215" s="738">
        <f>IF(B$14=0,0,
IF(OR(B$14=$K$28,B$14=$K$29,B$14=$K$30,B$14=$K$31,B$14=$K$32),
(VLOOKUP($K$25,$K$15:$V$32,'Actual-CO2 Calculations'!$AK56,FALSE))*B67,
(VLOOKUP(B$14,$K$15:$V$32,'Actual-CO2 Calculations'!$AK56,FALSE))*B67))</f>
        <v>0</v>
      </c>
      <c r="C215" s="738">
        <f>IF(C$14=0,0,
IF(OR(C$14=$K$28,C$14=$K$29,C$14=$K$30,C$14=$K$31,C$14=$K$32),
(VLOOKUP($K$25,$K$15:$V$32,'Actual-CO2 Calculations'!$AK56,FALSE))*C67,
(VLOOKUP(C$14,$K$15:$V$32,'Actual-CO2 Calculations'!$AK56,FALSE))*C67))</f>
        <v>0</v>
      </c>
      <c r="D215" s="738">
        <f>IF(D$14=0,0,
IF(OR(D$14=$K$28,D$14=$K$29,D$14=$K$30,D$14=$K$31,D$14=$K$32),
(VLOOKUP($K$25,$K$15:$V$32,'Actual-CO2 Calculations'!$AK56,FALSE))*D67,
(VLOOKUP(D$14,$K$15:$V$32,'Actual-CO2 Calculations'!$AK56,FALSE))*D67))</f>
        <v>0</v>
      </c>
      <c r="E215" s="738">
        <f>IF(E$14=0,0,
IF(OR(E$14=$K$28,E$14=$K$29,E$14=$K$30,E$14=$K$31,E$14=$K$32),
(VLOOKUP($K$25,$K$15:$V$32,'Actual-CO2 Calculations'!$AK56,FALSE))*E67,
(VLOOKUP(E$14,$K$15:$V$32,'Actual-CO2 Calculations'!$AK56,FALSE))*E67))</f>
        <v>0</v>
      </c>
      <c r="F215" s="738">
        <f>IF(F$14=0,0,
IF(OR(F$14=$K$28,F$14=$K$29,F$14=$K$30,F$14=$K$31,F$14=$K$32),
(VLOOKUP($K$25,$K$15:$V$32,'Actual-CO2 Calculations'!$AK56,FALSE))*F67,
(VLOOKUP(F$14,$K$15:$V$32,'Actual-CO2 Calculations'!$AK56,FALSE))*F67))</f>
        <v>0</v>
      </c>
    </row>
    <row r="216" spans="1:6">
      <c r="A216" t="s">
        <v>67</v>
      </c>
      <c r="B216" s="738">
        <f>IF(B$14=0,0,
IF(OR(B$14=$K$28,B$14=$K$29,B$14=$K$30,B$14=$K$31,B$14=$K$32),
(VLOOKUP($K$25,$K$15:$V$32,'Actual-CO2 Calculations'!$AK57,FALSE))*B68,
(VLOOKUP(B$14,$K$15:$V$32,'Actual-CO2 Calculations'!$AK57,FALSE))*B68))</f>
        <v>0</v>
      </c>
      <c r="C216" s="738">
        <f>IF(C$14=0,0,
IF(OR(C$14=$K$28,C$14=$K$29,C$14=$K$30,C$14=$K$31,C$14=$K$32),
(VLOOKUP($K$25,$K$15:$V$32,'Actual-CO2 Calculations'!$AK57,FALSE))*C68,
(VLOOKUP(C$14,$K$15:$V$32,'Actual-CO2 Calculations'!$AK57,FALSE))*C68))</f>
        <v>0</v>
      </c>
      <c r="D216" s="738">
        <f>IF(D$14=0,0,
IF(OR(D$14=$K$28,D$14=$K$29,D$14=$K$30,D$14=$K$31,D$14=$K$32),
(VLOOKUP($K$25,$K$15:$V$32,'Actual-CO2 Calculations'!$AK57,FALSE))*D68,
(VLOOKUP(D$14,$K$15:$V$32,'Actual-CO2 Calculations'!$AK57,FALSE))*D68))</f>
        <v>0</v>
      </c>
      <c r="E216" s="738">
        <f>IF(E$14=0,0,
IF(OR(E$14=$K$28,E$14=$K$29,E$14=$K$30,E$14=$K$31,E$14=$K$32),
(VLOOKUP($K$25,$K$15:$V$32,'Actual-CO2 Calculations'!$AK57,FALSE))*E68,
(VLOOKUP(E$14,$K$15:$V$32,'Actual-CO2 Calculations'!$AK57,FALSE))*E68))</f>
        <v>0</v>
      </c>
      <c r="F216" s="738">
        <f>IF(F$14=0,0,
IF(OR(F$14=$K$28,F$14=$K$29,F$14=$K$30,F$14=$K$31,F$14=$K$32),
(VLOOKUP($K$25,$K$15:$V$32,'Actual-CO2 Calculations'!$AK57,FALSE))*F68,
(VLOOKUP(F$14,$K$15:$V$32,'Actual-CO2 Calculations'!$AK57,FALSE))*F68))</f>
        <v>0</v>
      </c>
    </row>
    <row r="217" spans="1:6">
      <c r="A217" t="s">
        <v>68</v>
      </c>
      <c r="B217" s="738">
        <f>IF(B$14=0,0,
IF(OR(B$14=$K$28,B$14=$K$29,B$14=$K$30,B$14=$K$31,B$14=$K$32),
(VLOOKUP($K$25,$K$15:$V$32,'Actual-CO2 Calculations'!$AK58,FALSE))*B69,
(VLOOKUP(B$14,$K$15:$V$32,'Actual-CO2 Calculations'!$AK58,FALSE))*B69))</f>
        <v>0</v>
      </c>
      <c r="C217" s="738">
        <f>IF(C$14=0,0,
IF(OR(C$14=$K$28,C$14=$K$29,C$14=$K$30,C$14=$K$31,C$14=$K$32),
(VLOOKUP($K$25,$K$15:$V$32,'Actual-CO2 Calculations'!$AK58,FALSE))*C69,
(VLOOKUP(C$14,$K$15:$V$32,'Actual-CO2 Calculations'!$AK58,FALSE))*C69))</f>
        <v>0</v>
      </c>
      <c r="D217" s="738">
        <f>IF(D$14=0,0,
IF(OR(D$14=$K$28,D$14=$K$29,D$14=$K$30,D$14=$K$31,D$14=$K$32),
(VLOOKUP($K$25,$K$15:$V$32,'Actual-CO2 Calculations'!$AK58,FALSE))*D69,
(VLOOKUP(D$14,$K$15:$V$32,'Actual-CO2 Calculations'!$AK58,FALSE))*D69))</f>
        <v>0</v>
      </c>
      <c r="E217" s="738">
        <f>IF(E$14=0,0,
IF(OR(E$14=$K$28,E$14=$K$29,E$14=$K$30,E$14=$K$31,E$14=$K$32),
(VLOOKUP($K$25,$K$15:$V$32,'Actual-CO2 Calculations'!$AK58,FALSE))*E69,
(VLOOKUP(E$14,$K$15:$V$32,'Actual-CO2 Calculations'!$AK58,FALSE))*E69))</f>
        <v>0</v>
      </c>
      <c r="F217" s="738">
        <f>IF(F$14=0,0,
IF(OR(F$14=$K$28,F$14=$K$29,F$14=$K$30,F$14=$K$31,F$14=$K$32),
(VLOOKUP($K$25,$K$15:$V$32,'Actual-CO2 Calculations'!$AK58,FALSE))*F69,
(VLOOKUP(F$14,$K$15:$V$32,'Actual-CO2 Calculations'!$AK58,FALSE))*F69))</f>
        <v>0</v>
      </c>
    </row>
    <row r="218" spans="1:6">
      <c r="A218" t="s">
        <v>69</v>
      </c>
      <c r="B218" s="738">
        <f>IF(B$14=0,0,
IF(OR(B$14=$K$28,B$14=$K$29,B$14=$K$30,B$14=$K$31,B$14=$K$32),
(VLOOKUP($K$25,$K$15:$V$32,'Actual-CO2 Calculations'!$AK59,FALSE))*B70,
(VLOOKUP(B$14,$K$15:$V$32,'Actual-CO2 Calculations'!$AK59,FALSE))*B70))</f>
        <v>0</v>
      </c>
      <c r="C218" s="738">
        <f>IF(C$14=0,0,
IF(OR(C$14=$K$28,C$14=$K$29,C$14=$K$30,C$14=$K$31,C$14=$K$32),
(VLOOKUP($K$25,$K$15:$V$32,'Actual-CO2 Calculations'!$AK59,FALSE))*C70,
(VLOOKUP(C$14,$K$15:$V$32,'Actual-CO2 Calculations'!$AK59,FALSE))*C70))</f>
        <v>0</v>
      </c>
      <c r="D218" s="738">
        <f>IF(D$14=0,0,
IF(OR(D$14=$K$28,D$14=$K$29,D$14=$K$30,D$14=$K$31,D$14=$K$32),
(VLOOKUP($K$25,$K$15:$V$32,'Actual-CO2 Calculations'!$AK59,FALSE))*D70,
(VLOOKUP(D$14,$K$15:$V$32,'Actual-CO2 Calculations'!$AK59,FALSE))*D70))</f>
        <v>0</v>
      </c>
      <c r="E218" s="738">
        <f>IF(E$14=0,0,
IF(OR(E$14=$K$28,E$14=$K$29,E$14=$K$30,E$14=$K$31,E$14=$K$32),
(VLOOKUP($K$25,$K$15:$V$32,'Actual-CO2 Calculations'!$AK59,FALSE))*E70,
(VLOOKUP(E$14,$K$15:$V$32,'Actual-CO2 Calculations'!$AK59,FALSE))*E70))</f>
        <v>0</v>
      </c>
      <c r="F218" s="738">
        <f>IF(F$14=0,0,
IF(OR(F$14=$K$28,F$14=$K$29,F$14=$K$30,F$14=$K$31,F$14=$K$32),
(VLOOKUP($K$25,$K$15:$V$32,'Actual-CO2 Calculations'!$AK59,FALSE))*F70,
(VLOOKUP(F$14,$K$15:$V$32,'Actual-CO2 Calculations'!$AK59,FALSE))*F70))</f>
        <v>0</v>
      </c>
    </row>
    <row r="219" spans="1:6">
      <c r="A219" t="s">
        <v>70</v>
      </c>
      <c r="B219" s="738">
        <f>IF(B$14=0,0,
IF(OR(B$14=$K$28,B$14=$K$29,B$14=$K$30,B$14=$K$31,B$14=$K$32),
(VLOOKUP($K$25,$K$15:$V$32,'Actual-CO2 Calculations'!$AK60,FALSE))*B71,
(VLOOKUP(B$14,$K$15:$V$32,'Actual-CO2 Calculations'!$AK60,FALSE))*B71))</f>
        <v>0</v>
      </c>
      <c r="C219" s="738">
        <f>IF(C$14=0,0,
IF(OR(C$14=$K$28,C$14=$K$29,C$14=$K$30,C$14=$K$31,C$14=$K$32),
(VLOOKUP($K$25,$K$15:$V$32,'Actual-CO2 Calculations'!$AK60,FALSE))*C71,
(VLOOKUP(C$14,$K$15:$V$32,'Actual-CO2 Calculations'!$AK60,FALSE))*C71))</f>
        <v>0</v>
      </c>
      <c r="D219" s="738">
        <f>IF(D$14=0,0,
IF(OR(D$14=$K$28,D$14=$K$29,D$14=$K$30,D$14=$K$31,D$14=$K$32),
(VLOOKUP($K$25,$K$15:$V$32,'Actual-CO2 Calculations'!$AK60,FALSE))*D71,
(VLOOKUP(D$14,$K$15:$V$32,'Actual-CO2 Calculations'!$AK60,FALSE))*D71))</f>
        <v>0</v>
      </c>
      <c r="E219" s="738">
        <f>IF(E$14=0,0,
IF(OR(E$14=$K$28,E$14=$K$29,E$14=$K$30,E$14=$K$31,E$14=$K$32),
(VLOOKUP($K$25,$K$15:$V$32,'Actual-CO2 Calculations'!$AK60,FALSE))*E71,
(VLOOKUP(E$14,$K$15:$V$32,'Actual-CO2 Calculations'!$AK60,FALSE))*E71))</f>
        <v>0</v>
      </c>
      <c r="F219" s="738">
        <f>IF(F$14=0,0,
IF(OR(F$14=$K$28,F$14=$K$29,F$14=$K$30,F$14=$K$31,F$14=$K$32),
(VLOOKUP($K$25,$K$15:$V$32,'Actual-CO2 Calculations'!$AK60,FALSE))*F71,
(VLOOKUP(F$14,$K$15:$V$32,'Actual-CO2 Calculations'!$AK60,FALSE))*F71))</f>
        <v>0</v>
      </c>
    </row>
    <row r="220" spans="1:6">
      <c r="A220" t="s">
        <v>71</v>
      </c>
      <c r="B220" s="738">
        <f>IF(B$14=0,0,
IF(OR(B$14=$K$28,B$14=$K$29,B$14=$K$30,B$14=$K$31,B$14=$K$32),
(VLOOKUP($K$25,$K$15:$V$32,'Actual-CO2 Calculations'!$AK61,FALSE))*B72,
(VLOOKUP(B$14,$K$15:$V$32,'Actual-CO2 Calculations'!$AK61,FALSE))*B72))</f>
        <v>0</v>
      </c>
      <c r="C220" s="738">
        <f>IF(C$14=0,0,
IF(OR(C$14=$K$28,C$14=$K$29,C$14=$K$30,C$14=$K$31,C$14=$K$32),
(VLOOKUP($K$25,$K$15:$V$32,'Actual-CO2 Calculations'!$AK61,FALSE))*C72,
(VLOOKUP(C$14,$K$15:$V$32,'Actual-CO2 Calculations'!$AK61,FALSE))*C72))</f>
        <v>0</v>
      </c>
      <c r="D220" s="738">
        <f>IF(D$14=0,0,
IF(OR(D$14=$K$28,D$14=$K$29,D$14=$K$30,D$14=$K$31,D$14=$K$32),
(VLOOKUP($K$25,$K$15:$V$32,'Actual-CO2 Calculations'!$AK61,FALSE))*D72,
(VLOOKUP(D$14,$K$15:$V$32,'Actual-CO2 Calculations'!$AK61,FALSE))*D72))</f>
        <v>0</v>
      </c>
      <c r="E220" s="738">
        <f>IF(E$14=0,0,
IF(OR(E$14=$K$28,E$14=$K$29,E$14=$K$30,E$14=$K$31,E$14=$K$32),
(VLOOKUP($K$25,$K$15:$V$32,'Actual-CO2 Calculations'!$AK61,FALSE))*E72,
(VLOOKUP(E$14,$K$15:$V$32,'Actual-CO2 Calculations'!$AK61,FALSE))*E72))</f>
        <v>0</v>
      </c>
      <c r="F220" s="738">
        <f>IF(F$14=0,0,
IF(OR(F$14=$K$28,F$14=$K$29,F$14=$K$30,F$14=$K$31,F$14=$K$32),
(VLOOKUP($K$25,$K$15:$V$32,'Actual-CO2 Calculations'!$AK61,FALSE))*F72,
(VLOOKUP(F$14,$K$15:$V$32,'Actual-CO2 Calculations'!$AK61,FALSE))*F72))</f>
        <v>0</v>
      </c>
    </row>
    <row r="221" spans="1:6">
      <c r="A221" t="s">
        <v>72</v>
      </c>
      <c r="B221" s="738">
        <f>IF(B$14=0,0,
IF(OR(B$14=$K$28,B$14=$K$29,B$14=$K$30,B$14=$K$31,B$14=$K$32),
(VLOOKUP($K$25,$K$15:$V$32,'Actual-CO2 Calculations'!$AK62,FALSE))*B73,
(VLOOKUP(B$14,$K$15:$V$32,'Actual-CO2 Calculations'!$AK62,FALSE))*B73))</f>
        <v>0</v>
      </c>
      <c r="C221" s="738">
        <f>IF(C$14=0,0,
IF(OR(C$14=$K$28,C$14=$K$29,C$14=$K$30,C$14=$K$31,C$14=$K$32),
(VLOOKUP($K$25,$K$15:$V$32,'Actual-CO2 Calculations'!$AK62,FALSE))*C73,
(VLOOKUP(C$14,$K$15:$V$32,'Actual-CO2 Calculations'!$AK62,FALSE))*C73))</f>
        <v>0</v>
      </c>
      <c r="D221" s="738">
        <f>IF(D$14=0,0,
IF(OR(D$14=$K$28,D$14=$K$29,D$14=$K$30,D$14=$K$31,D$14=$K$32),
(VLOOKUP($K$25,$K$15:$V$32,'Actual-CO2 Calculations'!$AK62,FALSE))*D73,
(VLOOKUP(D$14,$K$15:$V$32,'Actual-CO2 Calculations'!$AK62,FALSE))*D73))</f>
        <v>0</v>
      </c>
      <c r="E221" s="738">
        <f>IF(E$14=0,0,
IF(OR(E$14=$K$28,E$14=$K$29,E$14=$K$30,E$14=$K$31,E$14=$K$32),
(VLOOKUP($K$25,$K$15:$V$32,'Actual-CO2 Calculations'!$AK62,FALSE))*E73,
(VLOOKUP(E$14,$K$15:$V$32,'Actual-CO2 Calculations'!$AK62,FALSE))*E73))</f>
        <v>0</v>
      </c>
      <c r="F221" s="738">
        <f>IF(F$14=0,0,
IF(OR(F$14=$K$28,F$14=$K$29,F$14=$K$30,F$14=$K$31,F$14=$K$32),
(VLOOKUP($K$25,$K$15:$V$32,'Actual-CO2 Calculations'!$AK62,FALSE))*F73,
(VLOOKUP(F$14,$K$15:$V$32,'Actual-CO2 Calculations'!$AK62,FALSE))*F73))</f>
        <v>0</v>
      </c>
    </row>
    <row r="222" spans="1:6">
      <c r="A222" t="s">
        <v>73</v>
      </c>
      <c r="B222" s="738">
        <f>IF(B$14=0,0,
IF(OR(B$14=$K$28,B$14=$K$29,B$14=$K$30,B$14=$K$31,B$14=$K$32),
(VLOOKUP($K$25,$K$15:$V$32,'Actual-CO2 Calculations'!$AK63,FALSE))*B74,
(VLOOKUP(B$14,$K$15:$V$32,'Actual-CO2 Calculations'!$AK63,FALSE))*B74))</f>
        <v>0</v>
      </c>
      <c r="C222" s="738">
        <f>IF(C$14=0,0,
IF(OR(C$14=$K$28,C$14=$K$29,C$14=$K$30,C$14=$K$31,C$14=$K$32),
(VLOOKUP($K$25,$K$15:$V$32,'Actual-CO2 Calculations'!$AK63,FALSE))*C74,
(VLOOKUP(C$14,$K$15:$V$32,'Actual-CO2 Calculations'!$AK63,FALSE))*C74))</f>
        <v>0</v>
      </c>
      <c r="D222" s="738">
        <f>IF(D$14=0,0,
IF(OR(D$14=$K$28,D$14=$K$29,D$14=$K$30,D$14=$K$31,D$14=$K$32),
(VLOOKUP($K$25,$K$15:$V$32,'Actual-CO2 Calculations'!$AK63,FALSE))*D74,
(VLOOKUP(D$14,$K$15:$V$32,'Actual-CO2 Calculations'!$AK63,FALSE))*D74))</f>
        <v>0</v>
      </c>
      <c r="E222" s="738">
        <f>IF(E$14=0,0,
IF(OR(E$14=$K$28,E$14=$K$29,E$14=$K$30,E$14=$K$31,E$14=$K$32),
(VLOOKUP($K$25,$K$15:$V$32,'Actual-CO2 Calculations'!$AK63,FALSE))*E74,
(VLOOKUP(E$14,$K$15:$V$32,'Actual-CO2 Calculations'!$AK63,FALSE))*E74))</f>
        <v>0</v>
      </c>
      <c r="F222" s="738">
        <f>IF(F$14=0,0,
IF(OR(F$14=$K$28,F$14=$K$29,F$14=$K$30,F$14=$K$31,F$14=$K$32),
(VLOOKUP($K$25,$K$15:$V$32,'Actual-CO2 Calculations'!$AK63,FALSE))*F74,
(VLOOKUP(F$14,$K$15:$V$32,'Actual-CO2 Calculations'!$AK63,FALSE))*F74))</f>
        <v>0</v>
      </c>
    </row>
    <row r="223" spans="1:6">
      <c r="A223" t="s">
        <v>74</v>
      </c>
      <c r="B223" s="738">
        <f>IF(B$14=0,0,
IF(OR(B$14=$K$28,B$14=$K$29,B$14=$K$30,B$14=$K$31,B$14=$K$32),
(VLOOKUP($K$25,$K$15:$V$32,'Actual-CO2 Calculations'!$AK64,FALSE))*B75,
(VLOOKUP(B$14,$K$15:$V$32,'Actual-CO2 Calculations'!$AK64,FALSE))*B75))</f>
        <v>0</v>
      </c>
      <c r="C223" s="738">
        <f>IF(C$14=0,0,
IF(OR(C$14=$K$28,C$14=$K$29,C$14=$K$30,C$14=$K$31,C$14=$K$32),
(VLOOKUP($K$25,$K$15:$V$32,'Actual-CO2 Calculations'!$AK64,FALSE))*C75,
(VLOOKUP(C$14,$K$15:$V$32,'Actual-CO2 Calculations'!$AK64,FALSE))*C75))</f>
        <v>0</v>
      </c>
      <c r="D223" s="738">
        <f>IF(D$14=0,0,
IF(OR(D$14=$K$28,D$14=$K$29,D$14=$K$30,D$14=$K$31,D$14=$K$32),
(VLOOKUP($K$25,$K$15:$V$32,'Actual-CO2 Calculations'!$AK64,FALSE))*D75,
(VLOOKUP(D$14,$K$15:$V$32,'Actual-CO2 Calculations'!$AK64,FALSE))*D75))</f>
        <v>0</v>
      </c>
      <c r="E223" s="738">
        <f>IF(E$14=0,0,
IF(OR(E$14=$K$28,E$14=$K$29,E$14=$K$30,E$14=$K$31,E$14=$K$32),
(VLOOKUP($K$25,$K$15:$V$32,'Actual-CO2 Calculations'!$AK64,FALSE))*E75,
(VLOOKUP(E$14,$K$15:$V$32,'Actual-CO2 Calculations'!$AK64,FALSE))*E75))</f>
        <v>0</v>
      </c>
      <c r="F223" s="738">
        <f>IF(F$14=0,0,
IF(OR(F$14=$K$28,F$14=$K$29,F$14=$K$30,F$14=$K$31,F$14=$K$32),
(VLOOKUP($K$25,$K$15:$V$32,'Actual-CO2 Calculations'!$AK64,FALSE))*F75,
(VLOOKUP(F$14,$K$15:$V$32,'Actual-CO2 Calculations'!$AK64,FALSE))*F75))</f>
        <v>0</v>
      </c>
    </row>
    <row r="224" spans="1:6">
      <c r="A224" t="s">
        <v>75</v>
      </c>
      <c r="B224" s="738">
        <f>IF(B$14=0,0,
IF(OR(B$14=$K$28,B$14=$K$29,B$14=$K$30,B$14=$K$31,B$14=$K$32),
(VLOOKUP($K$25,$K$15:$V$32,'Actual-CO2 Calculations'!$AK65,FALSE))*B76,
(VLOOKUP(B$14,$K$15:$V$32,'Actual-CO2 Calculations'!$AK65,FALSE))*B76))</f>
        <v>0</v>
      </c>
      <c r="C224" s="738">
        <f>IF(C$14=0,0,
IF(OR(C$14=$K$28,C$14=$K$29,C$14=$K$30,C$14=$K$31,C$14=$K$32),
(VLOOKUP($K$25,$K$15:$V$32,'Actual-CO2 Calculations'!$AK65,FALSE))*C76,
(VLOOKUP(C$14,$K$15:$V$32,'Actual-CO2 Calculations'!$AK65,FALSE))*C76))</f>
        <v>0</v>
      </c>
      <c r="D224" s="738">
        <f>IF(D$14=0,0,
IF(OR(D$14=$K$28,D$14=$K$29,D$14=$K$30,D$14=$K$31,D$14=$K$32),
(VLOOKUP($K$25,$K$15:$V$32,'Actual-CO2 Calculations'!$AK65,FALSE))*D76,
(VLOOKUP(D$14,$K$15:$V$32,'Actual-CO2 Calculations'!$AK65,FALSE))*D76))</f>
        <v>0</v>
      </c>
      <c r="E224" s="738">
        <f>IF(E$14=0,0,
IF(OR(E$14=$K$28,E$14=$K$29,E$14=$K$30,E$14=$K$31,E$14=$K$32),
(VLOOKUP($K$25,$K$15:$V$32,'Actual-CO2 Calculations'!$AK65,FALSE))*E76,
(VLOOKUP(E$14,$K$15:$V$32,'Actual-CO2 Calculations'!$AK65,FALSE))*E76))</f>
        <v>0</v>
      </c>
      <c r="F224" s="738">
        <f>IF(F$14=0,0,
IF(OR(F$14=$K$28,F$14=$K$29,F$14=$K$30,F$14=$K$31,F$14=$K$32),
(VLOOKUP($K$25,$K$15:$V$32,'Actual-CO2 Calculations'!$AK65,FALSE))*F76,
(VLOOKUP(F$14,$K$15:$V$32,'Actual-CO2 Calculations'!$AK65,FALSE))*F76))</f>
        <v>0</v>
      </c>
    </row>
    <row r="225" spans="1:6">
      <c r="A225" t="s">
        <v>12</v>
      </c>
      <c r="B225" s="738">
        <f>IF(B$14=0,0,
IF(OR(B$14=$K$28,B$14=$K$29,B$14=$K$30,B$14=$K$31,B$14=$K$32),
(VLOOKUP($K$25,$K$15:$V$32,'Actual-CO2 Calculations'!$AK66,FALSE))*B77,
(VLOOKUP(B$14,$K$15:$V$32,'Actual-CO2 Calculations'!$AK66,FALSE))*B77))</f>
        <v>0</v>
      </c>
      <c r="C225" s="738">
        <f>IF(C$14=0,0,
IF(OR(C$14=$K$28,C$14=$K$29,C$14=$K$30,C$14=$K$31,C$14=$K$32),
(VLOOKUP($K$25,$K$15:$V$32,'Actual-CO2 Calculations'!$AK66,FALSE))*C77,
(VLOOKUP(C$14,$K$15:$V$32,'Actual-CO2 Calculations'!$AK66,FALSE))*C77))</f>
        <v>0</v>
      </c>
      <c r="D225" s="738">
        <f>IF(D$14=0,0,
IF(OR(D$14=$K$28,D$14=$K$29,D$14=$K$30,D$14=$K$31,D$14=$K$32),
(VLOOKUP($K$25,$K$15:$V$32,'Actual-CO2 Calculations'!$AK66,FALSE))*D77,
(VLOOKUP(D$14,$K$15:$V$32,'Actual-CO2 Calculations'!$AK66,FALSE))*D77))</f>
        <v>0</v>
      </c>
      <c r="E225" s="738">
        <f>IF(E$14=0,0,
IF(OR(E$14=$K$28,E$14=$K$29,E$14=$K$30,E$14=$K$31,E$14=$K$32),
(VLOOKUP($K$25,$K$15:$V$32,'Actual-CO2 Calculations'!$AK66,FALSE))*E77,
(VLOOKUP(E$14,$K$15:$V$32,'Actual-CO2 Calculations'!$AK66,FALSE))*E77))</f>
        <v>0</v>
      </c>
      <c r="F225" s="738">
        <f>IF(F$14=0,0,
IF(OR(F$14=$K$28,F$14=$K$29,F$14=$K$30,F$14=$K$31,F$14=$K$32),
(VLOOKUP($K$25,$K$15:$V$32,'Actual-CO2 Calculations'!$AK66,FALSE))*F77,
(VLOOKUP(F$14,$K$15:$V$32,'Actual-CO2 Calculations'!$AK66,FALSE))*F77))</f>
        <v>0</v>
      </c>
    </row>
    <row r="226" spans="1:6">
      <c r="A226" t="s">
        <v>13</v>
      </c>
      <c r="B226" s="738">
        <f>IF(B$14=0,0,
IF(OR(B$14=$K$28,B$14=$K$29,B$14=$K$30,B$14=$K$31,B$14=$K$32),
(VLOOKUP($K$25,$K$15:$V$32,'Actual-CO2 Calculations'!$AK67,FALSE))*B78,
(VLOOKUP(B$14,$K$15:$V$32,'Actual-CO2 Calculations'!$AK67,FALSE))*B78))</f>
        <v>0</v>
      </c>
      <c r="C226" s="738">
        <f>IF(C$14=0,0,
IF(OR(C$14=$K$28,C$14=$K$29,C$14=$K$30,C$14=$K$31,C$14=$K$32),
(VLOOKUP($K$25,$K$15:$V$32,'Actual-CO2 Calculations'!$AK67,FALSE))*C78,
(VLOOKUP(C$14,$K$15:$V$32,'Actual-CO2 Calculations'!$AK67,FALSE))*C78))</f>
        <v>0</v>
      </c>
      <c r="D226" s="738">
        <f>IF(D$14=0,0,
IF(OR(D$14=$K$28,D$14=$K$29,D$14=$K$30,D$14=$K$31,D$14=$K$32),
(VLOOKUP($K$25,$K$15:$V$32,'Actual-CO2 Calculations'!$AK67,FALSE))*D78,
(VLOOKUP(D$14,$K$15:$V$32,'Actual-CO2 Calculations'!$AK67,FALSE))*D78))</f>
        <v>0</v>
      </c>
      <c r="E226" s="738">
        <f>IF(E$14=0,0,
IF(OR(E$14=$K$28,E$14=$K$29,E$14=$K$30,E$14=$K$31,E$14=$K$32),
(VLOOKUP($K$25,$K$15:$V$32,'Actual-CO2 Calculations'!$AK67,FALSE))*E78,
(VLOOKUP(E$14,$K$15:$V$32,'Actual-CO2 Calculations'!$AK67,FALSE))*E78))</f>
        <v>0</v>
      </c>
      <c r="F226" s="738">
        <f>IF(F$14=0,0,
IF(OR(F$14=$K$28,F$14=$K$29,F$14=$K$30,F$14=$K$31,F$14=$K$32),
(VLOOKUP($K$25,$K$15:$V$32,'Actual-CO2 Calculations'!$AK67,FALSE))*F78,
(VLOOKUP(F$14,$K$15:$V$32,'Actual-CO2 Calculations'!$AK67,FALSE))*F78))</f>
        <v>0</v>
      </c>
    </row>
    <row r="227" spans="1:6">
      <c r="A227" t="s">
        <v>14</v>
      </c>
      <c r="B227" s="738">
        <f>IF(B$14=0,0,
IF(OR(B$14=$K$28,B$14=$K$29,B$14=$K$30,B$14=$K$31,B$14=$K$32),
(VLOOKUP($K$25,$K$15:$V$32,'Actual-CO2 Calculations'!$AK68,FALSE))*B79,
(VLOOKUP(B$14,$K$15:$V$32,'Actual-CO2 Calculations'!$AK68,FALSE))*B79))</f>
        <v>0</v>
      </c>
      <c r="C227" s="738">
        <f>IF(C$14=0,0,
IF(OR(C$14=$K$28,C$14=$K$29,C$14=$K$30,C$14=$K$31,C$14=$K$32),
(VLOOKUP($K$25,$K$15:$V$32,'Actual-CO2 Calculations'!$AK68,FALSE))*C79,
(VLOOKUP(C$14,$K$15:$V$32,'Actual-CO2 Calculations'!$AK68,FALSE))*C79))</f>
        <v>0</v>
      </c>
      <c r="D227" s="738">
        <f>IF(D$14=0,0,
IF(OR(D$14=$K$28,D$14=$K$29,D$14=$K$30,D$14=$K$31,D$14=$K$32),
(VLOOKUP($K$25,$K$15:$V$32,'Actual-CO2 Calculations'!$AK68,FALSE))*D79,
(VLOOKUP(D$14,$K$15:$V$32,'Actual-CO2 Calculations'!$AK68,FALSE))*D79))</f>
        <v>0</v>
      </c>
      <c r="E227" s="738">
        <f>IF(E$14=0,0,
IF(OR(E$14=$K$28,E$14=$K$29,E$14=$K$30,E$14=$K$31,E$14=$K$32),
(VLOOKUP($K$25,$K$15:$V$32,'Actual-CO2 Calculations'!$AK68,FALSE))*E79,
(VLOOKUP(E$14,$K$15:$V$32,'Actual-CO2 Calculations'!$AK68,FALSE))*E79))</f>
        <v>0</v>
      </c>
      <c r="F227" s="738">
        <f>IF(F$14=0,0,
IF(OR(F$14=$K$28,F$14=$K$29,F$14=$K$30,F$14=$K$31,F$14=$K$32),
(VLOOKUP($K$25,$K$15:$V$32,'Actual-CO2 Calculations'!$AK68,FALSE))*F79,
(VLOOKUP(F$14,$K$15:$V$32,'Actual-CO2 Calculations'!$AK68,FALSE))*F79))</f>
        <v>0</v>
      </c>
    </row>
    <row r="228" spans="1:6">
      <c r="A228" t="s">
        <v>15</v>
      </c>
      <c r="B228" s="738">
        <f>IF(B$14=0,0,
IF(OR(B$14=$K$28,B$14=$K$29,B$14=$K$30,B$14=$K$31,B$14=$K$32),
(VLOOKUP($K$25,$K$15:$V$32,'Actual-CO2 Calculations'!$AK69,FALSE))*B80,
(VLOOKUP(B$14,$K$15:$V$32,'Actual-CO2 Calculations'!$AK69,FALSE))*B80))</f>
        <v>0</v>
      </c>
      <c r="C228" s="738">
        <f>IF(C$14=0,0,
IF(OR(C$14=$K$28,C$14=$K$29,C$14=$K$30,C$14=$K$31,C$14=$K$32),
(VLOOKUP($K$25,$K$15:$V$32,'Actual-CO2 Calculations'!$AK69,FALSE))*C80,
(VLOOKUP(C$14,$K$15:$V$32,'Actual-CO2 Calculations'!$AK69,FALSE))*C80))</f>
        <v>0</v>
      </c>
      <c r="D228" s="738">
        <f>IF(D$14=0,0,
IF(OR(D$14=$K$28,D$14=$K$29,D$14=$K$30,D$14=$K$31,D$14=$K$32),
(VLOOKUP($K$25,$K$15:$V$32,'Actual-CO2 Calculations'!$AK69,FALSE))*D80,
(VLOOKUP(D$14,$K$15:$V$32,'Actual-CO2 Calculations'!$AK69,FALSE))*D80))</f>
        <v>0</v>
      </c>
      <c r="E228" s="738">
        <f>IF(E$14=0,0,
IF(OR(E$14=$K$28,E$14=$K$29,E$14=$K$30,E$14=$K$31,E$14=$K$32),
(VLOOKUP($K$25,$K$15:$V$32,'Actual-CO2 Calculations'!$AK69,FALSE))*E80,
(VLOOKUP(E$14,$K$15:$V$32,'Actual-CO2 Calculations'!$AK69,FALSE))*E80))</f>
        <v>0</v>
      </c>
      <c r="F228" s="738">
        <f>IF(F$14=0,0,
IF(OR(F$14=$K$28,F$14=$K$29,F$14=$K$30,F$14=$K$31,F$14=$K$32),
(VLOOKUP($K$25,$K$15:$V$32,'Actual-CO2 Calculations'!$AK69,FALSE))*F80,
(VLOOKUP(F$14,$K$15:$V$32,'Actual-CO2 Calculations'!$AK69,FALSE))*F80))</f>
        <v>0</v>
      </c>
    </row>
    <row r="229" spans="1:6">
      <c r="A229" t="s">
        <v>76</v>
      </c>
      <c r="B229" s="738">
        <f>IF(B$14=0,0,
IF(OR(B$14=$K$28,B$14=$K$29,B$14=$K$30,B$14=$K$31,B$14=$K$32),
(VLOOKUP($K$25,$K$15:$V$32,'Actual-CO2 Calculations'!$AK70,FALSE))*B81,
(VLOOKUP(B$14,$K$15:$V$32,'Actual-CO2 Calculations'!$AK70,FALSE))*B81))</f>
        <v>0</v>
      </c>
      <c r="C229" s="738">
        <f>IF(C$14=0,0,
IF(OR(C$14=$K$28,C$14=$K$29,C$14=$K$30,C$14=$K$31,C$14=$K$32),
(VLOOKUP($K$25,$K$15:$V$32,'Actual-CO2 Calculations'!$AK70,FALSE))*C81,
(VLOOKUP(C$14,$K$15:$V$32,'Actual-CO2 Calculations'!$AK70,FALSE))*C81))</f>
        <v>0</v>
      </c>
      <c r="D229" s="738">
        <f>IF(D$14=0,0,
IF(OR(D$14=$K$28,D$14=$K$29,D$14=$K$30,D$14=$K$31,D$14=$K$32),
(VLOOKUP($K$25,$K$15:$V$32,'Actual-CO2 Calculations'!$AK70,FALSE))*D81,
(VLOOKUP(D$14,$K$15:$V$32,'Actual-CO2 Calculations'!$AK70,FALSE))*D81))</f>
        <v>0</v>
      </c>
      <c r="E229" s="738">
        <f>IF(E$14=0,0,
IF(OR(E$14=$K$28,E$14=$K$29,E$14=$K$30,E$14=$K$31,E$14=$K$32),
(VLOOKUP($K$25,$K$15:$V$32,'Actual-CO2 Calculations'!$AK70,FALSE))*E81,
(VLOOKUP(E$14,$K$15:$V$32,'Actual-CO2 Calculations'!$AK70,FALSE))*E81))</f>
        <v>0</v>
      </c>
      <c r="F229" s="738">
        <f>IF(F$14=0,0,
IF(OR(F$14=$K$28,F$14=$K$29,F$14=$K$30,F$14=$K$31,F$14=$K$32),
(VLOOKUP($K$25,$K$15:$V$32,'Actual-CO2 Calculations'!$AK70,FALSE))*F81,
(VLOOKUP(F$14,$K$15:$V$32,'Actual-CO2 Calculations'!$AK70,FALSE))*F81))</f>
        <v>0</v>
      </c>
    </row>
    <row r="230" spans="1:6">
      <c r="A230" t="s">
        <v>77</v>
      </c>
      <c r="B230" s="738">
        <f>IF(B$14=0,0,
IF(OR(B$14=$K$28,B$14=$K$29,B$14=$K$30,B$14=$K$31,B$14=$K$32),
(VLOOKUP($K$25,$K$15:$V$32,'Actual-CO2 Calculations'!$AK71,FALSE))*B82,
(VLOOKUP(B$14,$K$15:$V$32,'Actual-CO2 Calculations'!$AK71,FALSE))*B82))</f>
        <v>0</v>
      </c>
      <c r="C230" s="738">
        <f>IF(C$14=0,0,
IF(OR(C$14=$K$28,C$14=$K$29,C$14=$K$30,C$14=$K$31,C$14=$K$32),
(VLOOKUP($K$25,$K$15:$V$32,'Actual-CO2 Calculations'!$AK71,FALSE))*C82,
(VLOOKUP(C$14,$K$15:$V$32,'Actual-CO2 Calculations'!$AK71,FALSE))*C82))</f>
        <v>0</v>
      </c>
      <c r="D230" s="738">
        <f>IF(D$14=0,0,
IF(OR(D$14=$K$28,D$14=$K$29,D$14=$K$30,D$14=$K$31,D$14=$K$32),
(VLOOKUP($K$25,$K$15:$V$32,'Actual-CO2 Calculations'!$AK71,FALSE))*D82,
(VLOOKUP(D$14,$K$15:$V$32,'Actual-CO2 Calculations'!$AK71,FALSE))*D82))</f>
        <v>0</v>
      </c>
      <c r="E230" s="738">
        <f>IF(E$14=0,0,
IF(OR(E$14=$K$28,E$14=$K$29,E$14=$K$30,E$14=$K$31,E$14=$K$32),
(VLOOKUP($K$25,$K$15:$V$32,'Actual-CO2 Calculations'!$AK71,FALSE))*E82,
(VLOOKUP(E$14,$K$15:$V$32,'Actual-CO2 Calculations'!$AK71,FALSE))*E82))</f>
        <v>0</v>
      </c>
      <c r="F230" s="738">
        <f>IF(F$14=0,0,
IF(OR(F$14=$K$28,F$14=$K$29,F$14=$K$30,F$14=$K$31,F$14=$K$32),
(VLOOKUP($K$25,$K$15:$V$32,'Actual-CO2 Calculations'!$AK71,FALSE))*F82,
(VLOOKUP(F$14,$K$15:$V$32,'Actual-CO2 Calculations'!$AK71,FALSE))*F82))</f>
        <v>0</v>
      </c>
    </row>
    <row r="231" spans="1:6">
      <c r="A231" t="s">
        <v>78</v>
      </c>
      <c r="B231" s="738">
        <f>IF(B$14=0,0,
IF(OR(B$14=$K$28,B$14=$K$29,B$14=$K$30,B$14=$K$31,B$14=$K$32),
(VLOOKUP($K$25,$K$15:$V$32,'Actual-CO2 Calculations'!$AK72,FALSE))*B83,
(VLOOKUP(B$14,$K$15:$V$32,'Actual-CO2 Calculations'!$AK72,FALSE))*B83))</f>
        <v>0</v>
      </c>
      <c r="C231" s="738">
        <f>IF(C$14=0,0,
IF(OR(C$14=$K$28,C$14=$K$29,C$14=$K$30,C$14=$K$31,C$14=$K$32),
(VLOOKUP($K$25,$K$15:$V$32,'Actual-CO2 Calculations'!$AK72,FALSE))*C83,
(VLOOKUP(C$14,$K$15:$V$32,'Actual-CO2 Calculations'!$AK72,FALSE))*C83))</f>
        <v>0</v>
      </c>
      <c r="D231" s="738">
        <f>IF(D$14=0,0,
IF(OR(D$14=$K$28,D$14=$K$29,D$14=$K$30,D$14=$K$31,D$14=$K$32),
(VLOOKUP($K$25,$K$15:$V$32,'Actual-CO2 Calculations'!$AK72,FALSE))*D83,
(VLOOKUP(D$14,$K$15:$V$32,'Actual-CO2 Calculations'!$AK72,FALSE))*D83))</f>
        <v>0</v>
      </c>
      <c r="E231" s="738">
        <f>IF(E$14=0,0,
IF(OR(E$14=$K$28,E$14=$K$29,E$14=$K$30,E$14=$K$31,E$14=$K$32),
(VLOOKUP($K$25,$K$15:$V$32,'Actual-CO2 Calculations'!$AK72,FALSE))*E83,
(VLOOKUP(E$14,$K$15:$V$32,'Actual-CO2 Calculations'!$AK72,FALSE))*E83))</f>
        <v>0</v>
      </c>
      <c r="F231" s="738">
        <f>IF(F$14=0,0,
IF(OR(F$14=$K$28,F$14=$K$29,F$14=$K$30,F$14=$K$31,F$14=$K$32),
(VLOOKUP($K$25,$K$15:$V$32,'Actual-CO2 Calculations'!$AK72,FALSE))*F83,
(VLOOKUP(F$14,$K$15:$V$32,'Actual-CO2 Calculations'!$AK72,FALSE))*F83))</f>
        <v>0</v>
      </c>
    </row>
    <row r="232" spans="1:6">
      <c r="A232" t="s">
        <v>79</v>
      </c>
      <c r="B232" s="738">
        <f>IF(B$14=0,0,
IF(OR(B$14=$K$28,B$14=$K$29,B$14=$K$30,B$14=$K$31,B$14=$K$32),
(VLOOKUP($K$25,$K$15:$V$32,'Actual-CO2 Calculations'!$AK73,FALSE))*B84,
(VLOOKUP(B$14,$K$15:$V$32,'Actual-CO2 Calculations'!$AK73,FALSE))*B84))</f>
        <v>0</v>
      </c>
      <c r="C232" s="738">
        <f>IF(C$14=0,0,
IF(OR(C$14=$K$28,C$14=$K$29,C$14=$K$30,C$14=$K$31,C$14=$K$32),
(VLOOKUP($K$25,$K$15:$V$32,'Actual-CO2 Calculations'!$AK73,FALSE))*C84,
(VLOOKUP(C$14,$K$15:$V$32,'Actual-CO2 Calculations'!$AK73,FALSE))*C84))</f>
        <v>0</v>
      </c>
      <c r="D232" s="738">
        <f>IF(D$14=0,0,
IF(OR(D$14=$K$28,D$14=$K$29,D$14=$K$30,D$14=$K$31,D$14=$K$32),
(VLOOKUP($K$25,$K$15:$V$32,'Actual-CO2 Calculations'!$AK73,FALSE))*D84,
(VLOOKUP(D$14,$K$15:$V$32,'Actual-CO2 Calculations'!$AK73,FALSE))*D84))</f>
        <v>0</v>
      </c>
      <c r="E232" s="738">
        <f>IF(E$14=0,0,
IF(OR(E$14=$K$28,E$14=$K$29,E$14=$K$30,E$14=$K$31,E$14=$K$32),
(VLOOKUP($K$25,$K$15:$V$32,'Actual-CO2 Calculations'!$AK73,FALSE))*E84,
(VLOOKUP(E$14,$K$15:$V$32,'Actual-CO2 Calculations'!$AK73,FALSE))*E84))</f>
        <v>0</v>
      </c>
      <c r="F232" s="738">
        <f>IF(F$14=0,0,
IF(OR(F$14=$K$28,F$14=$K$29,F$14=$K$30,F$14=$K$31,F$14=$K$32),
(VLOOKUP($K$25,$K$15:$V$32,'Actual-CO2 Calculations'!$AK73,FALSE))*F84,
(VLOOKUP(F$14,$K$15:$V$32,'Actual-CO2 Calculations'!$AK73,FALSE))*F84))</f>
        <v>0</v>
      </c>
    </row>
    <row r="233" spans="1:6">
      <c r="A233" t="s">
        <v>80</v>
      </c>
      <c r="B233" s="738">
        <f>IF(B$14=0,0,
IF(OR(B$14=$K$28,B$14=$K$29,B$14=$K$30,B$14=$K$31,B$14=$K$32),
(VLOOKUP($K$25,$K$15:$V$32,'Actual-CO2 Calculations'!$AK74,FALSE))*B85,
(VLOOKUP(B$14,$K$15:$V$32,'Actual-CO2 Calculations'!$AK74,FALSE))*B85))</f>
        <v>0</v>
      </c>
      <c r="C233" s="738">
        <f>IF(C$14=0,0,
IF(OR(C$14=$K$28,C$14=$K$29,C$14=$K$30,C$14=$K$31,C$14=$K$32),
(VLOOKUP($K$25,$K$15:$V$32,'Actual-CO2 Calculations'!$AK74,FALSE))*C85,
(VLOOKUP(C$14,$K$15:$V$32,'Actual-CO2 Calculations'!$AK74,FALSE))*C85))</f>
        <v>0</v>
      </c>
      <c r="D233" s="738">
        <f>IF(D$14=0,0,
IF(OR(D$14=$K$28,D$14=$K$29,D$14=$K$30,D$14=$K$31,D$14=$K$32),
(VLOOKUP($K$25,$K$15:$V$32,'Actual-CO2 Calculations'!$AK74,FALSE))*D85,
(VLOOKUP(D$14,$K$15:$V$32,'Actual-CO2 Calculations'!$AK74,FALSE))*D85))</f>
        <v>0</v>
      </c>
      <c r="E233" s="738">
        <f>IF(E$14=0,0,
IF(OR(E$14=$K$28,E$14=$K$29,E$14=$K$30,E$14=$K$31,E$14=$K$32),
(VLOOKUP($K$25,$K$15:$V$32,'Actual-CO2 Calculations'!$AK74,FALSE))*E85,
(VLOOKUP(E$14,$K$15:$V$32,'Actual-CO2 Calculations'!$AK74,FALSE))*E85))</f>
        <v>0</v>
      </c>
      <c r="F233" s="738">
        <f>IF(F$14=0,0,
IF(OR(F$14=$K$28,F$14=$K$29,F$14=$K$30,F$14=$K$31,F$14=$K$32),
(VLOOKUP($K$25,$K$15:$V$32,'Actual-CO2 Calculations'!$AK74,FALSE))*F85,
(VLOOKUP(F$14,$K$15:$V$32,'Actual-CO2 Calculations'!$AK74,FALSE))*F85))</f>
        <v>0</v>
      </c>
    </row>
    <row r="234" spans="1:6">
      <c r="A234" t="s">
        <v>81</v>
      </c>
      <c r="B234" s="738">
        <f>IF(B$14=0,0,
IF(OR(B$14=$K$28,B$14=$K$29,B$14=$K$30,B$14=$K$31,B$14=$K$32),
(VLOOKUP($K$25,$K$15:$V$32,'Actual-CO2 Calculations'!$AK75,FALSE))*B86,
(VLOOKUP(B$14,$K$15:$V$32,'Actual-CO2 Calculations'!$AK75,FALSE))*B86))</f>
        <v>0</v>
      </c>
      <c r="C234" s="738">
        <f>IF(C$14=0,0,
IF(OR(C$14=$K$28,C$14=$K$29,C$14=$K$30,C$14=$K$31,C$14=$K$32),
(VLOOKUP($K$25,$K$15:$V$32,'Actual-CO2 Calculations'!$AK75,FALSE))*C86,
(VLOOKUP(C$14,$K$15:$V$32,'Actual-CO2 Calculations'!$AK75,FALSE))*C86))</f>
        <v>0</v>
      </c>
      <c r="D234" s="738">
        <f>IF(D$14=0,0,
IF(OR(D$14=$K$28,D$14=$K$29,D$14=$K$30,D$14=$K$31,D$14=$K$32),
(VLOOKUP($K$25,$K$15:$V$32,'Actual-CO2 Calculations'!$AK75,FALSE))*D86,
(VLOOKUP(D$14,$K$15:$V$32,'Actual-CO2 Calculations'!$AK75,FALSE))*D86))</f>
        <v>0</v>
      </c>
      <c r="E234" s="738">
        <f>IF(E$14=0,0,
IF(OR(E$14=$K$28,E$14=$K$29,E$14=$K$30,E$14=$K$31,E$14=$K$32),
(VLOOKUP($K$25,$K$15:$V$32,'Actual-CO2 Calculations'!$AK75,FALSE))*E86,
(VLOOKUP(E$14,$K$15:$V$32,'Actual-CO2 Calculations'!$AK75,FALSE))*E86))</f>
        <v>0</v>
      </c>
      <c r="F234" s="738">
        <f>IF(F$14=0,0,
IF(OR(F$14=$K$28,F$14=$K$29,F$14=$K$30,F$14=$K$31,F$14=$K$32),
(VLOOKUP($K$25,$K$15:$V$32,'Actual-CO2 Calculations'!$AK75,FALSE))*F86,
(VLOOKUP(F$14,$K$15:$V$32,'Actual-CO2 Calculations'!$AK75,FALSE))*F86))</f>
        <v>0</v>
      </c>
    </row>
    <row r="235" spans="1:6">
      <c r="A235" t="s">
        <v>82</v>
      </c>
      <c r="B235" s="738">
        <f>IF(B$14=0,0,
IF(OR(B$14=$K$28,B$14=$K$29,B$14=$K$30,B$14=$K$31,B$14=$K$32),
(VLOOKUP($K$25,$K$15:$V$32,'Actual-CO2 Calculations'!$AK76,FALSE))*B87,
(VLOOKUP(B$14,$K$15:$V$32,'Actual-CO2 Calculations'!$AK76,FALSE))*B87))</f>
        <v>0</v>
      </c>
      <c r="C235" s="738">
        <f>IF(C$14=0,0,
IF(OR(C$14=$K$28,C$14=$K$29,C$14=$K$30,C$14=$K$31,C$14=$K$32),
(VLOOKUP($K$25,$K$15:$V$32,'Actual-CO2 Calculations'!$AK76,FALSE))*C87,
(VLOOKUP(C$14,$K$15:$V$32,'Actual-CO2 Calculations'!$AK76,FALSE))*C87))</f>
        <v>0</v>
      </c>
      <c r="D235" s="738">
        <f>IF(D$14=0,0,
IF(OR(D$14=$K$28,D$14=$K$29,D$14=$K$30,D$14=$K$31,D$14=$K$32),
(VLOOKUP($K$25,$K$15:$V$32,'Actual-CO2 Calculations'!$AK76,FALSE))*D87,
(VLOOKUP(D$14,$K$15:$V$32,'Actual-CO2 Calculations'!$AK76,FALSE))*D87))</f>
        <v>0</v>
      </c>
      <c r="E235" s="738">
        <f>IF(E$14=0,0,
IF(OR(E$14=$K$28,E$14=$K$29,E$14=$K$30,E$14=$K$31,E$14=$K$32),
(VLOOKUP($K$25,$K$15:$V$32,'Actual-CO2 Calculations'!$AK76,FALSE))*E87,
(VLOOKUP(E$14,$K$15:$V$32,'Actual-CO2 Calculations'!$AK76,FALSE))*E87))</f>
        <v>0</v>
      </c>
      <c r="F235" s="738">
        <f>IF(F$14=0,0,
IF(OR(F$14=$K$28,F$14=$K$29,F$14=$K$30,F$14=$K$31,F$14=$K$32),
(VLOOKUP($K$25,$K$15:$V$32,'Actual-CO2 Calculations'!$AK76,FALSE))*F87,
(VLOOKUP(F$14,$K$15:$V$32,'Actual-CO2 Calculations'!$AK76,FALSE))*F87))</f>
        <v>0</v>
      </c>
    </row>
    <row r="236" spans="1:6">
      <c r="A236" t="s">
        <v>83</v>
      </c>
      <c r="B236" s="738">
        <f>IF(B$14=0,0,
IF(OR(B$14=$K$28,B$14=$K$29,B$14=$K$30,B$14=$K$31,B$14=$K$32),
(VLOOKUP($K$25,$K$15:$V$32,'Actual-CO2 Calculations'!$AK77,FALSE))*B88,
(VLOOKUP(B$14,$K$15:$V$32,'Actual-CO2 Calculations'!$AK77,FALSE))*B88))</f>
        <v>0</v>
      </c>
      <c r="C236" s="738">
        <f>IF(C$14=0,0,
IF(OR(C$14=$K$28,C$14=$K$29,C$14=$K$30,C$14=$K$31,C$14=$K$32),
(VLOOKUP($K$25,$K$15:$V$32,'Actual-CO2 Calculations'!$AK77,FALSE))*C88,
(VLOOKUP(C$14,$K$15:$V$32,'Actual-CO2 Calculations'!$AK77,FALSE))*C88))</f>
        <v>0</v>
      </c>
      <c r="D236" s="738">
        <f>IF(D$14=0,0,
IF(OR(D$14=$K$28,D$14=$K$29,D$14=$K$30,D$14=$K$31,D$14=$K$32),
(VLOOKUP($K$25,$K$15:$V$32,'Actual-CO2 Calculations'!$AK77,FALSE))*D88,
(VLOOKUP(D$14,$K$15:$V$32,'Actual-CO2 Calculations'!$AK77,FALSE))*D88))</f>
        <v>0</v>
      </c>
      <c r="E236" s="738">
        <f>IF(E$14=0,0,
IF(OR(E$14=$K$28,E$14=$K$29,E$14=$K$30,E$14=$K$31,E$14=$K$32),
(VLOOKUP($K$25,$K$15:$V$32,'Actual-CO2 Calculations'!$AK77,FALSE))*E88,
(VLOOKUP(E$14,$K$15:$V$32,'Actual-CO2 Calculations'!$AK77,FALSE))*E88))</f>
        <v>0</v>
      </c>
      <c r="F236" s="738">
        <f>IF(F$14=0,0,
IF(OR(F$14=$K$28,F$14=$K$29,F$14=$K$30,F$14=$K$31,F$14=$K$32),
(VLOOKUP($K$25,$K$15:$V$32,'Actual-CO2 Calculations'!$AK77,FALSE))*F88,
(VLOOKUP(F$14,$K$15:$V$32,'Actual-CO2 Calculations'!$AK77,FALSE))*F88))</f>
        <v>0</v>
      </c>
    </row>
    <row r="237" spans="1:6">
      <c r="A237" t="s">
        <v>84</v>
      </c>
      <c r="B237" s="738">
        <f>IF(B$14=0,0,
IF(OR(B$14=$K$28,B$14=$K$29,B$14=$K$30,B$14=$K$31,B$14=$K$32),
(VLOOKUP($K$25,$K$15:$V$32,'Actual-CO2 Calculations'!$AK78,FALSE))*B89,
(VLOOKUP(B$14,$K$15:$V$32,'Actual-CO2 Calculations'!$AK78,FALSE))*B89))</f>
        <v>0</v>
      </c>
      <c r="C237" s="738">
        <f>IF(C$14=0,0,
IF(OR(C$14=$K$28,C$14=$K$29,C$14=$K$30,C$14=$K$31,C$14=$K$32),
(VLOOKUP($K$25,$K$15:$V$32,'Actual-CO2 Calculations'!$AK78,FALSE))*C89,
(VLOOKUP(C$14,$K$15:$V$32,'Actual-CO2 Calculations'!$AK78,FALSE))*C89))</f>
        <v>0</v>
      </c>
      <c r="D237" s="738">
        <f>IF(D$14=0,0,
IF(OR(D$14=$K$28,D$14=$K$29,D$14=$K$30,D$14=$K$31,D$14=$K$32),
(VLOOKUP($K$25,$K$15:$V$32,'Actual-CO2 Calculations'!$AK78,FALSE))*D89,
(VLOOKUP(D$14,$K$15:$V$32,'Actual-CO2 Calculations'!$AK78,FALSE))*D89))</f>
        <v>0</v>
      </c>
      <c r="E237" s="738">
        <f>IF(E$14=0,0,
IF(OR(E$14=$K$28,E$14=$K$29,E$14=$K$30,E$14=$K$31,E$14=$K$32),
(VLOOKUP($K$25,$K$15:$V$32,'Actual-CO2 Calculations'!$AK78,FALSE))*E89,
(VLOOKUP(E$14,$K$15:$V$32,'Actual-CO2 Calculations'!$AK78,FALSE))*E89))</f>
        <v>0</v>
      </c>
      <c r="F237" s="738">
        <f>IF(F$14=0,0,
IF(OR(F$14=$K$28,F$14=$K$29,F$14=$K$30,F$14=$K$31,F$14=$K$32),
(VLOOKUP($K$25,$K$15:$V$32,'Actual-CO2 Calculations'!$AK78,FALSE))*F89,
(VLOOKUP(F$14,$K$15:$V$32,'Actual-CO2 Calculations'!$AK78,FALSE))*F89))</f>
        <v>0</v>
      </c>
    </row>
    <row r="238" spans="1:6">
      <c r="A238" t="s">
        <v>16</v>
      </c>
      <c r="B238" s="738">
        <f>IF(B$14=0,0,
IF(OR(B$14=$K$28,B$14=$K$29,B$14=$K$30,B$14=$K$31,B$14=$K$32),
(VLOOKUP($K$25,$K$15:$V$32,'Actual-CO2 Calculations'!$AK79,FALSE))*B90,
(VLOOKUP(B$14,$K$15:$V$32,'Actual-CO2 Calculations'!$AK79,FALSE))*B90))</f>
        <v>0</v>
      </c>
      <c r="C238" s="738">
        <f>IF(C$14=0,0,
IF(OR(C$14=$K$28,C$14=$K$29,C$14=$K$30,C$14=$K$31,C$14=$K$32),
(VLOOKUP($K$25,$K$15:$V$32,'Actual-CO2 Calculations'!$AK79,FALSE))*C90,
(VLOOKUP(C$14,$K$15:$V$32,'Actual-CO2 Calculations'!$AK79,FALSE))*C90))</f>
        <v>0</v>
      </c>
      <c r="D238" s="738">
        <f>IF(D$14=0,0,
IF(OR(D$14=$K$28,D$14=$K$29,D$14=$K$30,D$14=$K$31,D$14=$K$32),
(VLOOKUP($K$25,$K$15:$V$32,'Actual-CO2 Calculations'!$AK79,FALSE))*D90,
(VLOOKUP(D$14,$K$15:$V$32,'Actual-CO2 Calculations'!$AK79,FALSE))*D90))</f>
        <v>0</v>
      </c>
      <c r="E238" s="738">
        <f>IF(E$14=0,0,
IF(OR(E$14=$K$28,E$14=$K$29,E$14=$K$30,E$14=$K$31,E$14=$K$32),
(VLOOKUP($K$25,$K$15:$V$32,'Actual-CO2 Calculations'!$AK79,FALSE))*E90,
(VLOOKUP(E$14,$K$15:$V$32,'Actual-CO2 Calculations'!$AK79,FALSE))*E90))</f>
        <v>0</v>
      </c>
      <c r="F238" s="738">
        <f>IF(F$14=0,0,
IF(OR(F$14=$K$28,F$14=$K$29,F$14=$K$30,F$14=$K$31,F$14=$K$32),
(VLOOKUP($K$25,$K$15:$V$32,'Actual-CO2 Calculations'!$AK79,FALSE))*F90,
(VLOOKUP(F$14,$K$15:$V$32,'Actual-CO2 Calculations'!$AK79,FALSE))*F90))</f>
        <v>0</v>
      </c>
    </row>
    <row r="239" spans="1:6">
      <c r="A239" t="s">
        <v>17</v>
      </c>
      <c r="B239" s="738">
        <f>IF(B$14=0,0,
IF(OR(B$14=$K$28,B$14=$K$29,B$14=$K$30,B$14=$K$31,B$14=$K$32),
(VLOOKUP($K$25,$K$15:$V$32,'Actual-CO2 Calculations'!$AK80,FALSE))*B91,
(VLOOKUP(B$14,$K$15:$V$32,'Actual-CO2 Calculations'!$AK80,FALSE))*B91))</f>
        <v>0</v>
      </c>
      <c r="C239" s="738">
        <f>IF(C$14=0,0,
IF(OR(C$14=$K$28,C$14=$K$29,C$14=$K$30,C$14=$K$31,C$14=$K$32),
(VLOOKUP($K$25,$K$15:$V$32,'Actual-CO2 Calculations'!$AK80,FALSE))*C91,
(VLOOKUP(C$14,$K$15:$V$32,'Actual-CO2 Calculations'!$AK80,FALSE))*C91))</f>
        <v>0</v>
      </c>
      <c r="D239" s="738">
        <f>IF(D$14=0,0,
IF(OR(D$14=$K$28,D$14=$K$29,D$14=$K$30,D$14=$K$31,D$14=$K$32),
(VLOOKUP($K$25,$K$15:$V$32,'Actual-CO2 Calculations'!$AK80,FALSE))*D91,
(VLOOKUP(D$14,$K$15:$V$32,'Actual-CO2 Calculations'!$AK80,FALSE))*D91))</f>
        <v>0</v>
      </c>
      <c r="E239" s="738">
        <f>IF(E$14=0,0,
IF(OR(E$14=$K$28,E$14=$K$29,E$14=$K$30,E$14=$K$31,E$14=$K$32),
(VLOOKUP($K$25,$K$15:$V$32,'Actual-CO2 Calculations'!$AK80,FALSE))*E91,
(VLOOKUP(E$14,$K$15:$V$32,'Actual-CO2 Calculations'!$AK80,FALSE))*E91))</f>
        <v>0</v>
      </c>
      <c r="F239" s="738">
        <f>IF(F$14=0,0,
IF(OR(F$14=$K$28,F$14=$K$29,F$14=$K$30,F$14=$K$31,F$14=$K$32),
(VLOOKUP($K$25,$K$15:$V$32,'Actual-CO2 Calculations'!$AK80,FALSE))*F91,
(VLOOKUP(F$14,$K$15:$V$32,'Actual-CO2 Calculations'!$AK80,FALSE))*F91))</f>
        <v>0</v>
      </c>
    </row>
    <row r="240" spans="1:6">
      <c r="A240" t="s">
        <v>18</v>
      </c>
      <c r="B240" s="738">
        <f>IF(B$14=0,0,
IF(OR(B$14=$K$28,B$14=$K$29,B$14=$K$30,B$14=$K$31,B$14=$K$32),
(VLOOKUP($K$25,$K$15:$V$32,'Actual-CO2 Calculations'!$AK81,FALSE))*B92,
(VLOOKUP(B$14,$K$15:$V$32,'Actual-CO2 Calculations'!$AK81,FALSE))*B92))</f>
        <v>0</v>
      </c>
      <c r="C240" s="738">
        <f>IF(C$14=0,0,
IF(OR(C$14=$K$28,C$14=$K$29,C$14=$K$30,C$14=$K$31,C$14=$K$32),
(VLOOKUP($K$25,$K$15:$V$32,'Actual-CO2 Calculations'!$AK81,FALSE))*C92,
(VLOOKUP(C$14,$K$15:$V$32,'Actual-CO2 Calculations'!$AK81,FALSE))*C92))</f>
        <v>0</v>
      </c>
      <c r="D240" s="738">
        <f>IF(D$14=0,0,
IF(OR(D$14=$K$28,D$14=$K$29,D$14=$K$30,D$14=$K$31,D$14=$K$32),
(VLOOKUP($K$25,$K$15:$V$32,'Actual-CO2 Calculations'!$AK81,FALSE))*D92,
(VLOOKUP(D$14,$K$15:$V$32,'Actual-CO2 Calculations'!$AK81,FALSE))*D92))</f>
        <v>0</v>
      </c>
      <c r="E240" s="738">
        <f>IF(E$14=0,0,
IF(OR(E$14=$K$28,E$14=$K$29,E$14=$K$30,E$14=$K$31,E$14=$K$32),
(VLOOKUP($K$25,$K$15:$V$32,'Actual-CO2 Calculations'!$AK81,FALSE))*E92,
(VLOOKUP(E$14,$K$15:$V$32,'Actual-CO2 Calculations'!$AK81,FALSE))*E92))</f>
        <v>0</v>
      </c>
      <c r="F240" s="738">
        <f>IF(F$14=0,0,
IF(OR(F$14=$K$28,F$14=$K$29,F$14=$K$30,F$14=$K$31,F$14=$K$32),
(VLOOKUP($K$25,$K$15:$V$32,'Actual-CO2 Calculations'!$AK81,FALSE))*F92,
(VLOOKUP(F$14,$K$15:$V$32,'Actual-CO2 Calculations'!$AK81,FALSE))*F92))</f>
        <v>0</v>
      </c>
    </row>
    <row r="241" spans="1:6">
      <c r="A241" t="s">
        <v>19</v>
      </c>
      <c r="B241" s="738">
        <f>IF(B$14=0,0,
IF(OR(B$14=$K$28,B$14=$K$29,B$14=$K$30,B$14=$K$31,B$14=$K$32),
(VLOOKUP($K$25,$K$15:$V$32,'Actual-CO2 Calculations'!$AK82,FALSE))*B93,
(VLOOKUP(B$14,$K$15:$V$32,'Actual-CO2 Calculations'!$AK82,FALSE))*B93))</f>
        <v>0</v>
      </c>
      <c r="C241" s="738">
        <f>IF(C$14=0,0,
IF(OR(C$14=$K$28,C$14=$K$29,C$14=$K$30,C$14=$K$31,C$14=$K$32),
(VLOOKUP($K$25,$K$15:$V$32,'Actual-CO2 Calculations'!$AK82,FALSE))*C93,
(VLOOKUP(C$14,$K$15:$V$32,'Actual-CO2 Calculations'!$AK82,FALSE))*C93))</f>
        <v>0</v>
      </c>
      <c r="D241" s="738">
        <f>IF(D$14=0,0,
IF(OR(D$14=$K$28,D$14=$K$29,D$14=$K$30,D$14=$K$31,D$14=$K$32),
(VLOOKUP($K$25,$K$15:$V$32,'Actual-CO2 Calculations'!$AK82,FALSE))*D93,
(VLOOKUP(D$14,$K$15:$V$32,'Actual-CO2 Calculations'!$AK82,FALSE))*D93))</f>
        <v>0</v>
      </c>
      <c r="E241" s="738">
        <f>IF(E$14=0,0,
IF(OR(E$14=$K$28,E$14=$K$29,E$14=$K$30,E$14=$K$31,E$14=$K$32),
(VLOOKUP($K$25,$K$15:$V$32,'Actual-CO2 Calculations'!$AK82,FALSE))*E93,
(VLOOKUP(E$14,$K$15:$V$32,'Actual-CO2 Calculations'!$AK82,FALSE))*E93))</f>
        <v>0</v>
      </c>
      <c r="F241" s="738">
        <f>IF(F$14=0,0,
IF(OR(F$14=$K$28,F$14=$K$29,F$14=$K$30,F$14=$K$31,F$14=$K$32),
(VLOOKUP($K$25,$K$15:$V$32,'Actual-CO2 Calculations'!$AK82,FALSE))*F93,
(VLOOKUP(F$14,$K$15:$V$32,'Actual-CO2 Calculations'!$AK82,FALSE))*F93))</f>
        <v>0</v>
      </c>
    </row>
    <row r="242" spans="1:6">
      <c r="A242" t="s">
        <v>85</v>
      </c>
      <c r="B242" s="738">
        <f>IF(B$14=0,0,
IF(OR(B$14=$K$28,B$14=$K$29,B$14=$K$30,B$14=$K$31,B$14=$K$32),
(VLOOKUP($K$25,$K$15:$V$32,'Actual-CO2 Calculations'!$AK83,FALSE))*B94,
(VLOOKUP(B$14,$K$15:$V$32,'Actual-CO2 Calculations'!$AK83,FALSE))*B94))</f>
        <v>0</v>
      </c>
      <c r="C242" s="738">
        <f>IF(C$14=0,0,
IF(OR(C$14=$K$28,C$14=$K$29,C$14=$K$30,C$14=$K$31,C$14=$K$32),
(VLOOKUP($K$25,$K$15:$V$32,'Actual-CO2 Calculations'!$AK83,FALSE))*C94,
(VLOOKUP(C$14,$K$15:$V$32,'Actual-CO2 Calculations'!$AK83,FALSE))*C94))</f>
        <v>0</v>
      </c>
      <c r="D242" s="738">
        <f>IF(D$14=0,0,
IF(OR(D$14=$K$28,D$14=$K$29,D$14=$K$30,D$14=$K$31,D$14=$K$32),
(VLOOKUP($K$25,$K$15:$V$32,'Actual-CO2 Calculations'!$AK83,FALSE))*D94,
(VLOOKUP(D$14,$K$15:$V$32,'Actual-CO2 Calculations'!$AK83,FALSE))*D94))</f>
        <v>0</v>
      </c>
      <c r="E242" s="738">
        <f>IF(E$14=0,0,
IF(OR(E$14=$K$28,E$14=$K$29,E$14=$K$30,E$14=$K$31,E$14=$K$32),
(VLOOKUP($K$25,$K$15:$V$32,'Actual-CO2 Calculations'!$AK83,FALSE))*E94,
(VLOOKUP(E$14,$K$15:$V$32,'Actual-CO2 Calculations'!$AK83,FALSE))*E94))</f>
        <v>0</v>
      </c>
      <c r="F242" s="738">
        <f>IF(F$14=0,0,
IF(OR(F$14=$K$28,F$14=$K$29,F$14=$K$30,F$14=$K$31,F$14=$K$32),
(VLOOKUP($K$25,$K$15:$V$32,'Actual-CO2 Calculations'!$AK83,FALSE))*F94,
(VLOOKUP(F$14,$K$15:$V$32,'Actual-CO2 Calculations'!$AK83,FALSE))*F94))</f>
        <v>0</v>
      </c>
    </row>
    <row r="243" spans="1:6">
      <c r="A243" t="s">
        <v>86</v>
      </c>
      <c r="B243" s="738">
        <f>IF(B$14=0,0,
IF(OR(B$14=$K$28,B$14=$K$29,B$14=$K$30,B$14=$K$31,B$14=$K$32),
(VLOOKUP($K$25,$K$15:$V$32,'Actual-CO2 Calculations'!$AK84,FALSE))*B95,
(VLOOKUP(B$14,$K$15:$V$32,'Actual-CO2 Calculations'!$AK84,FALSE))*B95))</f>
        <v>0</v>
      </c>
      <c r="C243" s="738">
        <f>IF(C$14=0,0,
IF(OR(C$14=$K$28,C$14=$K$29,C$14=$K$30,C$14=$K$31,C$14=$K$32),
(VLOOKUP($K$25,$K$15:$V$32,'Actual-CO2 Calculations'!$AK84,FALSE))*C95,
(VLOOKUP(C$14,$K$15:$V$32,'Actual-CO2 Calculations'!$AK84,FALSE))*C95))</f>
        <v>0</v>
      </c>
      <c r="D243" s="738">
        <f>IF(D$14=0,0,
IF(OR(D$14=$K$28,D$14=$K$29,D$14=$K$30,D$14=$K$31,D$14=$K$32),
(VLOOKUP($K$25,$K$15:$V$32,'Actual-CO2 Calculations'!$AK84,FALSE))*D95,
(VLOOKUP(D$14,$K$15:$V$32,'Actual-CO2 Calculations'!$AK84,FALSE))*D95))</f>
        <v>0</v>
      </c>
      <c r="E243" s="738">
        <f>IF(E$14=0,0,
IF(OR(E$14=$K$28,E$14=$K$29,E$14=$K$30,E$14=$K$31,E$14=$K$32),
(VLOOKUP($K$25,$K$15:$V$32,'Actual-CO2 Calculations'!$AK84,FALSE))*E95,
(VLOOKUP(E$14,$K$15:$V$32,'Actual-CO2 Calculations'!$AK84,FALSE))*E95))</f>
        <v>0</v>
      </c>
      <c r="F243" s="738">
        <f>IF(F$14=0,0,
IF(OR(F$14=$K$28,F$14=$K$29,F$14=$K$30,F$14=$K$31,F$14=$K$32),
(VLOOKUP($K$25,$K$15:$V$32,'Actual-CO2 Calculations'!$AK84,FALSE))*F95,
(VLOOKUP(F$14,$K$15:$V$32,'Actual-CO2 Calculations'!$AK84,FALSE))*F95))</f>
        <v>0</v>
      </c>
    </row>
    <row r="244" spans="1:6">
      <c r="A244" t="s">
        <v>87</v>
      </c>
      <c r="B244" s="738">
        <f>IF(B$14=0,0,
IF(OR(B$14=$K$28,B$14=$K$29,B$14=$K$30,B$14=$K$31,B$14=$K$32),
(VLOOKUP($K$25,$K$15:$V$32,'Actual-CO2 Calculations'!$AK85,FALSE))*B96,
(VLOOKUP(B$14,$K$15:$V$32,'Actual-CO2 Calculations'!$AK85,FALSE))*B96))</f>
        <v>0</v>
      </c>
      <c r="C244" s="738">
        <f>IF(C$14=0,0,
IF(OR(C$14=$K$28,C$14=$K$29,C$14=$K$30,C$14=$K$31,C$14=$K$32),
(VLOOKUP($K$25,$K$15:$V$32,'Actual-CO2 Calculations'!$AK85,FALSE))*C96,
(VLOOKUP(C$14,$K$15:$V$32,'Actual-CO2 Calculations'!$AK85,FALSE))*C96))</f>
        <v>0</v>
      </c>
      <c r="D244" s="738">
        <f>IF(D$14=0,0,
IF(OR(D$14=$K$28,D$14=$K$29,D$14=$K$30,D$14=$K$31,D$14=$K$32),
(VLOOKUP($K$25,$K$15:$V$32,'Actual-CO2 Calculations'!$AK85,FALSE))*D96,
(VLOOKUP(D$14,$K$15:$V$32,'Actual-CO2 Calculations'!$AK85,FALSE))*D96))</f>
        <v>0</v>
      </c>
      <c r="E244" s="738">
        <f>IF(E$14=0,0,
IF(OR(E$14=$K$28,E$14=$K$29,E$14=$K$30,E$14=$K$31,E$14=$K$32),
(VLOOKUP($K$25,$K$15:$V$32,'Actual-CO2 Calculations'!$AK85,FALSE))*E96,
(VLOOKUP(E$14,$K$15:$V$32,'Actual-CO2 Calculations'!$AK85,FALSE))*E96))</f>
        <v>0</v>
      </c>
      <c r="F244" s="738">
        <f>IF(F$14=0,0,
IF(OR(F$14=$K$28,F$14=$K$29,F$14=$K$30,F$14=$K$31,F$14=$K$32),
(VLOOKUP($K$25,$K$15:$V$32,'Actual-CO2 Calculations'!$AK85,FALSE))*F96,
(VLOOKUP(F$14,$K$15:$V$32,'Actual-CO2 Calculations'!$AK85,FALSE))*F96))</f>
        <v>0</v>
      </c>
    </row>
    <row r="245" spans="1:6">
      <c r="A245" t="s">
        <v>88</v>
      </c>
      <c r="B245" s="738">
        <f>IF(B$14=0,0,
IF(OR(B$14=$K$28,B$14=$K$29,B$14=$K$30,B$14=$K$31,B$14=$K$32),
(VLOOKUP($K$25,$K$15:$V$32,'Actual-CO2 Calculations'!$AK86,FALSE))*B97,
(VLOOKUP(B$14,$K$15:$V$32,'Actual-CO2 Calculations'!$AK86,FALSE))*B97))</f>
        <v>0</v>
      </c>
      <c r="C245" s="738">
        <f>IF(C$14=0,0,
IF(OR(C$14=$K$28,C$14=$K$29,C$14=$K$30,C$14=$K$31,C$14=$K$32),
(VLOOKUP($K$25,$K$15:$V$32,'Actual-CO2 Calculations'!$AK86,FALSE))*C97,
(VLOOKUP(C$14,$K$15:$V$32,'Actual-CO2 Calculations'!$AK86,FALSE))*C97))</f>
        <v>0</v>
      </c>
      <c r="D245" s="738">
        <f>IF(D$14=0,0,
IF(OR(D$14=$K$28,D$14=$K$29,D$14=$K$30,D$14=$K$31,D$14=$K$32),
(VLOOKUP($K$25,$K$15:$V$32,'Actual-CO2 Calculations'!$AK86,FALSE))*D97,
(VLOOKUP(D$14,$K$15:$V$32,'Actual-CO2 Calculations'!$AK86,FALSE))*D97))</f>
        <v>0</v>
      </c>
      <c r="E245" s="738">
        <f>IF(E$14=0,0,
IF(OR(E$14=$K$28,E$14=$K$29,E$14=$K$30,E$14=$K$31,E$14=$K$32),
(VLOOKUP($K$25,$K$15:$V$32,'Actual-CO2 Calculations'!$AK86,FALSE))*E97,
(VLOOKUP(E$14,$K$15:$V$32,'Actual-CO2 Calculations'!$AK86,FALSE))*E97))</f>
        <v>0</v>
      </c>
      <c r="F245" s="738">
        <f>IF(F$14=0,0,
IF(OR(F$14=$K$28,F$14=$K$29,F$14=$K$30,F$14=$K$31,F$14=$K$32),
(VLOOKUP($K$25,$K$15:$V$32,'Actual-CO2 Calculations'!$AK86,FALSE))*F97,
(VLOOKUP(F$14,$K$15:$V$32,'Actual-CO2 Calculations'!$AK86,FALSE))*F97))</f>
        <v>0</v>
      </c>
    </row>
    <row r="246" spans="1:6">
      <c r="A246" t="s">
        <v>89</v>
      </c>
      <c r="B246" s="738">
        <f>IF(B$14=0,0,
IF(OR(B$14=$K$28,B$14=$K$29,B$14=$K$30,B$14=$K$31,B$14=$K$32),
(VLOOKUP($K$25,$K$15:$V$32,'Actual-CO2 Calculations'!$AK87,FALSE))*B98,
(VLOOKUP(B$14,$K$15:$V$32,'Actual-CO2 Calculations'!$AK87,FALSE))*B98))</f>
        <v>0</v>
      </c>
      <c r="C246" s="738">
        <f>IF(C$14=0,0,
IF(OR(C$14=$K$28,C$14=$K$29,C$14=$K$30,C$14=$K$31,C$14=$K$32),
(VLOOKUP($K$25,$K$15:$V$32,'Actual-CO2 Calculations'!$AK87,FALSE))*C98,
(VLOOKUP(C$14,$K$15:$V$32,'Actual-CO2 Calculations'!$AK87,FALSE))*C98))</f>
        <v>0</v>
      </c>
      <c r="D246" s="738">
        <f>IF(D$14=0,0,
IF(OR(D$14=$K$28,D$14=$K$29,D$14=$K$30,D$14=$K$31,D$14=$K$32),
(VLOOKUP($K$25,$K$15:$V$32,'Actual-CO2 Calculations'!$AK87,FALSE))*D98,
(VLOOKUP(D$14,$K$15:$V$32,'Actual-CO2 Calculations'!$AK87,FALSE))*D98))</f>
        <v>0</v>
      </c>
      <c r="E246" s="738">
        <f>IF(E$14=0,0,
IF(OR(E$14=$K$28,E$14=$K$29,E$14=$K$30,E$14=$K$31,E$14=$K$32),
(VLOOKUP($K$25,$K$15:$V$32,'Actual-CO2 Calculations'!$AK87,FALSE))*E98,
(VLOOKUP(E$14,$K$15:$V$32,'Actual-CO2 Calculations'!$AK87,FALSE))*E98))</f>
        <v>0</v>
      </c>
      <c r="F246" s="738">
        <f>IF(F$14=0,0,
IF(OR(F$14=$K$28,F$14=$K$29,F$14=$K$30,F$14=$K$31,F$14=$K$32),
(VLOOKUP($K$25,$K$15:$V$32,'Actual-CO2 Calculations'!$AK87,FALSE))*F98,
(VLOOKUP(F$14,$K$15:$V$32,'Actual-CO2 Calculations'!$AK87,FALSE))*F98))</f>
        <v>0</v>
      </c>
    </row>
    <row r="247" spans="1:6">
      <c r="A247" t="s">
        <v>90</v>
      </c>
      <c r="B247" s="738">
        <f>IF(B$14=0,0,
IF(OR(B$14=$K$28,B$14=$K$29,B$14=$K$30,B$14=$K$31,B$14=$K$32),
(VLOOKUP($K$25,$K$15:$V$32,'Actual-CO2 Calculations'!$AK88,FALSE))*B99,
(VLOOKUP(B$14,$K$15:$V$32,'Actual-CO2 Calculations'!$AK88,FALSE))*B99))</f>
        <v>0</v>
      </c>
      <c r="C247" s="738">
        <f>IF(C$14=0,0,
IF(OR(C$14=$K$28,C$14=$K$29,C$14=$K$30,C$14=$K$31,C$14=$K$32),
(VLOOKUP($K$25,$K$15:$V$32,'Actual-CO2 Calculations'!$AK88,FALSE))*C99,
(VLOOKUP(C$14,$K$15:$V$32,'Actual-CO2 Calculations'!$AK88,FALSE))*C99))</f>
        <v>0</v>
      </c>
      <c r="D247" s="738">
        <f>IF(D$14=0,0,
IF(OR(D$14=$K$28,D$14=$K$29,D$14=$K$30,D$14=$K$31,D$14=$K$32),
(VLOOKUP($K$25,$K$15:$V$32,'Actual-CO2 Calculations'!$AK88,FALSE))*D99,
(VLOOKUP(D$14,$K$15:$V$32,'Actual-CO2 Calculations'!$AK88,FALSE))*D99))</f>
        <v>0</v>
      </c>
      <c r="E247" s="738">
        <f>IF(E$14=0,0,
IF(OR(E$14=$K$28,E$14=$K$29,E$14=$K$30,E$14=$K$31,E$14=$K$32),
(VLOOKUP($K$25,$K$15:$V$32,'Actual-CO2 Calculations'!$AK88,FALSE))*E99,
(VLOOKUP(E$14,$K$15:$V$32,'Actual-CO2 Calculations'!$AK88,FALSE))*E99))</f>
        <v>0</v>
      </c>
      <c r="F247" s="738">
        <f>IF(F$14=0,0,
IF(OR(F$14=$K$28,F$14=$K$29,F$14=$K$30,F$14=$K$31,F$14=$K$32),
(VLOOKUP($K$25,$K$15:$V$32,'Actual-CO2 Calculations'!$AK88,FALSE))*F99,
(VLOOKUP(F$14,$K$15:$V$32,'Actual-CO2 Calculations'!$AK88,FALSE))*F99))</f>
        <v>0</v>
      </c>
    </row>
    <row r="248" spans="1:6">
      <c r="A248" t="s">
        <v>91</v>
      </c>
      <c r="B248" s="738">
        <f>IF(B$14=0,0,
IF(OR(B$14=$K$28,B$14=$K$29,B$14=$K$30,B$14=$K$31,B$14=$K$32),
(VLOOKUP($K$25,$K$15:$V$32,'Actual-CO2 Calculations'!$AK89,FALSE))*B100,
(VLOOKUP(B$14,$K$15:$V$32,'Actual-CO2 Calculations'!$AK89,FALSE))*B100))</f>
        <v>0</v>
      </c>
      <c r="C248" s="738">
        <f>IF(C$14=0,0,
IF(OR(C$14=$K$28,C$14=$K$29,C$14=$K$30,C$14=$K$31,C$14=$K$32),
(VLOOKUP($K$25,$K$15:$V$32,'Actual-CO2 Calculations'!$AK89,FALSE))*C100,
(VLOOKUP(C$14,$K$15:$V$32,'Actual-CO2 Calculations'!$AK89,FALSE))*C100))</f>
        <v>0</v>
      </c>
      <c r="D248" s="738">
        <f>IF(D$14=0,0,
IF(OR(D$14=$K$28,D$14=$K$29,D$14=$K$30,D$14=$K$31,D$14=$K$32),
(VLOOKUP($K$25,$K$15:$V$32,'Actual-CO2 Calculations'!$AK89,FALSE))*D100,
(VLOOKUP(D$14,$K$15:$V$32,'Actual-CO2 Calculations'!$AK89,FALSE))*D100))</f>
        <v>0</v>
      </c>
      <c r="E248" s="738">
        <f>IF(E$14=0,0,
IF(OR(E$14=$K$28,E$14=$K$29,E$14=$K$30,E$14=$K$31,E$14=$K$32),
(VLOOKUP($K$25,$K$15:$V$32,'Actual-CO2 Calculations'!$AK89,FALSE))*E100,
(VLOOKUP(E$14,$K$15:$V$32,'Actual-CO2 Calculations'!$AK89,FALSE))*E100))</f>
        <v>0</v>
      </c>
      <c r="F248" s="738">
        <f>IF(F$14=0,0,
IF(OR(F$14=$K$28,F$14=$K$29,F$14=$K$30,F$14=$K$31,F$14=$K$32),
(VLOOKUP($K$25,$K$15:$V$32,'Actual-CO2 Calculations'!$AK89,FALSE))*F100,
(VLOOKUP(F$14,$K$15:$V$32,'Actual-CO2 Calculations'!$AK89,FALSE))*F100))</f>
        <v>0</v>
      </c>
    </row>
    <row r="249" spans="1:6">
      <c r="A249" t="s">
        <v>92</v>
      </c>
      <c r="B249" s="738">
        <f>IF(B$14=0,0,
IF(OR(B$14=$K$28,B$14=$K$29,B$14=$K$30,B$14=$K$31,B$14=$K$32),
(VLOOKUP($K$25,$K$15:$V$32,'Actual-CO2 Calculations'!$AK90,FALSE))*B101,
(VLOOKUP(B$14,$K$15:$V$32,'Actual-CO2 Calculations'!$AK90,FALSE))*B101))</f>
        <v>0</v>
      </c>
      <c r="C249" s="738">
        <f>IF(C$14=0,0,
IF(OR(C$14=$K$28,C$14=$K$29,C$14=$K$30,C$14=$K$31,C$14=$K$32),
(VLOOKUP($K$25,$K$15:$V$32,'Actual-CO2 Calculations'!$AK90,FALSE))*C101,
(VLOOKUP(C$14,$K$15:$V$32,'Actual-CO2 Calculations'!$AK90,FALSE))*C101))</f>
        <v>0</v>
      </c>
      <c r="D249" s="738">
        <f>IF(D$14=0,0,
IF(OR(D$14=$K$28,D$14=$K$29,D$14=$K$30,D$14=$K$31,D$14=$K$32),
(VLOOKUP($K$25,$K$15:$V$32,'Actual-CO2 Calculations'!$AK90,FALSE))*D101,
(VLOOKUP(D$14,$K$15:$V$32,'Actual-CO2 Calculations'!$AK90,FALSE))*D101))</f>
        <v>0</v>
      </c>
      <c r="E249" s="738">
        <f>IF(E$14=0,0,
IF(OR(E$14=$K$28,E$14=$K$29,E$14=$K$30,E$14=$K$31,E$14=$K$32),
(VLOOKUP($K$25,$K$15:$V$32,'Actual-CO2 Calculations'!$AK90,FALSE))*E101,
(VLOOKUP(E$14,$K$15:$V$32,'Actual-CO2 Calculations'!$AK90,FALSE))*E101))</f>
        <v>0</v>
      </c>
      <c r="F249" s="738">
        <f>IF(F$14=0,0,
IF(OR(F$14=$K$28,F$14=$K$29,F$14=$K$30,F$14=$K$31,F$14=$K$32),
(VLOOKUP($K$25,$K$15:$V$32,'Actual-CO2 Calculations'!$AK90,FALSE))*F101,
(VLOOKUP(F$14,$K$15:$V$32,'Actual-CO2 Calculations'!$AK90,FALSE))*F101))</f>
        <v>0</v>
      </c>
    </row>
    <row r="250" spans="1:6">
      <c r="A250" t="s">
        <v>93</v>
      </c>
      <c r="B250" s="738">
        <f>IF(B$14=0,0,
IF(OR(B$14=$K$28,B$14=$K$29,B$14=$K$30,B$14=$K$31,B$14=$K$32),
(VLOOKUP($K$25,$K$15:$V$32,'Actual-CO2 Calculations'!$AK91,FALSE))*B102,
(VLOOKUP(B$14,$K$15:$V$32,'Actual-CO2 Calculations'!$AK91,FALSE))*B102))</f>
        <v>0</v>
      </c>
      <c r="C250" s="738">
        <f>IF(C$14=0,0,
IF(OR(C$14=$K$28,C$14=$K$29,C$14=$K$30,C$14=$K$31,C$14=$K$32),
(VLOOKUP($K$25,$K$15:$V$32,'Actual-CO2 Calculations'!$AK91,FALSE))*C102,
(VLOOKUP(C$14,$K$15:$V$32,'Actual-CO2 Calculations'!$AK91,FALSE))*C102))</f>
        <v>0</v>
      </c>
      <c r="D250" s="738">
        <f>IF(D$14=0,0,
IF(OR(D$14=$K$28,D$14=$K$29,D$14=$K$30,D$14=$K$31,D$14=$K$32),
(VLOOKUP($K$25,$K$15:$V$32,'Actual-CO2 Calculations'!$AK91,FALSE))*D102,
(VLOOKUP(D$14,$K$15:$V$32,'Actual-CO2 Calculations'!$AK91,FALSE))*D102))</f>
        <v>0</v>
      </c>
      <c r="E250" s="738">
        <f>IF(E$14=0,0,
IF(OR(E$14=$K$28,E$14=$K$29,E$14=$K$30,E$14=$K$31,E$14=$K$32),
(VLOOKUP($K$25,$K$15:$V$32,'Actual-CO2 Calculations'!$AK91,FALSE))*E102,
(VLOOKUP(E$14,$K$15:$V$32,'Actual-CO2 Calculations'!$AK91,FALSE))*E102))</f>
        <v>0</v>
      </c>
      <c r="F250" s="738">
        <f>IF(F$14=0,0,
IF(OR(F$14=$K$28,F$14=$K$29,F$14=$K$30,F$14=$K$31,F$14=$K$32),
(VLOOKUP($K$25,$K$15:$V$32,'Actual-CO2 Calculations'!$AK91,FALSE))*F102,
(VLOOKUP(F$14,$K$15:$V$32,'Actual-CO2 Calculations'!$AK91,FALSE))*F102))</f>
        <v>0</v>
      </c>
    </row>
    <row r="251" spans="1:6">
      <c r="A251" t="s">
        <v>20</v>
      </c>
      <c r="B251" s="738">
        <f>IF(B$14=0,0,
IF(OR(B$14=$K$28,B$14=$K$29,B$14=$K$30,B$14=$K$31,B$14=$K$32),
(VLOOKUP($K$25,$K$15:$V$32,'Actual-CO2 Calculations'!$AK92,FALSE))*B103,
(VLOOKUP(B$14,$K$15:$V$32,'Actual-CO2 Calculations'!$AK92,FALSE))*B103))</f>
        <v>0</v>
      </c>
      <c r="C251" s="738">
        <f>IF(C$14=0,0,
IF(OR(C$14=$K$28,C$14=$K$29,C$14=$K$30,C$14=$K$31,C$14=$K$32),
(VLOOKUP($K$25,$K$15:$V$32,'Actual-CO2 Calculations'!$AK92,FALSE))*C103,
(VLOOKUP(C$14,$K$15:$V$32,'Actual-CO2 Calculations'!$AK92,FALSE))*C103))</f>
        <v>0</v>
      </c>
      <c r="D251" s="738">
        <f>IF(D$14=0,0,
IF(OR(D$14=$K$28,D$14=$K$29,D$14=$K$30,D$14=$K$31,D$14=$K$32),
(VLOOKUP($K$25,$K$15:$V$32,'Actual-CO2 Calculations'!$AK92,FALSE))*D103,
(VLOOKUP(D$14,$K$15:$V$32,'Actual-CO2 Calculations'!$AK92,FALSE))*D103))</f>
        <v>0</v>
      </c>
      <c r="E251" s="738">
        <f>IF(E$14=0,0,
IF(OR(E$14=$K$28,E$14=$K$29,E$14=$K$30,E$14=$K$31,E$14=$K$32),
(VLOOKUP($K$25,$K$15:$V$32,'Actual-CO2 Calculations'!$AK92,FALSE))*E103,
(VLOOKUP(E$14,$K$15:$V$32,'Actual-CO2 Calculations'!$AK92,FALSE))*E103))</f>
        <v>0</v>
      </c>
      <c r="F251" s="738">
        <f>IF(F$14=0,0,
IF(OR(F$14=$K$28,F$14=$K$29,F$14=$K$30,F$14=$K$31,F$14=$K$32),
(VLOOKUP($K$25,$K$15:$V$32,'Actual-CO2 Calculations'!$AK92,FALSE))*F103,
(VLOOKUP(F$14,$K$15:$V$32,'Actual-CO2 Calculations'!$AK92,FALSE))*F103))</f>
        <v>0</v>
      </c>
    </row>
    <row r="252" spans="1:6">
      <c r="A252" t="s">
        <v>21</v>
      </c>
      <c r="B252" s="738">
        <f>IF(B$14=0,0,
IF(OR(B$14=$K$28,B$14=$K$29,B$14=$K$30,B$14=$K$31,B$14=$K$32),
(VLOOKUP($K$25,$K$15:$V$32,'Actual-CO2 Calculations'!$AK93,FALSE))*B104,
(VLOOKUP(B$14,$K$15:$V$32,'Actual-CO2 Calculations'!$AK93,FALSE))*B104))</f>
        <v>0</v>
      </c>
      <c r="C252" s="738">
        <f>IF(C$14=0,0,
IF(OR(C$14=$K$28,C$14=$K$29,C$14=$K$30,C$14=$K$31,C$14=$K$32),
(VLOOKUP($K$25,$K$15:$V$32,'Actual-CO2 Calculations'!$AK93,FALSE))*C104,
(VLOOKUP(C$14,$K$15:$V$32,'Actual-CO2 Calculations'!$AK93,FALSE))*C104))</f>
        <v>0</v>
      </c>
      <c r="D252" s="738">
        <f>IF(D$14=0,0,
IF(OR(D$14=$K$28,D$14=$K$29,D$14=$K$30,D$14=$K$31,D$14=$K$32),
(VLOOKUP($K$25,$K$15:$V$32,'Actual-CO2 Calculations'!$AK93,FALSE))*D104,
(VLOOKUP(D$14,$K$15:$V$32,'Actual-CO2 Calculations'!$AK93,FALSE))*D104))</f>
        <v>0</v>
      </c>
      <c r="E252" s="738">
        <f>IF(E$14=0,0,
IF(OR(E$14=$K$28,E$14=$K$29,E$14=$K$30,E$14=$K$31,E$14=$K$32),
(VLOOKUP($K$25,$K$15:$V$32,'Actual-CO2 Calculations'!$AK93,FALSE))*E104,
(VLOOKUP(E$14,$K$15:$V$32,'Actual-CO2 Calculations'!$AK93,FALSE))*E104))</f>
        <v>0</v>
      </c>
      <c r="F252" s="738">
        <f>IF(F$14=0,0,
IF(OR(F$14=$K$28,F$14=$K$29,F$14=$K$30,F$14=$K$31,F$14=$K$32),
(VLOOKUP($K$25,$K$15:$V$32,'Actual-CO2 Calculations'!$AK93,FALSE))*F104,
(VLOOKUP(F$14,$K$15:$V$32,'Actual-CO2 Calculations'!$AK93,FALSE))*F104))</f>
        <v>0</v>
      </c>
    </row>
    <row r="253" spans="1:6">
      <c r="A253" t="s">
        <v>22</v>
      </c>
      <c r="B253" s="738">
        <f>IF(B$14=0,0,
IF(OR(B$14=$K$28,B$14=$K$29,B$14=$K$30,B$14=$K$31,B$14=$K$32),
(VLOOKUP($K$25,$K$15:$V$32,'Actual-CO2 Calculations'!$AK94,FALSE))*B105,
(VLOOKUP(B$14,$K$15:$V$32,'Actual-CO2 Calculations'!$AK94,FALSE))*B105))</f>
        <v>0</v>
      </c>
      <c r="C253" s="738">
        <f>IF(C$14=0,0,
IF(OR(C$14=$K$28,C$14=$K$29,C$14=$K$30,C$14=$K$31,C$14=$K$32),
(VLOOKUP($K$25,$K$15:$V$32,'Actual-CO2 Calculations'!$AK94,FALSE))*C105,
(VLOOKUP(C$14,$K$15:$V$32,'Actual-CO2 Calculations'!$AK94,FALSE))*C105))</f>
        <v>0</v>
      </c>
      <c r="D253" s="738">
        <f>IF(D$14=0,0,
IF(OR(D$14=$K$28,D$14=$K$29,D$14=$K$30,D$14=$K$31,D$14=$K$32),
(VLOOKUP($K$25,$K$15:$V$32,'Actual-CO2 Calculations'!$AK94,FALSE))*D105,
(VLOOKUP(D$14,$K$15:$V$32,'Actual-CO2 Calculations'!$AK94,FALSE))*D105))</f>
        <v>0</v>
      </c>
      <c r="E253" s="738">
        <f>IF(E$14=0,0,
IF(OR(E$14=$K$28,E$14=$K$29,E$14=$K$30,E$14=$K$31,E$14=$K$32),
(VLOOKUP($K$25,$K$15:$V$32,'Actual-CO2 Calculations'!$AK94,FALSE))*E105,
(VLOOKUP(E$14,$K$15:$V$32,'Actual-CO2 Calculations'!$AK94,FALSE))*E105))</f>
        <v>0</v>
      </c>
      <c r="F253" s="738">
        <f>IF(F$14=0,0,
IF(OR(F$14=$K$28,F$14=$K$29,F$14=$K$30,F$14=$K$31,F$14=$K$32),
(VLOOKUP($K$25,$K$15:$V$32,'Actual-CO2 Calculations'!$AK94,FALSE))*F105,
(VLOOKUP(F$14,$K$15:$V$32,'Actual-CO2 Calculations'!$AK94,FALSE))*F105))</f>
        <v>0</v>
      </c>
    </row>
    <row r="254" spans="1:6">
      <c r="A254" t="s">
        <v>23</v>
      </c>
      <c r="B254" s="738">
        <f>IF(B$14=0,0,
IF(OR(B$14=$K$28,B$14=$K$29,B$14=$K$30,B$14=$K$31,B$14=$K$32),
(VLOOKUP($K$25,$K$15:$V$32,'Actual-CO2 Calculations'!$AK95,FALSE))*B106,
(VLOOKUP(B$14,$K$15:$V$32,'Actual-CO2 Calculations'!$AK95,FALSE))*B106))</f>
        <v>0</v>
      </c>
      <c r="C254" s="738">
        <f>IF(C$14=0,0,
IF(OR(C$14=$K$28,C$14=$K$29,C$14=$K$30,C$14=$K$31,C$14=$K$32),
(VLOOKUP($K$25,$K$15:$V$32,'Actual-CO2 Calculations'!$AK95,FALSE))*C106,
(VLOOKUP(C$14,$K$15:$V$32,'Actual-CO2 Calculations'!$AK95,FALSE))*C106))</f>
        <v>0</v>
      </c>
      <c r="D254" s="738">
        <f>IF(D$14=0,0,
IF(OR(D$14=$K$28,D$14=$K$29,D$14=$K$30,D$14=$K$31,D$14=$K$32),
(VLOOKUP($K$25,$K$15:$V$32,'Actual-CO2 Calculations'!$AK95,FALSE))*D106,
(VLOOKUP(D$14,$K$15:$V$32,'Actual-CO2 Calculations'!$AK95,FALSE))*D106))</f>
        <v>0</v>
      </c>
      <c r="E254" s="738">
        <f>IF(E$14=0,0,
IF(OR(E$14=$K$28,E$14=$K$29,E$14=$K$30,E$14=$K$31,E$14=$K$32),
(VLOOKUP($K$25,$K$15:$V$32,'Actual-CO2 Calculations'!$AK95,FALSE))*E106,
(VLOOKUP(E$14,$K$15:$V$32,'Actual-CO2 Calculations'!$AK95,FALSE))*E106))</f>
        <v>0</v>
      </c>
      <c r="F254" s="738">
        <f>IF(F$14=0,0,
IF(OR(F$14=$K$28,F$14=$K$29,F$14=$K$30,F$14=$K$31,F$14=$K$32),
(VLOOKUP($K$25,$K$15:$V$32,'Actual-CO2 Calculations'!$AK95,FALSE))*F106,
(VLOOKUP(F$14,$K$15:$V$32,'Actual-CO2 Calculations'!$AK95,FALSE))*F106))</f>
        <v>0</v>
      </c>
    </row>
    <row r="255" spans="1:6">
      <c r="A255" t="s">
        <v>974</v>
      </c>
      <c r="B255" s="738">
        <f>IF(B$14=0,0,
IF(OR(B$14=$K$28,B$14=$K$29,B$14=$K$30,B$14=$K$31,B$14=$K$32),
(VLOOKUP($K$25,$K$15:$V$32,'Actual-CO2 Calculations'!$AK96,FALSE))*B107,
(VLOOKUP(B$14,$K$15:$V$32,'Actual-CO2 Calculations'!$AK96,FALSE))*B107))</f>
        <v>0</v>
      </c>
      <c r="C255" s="738">
        <f>IF(C$14=0,0,
IF(OR(C$14=$K$28,C$14=$K$29,C$14=$K$30,C$14=$K$31,C$14=$K$32),
(VLOOKUP($K$25,$K$15:$V$32,'Actual-CO2 Calculations'!$AK96,FALSE))*C107,
(VLOOKUP(C$14,$K$15:$V$32,'Actual-CO2 Calculations'!$AK96,FALSE))*C107))</f>
        <v>0</v>
      </c>
      <c r="D255" s="738">
        <f>IF(D$14=0,0,
IF(OR(D$14=$K$28,D$14=$K$29,D$14=$K$30,D$14=$K$31,D$14=$K$32),
(VLOOKUP($K$25,$K$15:$V$32,'Actual-CO2 Calculations'!$AK96,FALSE))*D107,
(VLOOKUP(D$14,$K$15:$V$32,'Actual-CO2 Calculations'!$AK96,FALSE))*D107))</f>
        <v>0</v>
      </c>
      <c r="E255" s="738">
        <f>IF(E$14=0,0,
IF(OR(E$14=$K$28,E$14=$K$29,E$14=$K$30,E$14=$K$31,E$14=$K$32),
(VLOOKUP($K$25,$K$15:$V$32,'Actual-CO2 Calculations'!$AK96,FALSE))*E107,
(VLOOKUP(E$14,$K$15:$V$32,'Actual-CO2 Calculations'!$AK96,FALSE))*E107))</f>
        <v>0</v>
      </c>
      <c r="F255" s="738">
        <f>IF(F$14=0,0,
IF(OR(F$14=$K$28,F$14=$K$29,F$14=$K$30,F$14=$K$31,F$14=$K$32),
(VLOOKUP($K$25,$K$15:$V$32,'Actual-CO2 Calculations'!$AK96,FALSE))*F107,
(VLOOKUP(F$14,$K$15:$V$32,'Actual-CO2 Calculations'!$AK96,FALSE))*F107))</f>
        <v>0</v>
      </c>
    </row>
    <row r="256" spans="1:6">
      <c r="A256" t="s">
        <v>975</v>
      </c>
      <c r="B256" s="738">
        <f>IF(B$14=0,0,
IF(OR(B$14=$K$28,B$14=$K$29,B$14=$K$30,B$14=$K$31,B$14=$K$32),
(VLOOKUP($K$25,$K$15:$V$32,'Actual-CO2 Calculations'!$AK97,FALSE))*B108,
(VLOOKUP(B$14,$K$15:$V$32,'Actual-CO2 Calculations'!$AK97,FALSE))*B108))</f>
        <v>0</v>
      </c>
      <c r="C256" s="738">
        <f>IF(C$14=0,0,
IF(OR(C$14=$K$28,C$14=$K$29,C$14=$K$30,C$14=$K$31,C$14=$K$32),
(VLOOKUP($K$25,$K$15:$V$32,'Actual-CO2 Calculations'!$AK97,FALSE))*C108,
(VLOOKUP(C$14,$K$15:$V$32,'Actual-CO2 Calculations'!$AK97,FALSE))*C108))</f>
        <v>0</v>
      </c>
      <c r="D256" s="738">
        <f>IF(D$14=0,0,
IF(OR(D$14=$K$28,D$14=$K$29,D$14=$K$30,D$14=$K$31,D$14=$K$32),
(VLOOKUP($K$25,$K$15:$V$32,'Actual-CO2 Calculations'!$AK97,FALSE))*D108,
(VLOOKUP(D$14,$K$15:$V$32,'Actual-CO2 Calculations'!$AK97,FALSE))*D108))</f>
        <v>0</v>
      </c>
      <c r="E256" s="738">
        <f>IF(E$14=0,0,
IF(OR(E$14=$K$28,E$14=$K$29,E$14=$K$30,E$14=$K$31,E$14=$K$32),
(VLOOKUP($K$25,$K$15:$V$32,'Actual-CO2 Calculations'!$AK97,FALSE))*E108,
(VLOOKUP(E$14,$K$15:$V$32,'Actual-CO2 Calculations'!$AK97,FALSE))*E108))</f>
        <v>0</v>
      </c>
      <c r="F256" s="738">
        <f>IF(F$14=0,0,
IF(OR(F$14=$K$28,F$14=$K$29,F$14=$K$30,F$14=$K$31,F$14=$K$32),
(VLOOKUP($K$25,$K$15:$V$32,'Actual-CO2 Calculations'!$AK97,FALSE))*F108,
(VLOOKUP(F$14,$K$15:$V$32,'Actual-CO2 Calculations'!$AK97,FALSE))*F108))</f>
        <v>0</v>
      </c>
    </row>
    <row r="257" spans="1:6">
      <c r="A257" t="s">
        <v>976</v>
      </c>
      <c r="B257" s="738">
        <f>IF(B$14=0,0,
IF(OR(B$14=$K$28,B$14=$K$29,B$14=$K$30,B$14=$K$31,B$14=$K$32),
(VLOOKUP($K$25,$K$15:$V$32,'Actual-CO2 Calculations'!$AK98,FALSE))*B109,
(VLOOKUP(B$14,$K$15:$V$32,'Actual-CO2 Calculations'!$AK98,FALSE))*B109))</f>
        <v>0</v>
      </c>
      <c r="C257" s="738">
        <f>IF(C$14=0,0,
IF(OR(C$14=$K$28,C$14=$K$29,C$14=$K$30,C$14=$K$31,C$14=$K$32),
(VLOOKUP($K$25,$K$15:$V$32,'Actual-CO2 Calculations'!$AK98,FALSE))*C109,
(VLOOKUP(C$14,$K$15:$V$32,'Actual-CO2 Calculations'!$AK98,FALSE))*C109))</f>
        <v>0</v>
      </c>
      <c r="D257" s="738">
        <f>IF(D$14=0,0,
IF(OR(D$14=$K$28,D$14=$K$29,D$14=$K$30,D$14=$K$31,D$14=$K$32),
(VLOOKUP($K$25,$K$15:$V$32,'Actual-CO2 Calculations'!$AK98,FALSE))*D109,
(VLOOKUP(D$14,$K$15:$V$32,'Actual-CO2 Calculations'!$AK98,FALSE))*D109))</f>
        <v>0</v>
      </c>
      <c r="E257" s="738">
        <f>IF(E$14=0,0,
IF(OR(E$14=$K$28,E$14=$K$29,E$14=$K$30,E$14=$K$31,E$14=$K$32),
(VLOOKUP($K$25,$K$15:$V$32,'Actual-CO2 Calculations'!$AK98,FALSE))*E109,
(VLOOKUP(E$14,$K$15:$V$32,'Actual-CO2 Calculations'!$AK98,FALSE))*E109))</f>
        <v>0</v>
      </c>
      <c r="F257" s="738">
        <f>IF(F$14=0,0,
IF(OR(F$14=$K$28,F$14=$K$29,F$14=$K$30,F$14=$K$31,F$14=$K$32),
(VLOOKUP($K$25,$K$15:$V$32,'Actual-CO2 Calculations'!$AK98,FALSE))*F109,
(VLOOKUP(F$14,$K$15:$V$32,'Actual-CO2 Calculations'!$AK98,FALSE))*F109))</f>
        <v>0</v>
      </c>
    </row>
    <row r="258" spans="1:6">
      <c r="A258" t="s">
        <v>977</v>
      </c>
      <c r="B258" s="738">
        <f>IF(B$14=0,0,
IF(OR(B$14=$K$28,B$14=$K$29,B$14=$K$30,B$14=$K$31,B$14=$K$32),
(VLOOKUP($K$25,$K$15:$V$32,'Actual-CO2 Calculations'!$AK99,FALSE))*B110,
(VLOOKUP(B$14,$K$15:$V$32,'Actual-CO2 Calculations'!$AK99,FALSE))*B110))</f>
        <v>0</v>
      </c>
      <c r="C258" s="738">
        <f>IF(C$14=0,0,
IF(OR(C$14=$K$28,C$14=$K$29,C$14=$K$30,C$14=$K$31,C$14=$K$32),
(VLOOKUP($K$25,$K$15:$V$32,'Actual-CO2 Calculations'!$AK99,FALSE))*C110,
(VLOOKUP(C$14,$K$15:$V$32,'Actual-CO2 Calculations'!$AK99,FALSE))*C110))</f>
        <v>0</v>
      </c>
      <c r="D258" s="738">
        <f>IF(D$14=0,0,
IF(OR(D$14=$K$28,D$14=$K$29,D$14=$K$30,D$14=$K$31,D$14=$K$32),
(VLOOKUP($K$25,$K$15:$V$32,'Actual-CO2 Calculations'!$AK99,FALSE))*D110,
(VLOOKUP(D$14,$K$15:$V$32,'Actual-CO2 Calculations'!$AK99,FALSE))*D110))</f>
        <v>0</v>
      </c>
      <c r="E258" s="738">
        <f>IF(E$14=0,0,
IF(OR(E$14=$K$28,E$14=$K$29,E$14=$K$30,E$14=$K$31,E$14=$K$32),
(VLOOKUP($K$25,$K$15:$V$32,'Actual-CO2 Calculations'!$AK99,FALSE))*E110,
(VLOOKUP(E$14,$K$15:$V$32,'Actual-CO2 Calculations'!$AK99,FALSE))*E110))</f>
        <v>0</v>
      </c>
      <c r="F258" s="738">
        <f>IF(F$14=0,0,
IF(OR(F$14=$K$28,F$14=$K$29,F$14=$K$30,F$14=$K$31,F$14=$K$32),
(VLOOKUP($K$25,$K$15:$V$32,'Actual-CO2 Calculations'!$AK99,FALSE))*F110,
(VLOOKUP(F$14,$K$15:$V$32,'Actual-CO2 Calculations'!$AK99,FALSE))*F110))</f>
        <v>0</v>
      </c>
    </row>
    <row r="259" spans="1:6">
      <c r="A259" t="s">
        <v>978</v>
      </c>
      <c r="B259" s="738">
        <f>IF(B$14=0,0,
IF(OR(B$14=$K$28,B$14=$K$29,B$14=$K$30,B$14=$K$31,B$14=$K$32),
(VLOOKUP($K$25,$K$15:$V$32,'Actual-CO2 Calculations'!$AK100,FALSE))*B111,
(VLOOKUP(B$14,$K$15:$V$32,'Actual-CO2 Calculations'!$AK100,FALSE))*B111))</f>
        <v>0</v>
      </c>
      <c r="C259" s="738">
        <f>IF(C$14=0,0,
IF(OR(C$14=$K$28,C$14=$K$29,C$14=$K$30,C$14=$K$31,C$14=$K$32),
(VLOOKUP($K$25,$K$15:$V$32,'Actual-CO2 Calculations'!$AK100,FALSE))*C111,
(VLOOKUP(C$14,$K$15:$V$32,'Actual-CO2 Calculations'!$AK100,FALSE))*C111))</f>
        <v>0</v>
      </c>
      <c r="D259" s="738">
        <f>IF(D$14=0,0,
IF(OR(D$14=$K$28,D$14=$K$29,D$14=$K$30,D$14=$K$31,D$14=$K$32),
(VLOOKUP($K$25,$K$15:$V$32,'Actual-CO2 Calculations'!$AK100,FALSE))*D111,
(VLOOKUP(D$14,$K$15:$V$32,'Actual-CO2 Calculations'!$AK100,FALSE))*D111))</f>
        <v>0</v>
      </c>
      <c r="E259" s="738">
        <f>IF(E$14=0,0,
IF(OR(E$14=$K$28,E$14=$K$29,E$14=$K$30,E$14=$K$31,E$14=$K$32),
(VLOOKUP($K$25,$K$15:$V$32,'Actual-CO2 Calculations'!$AK100,FALSE))*E111,
(VLOOKUP(E$14,$K$15:$V$32,'Actual-CO2 Calculations'!$AK100,FALSE))*E111))</f>
        <v>0</v>
      </c>
      <c r="F259" s="738">
        <f>IF(F$14=0,0,
IF(OR(F$14=$K$28,F$14=$K$29,F$14=$K$30,F$14=$K$31,F$14=$K$32),
(VLOOKUP($K$25,$K$15:$V$32,'Actual-CO2 Calculations'!$AK100,FALSE))*F111,
(VLOOKUP(F$14,$K$15:$V$32,'Actual-CO2 Calculations'!$AK100,FALSE))*F111))</f>
        <v>0</v>
      </c>
    </row>
    <row r="260" spans="1:6">
      <c r="A260" t="s">
        <v>979</v>
      </c>
      <c r="B260" s="738">
        <f>IF(B$14=0,0,
IF(OR(B$14=$K$28,B$14=$K$29,B$14=$K$30,B$14=$K$31,B$14=$K$32),
(VLOOKUP($K$25,$K$15:$V$32,'Actual-CO2 Calculations'!$AK101,FALSE))*B112,
(VLOOKUP(B$14,$K$15:$V$32,'Actual-CO2 Calculations'!$AK101,FALSE))*B112))</f>
        <v>0</v>
      </c>
      <c r="C260" s="738">
        <f>IF(C$14=0,0,
IF(OR(C$14=$K$28,C$14=$K$29,C$14=$K$30,C$14=$K$31,C$14=$K$32),
(VLOOKUP($K$25,$K$15:$V$32,'Actual-CO2 Calculations'!$AK101,FALSE))*C112,
(VLOOKUP(C$14,$K$15:$V$32,'Actual-CO2 Calculations'!$AK101,FALSE))*C112))</f>
        <v>0</v>
      </c>
      <c r="D260" s="738">
        <f>IF(D$14=0,0,
IF(OR(D$14=$K$28,D$14=$K$29,D$14=$K$30,D$14=$K$31,D$14=$K$32),
(VLOOKUP($K$25,$K$15:$V$32,'Actual-CO2 Calculations'!$AK101,FALSE))*D112,
(VLOOKUP(D$14,$K$15:$V$32,'Actual-CO2 Calculations'!$AK101,FALSE))*D112))</f>
        <v>0</v>
      </c>
      <c r="E260" s="738">
        <f>IF(E$14=0,0,
IF(OR(E$14=$K$28,E$14=$K$29,E$14=$K$30,E$14=$K$31,E$14=$K$32),
(VLOOKUP($K$25,$K$15:$V$32,'Actual-CO2 Calculations'!$AK101,FALSE))*E112,
(VLOOKUP(E$14,$K$15:$V$32,'Actual-CO2 Calculations'!$AK101,FALSE))*E112))</f>
        <v>0</v>
      </c>
      <c r="F260" s="738">
        <f>IF(F$14=0,0,
IF(OR(F$14=$K$28,F$14=$K$29,F$14=$K$30,F$14=$K$31,F$14=$K$32),
(VLOOKUP($K$25,$K$15:$V$32,'Actual-CO2 Calculations'!$AK101,FALSE))*F112,
(VLOOKUP(F$14,$K$15:$V$32,'Actual-CO2 Calculations'!$AK101,FALSE))*F112))</f>
        <v>0</v>
      </c>
    </row>
    <row r="261" spans="1:6">
      <c r="A261" t="s">
        <v>980</v>
      </c>
      <c r="B261" s="738">
        <f>IF(B$14=0,0,
IF(OR(B$14=$K$28,B$14=$K$29,B$14=$K$30,B$14=$K$31,B$14=$K$32),
(VLOOKUP($K$25,$K$15:$V$32,'Actual-CO2 Calculations'!$AK102,FALSE))*B113,
(VLOOKUP(B$14,$K$15:$V$32,'Actual-CO2 Calculations'!$AK102,FALSE))*B113))</f>
        <v>0</v>
      </c>
      <c r="C261" s="738">
        <f>IF(C$14=0,0,
IF(OR(C$14=$K$28,C$14=$K$29,C$14=$K$30,C$14=$K$31,C$14=$K$32),
(VLOOKUP($K$25,$K$15:$V$32,'Actual-CO2 Calculations'!$AK102,FALSE))*C113,
(VLOOKUP(C$14,$K$15:$V$32,'Actual-CO2 Calculations'!$AK102,FALSE))*C113))</f>
        <v>0</v>
      </c>
      <c r="D261" s="738">
        <f>IF(D$14=0,0,
IF(OR(D$14=$K$28,D$14=$K$29,D$14=$K$30,D$14=$K$31,D$14=$K$32),
(VLOOKUP($K$25,$K$15:$V$32,'Actual-CO2 Calculations'!$AK102,FALSE))*D113,
(VLOOKUP(D$14,$K$15:$V$32,'Actual-CO2 Calculations'!$AK102,FALSE))*D113))</f>
        <v>0</v>
      </c>
      <c r="E261" s="738">
        <f>IF(E$14=0,0,
IF(OR(E$14=$K$28,E$14=$K$29,E$14=$K$30,E$14=$K$31,E$14=$K$32),
(VLOOKUP($K$25,$K$15:$V$32,'Actual-CO2 Calculations'!$AK102,FALSE))*E113,
(VLOOKUP(E$14,$K$15:$V$32,'Actual-CO2 Calculations'!$AK102,FALSE))*E113))</f>
        <v>0</v>
      </c>
      <c r="F261" s="738">
        <f>IF(F$14=0,0,
IF(OR(F$14=$K$28,F$14=$K$29,F$14=$K$30,F$14=$K$31,F$14=$K$32),
(VLOOKUP($K$25,$K$15:$V$32,'Actual-CO2 Calculations'!$AK102,FALSE))*F113,
(VLOOKUP(F$14,$K$15:$V$32,'Actual-CO2 Calculations'!$AK102,FALSE))*F113))</f>
        <v>0</v>
      </c>
    </row>
    <row r="262" spans="1:6">
      <c r="A262" t="s">
        <v>981</v>
      </c>
      <c r="B262" s="738">
        <f>IF(B$14=0,0,
IF(OR(B$14=$K$28,B$14=$K$29,B$14=$K$30,B$14=$K$31,B$14=$K$32),
(VLOOKUP($K$25,$K$15:$V$32,'Actual-CO2 Calculations'!$AK103,FALSE))*B114,
(VLOOKUP(B$14,$K$15:$V$32,'Actual-CO2 Calculations'!$AK103,FALSE))*B114))</f>
        <v>0</v>
      </c>
      <c r="C262" s="738">
        <f>IF(C$14=0,0,
IF(OR(C$14=$K$28,C$14=$K$29,C$14=$K$30,C$14=$K$31,C$14=$K$32),
(VLOOKUP($K$25,$K$15:$V$32,'Actual-CO2 Calculations'!$AK103,FALSE))*C114,
(VLOOKUP(C$14,$K$15:$V$32,'Actual-CO2 Calculations'!$AK103,FALSE))*C114))</f>
        <v>0</v>
      </c>
      <c r="D262" s="738">
        <f>IF(D$14=0,0,
IF(OR(D$14=$K$28,D$14=$K$29,D$14=$K$30,D$14=$K$31,D$14=$K$32),
(VLOOKUP($K$25,$K$15:$V$32,'Actual-CO2 Calculations'!$AK103,FALSE))*D114,
(VLOOKUP(D$14,$K$15:$V$32,'Actual-CO2 Calculations'!$AK103,FALSE))*D114))</f>
        <v>0</v>
      </c>
      <c r="E262" s="738">
        <f>IF(E$14=0,0,
IF(OR(E$14=$K$28,E$14=$K$29,E$14=$K$30,E$14=$K$31,E$14=$K$32),
(VLOOKUP($K$25,$K$15:$V$32,'Actual-CO2 Calculations'!$AK103,FALSE))*E114,
(VLOOKUP(E$14,$K$15:$V$32,'Actual-CO2 Calculations'!$AK103,FALSE))*E114))</f>
        <v>0</v>
      </c>
      <c r="F262" s="738">
        <f>IF(F$14=0,0,
IF(OR(F$14=$K$28,F$14=$K$29,F$14=$K$30,F$14=$K$31,F$14=$K$32),
(VLOOKUP($K$25,$K$15:$V$32,'Actual-CO2 Calculations'!$AK103,FALSE))*F114,
(VLOOKUP(F$14,$K$15:$V$32,'Actual-CO2 Calculations'!$AK103,FALSE))*F114))</f>
        <v>0</v>
      </c>
    </row>
    <row r="263" spans="1:6">
      <c r="A263" t="s">
        <v>982</v>
      </c>
      <c r="B263" s="738">
        <f>IF(B$14=0,0,
IF(OR(B$14=$K$28,B$14=$K$29,B$14=$K$30,B$14=$K$31,B$14=$K$32),
(VLOOKUP($K$25,$K$15:$V$32,'Actual-CO2 Calculations'!$AK104,FALSE))*B115,
(VLOOKUP(B$14,$K$15:$V$32,'Actual-CO2 Calculations'!$AK104,FALSE))*B115))</f>
        <v>0</v>
      </c>
      <c r="C263" s="738">
        <f>IF(C$14=0,0,
IF(OR(C$14=$K$28,C$14=$K$29,C$14=$K$30,C$14=$K$31,C$14=$K$32),
(VLOOKUP($K$25,$K$15:$V$32,'Actual-CO2 Calculations'!$AK104,FALSE))*C115,
(VLOOKUP(C$14,$K$15:$V$32,'Actual-CO2 Calculations'!$AK104,FALSE))*C115))</f>
        <v>0</v>
      </c>
      <c r="D263" s="738">
        <f>IF(D$14=0,0,
IF(OR(D$14=$K$28,D$14=$K$29,D$14=$K$30,D$14=$K$31,D$14=$K$32),
(VLOOKUP($K$25,$K$15:$V$32,'Actual-CO2 Calculations'!$AK104,FALSE))*D115,
(VLOOKUP(D$14,$K$15:$V$32,'Actual-CO2 Calculations'!$AK104,FALSE))*D115))</f>
        <v>0</v>
      </c>
      <c r="E263" s="738">
        <f>IF(E$14=0,0,
IF(OR(E$14=$K$28,E$14=$K$29,E$14=$K$30,E$14=$K$31,E$14=$K$32),
(VLOOKUP($K$25,$K$15:$V$32,'Actual-CO2 Calculations'!$AK104,FALSE))*E115,
(VLOOKUP(E$14,$K$15:$V$32,'Actual-CO2 Calculations'!$AK104,FALSE))*E115))</f>
        <v>0</v>
      </c>
      <c r="F263" s="738">
        <f>IF(F$14=0,0,
IF(OR(F$14=$K$28,F$14=$K$29,F$14=$K$30,F$14=$K$31,F$14=$K$32),
(VLOOKUP($K$25,$K$15:$V$32,'Actual-CO2 Calculations'!$AK104,FALSE))*F115,
(VLOOKUP(F$14,$K$15:$V$32,'Actual-CO2 Calculations'!$AK104,FALSE))*F115))</f>
        <v>0</v>
      </c>
    </row>
    <row r="264" spans="1:6">
      <c r="A264" t="s">
        <v>983</v>
      </c>
      <c r="B264" s="738">
        <f>IF(B$14=0,0,
IF(OR(B$14=$K$28,B$14=$K$29,B$14=$K$30,B$14=$K$31,B$14=$K$32),
(VLOOKUP($K$25,$K$15:$V$32,'Actual-CO2 Calculations'!$AK105,FALSE))*B116,
(VLOOKUP(B$14,$K$15:$V$32,'Actual-CO2 Calculations'!$AK105,FALSE))*B116))</f>
        <v>0</v>
      </c>
      <c r="C264" s="738">
        <f>IF(C$14=0,0,
IF(OR(C$14=$K$28,C$14=$K$29,C$14=$K$30,C$14=$K$31,C$14=$K$32),
(VLOOKUP($K$25,$K$15:$V$32,'Actual-CO2 Calculations'!$AK105,FALSE))*C116,
(VLOOKUP(C$14,$K$15:$V$32,'Actual-CO2 Calculations'!$AK105,FALSE))*C116))</f>
        <v>0</v>
      </c>
      <c r="D264" s="738">
        <f>IF(D$14=0,0,
IF(OR(D$14=$K$28,D$14=$K$29,D$14=$K$30,D$14=$K$31,D$14=$K$32),
(VLOOKUP($K$25,$K$15:$V$32,'Actual-CO2 Calculations'!$AK105,FALSE))*D116,
(VLOOKUP(D$14,$K$15:$V$32,'Actual-CO2 Calculations'!$AK105,FALSE))*D116))</f>
        <v>0</v>
      </c>
      <c r="E264" s="738">
        <f>IF(E$14=0,0,
IF(OR(E$14=$K$28,E$14=$K$29,E$14=$K$30,E$14=$K$31,E$14=$K$32),
(VLOOKUP($K$25,$K$15:$V$32,'Actual-CO2 Calculations'!$AK105,FALSE))*E116,
(VLOOKUP(E$14,$K$15:$V$32,'Actual-CO2 Calculations'!$AK105,FALSE))*E116))</f>
        <v>0</v>
      </c>
      <c r="F264" s="738">
        <f>IF(F$14=0,0,
IF(OR(F$14=$K$28,F$14=$K$29,F$14=$K$30,F$14=$K$31,F$14=$K$32),
(VLOOKUP($K$25,$K$15:$V$32,'Actual-CO2 Calculations'!$AK105,FALSE))*F116,
(VLOOKUP(F$14,$K$15:$V$32,'Actual-CO2 Calculations'!$AK105,FALSE))*F116))</f>
        <v>0</v>
      </c>
    </row>
    <row r="265" spans="1:6">
      <c r="A265" t="s">
        <v>984</v>
      </c>
      <c r="B265" s="738">
        <f>IF(B$14=0,0,
IF(OR(B$14=$K$28,B$14=$K$29,B$14=$K$30,B$14=$K$31,B$14=$K$32),
(VLOOKUP($K$25,$K$15:$V$32,'Actual-CO2 Calculations'!$AK106,FALSE))*B117,
(VLOOKUP(B$14,$K$15:$V$32,'Actual-CO2 Calculations'!$AK106,FALSE))*B117))</f>
        <v>0</v>
      </c>
      <c r="C265" s="738">
        <f>IF(C$14=0,0,
IF(OR(C$14=$K$28,C$14=$K$29,C$14=$K$30,C$14=$K$31,C$14=$K$32),
(VLOOKUP($K$25,$K$15:$V$32,'Actual-CO2 Calculations'!$AK106,FALSE))*C117,
(VLOOKUP(C$14,$K$15:$V$32,'Actual-CO2 Calculations'!$AK106,FALSE))*C117))</f>
        <v>0</v>
      </c>
      <c r="D265" s="738">
        <f>IF(D$14=0,0,
IF(OR(D$14=$K$28,D$14=$K$29,D$14=$K$30,D$14=$K$31,D$14=$K$32),
(VLOOKUP($K$25,$K$15:$V$32,'Actual-CO2 Calculations'!$AK106,FALSE))*D117,
(VLOOKUP(D$14,$K$15:$V$32,'Actual-CO2 Calculations'!$AK106,FALSE))*D117))</f>
        <v>0</v>
      </c>
      <c r="E265" s="738">
        <f>IF(E$14=0,0,
IF(OR(E$14=$K$28,E$14=$K$29,E$14=$K$30,E$14=$K$31,E$14=$K$32),
(VLOOKUP($K$25,$K$15:$V$32,'Actual-CO2 Calculations'!$AK106,FALSE))*E117,
(VLOOKUP(E$14,$K$15:$V$32,'Actual-CO2 Calculations'!$AK106,FALSE))*E117))</f>
        <v>0</v>
      </c>
      <c r="F265" s="738">
        <f>IF(F$14=0,0,
IF(OR(F$14=$K$28,F$14=$K$29,F$14=$K$30,F$14=$K$31,F$14=$K$32),
(VLOOKUP($K$25,$K$15:$V$32,'Actual-CO2 Calculations'!$AK106,FALSE))*F117,
(VLOOKUP(F$14,$K$15:$V$32,'Actual-CO2 Calculations'!$AK106,FALSE))*F117))</f>
        <v>0</v>
      </c>
    </row>
    <row r="266" spans="1:6">
      <c r="A266" t="s">
        <v>985</v>
      </c>
      <c r="B266" s="738">
        <f>IF(B$14=0,0,
IF(OR(B$14=$K$28,B$14=$K$29,B$14=$K$30,B$14=$K$31,B$14=$K$32),
(VLOOKUP($K$25,$K$15:$V$32,'Actual-CO2 Calculations'!$AK107,FALSE))*B118,
(VLOOKUP(B$14,$K$15:$V$32,'Actual-CO2 Calculations'!$AK107,FALSE))*B118))</f>
        <v>0</v>
      </c>
      <c r="C266" s="738">
        <f>IF(C$14=0,0,
IF(OR(C$14=$K$28,C$14=$K$29,C$14=$K$30,C$14=$K$31,C$14=$K$32),
(VLOOKUP($K$25,$K$15:$V$32,'Actual-CO2 Calculations'!$AK107,FALSE))*C118,
(VLOOKUP(C$14,$K$15:$V$32,'Actual-CO2 Calculations'!$AK107,FALSE))*C118))</f>
        <v>0</v>
      </c>
      <c r="D266" s="738">
        <f>IF(D$14=0,0,
IF(OR(D$14=$K$28,D$14=$K$29,D$14=$K$30,D$14=$K$31,D$14=$K$32),
(VLOOKUP($K$25,$K$15:$V$32,'Actual-CO2 Calculations'!$AK107,FALSE))*D118,
(VLOOKUP(D$14,$K$15:$V$32,'Actual-CO2 Calculations'!$AK107,FALSE))*D118))</f>
        <v>0</v>
      </c>
      <c r="E266" s="738">
        <f>IF(E$14=0,0,
IF(OR(E$14=$K$28,E$14=$K$29,E$14=$K$30,E$14=$K$31,E$14=$K$32),
(VLOOKUP($K$25,$K$15:$V$32,'Actual-CO2 Calculations'!$AK107,FALSE))*E118,
(VLOOKUP(E$14,$K$15:$V$32,'Actual-CO2 Calculations'!$AK107,FALSE))*E118))</f>
        <v>0</v>
      </c>
      <c r="F266" s="738">
        <f>IF(F$14=0,0,
IF(OR(F$14=$K$28,F$14=$K$29,F$14=$K$30,F$14=$K$31,F$14=$K$32),
(VLOOKUP($K$25,$K$15:$V$32,'Actual-CO2 Calculations'!$AK107,FALSE))*F118,
(VLOOKUP(F$14,$K$15:$V$32,'Actual-CO2 Calculations'!$AK107,FALSE))*F118))</f>
        <v>0</v>
      </c>
    </row>
    <row r="267" spans="1:6">
      <c r="A267" t="s">
        <v>986</v>
      </c>
      <c r="B267" s="738">
        <f>IF(B$14=0,0,
IF(OR(B$14=$K$28,B$14=$K$29,B$14=$K$30,B$14=$K$31,B$14=$K$32),
(VLOOKUP($K$25,$K$15:$V$32,'Actual-CO2 Calculations'!$AK108,FALSE))*B119,
(VLOOKUP(B$14,$K$15:$V$32,'Actual-CO2 Calculations'!$AK108,FALSE))*B119))</f>
        <v>0</v>
      </c>
      <c r="C267" s="738">
        <f>IF(C$14=0,0,
IF(OR(C$14=$K$28,C$14=$K$29,C$14=$K$30,C$14=$K$31,C$14=$K$32),
(VLOOKUP($K$25,$K$15:$V$32,'Actual-CO2 Calculations'!$AK108,FALSE))*C119,
(VLOOKUP(C$14,$K$15:$V$32,'Actual-CO2 Calculations'!$AK108,FALSE))*C119))</f>
        <v>0</v>
      </c>
      <c r="D267" s="738">
        <f>IF(D$14=0,0,
IF(OR(D$14=$K$28,D$14=$K$29,D$14=$K$30,D$14=$K$31,D$14=$K$32),
(VLOOKUP($K$25,$K$15:$V$32,'Actual-CO2 Calculations'!$AK108,FALSE))*D119,
(VLOOKUP(D$14,$K$15:$V$32,'Actual-CO2 Calculations'!$AK108,FALSE))*D119))</f>
        <v>0</v>
      </c>
      <c r="E267" s="738">
        <f>IF(E$14=0,0,
IF(OR(E$14=$K$28,E$14=$K$29,E$14=$K$30,E$14=$K$31,E$14=$K$32),
(VLOOKUP($K$25,$K$15:$V$32,'Actual-CO2 Calculations'!$AK108,FALSE))*E119,
(VLOOKUP(E$14,$K$15:$V$32,'Actual-CO2 Calculations'!$AK108,FALSE))*E119))</f>
        <v>0</v>
      </c>
      <c r="F267" s="738">
        <f>IF(F$14=0,0,
IF(OR(F$14=$K$28,F$14=$K$29,F$14=$K$30,F$14=$K$31,F$14=$K$32),
(VLOOKUP($K$25,$K$15:$V$32,'Actual-CO2 Calculations'!$AK108,FALSE))*F119,
(VLOOKUP(F$14,$K$15:$V$32,'Actual-CO2 Calculations'!$AK108,FALSE))*F119))</f>
        <v>0</v>
      </c>
    </row>
    <row r="268" spans="1:6">
      <c r="A268" t="s">
        <v>987</v>
      </c>
      <c r="B268" s="738">
        <f>IF(B$14=0,0,
IF(OR(B$14=$K$28,B$14=$K$29,B$14=$K$30,B$14=$K$31,B$14=$K$32),
(VLOOKUP($K$25,$K$15:$V$32,'Actual-CO2 Calculations'!$AK109,FALSE))*B120,
(VLOOKUP(B$14,$K$15:$V$32,'Actual-CO2 Calculations'!$AK109,FALSE))*B120))</f>
        <v>0</v>
      </c>
      <c r="C268" s="738">
        <f>IF(C$14=0,0,
IF(OR(C$14=$K$28,C$14=$K$29,C$14=$K$30,C$14=$K$31,C$14=$K$32),
(VLOOKUP($K$25,$K$15:$V$32,'Actual-CO2 Calculations'!$AK109,FALSE))*C120,
(VLOOKUP(C$14,$K$15:$V$32,'Actual-CO2 Calculations'!$AK109,FALSE))*C120))</f>
        <v>0</v>
      </c>
      <c r="D268" s="738">
        <f>IF(D$14=0,0,
IF(OR(D$14=$K$28,D$14=$K$29,D$14=$K$30,D$14=$K$31,D$14=$K$32),
(VLOOKUP($K$25,$K$15:$V$32,'Actual-CO2 Calculations'!$AK109,FALSE))*D120,
(VLOOKUP(D$14,$K$15:$V$32,'Actual-CO2 Calculations'!$AK109,FALSE))*D120))</f>
        <v>0</v>
      </c>
      <c r="E268" s="738">
        <f>IF(E$14=0,0,
IF(OR(E$14=$K$28,E$14=$K$29,E$14=$K$30,E$14=$K$31,E$14=$K$32),
(VLOOKUP($K$25,$K$15:$V$32,'Actual-CO2 Calculations'!$AK109,FALSE))*E120,
(VLOOKUP(E$14,$K$15:$V$32,'Actual-CO2 Calculations'!$AK109,FALSE))*E120))</f>
        <v>0</v>
      </c>
      <c r="F268" s="738">
        <f>IF(F$14=0,0,
IF(OR(F$14=$K$28,F$14=$K$29,F$14=$K$30,F$14=$K$31,F$14=$K$32),
(VLOOKUP($K$25,$K$15:$V$32,'Actual-CO2 Calculations'!$AK109,FALSE))*F120,
(VLOOKUP(F$14,$K$15:$V$32,'Actual-CO2 Calculations'!$AK109,FALSE))*F120))</f>
        <v>0</v>
      </c>
    </row>
    <row r="269" spans="1:6">
      <c r="A269" t="s">
        <v>988</v>
      </c>
      <c r="B269" s="738">
        <f>IF(B$14=0,0,
IF(OR(B$14=$K$28,B$14=$K$29,B$14=$K$30,B$14=$K$31,B$14=$K$32),
(VLOOKUP($K$25,$K$15:$V$32,'Actual-CO2 Calculations'!$AK110,FALSE))*B121,
(VLOOKUP(B$14,$K$15:$V$32,'Actual-CO2 Calculations'!$AK110,FALSE))*B121))</f>
        <v>0</v>
      </c>
      <c r="C269" s="738">
        <f>IF(C$14=0,0,
IF(OR(C$14=$K$28,C$14=$K$29,C$14=$K$30,C$14=$K$31,C$14=$K$32),
(VLOOKUP($K$25,$K$15:$V$32,'Actual-CO2 Calculations'!$AK110,FALSE))*C121,
(VLOOKUP(C$14,$K$15:$V$32,'Actual-CO2 Calculations'!$AK110,FALSE))*C121))</f>
        <v>0</v>
      </c>
      <c r="D269" s="738">
        <f>IF(D$14=0,0,
IF(OR(D$14=$K$28,D$14=$K$29,D$14=$K$30,D$14=$K$31,D$14=$K$32),
(VLOOKUP($K$25,$K$15:$V$32,'Actual-CO2 Calculations'!$AK110,FALSE))*D121,
(VLOOKUP(D$14,$K$15:$V$32,'Actual-CO2 Calculations'!$AK110,FALSE))*D121))</f>
        <v>0</v>
      </c>
      <c r="E269" s="738">
        <f>IF(E$14=0,0,
IF(OR(E$14=$K$28,E$14=$K$29,E$14=$K$30,E$14=$K$31,E$14=$K$32),
(VLOOKUP($K$25,$K$15:$V$32,'Actual-CO2 Calculations'!$AK110,FALSE))*E121,
(VLOOKUP(E$14,$K$15:$V$32,'Actual-CO2 Calculations'!$AK110,FALSE))*E121))</f>
        <v>0</v>
      </c>
      <c r="F269" s="738">
        <f>IF(F$14=0,0,
IF(OR(F$14=$K$28,F$14=$K$29,F$14=$K$30,F$14=$K$31,F$14=$K$32),
(VLOOKUP($K$25,$K$15:$V$32,'Actual-CO2 Calculations'!$AK110,FALSE))*F121,
(VLOOKUP(F$14,$K$15:$V$32,'Actual-CO2 Calculations'!$AK110,FALSE))*F121))</f>
        <v>0</v>
      </c>
    </row>
    <row r="270" spans="1:6">
      <c r="A270" t="s">
        <v>989</v>
      </c>
      <c r="B270" s="738">
        <f>IF(B$14=0,0,
IF(OR(B$14=$K$28,B$14=$K$29,B$14=$K$30,B$14=$K$31,B$14=$K$32),
(VLOOKUP($K$25,$K$15:$V$32,'Actual-CO2 Calculations'!$AK111,FALSE))*B122,
(VLOOKUP(B$14,$K$15:$V$32,'Actual-CO2 Calculations'!$AK111,FALSE))*B122))</f>
        <v>0</v>
      </c>
      <c r="C270" s="738">
        <f>IF(C$14=0,0,
IF(OR(C$14=$K$28,C$14=$K$29,C$14=$K$30,C$14=$K$31,C$14=$K$32),
(VLOOKUP($K$25,$K$15:$V$32,'Actual-CO2 Calculations'!$AK111,FALSE))*C122,
(VLOOKUP(C$14,$K$15:$V$32,'Actual-CO2 Calculations'!$AK111,FALSE))*C122))</f>
        <v>0</v>
      </c>
      <c r="D270" s="738">
        <f>IF(D$14=0,0,
IF(OR(D$14=$K$28,D$14=$K$29,D$14=$K$30,D$14=$K$31,D$14=$K$32),
(VLOOKUP($K$25,$K$15:$V$32,'Actual-CO2 Calculations'!$AK111,FALSE))*D122,
(VLOOKUP(D$14,$K$15:$V$32,'Actual-CO2 Calculations'!$AK111,FALSE))*D122))</f>
        <v>0</v>
      </c>
      <c r="E270" s="738">
        <f>IF(E$14=0,0,
IF(OR(E$14=$K$28,E$14=$K$29,E$14=$K$30,E$14=$K$31,E$14=$K$32),
(VLOOKUP($K$25,$K$15:$V$32,'Actual-CO2 Calculations'!$AK111,FALSE))*E122,
(VLOOKUP(E$14,$K$15:$V$32,'Actual-CO2 Calculations'!$AK111,FALSE))*E122))</f>
        <v>0</v>
      </c>
      <c r="F270" s="738">
        <f>IF(F$14=0,0,
IF(OR(F$14=$K$28,F$14=$K$29,F$14=$K$30,F$14=$K$31,F$14=$K$32),
(VLOOKUP($K$25,$K$15:$V$32,'Actual-CO2 Calculations'!$AK111,FALSE))*F122,
(VLOOKUP(F$14,$K$15:$V$32,'Actual-CO2 Calculations'!$AK111,FALSE))*F122))</f>
        <v>0</v>
      </c>
    </row>
    <row r="271" spans="1:6">
      <c r="A271" t="s">
        <v>990</v>
      </c>
      <c r="B271" s="738">
        <f>IF(B$14=0,0,
IF(OR(B$14=$K$28,B$14=$K$29,B$14=$K$30,B$14=$K$31,B$14=$K$32),
(VLOOKUP($K$25,$K$15:$V$32,'Actual-CO2 Calculations'!$AK112,FALSE))*B123,
(VLOOKUP(B$14,$K$15:$V$32,'Actual-CO2 Calculations'!$AK112,FALSE))*B123))</f>
        <v>0</v>
      </c>
      <c r="C271" s="738">
        <f>IF(C$14=0,0,
IF(OR(C$14=$K$28,C$14=$K$29,C$14=$K$30,C$14=$K$31,C$14=$K$32),
(VLOOKUP($K$25,$K$15:$V$32,'Actual-CO2 Calculations'!$AK112,FALSE))*C123,
(VLOOKUP(C$14,$K$15:$V$32,'Actual-CO2 Calculations'!$AK112,FALSE))*C123))</f>
        <v>0</v>
      </c>
      <c r="D271" s="738">
        <f>IF(D$14=0,0,
IF(OR(D$14=$K$28,D$14=$K$29,D$14=$K$30,D$14=$K$31,D$14=$K$32),
(VLOOKUP($K$25,$K$15:$V$32,'Actual-CO2 Calculations'!$AK112,FALSE))*D123,
(VLOOKUP(D$14,$K$15:$V$32,'Actual-CO2 Calculations'!$AK112,FALSE))*D123))</f>
        <v>0</v>
      </c>
      <c r="E271" s="738">
        <f>IF(E$14=0,0,
IF(OR(E$14=$K$28,E$14=$K$29,E$14=$K$30,E$14=$K$31,E$14=$K$32),
(VLOOKUP($K$25,$K$15:$V$32,'Actual-CO2 Calculations'!$AK112,FALSE))*E123,
(VLOOKUP(E$14,$K$15:$V$32,'Actual-CO2 Calculations'!$AK112,FALSE))*E123))</f>
        <v>0</v>
      </c>
      <c r="F271" s="738">
        <f>IF(F$14=0,0,
IF(OR(F$14=$K$28,F$14=$K$29,F$14=$K$30,F$14=$K$31,F$14=$K$32),
(VLOOKUP($K$25,$K$15:$V$32,'Actual-CO2 Calculations'!$AK112,FALSE))*F123,
(VLOOKUP(F$14,$K$15:$V$32,'Actual-CO2 Calculations'!$AK112,FALSE))*F123))</f>
        <v>0</v>
      </c>
    </row>
    <row r="272" spans="1:6">
      <c r="A272" t="s">
        <v>991</v>
      </c>
      <c r="B272" s="738">
        <f>IF(B$14=0,0,
IF(OR(B$14=$K$28,B$14=$K$29,B$14=$K$30,B$14=$K$31,B$14=$K$32),
(VLOOKUP($K$25,$K$15:$V$32,'Actual-CO2 Calculations'!$AK113,FALSE))*B124,
(VLOOKUP(B$14,$K$15:$V$32,'Actual-CO2 Calculations'!$AK113,FALSE))*B124))</f>
        <v>0</v>
      </c>
      <c r="C272" s="738">
        <f>IF(C$14=0,0,
IF(OR(C$14=$K$28,C$14=$K$29,C$14=$K$30,C$14=$K$31,C$14=$K$32),
(VLOOKUP($K$25,$K$15:$V$32,'Actual-CO2 Calculations'!$AK113,FALSE))*C124,
(VLOOKUP(C$14,$K$15:$V$32,'Actual-CO2 Calculations'!$AK113,FALSE))*C124))</f>
        <v>0</v>
      </c>
      <c r="D272" s="738">
        <f>IF(D$14=0,0,
IF(OR(D$14=$K$28,D$14=$K$29,D$14=$K$30,D$14=$K$31,D$14=$K$32),
(VLOOKUP($K$25,$K$15:$V$32,'Actual-CO2 Calculations'!$AK113,FALSE))*D124,
(VLOOKUP(D$14,$K$15:$V$32,'Actual-CO2 Calculations'!$AK113,FALSE))*D124))</f>
        <v>0</v>
      </c>
      <c r="E272" s="738">
        <f>IF(E$14=0,0,
IF(OR(E$14=$K$28,E$14=$K$29,E$14=$K$30,E$14=$K$31,E$14=$K$32),
(VLOOKUP($K$25,$K$15:$V$32,'Actual-CO2 Calculations'!$AK113,FALSE))*E124,
(VLOOKUP(E$14,$K$15:$V$32,'Actual-CO2 Calculations'!$AK113,FALSE))*E124))</f>
        <v>0</v>
      </c>
      <c r="F272" s="738">
        <f>IF(F$14=0,0,
IF(OR(F$14=$K$28,F$14=$K$29,F$14=$K$30,F$14=$K$31,F$14=$K$32),
(VLOOKUP($K$25,$K$15:$V$32,'Actual-CO2 Calculations'!$AK113,FALSE))*F124,
(VLOOKUP(F$14,$K$15:$V$32,'Actual-CO2 Calculations'!$AK113,FALSE))*F124))</f>
        <v>0</v>
      </c>
    </row>
    <row r="273" spans="1:8">
      <c r="A273" t="s">
        <v>992</v>
      </c>
      <c r="B273" s="738">
        <f>IF(B$14=0,0,
IF(OR(B$14=$K$28,B$14=$K$29,B$14=$K$30,B$14=$K$31,B$14=$K$32),
(VLOOKUP($K$25,$K$15:$V$32,'Actual-CO2 Calculations'!$AK114,FALSE))*B125,
(VLOOKUP(B$14,$K$15:$V$32,'Actual-CO2 Calculations'!$AK114,FALSE))*B125))</f>
        <v>0</v>
      </c>
      <c r="C273" s="738">
        <f>IF(C$14=0,0,
IF(OR(C$14=$K$28,C$14=$K$29,C$14=$K$30,C$14=$K$31,C$14=$K$32),
(VLOOKUP($K$25,$K$15:$V$32,'Actual-CO2 Calculations'!$AK114,FALSE))*C125,
(VLOOKUP(C$14,$K$15:$V$32,'Actual-CO2 Calculations'!$AK114,FALSE))*C125))</f>
        <v>0</v>
      </c>
      <c r="D273" s="738">
        <f>IF(D$14=0,0,
IF(OR(D$14=$K$28,D$14=$K$29,D$14=$K$30,D$14=$K$31,D$14=$K$32),
(VLOOKUP($K$25,$K$15:$V$32,'Actual-CO2 Calculations'!$AK114,FALSE))*D125,
(VLOOKUP(D$14,$K$15:$V$32,'Actual-CO2 Calculations'!$AK114,FALSE))*D125))</f>
        <v>0</v>
      </c>
      <c r="E273" s="738">
        <f>IF(E$14=0,0,
IF(OR(E$14=$K$28,E$14=$K$29,E$14=$K$30,E$14=$K$31,E$14=$K$32),
(VLOOKUP($K$25,$K$15:$V$32,'Actual-CO2 Calculations'!$AK114,FALSE))*E125,
(VLOOKUP(E$14,$K$15:$V$32,'Actual-CO2 Calculations'!$AK114,FALSE))*E125))</f>
        <v>0</v>
      </c>
      <c r="F273" s="738">
        <f>IF(F$14=0,0,
IF(OR(F$14=$K$28,F$14=$K$29,F$14=$K$30,F$14=$K$31,F$14=$K$32),
(VLOOKUP($K$25,$K$15:$V$32,'Actual-CO2 Calculations'!$AK114,FALSE))*F125,
(VLOOKUP(F$14,$K$15:$V$32,'Actual-CO2 Calculations'!$AK114,FALSE))*F125))</f>
        <v>0</v>
      </c>
    </row>
    <row r="274" spans="1:8">
      <c r="A274" t="s">
        <v>993</v>
      </c>
      <c r="B274" s="738">
        <f>IF(B$14=0,0,
IF(OR(B$14=$K$28,B$14=$K$29,B$14=$K$30,B$14=$K$31,B$14=$K$32),
(VLOOKUP($K$25,$K$15:$V$32,'Actual-CO2 Calculations'!$AK115,FALSE))*B126,
(VLOOKUP(B$14,$K$15:$V$32,'Actual-CO2 Calculations'!$AK115,FALSE))*B126))</f>
        <v>0</v>
      </c>
      <c r="C274" s="738">
        <f>IF(C$14=0,0,
IF(OR(C$14=$K$28,C$14=$K$29,C$14=$K$30,C$14=$K$31,C$14=$K$32),
(VLOOKUP($K$25,$K$15:$V$32,'Actual-CO2 Calculations'!$AK115,FALSE))*C126,
(VLOOKUP(C$14,$K$15:$V$32,'Actual-CO2 Calculations'!$AK115,FALSE))*C126))</f>
        <v>0</v>
      </c>
      <c r="D274" s="738">
        <f>IF(D$14=0,0,
IF(OR(D$14=$K$28,D$14=$K$29,D$14=$K$30,D$14=$K$31,D$14=$K$32),
(VLOOKUP($K$25,$K$15:$V$32,'Actual-CO2 Calculations'!$AK115,FALSE))*D126,
(VLOOKUP(D$14,$K$15:$V$32,'Actual-CO2 Calculations'!$AK115,FALSE))*D126))</f>
        <v>0</v>
      </c>
      <c r="E274" s="738">
        <f>IF(E$14=0,0,
IF(OR(E$14=$K$28,E$14=$K$29,E$14=$K$30,E$14=$K$31,E$14=$K$32),
(VLOOKUP($K$25,$K$15:$V$32,'Actual-CO2 Calculations'!$AK115,FALSE))*E126,
(VLOOKUP(E$14,$K$15:$V$32,'Actual-CO2 Calculations'!$AK115,FALSE))*E126))</f>
        <v>0</v>
      </c>
      <c r="F274" s="738">
        <f>IF(F$14=0,0,
IF(OR(F$14=$K$28,F$14=$K$29,F$14=$K$30,F$14=$K$31,F$14=$K$32),
(VLOOKUP($K$25,$K$15:$V$32,'Actual-CO2 Calculations'!$AK115,FALSE))*F126,
(VLOOKUP(F$14,$K$15:$V$32,'Actual-CO2 Calculations'!$AK115,FALSE))*F126))</f>
        <v>0</v>
      </c>
    </row>
    <row r="275" spans="1:8">
      <c r="A275" t="s">
        <v>994</v>
      </c>
      <c r="B275" s="738">
        <f>IF(B$14=0,0,
IF(OR(B$14=$K$28,B$14=$K$29,B$14=$K$30,B$14=$K$31,B$14=$K$32),
(VLOOKUP($K$25,$K$15:$V$32,'Actual-CO2 Calculations'!$AK116,FALSE))*B127,
(VLOOKUP(B$14,$K$15:$V$32,'Actual-CO2 Calculations'!$AK116,FALSE))*B127))</f>
        <v>0</v>
      </c>
      <c r="C275" s="738">
        <f>IF(C$14=0,0,
IF(OR(C$14=$K$28,C$14=$K$29,C$14=$K$30,C$14=$K$31,C$14=$K$32),
(VLOOKUP($K$25,$K$15:$V$32,'Actual-CO2 Calculations'!$AK116,FALSE))*C127,
(VLOOKUP(C$14,$K$15:$V$32,'Actual-CO2 Calculations'!$AK116,FALSE))*C127))</f>
        <v>0</v>
      </c>
      <c r="D275" s="738">
        <f>IF(D$14=0,0,
IF(OR(D$14=$K$28,D$14=$K$29,D$14=$K$30,D$14=$K$31,D$14=$K$32),
(VLOOKUP($K$25,$K$15:$V$32,'Actual-CO2 Calculations'!$AK116,FALSE))*D127,
(VLOOKUP(D$14,$K$15:$V$32,'Actual-CO2 Calculations'!$AK116,FALSE))*D127))</f>
        <v>0</v>
      </c>
      <c r="E275" s="738">
        <f>IF(E$14=0,0,
IF(OR(E$14=$K$28,E$14=$K$29,E$14=$K$30,E$14=$K$31,E$14=$K$32),
(VLOOKUP($K$25,$K$15:$V$32,'Actual-CO2 Calculations'!$AK116,FALSE))*E127,
(VLOOKUP(E$14,$K$15:$V$32,'Actual-CO2 Calculations'!$AK116,FALSE))*E127))</f>
        <v>0</v>
      </c>
      <c r="F275" s="738">
        <f>IF(F$14=0,0,
IF(OR(F$14=$K$28,F$14=$K$29,F$14=$K$30,F$14=$K$31,F$14=$K$32),
(VLOOKUP($K$25,$K$15:$V$32,'Actual-CO2 Calculations'!$AK116,FALSE))*F127,
(VLOOKUP(F$14,$K$15:$V$32,'Actual-CO2 Calculations'!$AK116,FALSE))*F127))</f>
        <v>0</v>
      </c>
    </row>
    <row r="276" spans="1:8">
      <c r="A276" t="s">
        <v>995</v>
      </c>
      <c r="B276" s="738">
        <f>IF(B$14=0,0,
IF(OR(B$14=$K$28,B$14=$K$29,B$14=$K$30,B$14=$K$31,B$14=$K$32),
(VLOOKUP($K$25,$K$15:$V$32,'Actual-CO2 Calculations'!$AK117,FALSE))*B128,
(VLOOKUP(B$14,$K$15:$V$32,'Actual-CO2 Calculations'!$AK117,FALSE))*B128))</f>
        <v>0</v>
      </c>
      <c r="C276" s="738">
        <f>IF(C$14=0,0,
IF(OR(C$14=$K$28,C$14=$K$29,C$14=$K$30,C$14=$K$31,C$14=$K$32),
(VLOOKUP($K$25,$K$15:$V$32,'Actual-CO2 Calculations'!$AK117,FALSE))*C128,
(VLOOKUP(C$14,$K$15:$V$32,'Actual-CO2 Calculations'!$AK117,FALSE))*C128))</f>
        <v>0</v>
      </c>
      <c r="D276" s="738">
        <f>IF(D$14=0,0,
IF(OR(D$14=$K$28,D$14=$K$29,D$14=$K$30,D$14=$K$31,D$14=$K$32),
(VLOOKUP($K$25,$K$15:$V$32,'Actual-CO2 Calculations'!$AK117,FALSE))*D128,
(VLOOKUP(D$14,$K$15:$V$32,'Actual-CO2 Calculations'!$AK117,FALSE))*D128))</f>
        <v>0</v>
      </c>
      <c r="E276" s="738">
        <f>IF(E$14=0,0,
IF(OR(E$14=$K$28,E$14=$K$29,E$14=$K$30,E$14=$K$31,E$14=$K$32),
(VLOOKUP($K$25,$K$15:$V$32,'Actual-CO2 Calculations'!$AK117,FALSE))*E128,
(VLOOKUP(E$14,$K$15:$V$32,'Actual-CO2 Calculations'!$AK117,FALSE))*E128))</f>
        <v>0</v>
      </c>
      <c r="F276" s="738">
        <f>IF(F$14=0,0,
IF(OR(F$14=$K$28,F$14=$K$29,F$14=$K$30,F$14=$K$31,F$14=$K$32),
(VLOOKUP($K$25,$K$15:$V$32,'Actual-CO2 Calculations'!$AK117,FALSE))*F128,
(VLOOKUP(F$14,$K$15:$V$32,'Actual-CO2 Calculations'!$AK117,FALSE))*F128))</f>
        <v>0</v>
      </c>
    </row>
    <row r="277" spans="1:8">
      <c r="A277" t="s">
        <v>996</v>
      </c>
      <c r="B277" s="738">
        <f>IF(B$14=0,0,
IF(OR(B$14=$K$28,B$14=$K$29,B$14=$K$30,B$14=$K$31,B$14=$K$32),
(VLOOKUP($K$25,$K$15:$V$32,'Actual-CO2 Calculations'!$AK118,FALSE))*B129,
(VLOOKUP(B$14,$K$15:$V$32,'Actual-CO2 Calculations'!$AK118,FALSE))*B129))</f>
        <v>0</v>
      </c>
      <c r="C277" s="738">
        <f>IF(C$14=0,0,
IF(OR(C$14=$K$28,C$14=$K$29,C$14=$K$30,C$14=$K$31,C$14=$K$32),
(VLOOKUP($K$25,$K$15:$V$32,'Actual-CO2 Calculations'!$AK118,FALSE))*C129,
(VLOOKUP(C$14,$K$15:$V$32,'Actual-CO2 Calculations'!$AK118,FALSE))*C129))</f>
        <v>0</v>
      </c>
      <c r="D277" s="738">
        <f>IF(D$14=0,0,
IF(OR(D$14=$K$28,D$14=$K$29,D$14=$K$30,D$14=$K$31,D$14=$K$32),
(VLOOKUP($K$25,$K$15:$V$32,'Actual-CO2 Calculations'!$AK118,FALSE))*D129,
(VLOOKUP(D$14,$K$15:$V$32,'Actual-CO2 Calculations'!$AK118,FALSE))*D129))</f>
        <v>0</v>
      </c>
      <c r="E277" s="738">
        <f>IF(E$14=0,0,
IF(OR(E$14=$K$28,E$14=$K$29,E$14=$K$30,E$14=$K$31,E$14=$K$32),
(VLOOKUP($K$25,$K$15:$V$32,'Actual-CO2 Calculations'!$AK118,FALSE))*E129,
(VLOOKUP(E$14,$K$15:$V$32,'Actual-CO2 Calculations'!$AK118,FALSE))*E129))</f>
        <v>0</v>
      </c>
      <c r="F277" s="738">
        <f>IF(F$14=0,0,
IF(OR(F$14=$K$28,F$14=$K$29,F$14=$K$30,F$14=$K$31,F$14=$K$32),
(VLOOKUP($K$25,$K$15:$V$32,'Actual-CO2 Calculations'!$AK118,FALSE))*F129,
(VLOOKUP(F$14,$K$15:$V$32,'Actual-CO2 Calculations'!$AK118,FALSE))*F129))</f>
        <v>0</v>
      </c>
    </row>
    <row r="278" spans="1:8">
      <c r="A278" t="s">
        <v>997</v>
      </c>
      <c r="B278" s="738">
        <f>IF(B$14=0,0,
IF(OR(B$14=$K$28,B$14=$K$29,B$14=$K$30,B$14=$K$31,B$14=$K$32),
(VLOOKUP($K$25,$K$15:$V$32,'Actual-CO2 Calculations'!$AK119,FALSE))*B130,
(VLOOKUP(B$14,$K$15:$V$32,'Actual-CO2 Calculations'!$AK119,FALSE))*B130))</f>
        <v>0</v>
      </c>
      <c r="C278" s="738">
        <f>IF(C$14=0,0,
IF(OR(C$14=$K$28,C$14=$K$29,C$14=$K$30,C$14=$K$31,C$14=$K$32),
(VLOOKUP($K$25,$K$15:$V$32,'Actual-CO2 Calculations'!$AK119,FALSE))*C130,
(VLOOKUP(C$14,$K$15:$V$32,'Actual-CO2 Calculations'!$AK119,FALSE))*C130))</f>
        <v>0</v>
      </c>
      <c r="D278" s="738">
        <f>IF(D$14=0,0,
IF(OR(D$14=$K$28,D$14=$K$29,D$14=$K$30,D$14=$K$31,D$14=$K$32),
(VLOOKUP($K$25,$K$15:$V$32,'Actual-CO2 Calculations'!$AK119,FALSE))*D130,
(VLOOKUP(D$14,$K$15:$V$32,'Actual-CO2 Calculations'!$AK119,FALSE))*D130))</f>
        <v>0</v>
      </c>
      <c r="E278" s="738">
        <f>IF(E$14=0,0,
IF(OR(E$14=$K$28,E$14=$K$29,E$14=$K$30,E$14=$K$31,E$14=$K$32),
(VLOOKUP($K$25,$K$15:$V$32,'Actual-CO2 Calculations'!$AK119,FALSE))*E130,
(VLOOKUP(E$14,$K$15:$V$32,'Actual-CO2 Calculations'!$AK119,FALSE))*E130))</f>
        <v>0</v>
      </c>
      <c r="F278" s="738">
        <f>IF(F$14=0,0,
IF(OR(F$14=$K$28,F$14=$K$29,F$14=$K$30,F$14=$K$31,F$14=$K$32),
(VLOOKUP($K$25,$K$15:$V$32,'Actual-CO2 Calculations'!$AK119,FALSE))*F130,
(VLOOKUP(F$14,$K$15:$V$32,'Actual-CO2 Calculations'!$AK119,FALSE))*F130))</f>
        <v>0</v>
      </c>
    </row>
    <row r="279" spans="1:8">
      <c r="A279" t="s">
        <v>998</v>
      </c>
      <c r="B279" s="738">
        <f>IF(B$14=0,0,
IF(OR(B$14=$K$28,B$14=$K$29,B$14=$K$30,B$14=$K$31,B$14=$K$32),
(VLOOKUP($K$25,$K$15:$V$32,'Actual-CO2 Calculations'!$AK120,FALSE))*B131,
(VLOOKUP(B$14,$K$15:$V$32,'Actual-CO2 Calculations'!$AK120,FALSE))*B131))</f>
        <v>0</v>
      </c>
      <c r="C279" s="738">
        <f>IF(C$14=0,0,
IF(OR(C$14=$K$28,C$14=$K$29,C$14=$K$30,C$14=$K$31,C$14=$K$32),
(VLOOKUP($K$25,$K$15:$V$32,'Actual-CO2 Calculations'!$AK120,FALSE))*C131,
(VLOOKUP(C$14,$K$15:$V$32,'Actual-CO2 Calculations'!$AK120,FALSE))*C131))</f>
        <v>0</v>
      </c>
      <c r="D279" s="738">
        <f>IF(D$14=0,0,
IF(OR(D$14=$K$28,D$14=$K$29,D$14=$K$30,D$14=$K$31,D$14=$K$32),
(VLOOKUP($K$25,$K$15:$V$32,'Actual-CO2 Calculations'!$AK120,FALSE))*D131,
(VLOOKUP(D$14,$K$15:$V$32,'Actual-CO2 Calculations'!$AK120,FALSE))*D131))</f>
        <v>0</v>
      </c>
      <c r="E279" s="738">
        <f>IF(E$14=0,0,
IF(OR(E$14=$K$28,E$14=$K$29,E$14=$K$30,E$14=$K$31,E$14=$K$32),
(VLOOKUP($K$25,$K$15:$V$32,'Actual-CO2 Calculations'!$AK120,FALSE))*E131,
(VLOOKUP(E$14,$K$15:$V$32,'Actual-CO2 Calculations'!$AK120,FALSE))*E131))</f>
        <v>0</v>
      </c>
      <c r="F279" s="738">
        <f>IF(F$14=0,0,
IF(OR(F$14=$K$28,F$14=$K$29,F$14=$K$30,F$14=$K$31,F$14=$K$32),
(VLOOKUP($K$25,$K$15:$V$32,'Actual-CO2 Calculations'!$AK120,FALSE))*F131,
(VLOOKUP(F$14,$K$15:$V$32,'Actual-CO2 Calculations'!$AK120,FALSE))*F131))</f>
        <v>0</v>
      </c>
    </row>
    <row r="280" spans="1:8">
      <c r="A280" t="s">
        <v>999</v>
      </c>
      <c r="B280" s="738">
        <f>IF(B$14=0,0,
IF(OR(B$14=$K$28,B$14=$K$29,B$14=$K$30,B$14=$K$31,B$14=$K$32),
(VLOOKUP($K$25,$K$15:$V$32,'Actual-CO2 Calculations'!$AK121,FALSE))*B132,
(VLOOKUP(B$14,$K$15:$V$32,'Actual-CO2 Calculations'!$AK121,FALSE))*B132))</f>
        <v>0</v>
      </c>
      <c r="C280" s="738">
        <f>IF(C$14=0,0,
IF(OR(C$14=$K$28,C$14=$K$29,C$14=$K$30,C$14=$K$31,C$14=$K$32),
(VLOOKUP($K$25,$K$15:$V$32,'Actual-CO2 Calculations'!$AK121,FALSE))*C132,
(VLOOKUP(C$14,$K$15:$V$32,'Actual-CO2 Calculations'!$AK121,FALSE))*C132))</f>
        <v>0</v>
      </c>
      <c r="D280" s="738">
        <f>IF(D$14=0,0,
IF(OR(D$14=$K$28,D$14=$K$29,D$14=$K$30,D$14=$K$31,D$14=$K$32),
(VLOOKUP($K$25,$K$15:$V$32,'Actual-CO2 Calculations'!$AK121,FALSE))*D132,
(VLOOKUP(D$14,$K$15:$V$32,'Actual-CO2 Calculations'!$AK121,FALSE))*D132))</f>
        <v>0</v>
      </c>
      <c r="E280" s="738">
        <f>IF(E$14=0,0,
IF(OR(E$14=$K$28,E$14=$K$29,E$14=$K$30,E$14=$K$31,E$14=$K$32),
(VLOOKUP($K$25,$K$15:$V$32,'Actual-CO2 Calculations'!$AK121,FALSE))*E132,
(VLOOKUP(E$14,$K$15:$V$32,'Actual-CO2 Calculations'!$AK121,FALSE))*E132))</f>
        <v>0</v>
      </c>
      <c r="F280" s="738">
        <f>IF(F$14=0,0,
IF(OR(F$14=$K$28,F$14=$K$29,F$14=$K$30,F$14=$K$31,F$14=$K$32),
(VLOOKUP($K$25,$K$15:$V$32,'Actual-CO2 Calculations'!$AK121,FALSE))*F132,
(VLOOKUP(F$14,$K$15:$V$32,'Actual-CO2 Calculations'!$AK121,FALSE))*F132))</f>
        <v>0</v>
      </c>
    </row>
    <row r="282" spans="1:8" ht="18.75">
      <c r="A282" s="694" t="s">
        <v>112</v>
      </c>
      <c r="B282" s="702">
        <f>SUM(B164:B280)</f>
        <v>0</v>
      </c>
      <c r="C282" s="702">
        <f t="shared" ref="C282:F282" si="7">SUM(C164:C280)</f>
        <v>0</v>
      </c>
      <c r="D282" s="702">
        <f t="shared" si="7"/>
        <v>0</v>
      </c>
      <c r="E282" s="702">
        <f t="shared" si="7"/>
        <v>0</v>
      </c>
      <c r="F282" s="702">
        <f t="shared" si="7"/>
        <v>0</v>
      </c>
      <c r="G282" s="700"/>
      <c r="H282" s="702">
        <f>SUM(B282:F282)</f>
        <v>0</v>
      </c>
    </row>
  </sheetData>
  <mergeCells count="2">
    <mergeCell ref="A10:C10"/>
    <mergeCell ref="D2:F7"/>
  </mergeCells>
  <conditionalFormatting sqref="B13:F13">
    <cfRule type="expression" dxfId="8" priority="8">
      <formula>B$154=1</formula>
    </cfRule>
  </conditionalFormatting>
  <conditionalFormatting sqref="B14:F14">
    <cfRule type="expression" dxfId="7" priority="7">
      <formula>B$155=1</formula>
    </cfRule>
  </conditionalFormatting>
  <conditionalFormatting sqref="B11:F12">
    <cfRule type="expression" dxfId="6" priority="6">
      <formula>B$153=1</formula>
    </cfRule>
  </conditionalFormatting>
  <conditionalFormatting sqref="B3">
    <cfRule type="expression" dxfId="5" priority="2">
      <formula>$B$157=1</formula>
    </cfRule>
  </conditionalFormatting>
  <conditionalFormatting sqref="B7">
    <cfRule type="expression" dxfId="4" priority="1">
      <formula>$B$158=1</formula>
    </cfRule>
  </conditionalFormatting>
  <dataValidations count="2">
    <dataValidation type="list" allowBlank="1" showInputMessage="1" showErrorMessage="1" sqref="B14:F14">
      <formula1>$K$15:$K$32</formula1>
    </dataValidation>
    <dataValidation type="list" allowBlank="1" showInputMessage="1" showErrorMessage="1" sqref="B12:F12">
      <formula1>$K$34:$K$35</formula1>
    </dataValidation>
  </dataValidations>
  <pageMargins left="0.7" right="0.7" top="0.75" bottom="0.75" header="0.3" footer="0.3"/>
  <pageSetup paperSize="9" orientation="portrait" verticalDpi="4"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Instructions!$C$43:$C$51</xm:f>
          </x14:formula1>
          <xm:sqref>B4:B5</xm:sqref>
        </x14:dataValidation>
        <x14:dataValidation type="list" allowBlank="1" showInputMessage="1" showErrorMessage="1">
          <x14:formula1>
            <xm:f>Instructions!$B$43:$B$51</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R56"/>
  <sheetViews>
    <sheetView zoomScale="85" zoomScaleNormal="85" workbookViewId="0">
      <selection activeCell="M10" sqref="M10"/>
    </sheetView>
  </sheetViews>
  <sheetFormatPr defaultRowHeight="14.25"/>
  <cols>
    <col min="1" max="1" width="72.28515625" style="24" customWidth="1"/>
    <col min="2" max="2" width="20.7109375" style="24" customWidth="1"/>
    <col min="3" max="4" width="7.42578125" style="24" bestFit="1" customWidth="1"/>
    <col min="5" max="5" width="7.42578125" style="24" customWidth="1"/>
    <col min="6" max="12" width="7.42578125" style="24" bestFit="1" customWidth="1"/>
    <col min="13" max="15" width="9.140625" style="24"/>
    <col min="16" max="16" width="9.140625" style="24" customWidth="1"/>
    <col min="17" max="17" width="12.42578125" style="24" bestFit="1" customWidth="1"/>
    <col min="18" max="16384" width="9.140625" style="24"/>
  </cols>
  <sheetData>
    <row r="1" spans="1:18" ht="30" customHeight="1">
      <c r="A1" s="862" t="s">
        <v>139</v>
      </c>
      <c r="B1" s="862"/>
      <c r="C1" s="862"/>
      <c r="D1" s="862"/>
      <c r="E1" s="862"/>
      <c r="F1" s="862"/>
      <c r="G1" s="862"/>
      <c r="H1" s="862"/>
      <c r="I1" s="862"/>
      <c r="J1" s="862"/>
      <c r="K1" s="862"/>
      <c r="L1" s="862"/>
      <c r="Q1" s="575"/>
      <c r="R1" s="575"/>
    </row>
    <row r="2" spans="1:18" ht="30" customHeight="1">
      <c r="A2" s="861" t="s">
        <v>113</v>
      </c>
      <c r="B2" s="861"/>
      <c r="C2" s="861"/>
      <c r="D2" s="861"/>
      <c r="E2" s="861"/>
      <c r="F2" s="861"/>
      <c r="G2" s="861"/>
      <c r="H2" s="861"/>
      <c r="I2" s="861"/>
      <c r="J2" s="861"/>
      <c r="K2" s="861"/>
      <c r="L2" s="861"/>
      <c r="Q2" s="575"/>
      <c r="R2" s="575"/>
    </row>
    <row r="3" spans="1:18" ht="30" customHeight="1">
      <c r="A3" s="639" t="s">
        <v>126</v>
      </c>
      <c r="B3" s="874" t="s">
        <v>949</v>
      </c>
      <c r="C3" s="874"/>
      <c r="D3" s="874"/>
      <c r="E3" s="874"/>
      <c r="F3" s="874"/>
      <c r="G3" s="874"/>
      <c r="H3" s="874"/>
      <c r="I3" s="874"/>
      <c r="J3" s="874"/>
      <c r="K3" s="874"/>
      <c r="L3" s="874"/>
      <c r="Q3" s="575" t="s">
        <v>125</v>
      </c>
      <c r="R3" s="575"/>
    </row>
    <row r="4" spans="1:18" ht="30" customHeight="1">
      <c r="A4" s="877" t="s">
        <v>114</v>
      </c>
      <c r="B4" s="647" t="s">
        <v>115</v>
      </c>
      <c r="C4" s="875" t="s">
        <v>67</v>
      </c>
      <c r="D4" s="875"/>
      <c r="E4" s="875"/>
      <c r="F4" s="875"/>
      <c r="G4" s="875"/>
      <c r="H4" s="875"/>
      <c r="I4" s="875"/>
      <c r="J4" s="875"/>
      <c r="K4" s="875"/>
      <c r="L4" s="875"/>
      <c r="Q4" s="575" t="s">
        <v>948</v>
      </c>
      <c r="R4" s="575"/>
    </row>
    <row r="5" spans="1:18" ht="30" customHeight="1">
      <c r="A5" s="877"/>
      <c r="B5" s="647" t="s">
        <v>116</v>
      </c>
      <c r="C5" s="875" t="s">
        <v>79</v>
      </c>
      <c r="D5" s="875"/>
      <c r="E5" s="875"/>
      <c r="F5" s="875"/>
      <c r="G5" s="875"/>
      <c r="H5" s="875"/>
      <c r="I5" s="875"/>
      <c r="J5" s="875"/>
      <c r="K5" s="875"/>
      <c r="L5" s="875"/>
      <c r="Q5" s="575" t="s">
        <v>949</v>
      </c>
      <c r="R5" s="575"/>
    </row>
    <row r="6" spans="1:18" ht="30" customHeight="1">
      <c r="A6" s="877"/>
      <c r="B6" s="647" t="s">
        <v>117</v>
      </c>
      <c r="C6" s="875" t="s">
        <v>19</v>
      </c>
      <c r="D6" s="875"/>
      <c r="E6" s="875"/>
      <c r="F6" s="875"/>
      <c r="G6" s="875"/>
      <c r="H6" s="875"/>
      <c r="I6" s="875"/>
      <c r="J6" s="875"/>
      <c r="K6" s="875"/>
      <c r="L6" s="875"/>
      <c r="Q6" s="575" t="s">
        <v>950</v>
      </c>
      <c r="R6" s="575"/>
    </row>
    <row r="7" spans="1:18" ht="30" customHeight="1">
      <c r="A7" s="861" t="s">
        <v>870</v>
      </c>
      <c r="B7" s="861"/>
      <c r="C7" s="861"/>
      <c r="D7" s="861"/>
      <c r="E7" s="861"/>
      <c r="F7" s="861"/>
      <c r="G7" s="861"/>
      <c r="H7" s="861"/>
      <c r="I7" s="861"/>
      <c r="J7" s="861"/>
      <c r="K7" s="861"/>
      <c r="L7" s="861"/>
      <c r="Q7" s="575" t="s">
        <v>951</v>
      </c>
      <c r="R7" s="575"/>
    </row>
    <row r="8" spans="1:18" ht="50.25" customHeight="1">
      <c r="A8" s="846" t="s">
        <v>953</v>
      </c>
      <c r="B8" s="647" t="s">
        <v>116</v>
      </c>
      <c r="C8" s="880">
        <f>VLOOKUP(C5,'Actual-CO2 Calculations'!$A$5:$O$121,'Actual-CO2 Calculations'!M1,FALSE)</f>
        <v>0.20145171526178585</v>
      </c>
      <c r="D8" s="880"/>
      <c r="E8" s="880"/>
      <c r="F8" s="879" t="s">
        <v>117</v>
      </c>
      <c r="G8" s="879"/>
      <c r="H8" s="879"/>
      <c r="I8" s="879"/>
      <c r="J8" s="879"/>
      <c r="K8" s="880">
        <f>VLOOKUP(C6,'Actual-CO2 Calculations'!$A$5:$O$121,'Actual-CO2 Calculations'!M1,FALSE)</f>
        <v>0.19911388542680075</v>
      </c>
      <c r="L8" s="880"/>
      <c r="Q8" s="575" t="s">
        <v>952</v>
      </c>
      <c r="R8" s="575"/>
    </row>
    <row r="9" spans="1:18" ht="49.5" customHeight="1">
      <c r="A9" s="618" t="s">
        <v>140</v>
      </c>
      <c r="B9" s="647" t="s">
        <v>954</v>
      </c>
      <c r="C9" s="878">
        <f>VLOOKUP(C5,'Actual-CO2 Calculations'!$A$5:$O$121,'Actual-CO2 Calculations'!J1,FALSE)</f>
        <v>1000333.0788708999</v>
      </c>
      <c r="D9" s="878"/>
      <c r="E9" s="878"/>
      <c r="F9" s="879" t="s">
        <v>955</v>
      </c>
      <c r="G9" s="879"/>
      <c r="H9" s="879"/>
      <c r="I9" s="879"/>
      <c r="J9" s="879"/>
      <c r="K9" s="878">
        <f>VLOOKUP(C5,'Actual-CO2 Calculations'!$A$5:$O$121,'Actual-CO2 Calculations'!K1,FALSE)</f>
        <v>1252689.5342325307</v>
      </c>
      <c r="L9" s="878"/>
      <c r="Q9" s="575" t="s">
        <v>1045</v>
      </c>
      <c r="R9" s="575"/>
    </row>
    <row r="10" spans="1:18" ht="71.25" customHeight="1">
      <c r="A10" s="618" t="s">
        <v>130</v>
      </c>
      <c r="B10" s="869" t="s">
        <v>1104</v>
      </c>
      <c r="C10" s="876"/>
      <c r="D10" s="876"/>
      <c r="E10" s="876"/>
      <c r="F10" s="876"/>
      <c r="G10" s="876"/>
      <c r="H10" s="876"/>
      <c r="I10" s="876"/>
      <c r="J10" s="876"/>
      <c r="K10" s="876"/>
      <c r="L10" s="876"/>
      <c r="M10" s="575">
        <f>IF(B10&gt;0,1,0)</f>
        <v>1</v>
      </c>
      <c r="Q10" s="575" t="s">
        <v>1046</v>
      </c>
      <c r="R10" s="575"/>
    </row>
    <row r="11" spans="1:18" ht="30" customHeight="1">
      <c r="A11" s="861" t="s">
        <v>118</v>
      </c>
      <c r="B11" s="861"/>
      <c r="C11" s="861"/>
      <c r="D11" s="861"/>
      <c r="E11" s="861"/>
      <c r="F11" s="861"/>
      <c r="G11" s="861"/>
      <c r="H11" s="861"/>
      <c r="I11" s="861"/>
      <c r="J11" s="861"/>
      <c r="K11" s="861"/>
      <c r="L11" s="861"/>
      <c r="Q11" s="575" t="s">
        <v>1047</v>
      </c>
      <c r="R11" s="575"/>
    </row>
    <row r="12" spans="1:18" ht="93" customHeight="1">
      <c r="A12" s="639" t="s">
        <v>128</v>
      </c>
      <c r="B12" s="869" t="s">
        <v>1116</v>
      </c>
      <c r="C12" s="876"/>
      <c r="D12" s="876"/>
      <c r="E12" s="876"/>
      <c r="F12" s="876"/>
      <c r="G12" s="876"/>
      <c r="H12" s="876"/>
      <c r="I12" s="876"/>
      <c r="J12" s="876"/>
      <c r="K12" s="876"/>
      <c r="L12" s="876"/>
      <c r="Q12" s="575" t="s">
        <v>1048</v>
      </c>
      <c r="R12" s="575"/>
    </row>
    <row r="13" spans="1:18" ht="69" customHeight="1">
      <c r="A13" s="639" t="s">
        <v>127</v>
      </c>
      <c r="B13" s="869" t="s">
        <v>1118</v>
      </c>
      <c r="C13" s="870"/>
      <c r="D13" s="870"/>
      <c r="E13" s="870"/>
      <c r="F13" s="870"/>
      <c r="G13" s="870"/>
      <c r="H13" s="870"/>
      <c r="I13" s="870"/>
      <c r="J13" s="870"/>
      <c r="K13" s="870"/>
      <c r="L13" s="870"/>
      <c r="Q13" s="575" t="s">
        <v>1049</v>
      </c>
      <c r="R13" s="575"/>
    </row>
    <row r="14" spans="1:18" ht="60.75" customHeight="1">
      <c r="A14" s="639" t="s">
        <v>129</v>
      </c>
      <c r="B14" s="871" t="s">
        <v>1117</v>
      </c>
      <c r="C14" s="872"/>
      <c r="D14" s="872"/>
      <c r="E14" s="872"/>
      <c r="F14" s="872"/>
      <c r="G14" s="872"/>
      <c r="H14" s="872"/>
      <c r="I14" s="872"/>
      <c r="J14" s="872"/>
      <c r="K14" s="872"/>
      <c r="L14" s="872"/>
      <c r="Q14" s="575" t="s">
        <v>1050</v>
      </c>
      <c r="R14" s="575"/>
    </row>
    <row r="15" spans="1:18" ht="30" customHeight="1">
      <c r="A15" s="873" t="s">
        <v>135</v>
      </c>
      <c r="B15" s="873"/>
      <c r="C15" s="873"/>
      <c r="D15" s="873"/>
      <c r="E15" s="873"/>
      <c r="F15" s="873"/>
      <c r="G15" s="873"/>
      <c r="H15" s="873"/>
      <c r="I15" s="873"/>
      <c r="J15" s="873"/>
      <c r="K15" s="873"/>
      <c r="L15" s="873"/>
      <c r="Q15" s="575" t="s">
        <v>1051</v>
      </c>
      <c r="R15" s="575"/>
    </row>
    <row r="16" spans="1:18" s="29" customFormat="1" ht="15" customHeight="1">
      <c r="A16" s="864" t="s">
        <v>122</v>
      </c>
      <c r="B16" s="865" t="s">
        <v>95</v>
      </c>
      <c r="C16" s="866" t="s">
        <v>134</v>
      </c>
      <c r="D16" s="867"/>
      <c r="E16" s="867"/>
      <c r="F16" s="867"/>
      <c r="G16" s="867"/>
      <c r="H16" s="867"/>
      <c r="I16" s="867"/>
      <c r="J16" s="867"/>
      <c r="K16" s="867"/>
      <c r="L16" s="868"/>
      <c r="Q16" s="575" t="s">
        <v>1052</v>
      </c>
      <c r="R16" s="728"/>
    </row>
    <row r="17" spans="1:18" s="29" customFormat="1" ht="15" customHeight="1">
      <c r="A17" s="864"/>
      <c r="B17" s="865"/>
      <c r="C17" s="652">
        <v>2009</v>
      </c>
      <c r="D17" s="653">
        <v>2010</v>
      </c>
      <c r="E17" s="653">
        <v>2011</v>
      </c>
      <c r="F17" s="653">
        <v>2012</v>
      </c>
      <c r="G17" s="653">
        <v>2013</v>
      </c>
      <c r="H17" s="653">
        <v>2014</v>
      </c>
      <c r="I17" s="652">
        <v>2015</v>
      </c>
      <c r="J17" s="653">
        <v>2016</v>
      </c>
      <c r="K17" s="653">
        <v>2017</v>
      </c>
      <c r="L17" s="653">
        <v>2018</v>
      </c>
      <c r="Q17" s="575" t="s">
        <v>1053</v>
      </c>
      <c r="R17" s="728"/>
    </row>
    <row r="18" spans="1:18" s="29" customFormat="1" ht="15" customHeight="1">
      <c r="A18" s="724" t="s">
        <v>96</v>
      </c>
      <c r="B18" s="651" t="s">
        <v>99</v>
      </c>
      <c r="C18" s="725">
        <v>2.56721666666667</v>
      </c>
      <c r="D18" s="725">
        <v>2.56721666666667</v>
      </c>
      <c r="E18" s="725">
        <v>2.5766666666666702</v>
      </c>
      <c r="F18" s="654">
        <v>2.5834999999999999</v>
      </c>
      <c r="G18" s="654">
        <v>2.6008</v>
      </c>
      <c r="H18" s="654">
        <v>2.6023999999999998</v>
      </c>
      <c r="I18" s="822">
        <v>2.5838999999999999</v>
      </c>
      <c r="J18" s="725">
        <v>2.6194166666666598</v>
      </c>
      <c r="K18" s="725">
        <v>2.6194166666666598</v>
      </c>
      <c r="L18" s="725">
        <v>2.6194166666666598</v>
      </c>
      <c r="Q18" s="575" t="s">
        <v>1054</v>
      </c>
      <c r="R18" s="728"/>
    </row>
    <row r="19" spans="1:18" s="29" customFormat="1" ht="15" customHeight="1">
      <c r="A19" s="724" t="s">
        <v>94</v>
      </c>
      <c r="B19" s="651" t="s">
        <v>99</v>
      </c>
      <c r="C19" s="725">
        <v>2.6838158268333299</v>
      </c>
      <c r="D19" s="725">
        <v>2.6838158268333299</v>
      </c>
      <c r="E19" s="725">
        <v>2.6799376153333299</v>
      </c>
      <c r="F19" s="654">
        <v>2.6768999999999998</v>
      </c>
      <c r="G19" s="654">
        <v>2.6705000000000001</v>
      </c>
      <c r="H19" s="654">
        <v>2.6691435769999998</v>
      </c>
      <c r="I19" s="822">
        <v>2.6761400000000002</v>
      </c>
      <c r="J19" s="725">
        <v>2.66239332521429</v>
      </c>
      <c r="K19" s="725">
        <v>2.66239332521429</v>
      </c>
      <c r="L19" s="725">
        <v>2.66239332521429</v>
      </c>
      <c r="Q19" s="575" t="s">
        <v>1055</v>
      </c>
      <c r="R19" s="728"/>
    </row>
    <row r="20" spans="1:18" s="29" customFormat="1" ht="15" customHeight="1">
      <c r="A20" s="724" t="s">
        <v>97</v>
      </c>
      <c r="B20" s="651" t="s">
        <v>99</v>
      </c>
      <c r="C20" s="725">
        <v>3.10375122916667</v>
      </c>
      <c r="D20" s="725">
        <v>3.10375122916667</v>
      </c>
      <c r="E20" s="725">
        <v>3.0559864166666699</v>
      </c>
      <c r="F20" s="654">
        <v>3.0213000000000001</v>
      </c>
      <c r="G20" s="654">
        <v>2.9342999999999999</v>
      </c>
      <c r="H20" s="654">
        <v>2.9257703749999999</v>
      </c>
      <c r="I20" s="822">
        <v>2.9088400000000001</v>
      </c>
      <c r="J20" s="725">
        <v>2.8399075029761902</v>
      </c>
      <c r="K20" s="725">
        <v>2.8399075029761902</v>
      </c>
      <c r="L20" s="725">
        <v>2.8399075029761902</v>
      </c>
      <c r="Q20" s="575" t="s">
        <v>1056</v>
      </c>
      <c r="R20" s="728"/>
    </row>
    <row r="21" spans="1:18" s="29" customFormat="1" ht="15" customHeight="1">
      <c r="A21" s="724" t="s">
        <v>98</v>
      </c>
      <c r="B21" s="651" t="s">
        <v>99</v>
      </c>
      <c r="C21" s="725">
        <v>2.2923833333333299</v>
      </c>
      <c r="D21" s="725">
        <v>2.2923833333333299</v>
      </c>
      <c r="E21" s="725">
        <v>2.2669333333333301</v>
      </c>
      <c r="F21" s="654">
        <v>2.2423000000000002</v>
      </c>
      <c r="G21" s="654">
        <v>2.2143999999999999</v>
      </c>
      <c r="H21" s="654">
        <v>2.1913999999999998</v>
      </c>
      <c r="I21" s="822">
        <v>2.1943999999999999</v>
      </c>
      <c r="J21" s="725">
        <v>2.1518023809523799</v>
      </c>
      <c r="K21" s="725">
        <v>2.1518023809523799</v>
      </c>
      <c r="L21" s="725">
        <v>2.1518023809523799</v>
      </c>
      <c r="Q21" s="728"/>
      <c r="R21" s="728"/>
    </row>
    <row r="22" spans="1:18" s="29" customFormat="1" ht="15" customHeight="1">
      <c r="A22" s="724" t="s">
        <v>219</v>
      </c>
      <c r="B22" s="651" t="s">
        <v>99</v>
      </c>
      <c r="C22" s="725">
        <v>2.026777777777778E-3</v>
      </c>
      <c r="D22" s="725">
        <v>2.0287333333333336E-3</v>
      </c>
      <c r="E22" s="725">
        <v>2.0287333333333336E-3</v>
      </c>
      <c r="F22" s="654">
        <v>2.0322000000000001E-3</v>
      </c>
      <c r="G22" s="654">
        <v>2.0194000000000002E-3</v>
      </c>
      <c r="H22" s="654">
        <v>2.0346000000000001E-3</v>
      </c>
      <c r="I22" s="822">
        <f>2.0332/1000</f>
        <v>2.0331999999999998E-3</v>
      </c>
      <c r="J22" s="725">
        <v>2.0287333333333336E-3</v>
      </c>
      <c r="K22" s="725">
        <v>2.027577777777778E-3</v>
      </c>
      <c r="L22" s="725">
        <v>2.0306888888888893E-3</v>
      </c>
      <c r="Q22" s="728"/>
      <c r="R22" s="728"/>
    </row>
    <row r="23" spans="1:18" s="29" customFormat="1" ht="15" customHeight="1">
      <c r="A23" s="724" t="s">
        <v>105</v>
      </c>
      <c r="B23" s="651" t="s">
        <v>99</v>
      </c>
      <c r="C23" s="725">
        <v>1.55477215566667</v>
      </c>
      <c r="D23" s="725">
        <v>1.55477215566667</v>
      </c>
      <c r="E23" s="725">
        <v>1.5395983746666699</v>
      </c>
      <c r="F23" s="654">
        <v>1.5326</v>
      </c>
      <c r="G23" s="654">
        <v>1.4928999999999999</v>
      </c>
      <c r="H23" s="654">
        <v>1.502252438</v>
      </c>
      <c r="I23" s="822">
        <v>1.5093799999999999</v>
      </c>
      <c r="J23" s="725">
        <v>1.4709550796666599</v>
      </c>
      <c r="K23" s="725">
        <v>2.4709550796666599</v>
      </c>
      <c r="L23" s="725">
        <v>3.4709550796666599</v>
      </c>
      <c r="Q23" s="728"/>
      <c r="R23" s="728"/>
    </row>
    <row r="24" spans="1:18" s="29" customFormat="1" ht="15" customHeight="1">
      <c r="A24" s="724" t="s">
        <v>1058</v>
      </c>
      <c r="B24" s="651" t="s">
        <v>99</v>
      </c>
      <c r="C24" s="725">
        <v>6.1666666666666701E-3</v>
      </c>
      <c r="D24" s="725">
        <v>6.0166666666666702E-3</v>
      </c>
      <c r="E24" s="725">
        <v>5.8666666666666702E-3</v>
      </c>
      <c r="F24" s="654">
        <v>5.7000000000000002E-3</v>
      </c>
      <c r="G24" s="654">
        <v>5.5999999999999999E-3</v>
      </c>
      <c r="H24" s="654">
        <v>5.4000000000000003E-3</v>
      </c>
      <c r="I24" s="822">
        <v>5.2100000000000002E-3</v>
      </c>
      <c r="J24" s="725">
        <v>5.1166666666666704E-3</v>
      </c>
      <c r="K24" s="725">
        <v>4.9666666666666696E-3</v>
      </c>
      <c r="L24" s="725">
        <v>4.8166666666666696E-3</v>
      </c>
      <c r="Q24" s="728"/>
      <c r="R24" s="728"/>
    </row>
    <row r="25" spans="1:18" s="29" customFormat="1" ht="15" customHeight="1">
      <c r="A25" s="724" t="s">
        <v>1057</v>
      </c>
      <c r="B25" s="651" t="s">
        <v>99</v>
      </c>
      <c r="C25" s="725">
        <v>1.45666666666667E-2</v>
      </c>
      <c r="D25" s="725">
        <v>1.5566666666666701E-2</v>
      </c>
      <c r="E25" s="725">
        <v>1.6566666666666702E-2</v>
      </c>
      <c r="F25" s="654">
        <v>1.7500000000000002E-2</v>
      </c>
      <c r="G25" s="654">
        <v>1.8700000000000001E-2</v>
      </c>
      <c r="H25" s="654">
        <v>1.95E-2</v>
      </c>
      <c r="I25" s="822">
        <v>1.976E-2</v>
      </c>
      <c r="J25" s="725">
        <v>2.1566666666666699E-2</v>
      </c>
      <c r="K25" s="725">
        <v>2.25666666666667E-2</v>
      </c>
      <c r="L25" s="725">
        <v>2.3566666666666701E-2</v>
      </c>
      <c r="Q25" s="728"/>
      <c r="R25" s="728"/>
    </row>
    <row r="26" spans="1:18" s="29" customFormat="1" ht="15" customHeight="1">
      <c r="A26" s="724" t="s">
        <v>1059</v>
      </c>
      <c r="B26" s="651" t="s">
        <v>1060</v>
      </c>
      <c r="C26" s="725">
        <v>3.8333333333333301E-3</v>
      </c>
      <c r="D26" s="725">
        <v>4.28333333333333E-3</v>
      </c>
      <c r="E26" s="725">
        <v>4.7333333333333298E-3</v>
      </c>
      <c r="F26" s="654">
        <v>5.1999999999999998E-3</v>
      </c>
      <c r="G26" s="654">
        <v>5.5999999999999999E-3</v>
      </c>
      <c r="H26" s="654">
        <v>6.1000000000000004E-3</v>
      </c>
      <c r="I26" s="822">
        <v>5.4900000000000001E-3</v>
      </c>
      <c r="J26" s="725">
        <v>6.9833333333333301E-3</v>
      </c>
      <c r="K26" s="725">
        <v>7.43333333333333E-3</v>
      </c>
      <c r="L26" s="725">
        <v>7.8833333333333307E-3</v>
      </c>
      <c r="Q26" s="728"/>
      <c r="R26" s="728"/>
    </row>
    <row r="27" spans="1:18" s="29" customFormat="1" ht="15" customHeight="1">
      <c r="A27" s="724" t="s">
        <v>101</v>
      </c>
      <c r="B27" s="651" t="s">
        <v>100</v>
      </c>
      <c r="C27" s="655">
        <v>0.49381000000000003</v>
      </c>
      <c r="D27" s="655">
        <v>0.48531000000000002</v>
      </c>
      <c r="E27" s="654">
        <v>0.45205000000000001</v>
      </c>
      <c r="F27" s="654">
        <v>0.46001999999999998</v>
      </c>
      <c r="G27" s="654">
        <v>0.44547999999999999</v>
      </c>
      <c r="H27" s="654">
        <v>0.49425999999999998</v>
      </c>
      <c r="I27" s="823">
        <v>0.4621981</v>
      </c>
      <c r="J27" s="732">
        <v>0.48531000000000002</v>
      </c>
      <c r="K27" s="732">
        <v>0.48531000000000002</v>
      </c>
      <c r="L27" s="732">
        <v>0.48531000000000002</v>
      </c>
      <c r="Q27" s="728"/>
      <c r="R27" s="728"/>
    </row>
    <row r="28" spans="1:18" s="29" customFormat="1" ht="15" customHeight="1">
      <c r="A28" s="724" t="s">
        <v>102</v>
      </c>
      <c r="B28" s="651" t="s">
        <v>100</v>
      </c>
      <c r="C28" s="654">
        <v>3.9100000000000003E-2</v>
      </c>
      <c r="D28" s="654">
        <v>3.9079999999999997E-2</v>
      </c>
      <c r="E28" s="654">
        <v>3.8629999999999998E-2</v>
      </c>
      <c r="F28" s="654">
        <v>3.6339999999999997E-2</v>
      </c>
      <c r="G28" s="654">
        <v>3.8089999999999999E-2</v>
      </c>
      <c r="H28" s="654">
        <v>4.3220000000000001E-2</v>
      </c>
      <c r="I28" s="822">
        <v>3.8159999999999999E-2</v>
      </c>
      <c r="J28" s="725">
        <v>4.1048952380952401E-2</v>
      </c>
      <c r="K28" s="725">
        <v>4.1048952380952401E-2</v>
      </c>
      <c r="L28" s="725">
        <v>4.1048952380952401E-2</v>
      </c>
      <c r="Q28" s="728"/>
      <c r="R28" s="728"/>
    </row>
    <row r="29" spans="1:18" s="29" customFormat="1" ht="18">
      <c r="A29" s="724" t="s">
        <v>205</v>
      </c>
      <c r="B29" s="651" t="s">
        <v>871</v>
      </c>
      <c r="C29" s="725">
        <v>0.34410000000000002</v>
      </c>
      <c r="D29" s="725">
        <v>0.34410000000000002</v>
      </c>
      <c r="E29" s="725">
        <v>0.34410000000000002</v>
      </c>
      <c r="F29" s="654">
        <v>0.34410000000000002</v>
      </c>
      <c r="G29" s="654">
        <v>0.34410000000000002</v>
      </c>
      <c r="H29" s="654">
        <v>0.34410000000000002</v>
      </c>
      <c r="I29" s="822">
        <v>0.34410000000000002</v>
      </c>
      <c r="J29" s="725">
        <v>0.34410000000000002</v>
      </c>
      <c r="K29" s="725">
        <v>0.34410000000000002</v>
      </c>
      <c r="L29" s="725">
        <v>0.34410000000000002</v>
      </c>
      <c r="Q29" s="728"/>
      <c r="R29" s="728"/>
    </row>
    <row r="30" spans="1:18" s="29" customFormat="1" ht="15">
      <c r="A30" s="726" t="str">
        <f>"Green Tariff Electricity - " &amp; TEXT('Data Entry Electricity'!I4,1)</f>
        <v>Green Tariff Electricity - EDF</v>
      </c>
      <c r="B30" s="685" t="s">
        <v>100</v>
      </c>
      <c r="C30" s="727">
        <v>0.25900000000000001</v>
      </c>
      <c r="D30" s="727">
        <v>0.25900000000000001</v>
      </c>
      <c r="E30" s="727">
        <v>0.25900000000000001</v>
      </c>
      <c r="F30" s="727">
        <v>0.25900000000000001</v>
      </c>
      <c r="G30" s="727">
        <v>0.25900000000000001</v>
      </c>
      <c r="H30" s="727">
        <v>0.25900000000000001</v>
      </c>
      <c r="I30" s="727">
        <v>0.25900000000000001</v>
      </c>
      <c r="J30" s="727">
        <v>0.25900000000000001</v>
      </c>
      <c r="K30" s="727">
        <v>0.25900000000000001</v>
      </c>
      <c r="L30" s="727">
        <v>0.25900000000000001</v>
      </c>
      <c r="Q30" s="728"/>
      <c r="R30" s="728"/>
    </row>
    <row r="31" spans="1:18" s="29" customFormat="1" ht="15">
      <c r="A31" s="726" t="str">
        <f>"Green Tariff Electricity - " &amp; TEXT('Data Entry Electricity'!I5,1)</f>
        <v>Green Tariff Electricity - npower</v>
      </c>
      <c r="B31" s="726" t="s">
        <v>100</v>
      </c>
      <c r="C31" s="727">
        <f>C$27</f>
        <v>0.49381000000000003</v>
      </c>
      <c r="D31" s="727">
        <f t="shared" ref="D31:L34" si="0">D$27</f>
        <v>0.48531000000000002</v>
      </c>
      <c r="E31" s="727">
        <f t="shared" si="0"/>
        <v>0.45205000000000001</v>
      </c>
      <c r="F31" s="727">
        <f t="shared" si="0"/>
        <v>0.46001999999999998</v>
      </c>
      <c r="G31" s="727">
        <f t="shared" si="0"/>
        <v>0.44547999999999999</v>
      </c>
      <c r="H31" s="727">
        <f t="shared" si="0"/>
        <v>0.49425999999999998</v>
      </c>
      <c r="I31" s="727">
        <f t="shared" si="0"/>
        <v>0.4621981</v>
      </c>
      <c r="J31" s="727">
        <f t="shared" si="0"/>
        <v>0.48531000000000002</v>
      </c>
      <c r="K31" s="727">
        <f t="shared" si="0"/>
        <v>0.48531000000000002</v>
      </c>
      <c r="L31" s="727">
        <f t="shared" si="0"/>
        <v>0.48531000000000002</v>
      </c>
      <c r="Q31" s="728"/>
      <c r="R31" s="728"/>
    </row>
    <row r="32" spans="1:18" s="29" customFormat="1" ht="15">
      <c r="A32" s="726" t="str">
        <f>"Green Tariff Electricity - " &amp; TEXT('Data Entry Electricity'!I6,1)</f>
        <v>Green Tariff Electricity - Ecotricity</v>
      </c>
      <c r="B32" s="726" t="s">
        <v>100</v>
      </c>
      <c r="C32" s="727">
        <f t="shared" ref="C32:C34" si="1">C$27</f>
        <v>0.49381000000000003</v>
      </c>
      <c r="D32" s="727">
        <f t="shared" si="0"/>
        <v>0.48531000000000002</v>
      </c>
      <c r="E32" s="727">
        <f t="shared" si="0"/>
        <v>0.45205000000000001</v>
      </c>
      <c r="F32" s="727">
        <f t="shared" si="0"/>
        <v>0.46001999999999998</v>
      </c>
      <c r="G32" s="727">
        <f t="shared" si="0"/>
        <v>0.44547999999999999</v>
      </c>
      <c r="H32" s="727">
        <f t="shared" si="0"/>
        <v>0.49425999999999998</v>
      </c>
      <c r="I32" s="727">
        <f t="shared" si="0"/>
        <v>0.4621981</v>
      </c>
      <c r="J32" s="727">
        <f t="shared" si="0"/>
        <v>0.48531000000000002</v>
      </c>
      <c r="K32" s="727">
        <f t="shared" si="0"/>
        <v>0.48531000000000002</v>
      </c>
      <c r="L32" s="727">
        <f t="shared" si="0"/>
        <v>0.48531000000000002</v>
      </c>
    </row>
    <row r="33" spans="1:18" s="29" customFormat="1" ht="15">
      <c r="A33" s="726" t="str">
        <f>"Green Tariff Electricity - " &amp; TEXT('Data Entry Electricity'!I7,1)</f>
        <v>Green Tariff Electricity - Good Energy</v>
      </c>
      <c r="B33" s="726" t="s">
        <v>100</v>
      </c>
      <c r="C33" s="727">
        <f t="shared" si="1"/>
        <v>0.49381000000000003</v>
      </c>
      <c r="D33" s="727">
        <f t="shared" si="0"/>
        <v>0.48531000000000002</v>
      </c>
      <c r="E33" s="727">
        <f t="shared" si="0"/>
        <v>0.45205000000000001</v>
      </c>
      <c r="F33" s="727">
        <f t="shared" si="0"/>
        <v>0.46001999999999998</v>
      </c>
      <c r="G33" s="727">
        <f t="shared" si="0"/>
        <v>0.44547999999999999</v>
      </c>
      <c r="H33" s="727">
        <f t="shared" si="0"/>
        <v>0.49425999999999998</v>
      </c>
      <c r="I33" s="727">
        <f t="shared" si="0"/>
        <v>0.4621981</v>
      </c>
      <c r="J33" s="727">
        <f t="shared" si="0"/>
        <v>0.48531000000000002</v>
      </c>
      <c r="K33" s="727">
        <f t="shared" si="0"/>
        <v>0.48531000000000002</v>
      </c>
      <c r="L33" s="727">
        <f t="shared" si="0"/>
        <v>0.48531000000000002</v>
      </c>
    </row>
    <row r="34" spans="1:18" s="29" customFormat="1" ht="15" customHeight="1">
      <c r="A34" s="726" t="str">
        <f>"Green Tariff Electricity - " &amp; TEXT('Data Entry Electricity'!I8,1)</f>
        <v>Green Tariff Electricity - UPL/Haven Power</v>
      </c>
      <c r="B34" s="726" t="s">
        <v>100</v>
      </c>
      <c r="C34" s="727">
        <f t="shared" si="1"/>
        <v>0.49381000000000003</v>
      </c>
      <c r="D34" s="727">
        <f t="shared" si="0"/>
        <v>0.48531000000000002</v>
      </c>
      <c r="E34" s="727">
        <f t="shared" si="0"/>
        <v>0.45205000000000001</v>
      </c>
      <c r="F34" s="727">
        <f t="shared" si="0"/>
        <v>0.46001999999999998</v>
      </c>
      <c r="G34" s="727">
        <f t="shared" si="0"/>
        <v>0.44547999999999999</v>
      </c>
      <c r="H34" s="727">
        <f t="shared" si="0"/>
        <v>0.49425999999999998</v>
      </c>
      <c r="I34" s="727">
        <f t="shared" si="0"/>
        <v>0.4621981</v>
      </c>
      <c r="J34" s="727">
        <f t="shared" si="0"/>
        <v>0.48531000000000002</v>
      </c>
      <c r="K34" s="727">
        <f t="shared" si="0"/>
        <v>0.48531000000000002</v>
      </c>
      <c r="L34" s="727">
        <f t="shared" si="0"/>
        <v>0.48531000000000002</v>
      </c>
    </row>
    <row r="35" spans="1:18" s="29" customFormat="1" ht="15" customHeight="1">
      <c r="A35" s="648" t="s">
        <v>1000</v>
      </c>
      <c r="B35" s="642"/>
      <c r="C35" s="627"/>
      <c r="D35" s="649"/>
      <c r="E35" s="643"/>
      <c r="F35" s="643"/>
      <c r="G35" s="644"/>
      <c r="H35" s="626"/>
      <c r="I35" s="619"/>
      <c r="J35" s="637"/>
      <c r="K35" s="637"/>
      <c r="L35" s="625"/>
    </row>
    <row r="36" spans="1:18" s="628" customFormat="1" ht="15" customHeight="1">
      <c r="A36" s="629"/>
      <c r="B36" s="629"/>
      <c r="C36" s="650"/>
      <c r="D36" s="645"/>
      <c r="E36" s="646"/>
      <c r="F36" s="646"/>
    </row>
    <row r="37" spans="1:18" s="19" customFormat="1" ht="341.25" customHeight="1">
      <c r="A37" s="863"/>
      <c r="B37" s="863"/>
      <c r="C37" s="863"/>
      <c r="D37" s="863"/>
      <c r="E37" s="863"/>
      <c r="F37" s="863"/>
      <c r="G37" s="31"/>
      <c r="O37" s="807" t="s">
        <v>1074</v>
      </c>
      <c r="P37" s="717" t="s">
        <v>1075</v>
      </c>
      <c r="Q37" s="717" t="s">
        <v>1076</v>
      </c>
      <c r="R37" s="717"/>
    </row>
    <row r="38" spans="1:18">
      <c r="O38" s="575">
        <f>VLOOKUP($C$4,'Actual-CO2 Calculations'!$A$5:$AL$121,'Actual-CO2 Calculations'!$AL$1,FALSE)-1</f>
        <v>52</v>
      </c>
      <c r="P38" s="575">
        <f>VLOOKUP($C$6,'Actual-CO2 Calculations'!$A$5:$AL$121,'Actual-CO2 Calculations'!$AL$1,FALSE)</f>
        <v>78</v>
      </c>
      <c r="Q38" s="575">
        <f>P38-O38</f>
        <v>26</v>
      </c>
      <c r="R38" s="575"/>
    </row>
    <row r="39" spans="1:18">
      <c r="O39" s="575"/>
      <c r="P39" s="575"/>
      <c r="Q39" s="575"/>
      <c r="R39" s="575"/>
    </row>
    <row r="40" spans="1:18" ht="81.75" customHeight="1">
      <c r="C40" s="636" t="s">
        <v>813</v>
      </c>
      <c r="D40" s="624"/>
      <c r="E40" s="624"/>
      <c r="F40" s="630"/>
      <c r="G40" s="630"/>
      <c r="H40" s="635"/>
      <c r="I40" s="859" t="s">
        <v>872</v>
      </c>
      <c r="J40" s="860"/>
      <c r="O40" s="575"/>
      <c r="P40" s="575"/>
      <c r="Q40" s="575"/>
      <c r="R40" s="575"/>
    </row>
    <row r="41" spans="1:18" ht="15.75">
      <c r="C41" s="640" t="s">
        <v>814</v>
      </c>
      <c r="D41" s="641"/>
      <c r="E41" s="641"/>
      <c r="F41" s="630"/>
      <c r="G41" s="630"/>
      <c r="H41" s="634"/>
      <c r="I41" s="859">
        <f>VLOOKUP($C$5,'Actual-CO2 Calculations'!$A$1:$R$121,'Actual-CO2 Calculations'!Q$1,FALSE)</f>
        <v>912693.26560000004</v>
      </c>
      <c r="J41" s="860"/>
    </row>
    <row r="42" spans="1:18" ht="15.75">
      <c r="C42" s="640" t="s">
        <v>815</v>
      </c>
      <c r="D42" s="641"/>
      <c r="E42" s="641"/>
      <c r="F42" s="630"/>
      <c r="G42" s="630"/>
      <c r="H42" s="634"/>
      <c r="I42" s="859">
        <f>VLOOKUP($C$5,'Actual-CO2 Calculations'!$A$1:$R$121,'Actual-CO2 Calculations'!R$1,FALSE)</f>
        <v>87639.813270899991</v>
      </c>
      <c r="J42" s="860"/>
    </row>
    <row r="43" spans="1:18" ht="15.75">
      <c r="C43" s="640" t="s">
        <v>816</v>
      </c>
      <c r="D43" s="641"/>
      <c r="E43" s="641"/>
      <c r="F43" s="630"/>
      <c r="G43" s="630"/>
      <c r="H43" s="634"/>
      <c r="I43" s="859">
        <f>'Scope 3 Transport'!H28+'Scope 3 Embodied'!C28</f>
        <v>14071134.050000001</v>
      </c>
      <c r="J43" s="860"/>
    </row>
    <row r="44" spans="1:18" ht="15.75">
      <c r="C44" s="640" t="s">
        <v>817</v>
      </c>
      <c r="D44" s="641"/>
      <c r="E44" s="641"/>
      <c r="F44" s="630"/>
      <c r="G44" s="630"/>
      <c r="H44" s="633"/>
      <c r="I44" s="859">
        <f>SUM(I41:I43)</f>
        <v>15071467.128870901</v>
      </c>
      <c r="J44" s="860"/>
    </row>
    <row r="46" spans="1:18" ht="14.25" customHeight="1">
      <c r="C46" s="623"/>
      <c r="D46" s="623"/>
    </row>
    <row r="47" spans="1:18" ht="14.25" customHeight="1">
      <c r="C47" s="623"/>
      <c r="D47" s="623"/>
    </row>
    <row r="48" spans="1:18" ht="14.25" customHeight="1">
      <c r="C48" s="623"/>
      <c r="D48" s="623"/>
    </row>
    <row r="49" spans="3:4" ht="14.25" customHeight="1">
      <c r="C49" s="623"/>
      <c r="D49" s="623"/>
    </row>
    <row r="50" spans="3:4" ht="14.25" customHeight="1">
      <c r="C50" s="623"/>
      <c r="D50" s="623"/>
    </row>
    <row r="51" spans="3:4" ht="14.25" customHeight="1">
      <c r="C51" s="623"/>
      <c r="D51" s="623"/>
    </row>
    <row r="52" spans="3:4" ht="14.25" customHeight="1">
      <c r="C52" s="623"/>
      <c r="D52" s="623"/>
    </row>
    <row r="53" spans="3:4" ht="14.25" customHeight="1">
      <c r="C53" s="623"/>
      <c r="D53" s="623"/>
    </row>
    <row r="54" spans="3:4" ht="14.25" customHeight="1">
      <c r="C54" s="623"/>
      <c r="D54" s="623"/>
    </row>
    <row r="55" spans="3:4" ht="14.25" customHeight="1">
      <c r="C55" s="623"/>
      <c r="D55" s="623"/>
    </row>
    <row r="56" spans="3:4" ht="15" customHeight="1">
      <c r="C56" s="623"/>
      <c r="D56" s="623"/>
    </row>
  </sheetData>
  <protectedRanges>
    <protectedRange password="DCDF" sqref="D17:D23 D35:D36 D27:D30" name="Carbon factors"/>
    <protectedRange password="DCDF" sqref="B3:F3" name="Quarter entry"/>
    <protectedRange password="DCDF" sqref="C4:C6 I4:K4 J5:L6" name="Period entry"/>
    <protectedRange password="DCDF" sqref="B14:F14" name="Statement and exclusions"/>
    <protectedRange password="DCDF" sqref="B13:F13" name="Statement and exclusions_3"/>
    <protectedRange password="DCDF" sqref="B10:F10" name="Initiatives list_1_1"/>
    <protectedRange password="DCDF" sqref="B12:F12" name="Statement and exclusions_4"/>
  </protectedRanges>
  <mergeCells count="29">
    <mergeCell ref="A7:L7"/>
    <mergeCell ref="A4:A6"/>
    <mergeCell ref="C9:E9"/>
    <mergeCell ref="F9:J9"/>
    <mergeCell ref="F8:J8"/>
    <mergeCell ref="K8:L8"/>
    <mergeCell ref="K9:L9"/>
    <mergeCell ref="C8:E8"/>
    <mergeCell ref="B10:L10"/>
    <mergeCell ref="B12:L12"/>
    <mergeCell ref="A11:L11"/>
    <mergeCell ref="I40:J40"/>
    <mergeCell ref="I41:J41"/>
    <mergeCell ref="I42:J42"/>
    <mergeCell ref="I43:J43"/>
    <mergeCell ref="I44:J44"/>
    <mergeCell ref="A2:L2"/>
    <mergeCell ref="A1:L1"/>
    <mergeCell ref="A37:F37"/>
    <mergeCell ref="A16:A17"/>
    <mergeCell ref="B16:B17"/>
    <mergeCell ref="C16:L16"/>
    <mergeCell ref="B13:L13"/>
    <mergeCell ref="B14:L14"/>
    <mergeCell ref="A15:L15"/>
    <mergeCell ref="B3:L3"/>
    <mergeCell ref="C4:L4"/>
    <mergeCell ref="C5:L5"/>
    <mergeCell ref="C6:L6"/>
  </mergeCells>
  <dataValidations count="1">
    <dataValidation type="list" allowBlank="1" showInputMessage="1" showErrorMessage="1" sqref="B3">
      <formula1>$Q$3:$Q$20</formula1>
    </dataValidation>
  </dataValidations>
  <pageMargins left="0.7" right="0.7" top="0.75" bottom="0.75" header="0.3" footer="0.3"/>
  <pageSetup paperSize="8" scale="61" orientation="portrait" verticalDpi="4"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'Actual-CO2 Calculations'!$A$5:$A$121</xm:f>
          </x14:formula1>
          <xm:sqref>C4:L6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8"/>
  <sheetViews>
    <sheetView topLeftCell="A22" workbookViewId="0">
      <selection activeCell="L21" sqref="L21"/>
    </sheetView>
  </sheetViews>
  <sheetFormatPr defaultColWidth="8.85546875" defaultRowHeight="15"/>
  <cols>
    <col min="1" max="1" width="8.85546875" style="179"/>
    <col min="2" max="2" width="22.140625" style="179" bestFit="1" customWidth="1"/>
    <col min="3" max="3" width="8.85546875" style="179"/>
    <col min="4" max="7" width="9" style="179" bestFit="1" customWidth="1"/>
    <col min="8" max="8" width="10.7109375" style="179" bestFit="1" customWidth="1"/>
    <col min="9" max="16384" width="8.85546875" style="179"/>
  </cols>
  <sheetData>
    <row r="1" spans="1:14">
      <c r="A1" s="954" t="s">
        <v>779</v>
      </c>
      <c r="B1" s="954"/>
    </row>
    <row r="2" spans="1:14">
      <c r="A2" s="954"/>
      <c r="B2" s="954"/>
      <c r="H2" s="179" t="s">
        <v>780</v>
      </c>
    </row>
    <row r="3" spans="1:14">
      <c r="B3" s="456" t="s">
        <v>781</v>
      </c>
      <c r="H3" s="59" t="s">
        <v>782</v>
      </c>
    </row>
    <row r="4" spans="1:14" ht="15.75" thickBot="1"/>
    <row r="5" spans="1:14" ht="15.75" thickBot="1">
      <c r="B5" s="956" t="s">
        <v>1121</v>
      </c>
      <c r="C5" s="957"/>
      <c r="D5" s="957"/>
      <c r="E5" s="957"/>
      <c r="F5" s="957"/>
      <c r="G5" s="957"/>
      <c r="H5" s="958"/>
    </row>
    <row r="6" spans="1:14" ht="60" customHeight="1" thickBot="1">
      <c r="B6" s="469" t="s">
        <v>147</v>
      </c>
      <c r="C6" s="469" t="s">
        <v>148</v>
      </c>
      <c r="D6" s="469" t="s">
        <v>149</v>
      </c>
      <c r="E6" s="469" t="s">
        <v>150</v>
      </c>
      <c r="F6" s="469" t="s">
        <v>151</v>
      </c>
      <c r="G6" s="469" t="s">
        <v>152</v>
      </c>
      <c r="H6" s="469" t="s">
        <v>153</v>
      </c>
      <c r="J6" s="955" t="s">
        <v>783</v>
      </c>
      <c r="K6" s="955"/>
      <c r="L6" s="955"/>
      <c r="M6" s="955"/>
      <c r="N6" s="955"/>
    </row>
    <row r="7" spans="1:14" ht="15.75" thickBot="1">
      <c r="B7" s="470" t="s">
        <v>154</v>
      </c>
      <c r="C7" s="470" t="s">
        <v>155</v>
      </c>
      <c r="D7" s="470">
        <v>8102</v>
      </c>
      <c r="E7" s="470">
        <v>59</v>
      </c>
      <c r="F7" s="470">
        <v>137</v>
      </c>
      <c r="G7" s="470">
        <v>1.1859999999999999</v>
      </c>
      <c r="H7" s="470">
        <v>9608.9699999999993</v>
      </c>
      <c r="J7" s="955"/>
      <c r="K7" s="955"/>
      <c r="L7" s="955"/>
      <c r="M7" s="955"/>
      <c r="N7" s="955"/>
    </row>
    <row r="8" spans="1:14" ht="15.75" thickBot="1">
      <c r="B8" s="470" t="s">
        <v>156</v>
      </c>
      <c r="C8" s="470" t="s">
        <v>157</v>
      </c>
      <c r="D8" s="470">
        <v>97058</v>
      </c>
      <c r="E8" s="470">
        <v>475</v>
      </c>
      <c r="F8" s="470">
        <v>204</v>
      </c>
      <c r="G8" s="470">
        <v>1.1859999999999999</v>
      </c>
      <c r="H8" s="470">
        <v>115110.79</v>
      </c>
      <c r="J8" s="955"/>
      <c r="K8" s="955"/>
      <c r="L8" s="955"/>
      <c r="M8" s="955"/>
      <c r="N8" s="955"/>
    </row>
    <row r="9" spans="1:14" ht="15.75" thickBot="1">
      <c r="B9" s="470" t="s">
        <v>158</v>
      </c>
      <c r="C9" s="470" t="s">
        <v>157</v>
      </c>
      <c r="D9" s="470">
        <v>3138</v>
      </c>
      <c r="E9" s="470">
        <v>22</v>
      </c>
      <c r="F9" s="470">
        <v>142</v>
      </c>
      <c r="G9" s="470">
        <v>1.1859999999999999</v>
      </c>
      <c r="H9" s="470">
        <v>3721.67</v>
      </c>
      <c r="J9" s="955"/>
      <c r="K9" s="955"/>
      <c r="L9" s="955"/>
      <c r="M9" s="955"/>
      <c r="N9" s="955"/>
    </row>
    <row r="10" spans="1:14" ht="15.75" thickBot="1">
      <c r="B10" s="470" t="s">
        <v>159</v>
      </c>
      <c r="C10" s="470" t="s">
        <v>157</v>
      </c>
      <c r="D10" s="470">
        <v>31836</v>
      </c>
      <c r="E10" s="470">
        <v>161</v>
      </c>
      <c r="F10" s="470">
        <v>197</v>
      </c>
      <c r="G10" s="470">
        <v>1.1859999999999999</v>
      </c>
      <c r="H10" s="470">
        <v>37757.5</v>
      </c>
      <c r="J10" s="955"/>
      <c r="K10" s="955"/>
      <c r="L10" s="955"/>
      <c r="M10" s="955"/>
      <c r="N10" s="955"/>
    </row>
    <row r="11" spans="1:14" ht="15.75" thickBot="1">
      <c r="B11" s="470" t="s">
        <v>160</v>
      </c>
      <c r="C11" s="470" t="s">
        <v>157</v>
      </c>
      <c r="D11" s="470">
        <v>114</v>
      </c>
      <c r="E11" s="470">
        <v>76</v>
      </c>
      <c r="F11" s="470">
        <v>1</v>
      </c>
      <c r="G11" s="470">
        <v>1.1859999999999999</v>
      </c>
      <c r="H11" s="470">
        <v>135.19999999999999</v>
      </c>
      <c r="J11" s="955"/>
      <c r="K11" s="955"/>
      <c r="L11" s="955"/>
      <c r="M11" s="955"/>
      <c r="N11" s="955"/>
    </row>
    <row r="12" spans="1:14" ht="15.75" thickBot="1">
      <c r="B12" s="470" t="s">
        <v>161</v>
      </c>
      <c r="C12" s="470" t="s">
        <v>157</v>
      </c>
      <c r="D12" s="470">
        <v>1780</v>
      </c>
      <c r="E12" s="470">
        <v>11</v>
      </c>
      <c r="F12" s="470">
        <v>161</v>
      </c>
      <c r="G12" s="470">
        <v>1.1859999999999999</v>
      </c>
      <c r="H12" s="470">
        <v>2111.08</v>
      </c>
      <c r="J12" s="955"/>
      <c r="K12" s="955"/>
      <c r="L12" s="955"/>
      <c r="M12" s="955"/>
      <c r="N12" s="955"/>
    </row>
    <row r="13" spans="1:14" ht="15.75" thickBot="1">
      <c r="B13" s="470" t="s">
        <v>162</v>
      </c>
      <c r="C13" s="470" t="s">
        <v>157</v>
      </c>
      <c r="D13" s="470">
        <v>40</v>
      </c>
      <c r="E13" s="470">
        <v>43</v>
      </c>
      <c r="F13" s="470">
        <v>0</v>
      </c>
      <c r="G13" s="470">
        <v>1.254</v>
      </c>
      <c r="H13" s="470">
        <v>50.16</v>
      </c>
    </row>
    <row r="14" spans="1:14" ht="15.75" thickBot="1">
      <c r="B14" s="470" t="s">
        <v>163</v>
      </c>
      <c r="C14" s="470" t="s">
        <v>164</v>
      </c>
      <c r="D14" s="470">
        <v>4890</v>
      </c>
      <c r="E14" s="470">
        <v>57</v>
      </c>
      <c r="F14" s="470">
        <v>85</v>
      </c>
      <c r="G14" s="470">
        <v>1.1859999999999999</v>
      </c>
      <c r="H14" s="470">
        <v>5799.54</v>
      </c>
    </row>
    <row r="15" spans="1:14" ht="15.75" thickBot="1">
      <c r="B15" s="470" t="s">
        <v>165</v>
      </c>
      <c r="C15" s="470" t="s">
        <v>164</v>
      </c>
      <c r="D15" s="470">
        <v>16250</v>
      </c>
      <c r="E15" s="470">
        <v>1649</v>
      </c>
      <c r="F15" s="470">
        <v>9</v>
      </c>
      <c r="G15" s="470">
        <v>1.1579999999999999</v>
      </c>
      <c r="H15" s="470">
        <v>18817.5</v>
      </c>
    </row>
    <row r="16" spans="1:14" ht="15.75" thickBot="1">
      <c r="B16" s="470" t="s">
        <v>166</v>
      </c>
      <c r="C16" s="470" t="s">
        <v>164</v>
      </c>
      <c r="D16" s="470">
        <v>50542</v>
      </c>
      <c r="E16" s="470">
        <v>763</v>
      </c>
      <c r="F16" s="470">
        <v>66</v>
      </c>
      <c r="G16" s="470">
        <v>0.99</v>
      </c>
      <c r="H16" s="470">
        <v>50036.58</v>
      </c>
    </row>
    <row r="17" spans="2:8" ht="15.75" thickBot="1">
      <c r="B17" s="470" t="s">
        <v>167</v>
      </c>
      <c r="C17" s="470" t="s">
        <v>164</v>
      </c>
      <c r="D17" s="470">
        <v>16660</v>
      </c>
      <c r="E17" s="470">
        <v>249</v>
      </c>
      <c r="F17" s="470">
        <v>66</v>
      </c>
      <c r="G17" s="470">
        <v>0.99</v>
      </c>
      <c r="H17" s="470">
        <v>16493.400000000001</v>
      </c>
    </row>
    <row r="18" spans="2:8" ht="15.75" thickBot="1">
      <c r="B18" s="470" t="s">
        <v>168</v>
      </c>
      <c r="C18" s="470" t="s">
        <v>164</v>
      </c>
      <c r="D18" s="470">
        <v>1002</v>
      </c>
      <c r="E18" s="470">
        <v>160</v>
      </c>
      <c r="F18" s="470">
        <v>6</v>
      </c>
      <c r="G18" s="470">
        <v>0.99</v>
      </c>
      <c r="H18" s="470">
        <v>991.98</v>
      </c>
    </row>
    <row r="19" spans="2:8" ht="15.75" thickBot="1">
      <c r="B19" s="470" t="s">
        <v>169</v>
      </c>
      <c r="C19" s="470" t="s">
        <v>164</v>
      </c>
      <c r="D19" s="470">
        <v>5602</v>
      </c>
      <c r="E19" s="470">
        <v>225</v>
      </c>
      <c r="F19" s="470">
        <v>24</v>
      </c>
      <c r="G19" s="470">
        <v>0.99</v>
      </c>
      <c r="H19" s="470">
        <v>5545.98</v>
      </c>
    </row>
    <row r="20" spans="2:8" ht="15.75" thickBot="1">
      <c r="B20" s="470" t="s">
        <v>170</v>
      </c>
      <c r="C20" s="470" t="s">
        <v>164</v>
      </c>
      <c r="D20" s="470">
        <v>21426</v>
      </c>
      <c r="E20" s="470">
        <v>382</v>
      </c>
      <c r="F20" s="470">
        <v>56</v>
      </c>
      <c r="G20" s="470">
        <v>0.99</v>
      </c>
      <c r="H20" s="470">
        <v>21211.74</v>
      </c>
    </row>
    <row r="21" spans="2:8" ht="15.75" thickBot="1">
      <c r="B21" s="470" t="s">
        <v>171</v>
      </c>
      <c r="C21" s="470" t="s">
        <v>164</v>
      </c>
      <c r="D21" s="470">
        <v>272794</v>
      </c>
      <c r="E21" s="470">
        <v>8837</v>
      </c>
      <c r="F21" s="470">
        <v>30</v>
      </c>
      <c r="G21" s="470">
        <v>1.254</v>
      </c>
      <c r="H21" s="470">
        <v>342083.68</v>
      </c>
    </row>
    <row r="22" spans="2:8" ht="15.75" thickBot="1">
      <c r="B22" s="470" t="s">
        <v>172</v>
      </c>
      <c r="C22" s="470" t="s">
        <v>164</v>
      </c>
      <c r="D22" s="470"/>
      <c r="E22" s="470"/>
      <c r="F22" s="470"/>
      <c r="G22" s="470"/>
      <c r="H22" s="470"/>
    </row>
    <row r="23" spans="2:8" ht="15.75" thickBot="1">
      <c r="B23" s="470" t="s">
        <v>173</v>
      </c>
      <c r="C23" s="470" t="s">
        <v>174</v>
      </c>
      <c r="D23" s="470">
        <v>0</v>
      </c>
      <c r="E23" s="470">
        <v>6</v>
      </c>
      <c r="F23" s="470">
        <v>0</v>
      </c>
      <c r="G23" s="470">
        <v>0.29799999999999999</v>
      </c>
      <c r="H23" s="470">
        <v>0</v>
      </c>
    </row>
    <row r="24" spans="2:8" ht="15.75" thickBot="1">
      <c r="B24" s="470" t="s">
        <v>175</v>
      </c>
      <c r="C24" s="470" t="s">
        <v>174</v>
      </c>
      <c r="D24" s="470"/>
      <c r="E24" s="470"/>
      <c r="F24" s="470"/>
      <c r="G24" s="470"/>
      <c r="H24" s="470"/>
    </row>
    <row r="25" spans="2:8" ht="15.75" thickBot="1">
      <c r="B25" s="470" t="s">
        <v>176</v>
      </c>
      <c r="C25" s="470" t="s">
        <v>174</v>
      </c>
      <c r="D25" s="470">
        <v>0</v>
      </c>
      <c r="E25" s="470">
        <v>18</v>
      </c>
      <c r="F25" s="470">
        <v>0</v>
      </c>
      <c r="G25" s="470">
        <v>0.29799999999999999</v>
      </c>
      <c r="H25" s="470">
        <v>0</v>
      </c>
    </row>
    <row r="26" spans="2:8" ht="15.75" thickBot="1">
      <c r="B26" s="470" t="s">
        <v>177</v>
      </c>
      <c r="C26" s="470" t="s">
        <v>174</v>
      </c>
      <c r="D26" s="470">
        <v>0</v>
      </c>
      <c r="E26" s="470">
        <v>24</v>
      </c>
      <c r="F26" s="470">
        <v>0</v>
      </c>
      <c r="G26" s="470">
        <v>0.29799999999999999</v>
      </c>
      <c r="H26" s="470">
        <v>0</v>
      </c>
    </row>
    <row r="27" spans="2:8" ht="15.75" thickBot="1">
      <c r="B27" s="470" t="s">
        <v>178</v>
      </c>
      <c r="C27" s="470" t="s">
        <v>174</v>
      </c>
      <c r="D27" s="470">
        <v>99860</v>
      </c>
      <c r="E27" s="470">
        <v>1177</v>
      </c>
      <c r="F27" s="470">
        <v>84</v>
      </c>
      <c r="G27" s="470">
        <v>0.29799999999999999</v>
      </c>
      <c r="H27" s="470">
        <v>29758.28</v>
      </c>
    </row>
    <row r="28" spans="2:8" ht="15.75" thickBot="1">
      <c r="B28" s="471" t="s">
        <v>112</v>
      </c>
      <c r="C28" s="471" t="s">
        <v>179</v>
      </c>
      <c r="D28" s="471">
        <v>631094</v>
      </c>
      <c r="E28" s="471">
        <v>14394</v>
      </c>
      <c r="F28" s="471" t="s">
        <v>1119</v>
      </c>
      <c r="G28" s="471" t="s">
        <v>1120</v>
      </c>
      <c r="H28" s="471">
        <v>659234.05000000005</v>
      </c>
    </row>
  </sheetData>
  <mergeCells count="3">
    <mergeCell ref="A1:B2"/>
    <mergeCell ref="J6:N12"/>
    <mergeCell ref="B5:H5"/>
  </mergeCells>
  <hyperlinks>
    <hyperlink ref="H3" r:id="rId1" location="/Reports/ViewReports"/>
  </hyperlinks>
  <pageMargins left="0.7" right="0.7" top="0.75" bottom="0.75" header="0.3" footer="0.3"/>
  <pageSetup paperSize="9" orientation="portrait" verticalDpi="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9"/>
  <sheetViews>
    <sheetView topLeftCell="A25" workbookViewId="0">
      <selection activeCell="D24" sqref="D24"/>
    </sheetView>
  </sheetViews>
  <sheetFormatPr defaultColWidth="8.85546875" defaultRowHeight="15"/>
  <cols>
    <col min="1" max="1" width="10.28515625" style="179" customWidth="1"/>
    <col min="2" max="2" width="24" style="179" bestFit="1" customWidth="1"/>
    <col min="3" max="3" width="15.5703125" style="179" customWidth="1"/>
    <col min="4" max="4" width="12.28515625" style="179" customWidth="1"/>
    <col min="5" max="16384" width="8.85546875" style="179"/>
  </cols>
  <sheetData>
    <row r="1" spans="1:11" ht="15" customHeight="1">
      <c r="A1" s="960" t="s">
        <v>805</v>
      </c>
      <c r="B1" s="960"/>
    </row>
    <row r="2" spans="1:11">
      <c r="A2" s="960"/>
      <c r="B2" s="960"/>
      <c r="F2" s="179" t="s">
        <v>804</v>
      </c>
    </row>
    <row r="3" spans="1:11">
      <c r="B3" s="961" t="s">
        <v>803</v>
      </c>
      <c r="C3" s="961"/>
      <c r="D3" s="961"/>
      <c r="E3" s="417"/>
      <c r="F3" s="59" t="s">
        <v>802</v>
      </c>
    </row>
    <row r="4" spans="1:11" ht="105" customHeight="1">
      <c r="B4" s="961"/>
      <c r="C4" s="961"/>
      <c r="D4" s="961"/>
      <c r="F4" s="959" t="s">
        <v>801</v>
      </c>
      <c r="G4" s="926"/>
      <c r="H4" s="926"/>
      <c r="I4" s="926"/>
      <c r="J4" s="926"/>
      <c r="K4" s="926"/>
    </row>
    <row r="12" spans="1:11" ht="15.75" thickBot="1"/>
    <row r="13" spans="1:11" ht="15.75" thickBot="1">
      <c r="B13" s="468" t="s">
        <v>800</v>
      </c>
      <c r="C13" s="467" t="s">
        <v>799</v>
      </c>
      <c r="D13" s="466" t="s">
        <v>798</v>
      </c>
    </row>
    <row r="14" spans="1:11">
      <c r="B14" s="465" t="s">
        <v>797</v>
      </c>
      <c r="C14" s="464">
        <v>117.7</v>
      </c>
      <c r="D14" s="461">
        <v>0.01</v>
      </c>
    </row>
    <row r="15" spans="1:11">
      <c r="B15" s="463" t="s">
        <v>796</v>
      </c>
      <c r="C15" s="462">
        <v>156.19999999999999</v>
      </c>
      <c r="D15" s="461">
        <v>0</v>
      </c>
    </row>
    <row r="16" spans="1:11">
      <c r="B16" s="463" t="s">
        <v>795</v>
      </c>
      <c r="C16" s="462">
        <v>5099</v>
      </c>
      <c r="D16" s="461">
        <v>0.28999999999999998</v>
      </c>
    </row>
    <row r="17" spans="2:7">
      <c r="B17" s="463" t="s">
        <v>794</v>
      </c>
      <c r="C17" s="462">
        <v>5600</v>
      </c>
      <c r="D17" s="461">
        <v>0.32</v>
      </c>
    </row>
    <row r="18" spans="2:7">
      <c r="B18" s="463" t="s">
        <v>793</v>
      </c>
      <c r="C18" s="462">
        <v>2439</v>
      </c>
      <c r="D18" s="461">
        <v>0.39</v>
      </c>
    </row>
    <row r="19" spans="2:7">
      <c r="B19" s="463" t="s">
        <v>792</v>
      </c>
      <c r="C19" s="462"/>
      <c r="D19" s="461"/>
    </row>
    <row r="20" spans="2:7">
      <c r="B20" s="463" t="s">
        <v>791</v>
      </c>
      <c r="C20" s="462"/>
      <c r="D20" s="461"/>
    </row>
    <row r="21" spans="2:7">
      <c r="B21" s="463" t="s">
        <v>790</v>
      </c>
      <c r="C21" s="462"/>
      <c r="D21" s="461"/>
    </row>
    <row r="22" spans="2:7">
      <c r="B22" s="463" t="s">
        <v>789</v>
      </c>
      <c r="C22" s="462"/>
      <c r="D22" s="461"/>
    </row>
    <row r="23" spans="2:7">
      <c r="B23" s="463" t="s">
        <v>788</v>
      </c>
      <c r="C23" s="462"/>
      <c r="D23" s="461"/>
    </row>
    <row r="24" spans="2:7">
      <c r="B24" s="463" t="s">
        <v>787</v>
      </c>
      <c r="C24" s="462"/>
      <c r="D24" s="461"/>
    </row>
    <row r="25" spans="2:7">
      <c r="B25" s="463" t="s">
        <v>786</v>
      </c>
      <c r="C25" s="462"/>
      <c r="D25" s="461"/>
    </row>
    <row r="26" spans="2:7">
      <c r="B26" s="463" t="s">
        <v>785</v>
      </c>
      <c r="C26" s="462"/>
      <c r="D26" s="461"/>
      <c r="F26" s="356"/>
      <c r="G26" s="356"/>
    </row>
    <row r="27" spans="2:7" ht="15.75" thickBot="1"/>
    <row r="28" spans="2:7" ht="14.25" customHeight="1">
      <c r="B28" s="962" t="s">
        <v>784</v>
      </c>
      <c r="C28" s="460">
        <f>SUM(C14:C21)*1000</f>
        <v>13411900</v>
      </c>
      <c r="D28" s="459"/>
    </row>
    <row r="29" spans="2:7" ht="15.75" customHeight="1" thickBot="1">
      <c r="B29" s="963"/>
      <c r="C29" s="458"/>
      <c r="D29" s="457"/>
    </row>
  </sheetData>
  <mergeCells count="4">
    <mergeCell ref="F4:K4"/>
    <mergeCell ref="A1:B2"/>
    <mergeCell ref="B3:D4"/>
    <mergeCell ref="B28:B29"/>
  </mergeCells>
  <hyperlinks>
    <hyperlink ref="F3"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73"/>
  <sheetViews>
    <sheetView zoomScale="85" zoomScaleNormal="85" workbookViewId="0">
      <pane xSplit="1" ySplit="3" topLeftCell="B4" activePane="bottomRight" state="frozen"/>
      <selection activeCell="K56" sqref="K56"/>
      <selection pane="topRight" activeCell="K56" sqref="K56"/>
      <selection pane="bottomLeft" activeCell="K56" sqref="K56"/>
      <selection pane="bottomRight" activeCell="A71" sqref="A71"/>
    </sheetView>
  </sheetViews>
  <sheetFormatPr defaultColWidth="10.140625" defaultRowHeight="14.25"/>
  <cols>
    <col min="1" max="1" width="36.42578125" style="19" customWidth="1"/>
    <col min="2" max="7" width="14.28515625" style="19" customWidth="1"/>
    <col min="8" max="8" width="16.140625" style="19" customWidth="1"/>
    <col min="9" max="9" width="15.42578125" style="19" customWidth="1"/>
    <col min="10" max="12" width="14.28515625" style="19" customWidth="1"/>
    <col min="13" max="13" width="15.7109375" style="19" customWidth="1"/>
    <col min="14" max="16384" width="10.140625" style="19"/>
  </cols>
  <sheetData>
    <row r="1" spans="1:30" ht="72.75" customHeight="1" thickBot="1">
      <c r="A1" s="18" t="s">
        <v>103</v>
      </c>
      <c r="B1" s="18"/>
      <c r="K1" s="964" t="str">
        <f>IF(K122+L122&lt;&gt;0,"These Values are not taken into account unless sufficient information/evidence is provided.","")</f>
        <v/>
      </c>
      <c r="L1" s="964"/>
      <c r="S1" s="742" t="s">
        <v>1061</v>
      </c>
    </row>
    <row r="2" spans="1:30" ht="26.25" customHeight="1" thickTop="1">
      <c r="A2" s="18"/>
      <c r="B2" s="967" t="str">
        <f>Report!A18</f>
        <v>Diesel (average biofuel blend)</v>
      </c>
      <c r="C2" s="974" t="str">
        <f>Report!A19</f>
        <v>Diesel (100% mineral diesel)</v>
      </c>
      <c r="D2" s="967" t="str">
        <f>Report!A20</f>
        <v>Gas oil (aka Red diesel)</v>
      </c>
      <c r="E2" s="974" t="str">
        <f>Report!A21</f>
        <v>Petrol (average biofuel blend)</v>
      </c>
      <c r="F2" s="967" t="str">
        <f>Report!A22</f>
        <v>Natural Gas</v>
      </c>
      <c r="G2" s="967" t="str">
        <f>Report!A23</f>
        <v>LPG</v>
      </c>
      <c r="H2" s="967" t="s">
        <v>1058</v>
      </c>
      <c r="I2" s="736" t="s">
        <v>1062</v>
      </c>
      <c r="J2" s="967" t="s">
        <v>1059</v>
      </c>
      <c r="K2" s="967" t="s">
        <v>28</v>
      </c>
      <c r="L2" s="967" t="s">
        <v>29</v>
      </c>
      <c r="N2" s="970" t="s">
        <v>222</v>
      </c>
      <c r="O2" s="745"/>
      <c r="S2" s="972" t="str">
        <f t="shared" ref="S2:X2" si="0">B2</f>
        <v>Diesel (average biofuel blend)</v>
      </c>
      <c r="T2" s="965" t="str">
        <f t="shared" si="0"/>
        <v>Diesel (100% mineral diesel)</v>
      </c>
      <c r="U2" s="965" t="str">
        <f t="shared" si="0"/>
        <v>Gas oil (aka Red diesel)</v>
      </c>
      <c r="V2" s="965" t="str">
        <f t="shared" si="0"/>
        <v>Petrol (average biofuel blend)</v>
      </c>
      <c r="W2" s="965" t="str">
        <f t="shared" si="0"/>
        <v>Natural Gas</v>
      </c>
      <c r="X2" s="965" t="str">
        <f t="shared" si="0"/>
        <v>LPG</v>
      </c>
      <c r="Y2" s="965" t="str">
        <f t="shared" ref="Y2" si="1">H2</f>
        <v>Bioethanol 100%</v>
      </c>
      <c r="Z2" s="965" t="str">
        <f t="shared" ref="Z2" si="2">I2</f>
        <v>Biodiesel 100%</v>
      </c>
      <c r="AA2" s="965" t="str">
        <f t="shared" ref="AA2" si="3">J2</f>
        <v>Biomethane 100%</v>
      </c>
      <c r="AB2" s="965" t="str">
        <f>K2</f>
        <v>Other fuel value</v>
      </c>
      <c r="AC2" s="968" t="str">
        <f>L2</f>
        <v>Other fuel value 2</v>
      </c>
      <c r="AD2" s="638"/>
    </row>
    <row r="3" spans="1:30" s="17" customFormat="1" ht="38.25" customHeight="1">
      <c r="A3" s="17" t="s">
        <v>30</v>
      </c>
      <c r="B3" s="967"/>
      <c r="C3" s="974"/>
      <c r="D3" s="967"/>
      <c r="E3" s="974"/>
      <c r="F3" s="967"/>
      <c r="G3" s="967"/>
      <c r="H3" s="967"/>
      <c r="I3" s="735"/>
      <c r="J3" s="967"/>
      <c r="K3" s="967"/>
      <c r="L3" s="967"/>
      <c r="N3" s="971"/>
      <c r="O3" s="746"/>
      <c r="P3" s="731"/>
      <c r="Q3" s="731"/>
      <c r="R3" s="731"/>
      <c r="S3" s="973"/>
      <c r="T3" s="966"/>
      <c r="U3" s="966"/>
      <c r="V3" s="966"/>
      <c r="W3" s="966"/>
      <c r="X3" s="966"/>
      <c r="Y3" s="966"/>
      <c r="Z3" s="966"/>
      <c r="AA3" s="966"/>
      <c r="AB3" s="966"/>
      <c r="AC3" s="969"/>
      <c r="AD3" s="840"/>
    </row>
    <row r="4" spans="1:30" ht="14.25" customHeight="1">
      <c r="A4" s="19" t="s">
        <v>31</v>
      </c>
      <c r="B4" s="607"/>
      <c r="C4" s="35"/>
      <c r="D4" s="32"/>
      <c r="E4" s="32"/>
      <c r="F4" s="32"/>
      <c r="G4" s="32"/>
      <c r="H4" s="32"/>
      <c r="I4" s="32"/>
      <c r="J4" s="32"/>
      <c r="K4" s="32"/>
      <c r="L4" s="32"/>
      <c r="N4" s="743">
        <f>SUM(B4:G4)</f>
        <v>0</v>
      </c>
      <c r="O4" s="747">
        <f>IF(N4&gt;0,1,0)</f>
        <v>0</v>
      </c>
      <c r="P4" s="733"/>
      <c r="Q4" s="733"/>
      <c r="R4" s="733"/>
      <c r="S4" s="841">
        <f t="shared" ref="S4:V4" si="4">B4</f>
        <v>0</v>
      </c>
      <c r="T4" s="842">
        <f t="shared" si="4"/>
        <v>0</v>
      </c>
      <c r="U4" s="842">
        <f t="shared" si="4"/>
        <v>0</v>
      </c>
      <c r="V4" s="842">
        <f t="shared" si="4"/>
        <v>0</v>
      </c>
      <c r="W4" s="842">
        <f t="shared" ref="W4" si="5">F4</f>
        <v>0</v>
      </c>
      <c r="X4" s="842">
        <f t="shared" ref="X4" si="6">G4</f>
        <v>0</v>
      </c>
      <c r="Y4" s="842">
        <f t="shared" ref="Y4" si="7">H4</f>
        <v>0</v>
      </c>
      <c r="Z4" s="842">
        <f t="shared" ref="Z4" si="8">I4</f>
        <v>0</v>
      </c>
      <c r="AA4" s="842">
        <f t="shared" ref="AA4" si="9">J4</f>
        <v>0</v>
      </c>
      <c r="AB4" s="842">
        <f t="shared" ref="AB4" si="10">K4</f>
        <v>0</v>
      </c>
      <c r="AC4" s="843">
        <f t="shared" ref="AC4" si="11">L4</f>
        <v>0</v>
      </c>
      <c r="AD4" s="638"/>
    </row>
    <row r="5" spans="1:30">
      <c r="A5" s="19" t="s">
        <v>32</v>
      </c>
      <c r="B5" s="607"/>
      <c r="C5" s="35"/>
      <c r="D5" s="32"/>
      <c r="E5" s="32"/>
      <c r="F5" s="32"/>
      <c r="G5" s="32"/>
      <c r="H5" s="32"/>
      <c r="I5" s="32"/>
      <c r="J5" s="32"/>
      <c r="K5" s="761"/>
      <c r="L5" s="32"/>
      <c r="M5" s="2"/>
      <c r="N5" s="743">
        <f t="shared" ref="N5:N55" si="12">SUM(B5:G5)</f>
        <v>0</v>
      </c>
      <c r="O5" s="747">
        <f>IF(OR(O4=1,N5&gt;0),1,0)</f>
        <v>0</v>
      </c>
      <c r="P5" s="733"/>
      <c r="Q5" s="733"/>
      <c r="R5" s="733"/>
      <c r="S5" s="841">
        <f t="shared" ref="S5" si="13">S4+B5</f>
        <v>0</v>
      </c>
      <c r="T5" s="842">
        <f t="shared" ref="T5" si="14">T4+C5</f>
        <v>0</v>
      </c>
      <c r="U5" s="842">
        <f t="shared" ref="U5" si="15">U4+D5</f>
        <v>0</v>
      </c>
      <c r="V5" s="842">
        <f t="shared" ref="V5" si="16">V4+E5</f>
        <v>0</v>
      </c>
      <c r="W5" s="842">
        <f t="shared" ref="W5" si="17">W4+F5</f>
        <v>0</v>
      </c>
      <c r="X5" s="842">
        <f t="shared" ref="X5" si="18">X4+G5</f>
        <v>0</v>
      </c>
      <c r="Y5" s="842">
        <f t="shared" ref="Y5" si="19">Y4+H5</f>
        <v>0</v>
      </c>
      <c r="Z5" s="842">
        <f t="shared" ref="Z5" si="20">Z4+I5</f>
        <v>0</v>
      </c>
      <c r="AA5" s="842">
        <f t="shared" ref="AA5" si="21">AA4+J5</f>
        <v>0</v>
      </c>
      <c r="AB5" s="842">
        <f t="shared" ref="AB5" si="22">AB4+K5</f>
        <v>0</v>
      </c>
      <c r="AC5" s="843">
        <f t="shared" ref="AC5" si="23">AC4+L5</f>
        <v>0</v>
      </c>
      <c r="AD5" s="638"/>
    </row>
    <row r="6" spans="1:30">
      <c r="A6" s="19" t="s">
        <v>33</v>
      </c>
      <c r="B6" s="607"/>
      <c r="C6" s="35"/>
      <c r="D6" s="32"/>
      <c r="E6" s="32"/>
      <c r="F6" s="32"/>
      <c r="G6" s="32"/>
      <c r="H6" s="32"/>
      <c r="I6" s="32"/>
      <c r="J6" s="32"/>
      <c r="K6" s="32"/>
      <c r="L6" s="32"/>
      <c r="M6" s="2"/>
      <c r="N6" s="743">
        <f>SUM(B6:G6)</f>
        <v>0</v>
      </c>
      <c r="O6" s="747">
        <f t="shared" ref="O6:O69" si="24">IF(OR(O5=1,N6&gt;0),1,0)</f>
        <v>0</v>
      </c>
      <c r="P6" s="733"/>
      <c r="Q6" s="733"/>
      <c r="R6" s="733"/>
      <c r="S6" s="841">
        <f t="shared" ref="S6:S69" si="25">S5+B6</f>
        <v>0</v>
      </c>
      <c r="T6" s="842">
        <f t="shared" ref="T6:T55" si="26">T5+C6</f>
        <v>0</v>
      </c>
      <c r="U6" s="842">
        <f t="shared" ref="U6:U69" si="27">U5+D6</f>
        <v>0</v>
      </c>
      <c r="V6" s="842">
        <f t="shared" ref="V6:V69" si="28">V5+E6</f>
        <v>0</v>
      </c>
      <c r="W6" s="842">
        <f t="shared" ref="W6:W69" si="29">W5+F6</f>
        <v>0</v>
      </c>
      <c r="X6" s="842">
        <f t="shared" ref="X6:X69" si="30">X5+G6</f>
        <v>0</v>
      </c>
      <c r="Y6" s="842">
        <f t="shared" ref="Y6:Y69" si="31">Y5+H6</f>
        <v>0</v>
      </c>
      <c r="Z6" s="842">
        <f t="shared" ref="Z6:Z69" si="32">Z5+I6</f>
        <v>0</v>
      </c>
      <c r="AA6" s="842">
        <f t="shared" ref="AA6:AA69" si="33">AA5+J6</f>
        <v>0</v>
      </c>
      <c r="AB6" s="842">
        <f t="shared" ref="AB6:AB69" si="34">AB5+K6</f>
        <v>0</v>
      </c>
      <c r="AC6" s="843">
        <f t="shared" ref="AC6:AC69" si="35">AC5+L6</f>
        <v>0</v>
      </c>
      <c r="AD6" s="638"/>
    </row>
    <row r="7" spans="1:30">
      <c r="A7" s="19" t="s">
        <v>34</v>
      </c>
      <c r="B7" s="607"/>
      <c r="C7" s="35"/>
      <c r="D7" s="32"/>
      <c r="E7" s="32"/>
      <c r="F7" s="32"/>
      <c r="G7" s="32"/>
      <c r="H7" s="32"/>
      <c r="I7" s="32"/>
      <c r="J7" s="32"/>
      <c r="K7" s="32"/>
      <c r="L7" s="32"/>
      <c r="M7" s="2"/>
      <c r="N7" s="743">
        <f t="shared" si="12"/>
        <v>0</v>
      </c>
      <c r="O7" s="747">
        <f t="shared" si="24"/>
        <v>0</v>
      </c>
      <c r="P7" s="733"/>
      <c r="Q7" s="733"/>
      <c r="R7" s="733"/>
      <c r="S7" s="841">
        <f t="shared" si="25"/>
        <v>0</v>
      </c>
      <c r="T7" s="842">
        <f t="shared" si="26"/>
        <v>0</v>
      </c>
      <c r="U7" s="842">
        <f t="shared" si="27"/>
        <v>0</v>
      </c>
      <c r="V7" s="842">
        <f t="shared" si="28"/>
        <v>0</v>
      </c>
      <c r="W7" s="842">
        <f t="shared" si="29"/>
        <v>0</v>
      </c>
      <c r="X7" s="842">
        <f t="shared" si="30"/>
        <v>0</v>
      </c>
      <c r="Y7" s="842">
        <f t="shared" si="31"/>
        <v>0</v>
      </c>
      <c r="Z7" s="842">
        <f t="shared" si="32"/>
        <v>0</v>
      </c>
      <c r="AA7" s="842">
        <f t="shared" si="33"/>
        <v>0</v>
      </c>
      <c r="AB7" s="842">
        <f t="shared" si="34"/>
        <v>0</v>
      </c>
      <c r="AC7" s="843">
        <f t="shared" si="35"/>
        <v>0</v>
      </c>
      <c r="AD7" s="638"/>
    </row>
    <row r="8" spans="1:30">
      <c r="A8" s="19" t="s">
        <v>35</v>
      </c>
      <c r="B8" s="607"/>
      <c r="C8" s="35"/>
      <c r="D8" s="32"/>
      <c r="E8" s="32"/>
      <c r="F8" s="32"/>
      <c r="G8" s="32"/>
      <c r="H8" s="32"/>
      <c r="I8" s="32"/>
      <c r="J8" s="32"/>
      <c r="K8" s="32"/>
      <c r="L8" s="32"/>
      <c r="M8" s="2"/>
      <c r="N8" s="743">
        <f t="shared" si="12"/>
        <v>0</v>
      </c>
      <c r="O8" s="747">
        <f t="shared" si="24"/>
        <v>0</v>
      </c>
      <c r="P8" s="733"/>
      <c r="Q8" s="733"/>
      <c r="R8" s="733"/>
      <c r="S8" s="841">
        <f t="shared" si="25"/>
        <v>0</v>
      </c>
      <c r="T8" s="842">
        <f t="shared" si="26"/>
        <v>0</v>
      </c>
      <c r="U8" s="842">
        <f t="shared" si="27"/>
        <v>0</v>
      </c>
      <c r="V8" s="842">
        <f t="shared" si="28"/>
        <v>0</v>
      </c>
      <c r="W8" s="842">
        <f t="shared" si="29"/>
        <v>0</v>
      </c>
      <c r="X8" s="842">
        <f t="shared" si="30"/>
        <v>0</v>
      </c>
      <c r="Y8" s="842">
        <f t="shared" si="31"/>
        <v>0</v>
      </c>
      <c r="Z8" s="842">
        <f t="shared" si="32"/>
        <v>0</v>
      </c>
      <c r="AA8" s="842">
        <f t="shared" si="33"/>
        <v>0</v>
      </c>
      <c r="AB8" s="842">
        <f t="shared" si="34"/>
        <v>0</v>
      </c>
      <c r="AC8" s="843">
        <f t="shared" si="35"/>
        <v>0</v>
      </c>
      <c r="AD8" s="638"/>
    </row>
    <row r="9" spans="1:30">
      <c r="A9" s="19" t="s">
        <v>36</v>
      </c>
      <c r="B9" s="607"/>
      <c r="C9" s="35"/>
      <c r="D9" s="32"/>
      <c r="E9" s="32"/>
      <c r="F9" s="32"/>
      <c r="G9" s="32"/>
      <c r="H9" s="32"/>
      <c r="I9" s="32"/>
      <c r="J9" s="32"/>
      <c r="K9" s="32"/>
      <c r="L9" s="32"/>
      <c r="N9" s="743">
        <f t="shared" si="12"/>
        <v>0</v>
      </c>
      <c r="O9" s="747">
        <f t="shared" si="24"/>
        <v>0</v>
      </c>
      <c r="P9" s="733"/>
      <c r="Q9" s="733"/>
      <c r="R9" s="733"/>
      <c r="S9" s="841">
        <f t="shared" si="25"/>
        <v>0</v>
      </c>
      <c r="T9" s="842">
        <f t="shared" si="26"/>
        <v>0</v>
      </c>
      <c r="U9" s="842">
        <f t="shared" si="27"/>
        <v>0</v>
      </c>
      <c r="V9" s="842">
        <f t="shared" si="28"/>
        <v>0</v>
      </c>
      <c r="W9" s="842">
        <f t="shared" si="29"/>
        <v>0</v>
      </c>
      <c r="X9" s="842">
        <f t="shared" si="30"/>
        <v>0</v>
      </c>
      <c r="Y9" s="842">
        <f t="shared" si="31"/>
        <v>0</v>
      </c>
      <c r="Z9" s="842">
        <f t="shared" si="32"/>
        <v>0</v>
      </c>
      <c r="AA9" s="842">
        <f t="shared" si="33"/>
        <v>0</v>
      </c>
      <c r="AB9" s="842">
        <f t="shared" si="34"/>
        <v>0</v>
      </c>
      <c r="AC9" s="843">
        <f t="shared" si="35"/>
        <v>0</v>
      </c>
      <c r="AD9" s="638"/>
    </row>
    <row r="10" spans="1:30">
      <c r="A10" s="19" t="s">
        <v>37</v>
      </c>
      <c r="B10" s="607"/>
      <c r="C10" s="35"/>
      <c r="D10" s="32"/>
      <c r="E10" s="32"/>
      <c r="F10" s="32"/>
      <c r="G10" s="32"/>
      <c r="H10" s="32"/>
      <c r="I10" s="32"/>
      <c r="J10" s="32"/>
      <c r="K10" s="32"/>
      <c r="L10" s="32"/>
      <c r="N10" s="743">
        <f t="shared" si="12"/>
        <v>0</v>
      </c>
      <c r="O10" s="747">
        <f t="shared" si="24"/>
        <v>0</v>
      </c>
      <c r="P10" s="733"/>
      <c r="Q10" s="733"/>
      <c r="R10" s="733"/>
      <c r="S10" s="841">
        <f t="shared" si="25"/>
        <v>0</v>
      </c>
      <c r="T10" s="842">
        <f t="shared" si="26"/>
        <v>0</v>
      </c>
      <c r="U10" s="842">
        <f t="shared" si="27"/>
        <v>0</v>
      </c>
      <c r="V10" s="842">
        <f t="shared" si="28"/>
        <v>0</v>
      </c>
      <c r="W10" s="842">
        <f t="shared" si="29"/>
        <v>0</v>
      </c>
      <c r="X10" s="842">
        <f t="shared" si="30"/>
        <v>0</v>
      </c>
      <c r="Y10" s="842">
        <f t="shared" si="31"/>
        <v>0</v>
      </c>
      <c r="Z10" s="842">
        <f t="shared" si="32"/>
        <v>0</v>
      </c>
      <c r="AA10" s="842">
        <f t="shared" si="33"/>
        <v>0</v>
      </c>
      <c r="AB10" s="842">
        <f t="shared" si="34"/>
        <v>0</v>
      </c>
      <c r="AC10" s="843">
        <f t="shared" si="35"/>
        <v>0</v>
      </c>
      <c r="AD10" s="638"/>
    </row>
    <row r="11" spans="1:30">
      <c r="A11" s="19" t="s">
        <v>38</v>
      </c>
      <c r="B11" s="607"/>
      <c r="C11" s="35"/>
      <c r="D11" s="32"/>
      <c r="E11" s="32"/>
      <c r="F11" s="32"/>
      <c r="G11" s="32"/>
      <c r="H11" s="32"/>
      <c r="I11" s="32"/>
      <c r="J11" s="32"/>
      <c r="K11" s="32"/>
      <c r="L11" s="32"/>
      <c r="N11" s="743">
        <f t="shared" si="12"/>
        <v>0</v>
      </c>
      <c r="O11" s="747">
        <f t="shared" si="24"/>
        <v>0</v>
      </c>
      <c r="P11" s="733"/>
      <c r="Q11" s="733"/>
      <c r="R11" s="733"/>
      <c r="S11" s="841">
        <f t="shared" si="25"/>
        <v>0</v>
      </c>
      <c r="T11" s="842">
        <f t="shared" si="26"/>
        <v>0</v>
      </c>
      <c r="U11" s="842">
        <f t="shared" si="27"/>
        <v>0</v>
      </c>
      <c r="V11" s="842">
        <f t="shared" si="28"/>
        <v>0</v>
      </c>
      <c r="W11" s="842">
        <f t="shared" si="29"/>
        <v>0</v>
      </c>
      <c r="X11" s="842">
        <f t="shared" si="30"/>
        <v>0</v>
      </c>
      <c r="Y11" s="842">
        <f t="shared" si="31"/>
        <v>0</v>
      </c>
      <c r="Z11" s="842">
        <f t="shared" si="32"/>
        <v>0</v>
      </c>
      <c r="AA11" s="842">
        <f t="shared" si="33"/>
        <v>0</v>
      </c>
      <c r="AB11" s="842">
        <f t="shared" si="34"/>
        <v>0</v>
      </c>
      <c r="AC11" s="843">
        <f t="shared" si="35"/>
        <v>0</v>
      </c>
      <c r="AD11" s="638"/>
    </row>
    <row r="12" spans="1:30">
      <c r="A12" s="19" t="s">
        <v>39</v>
      </c>
      <c r="B12" s="607"/>
      <c r="C12" s="35"/>
      <c r="D12" s="32"/>
      <c r="E12" s="32"/>
      <c r="F12" s="32"/>
      <c r="G12" s="32"/>
      <c r="H12" s="32"/>
      <c r="I12" s="32"/>
      <c r="J12" s="32"/>
      <c r="K12" s="32"/>
      <c r="L12" s="32"/>
      <c r="N12" s="743">
        <f t="shared" si="12"/>
        <v>0</v>
      </c>
      <c r="O12" s="747">
        <f t="shared" si="24"/>
        <v>0</v>
      </c>
      <c r="P12" s="733"/>
      <c r="Q12" s="733"/>
      <c r="R12" s="733"/>
      <c r="S12" s="841">
        <f t="shared" si="25"/>
        <v>0</v>
      </c>
      <c r="T12" s="842">
        <f t="shared" si="26"/>
        <v>0</v>
      </c>
      <c r="U12" s="842">
        <f t="shared" si="27"/>
        <v>0</v>
      </c>
      <c r="V12" s="842">
        <f t="shared" si="28"/>
        <v>0</v>
      </c>
      <c r="W12" s="842">
        <f t="shared" si="29"/>
        <v>0</v>
      </c>
      <c r="X12" s="842">
        <f t="shared" si="30"/>
        <v>0</v>
      </c>
      <c r="Y12" s="842">
        <f t="shared" si="31"/>
        <v>0</v>
      </c>
      <c r="Z12" s="842">
        <f t="shared" si="32"/>
        <v>0</v>
      </c>
      <c r="AA12" s="842">
        <f t="shared" si="33"/>
        <v>0</v>
      </c>
      <c r="AB12" s="842">
        <f t="shared" si="34"/>
        <v>0</v>
      </c>
      <c r="AC12" s="843">
        <f t="shared" si="35"/>
        <v>0</v>
      </c>
      <c r="AD12" s="638"/>
    </row>
    <row r="13" spans="1:30">
      <c r="A13" s="19" t="s">
        <v>25</v>
      </c>
      <c r="B13" s="607"/>
      <c r="C13" s="35"/>
      <c r="D13" s="32"/>
      <c r="E13" s="32"/>
      <c r="F13" s="32"/>
      <c r="G13" s="32"/>
      <c r="H13" s="32"/>
      <c r="I13" s="32"/>
      <c r="J13" s="32"/>
      <c r="K13" s="32"/>
      <c r="L13" s="32"/>
      <c r="N13" s="743">
        <f t="shared" si="12"/>
        <v>0</v>
      </c>
      <c r="O13" s="747">
        <f t="shared" si="24"/>
        <v>0</v>
      </c>
      <c r="P13" s="733"/>
      <c r="Q13" s="733"/>
      <c r="R13" s="733"/>
      <c r="S13" s="841">
        <f t="shared" si="25"/>
        <v>0</v>
      </c>
      <c r="T13" s="842">
        <f t="shared" si="26"/>
        <v>0</v>
      </c>
      <c r="U13" s="842">
        <f t="shared" si="27"/>
        <v>0</v>
      </c>
      <c r="V13" s="842">
        <f t="shared" si="28"/>
        <v>0</v>
      </c>
      <c r="W13" s="842">
        <f t="shared" si="29"/>
        <v>0</v>
      </c>
      <c r="X13" s="842">
        <f t="shared" si="30"/>
        <v>0</v>
      </c>
      <c r="Y13" s="842">
        <f t="shared" si="31"/>
        <v>0</v>
      </c>
      <c r="Z13" s="842">
        <f t="shared" si="32"/>
        <v>0</v>
      </c>
      <c r="AA13" s="842">
        <f t="shared" si="33"/>
        <v>0</v>
      </c>
      <c r="AB13" s="842">
        <f t="shared" si="34"/>
        <v>0</v>
      </c>
      <c r="AC13" s="843">
        <f t="shared" si="35"/>
        <v>0</v>
      </c>
      <c r="AD13" s="638"/>
    </row>
    <row r="14" spans="1:30">
      <c r="A14" s="19" t="s">
        <v>26</v>
      </c>
      <c r="B14" s="607"/>
      <c r="C14" s="35"/>
      <c r="D14" s="32"/>
      <c r="E14" s="32"/>
      <c r="F14" s="32"/>
      <c r="G14" s="32"/>
      <c r="H14" s="32"/>
      <c r="I14" s="32"/>
      <c r="J14" s="32"/>
      <c r="K14" s="32"/>
      <c r="L14" s="32"/>
      <c r="N14" s="743">
        <f t="shared" si="12"/>
        <v>0</v>
      </c>
      <c r="O14" s="747">
        <f t="shared" si="24"/>
        <v>0</v>
      </c>
      <c r="P14" s="733"/>
      <c r="Q14" s="733"/>
      <c r="R14" s="733"/>
      <c r="S14" s="841">
        <f t="shared" si="25"/>
        <v>0</v>
      </c>
      <c r="T14" s="842">
        <f t="shared" si="26"/>
        <v>0</v>
      </c>
      <c r="U14" s="842">
        <f t="shared" si="27"/>
        <v>0</v>
      </c>
      <c r="V14" s="842">
        <f t="shared" si="28"/>
        <v>0</v>
      </c>
      <c r="W14" s="842">
        <f t="shared" si="29"/>
        <v>0</v>
      </c>
      <c r="X14" s="842">
        <f t="shared" si="30"/>
        <v>0</v>
      </c>
      <c r="Y14" s="842">
        <f t="shared" si="31"/>
        <v>0</v>
      </c>
      <c r="Z14" s="842">
        <f t="shared" si="32"/>
        <v>0</v>
      </c>
      <c r="AA14" s="842">
        <f t="shared" si="33"/>
        <v>0</v>
      </c>
      <c r="AB14" s="842">
        <f t="shared" si="34"/>
        <v>0</v>
      </c>
      <c r="AC14" s="843">
        <f t="shared" si="35"/>
        <v>0</v>
      </c>
      <c r="AD14" s="638"/>
    </row>
    <row r="15" spans="1:30">
      <c r="A15" s="19" t="s">
        <v>27</v>
      </c>
      <c r="B15" s="607"/>
      <c r="C15" s="35"/>
      <c r="D15" s="32"/>
      <c r="E15" s="32"/>
      <c r="F15" s="32"/>
      <c r="G15" s="32"/>
      <c r="H15" s="32"/>
      <c r="I15" s="32"/>
      <c r="J15" s="32"/>
      <c r="K15" s="32"/>
      <c r="L15" s="32"/>
      <c r="N15" s="743">
        <f t="shared" si="12"/>
        <v>0</v>
      </c>
      <c r="O15" s="747">
        <f t="shared" si="24"/>
        <v>0</v>
      </c>
      <c r="P15" s="733"/>
      <c r="Q15" s="733"/>
      <c r="R15" s="733"/>
      <c r="S15" s="841">
        <f t="shared" si="25"/>
        <v>0</v>
      </c>
      <c r="T15" s="842">
        <f t="shared" si="26"/>
        <v>0</v>
      </c>
      <c r="U15" s="842">
        <f t="shared" si="27"/>
        <v>0</v>
      </c>
      <c r="V15" s="842">
        <f t="shared" si="28"/>
        <v>0</v>
      </c>
      <c r="W15" s="842">
        <f t="shared" si="29"/>
        <v>0</v>
      </c>
      <c r="X15" s="842">
        <f t="shared" si="30"/>
        <v>0</v>
      </c>
      <c r="Y15" s="842">
        <f t="shared" si="31"/>
        <v>0</v>
      </c>
      <c r="Z15" s="842">
        <f t="shared" si="32"/>
        <v>0</v>
      </c>
      <c r="AA15" s="842">
        <f t="shared" si="33"/>
        <v>0</v>
      </c>
      <c r="AB15" s="842">
        <f t="shared" si="34"/>
        <v>0</v>
      </c>
      <c r="AC15" s="843">
        <f t="shared" si="35"/>
        <v>0</v>
      </c>
      <c r="AD15" s="638"/>
    </row>
    <row r="16" spans="1:30">
      <c r="A16" s="19" t="s">
        <v>24</v>
      </c>
      <c r="B16" s="607"/>
      <c r="C16" s="35"/>
      <c r="D16" s="32"/>
      <c r="E16" s="32"/>
      <c r="F16" s="32"/>
      <c r="G16" s="32"/>
      <c r="H16" s="32"/>
      <c r="I16" s="32"/>
      <c r="J16" s="32"/>
      <c r="K16" s="32"/>
      <c r="L16" s="32"/>
      <c r="N16" s="743">
        <f t="shared" si="12"/>
        <v>0</v>
      </c>
      <c r="O16" s="747">
        <f t="shared" si="24"/>
        <v>0</v>
      </c>
      <c r="P16" s="733"/>
      <c r="Q16" s="733"/>
      <c r="R16" s="733"/>
      <c r="S16" s="841">
        <f t="shared" si="25"/>
        <v>0</v>
      </c>
      <c r="T16" s="842">
        <f t="shared" si="26"/>
        <v>0</v>
      </c>
      <c r="U16" s="842">
        <f t="shared" si="27"/>
        <v>0</v>
      </c>
      <c r="V16" s="842">
        <f t="shared" si="28"/>
        <v>0</v>
      </c>
      <c r="W16" s="842">
        <f t="shared" si="29"/>
        <v>0</v>
      </c>
      <c r="X16" s="842">
        <f t="shared" si="30"/>
        <v>0</v>
      </c>
      <c r="Y16" s="842">
        <f t="shared" si="31"/>
        <v>0</v>
      </c>
      <c r="Z16" s="842">
        <f t="shared" si="32"/>
        <v>0</v>
      </c>
      <c r="AA16" s="842">
        <f t="shared" si="33"/>
        <v>0</v>
      </c>
      <c r="AB16" s="842">
        <f t="shared" si="34"/>
        <v>0</v>
      </c>
      <c r="AC16" s="843">
        <f t="shared" si="35"/>
        <v>0</v>
      </c>
      <c r="AD16" s="638"/>
    </row>
    <row r="17" spans="1:30">
      <c r="A17" s="19" t="s">
        <v>40</v>
      </c>
      <c r="B17" s="607"/>
      <c r="C17" s="35"/>
      <c r="D17" s="32"/>
      <c r="E17" s="33"/>
      <c r="F17" s="33"/>
      <c r="G17" s="33"/>
      <c r="H17" s="33"/>
      <c r="I17" s="33"/>
      <c r="J17" s="33"/>
      <c r="K17" s="33"/>
      <c r="L17" s="33"/>
      <c r="N17" s="743">
        <f t="shared" si="12"/>
        <v>0</v>
      </c>
      <c r="O17" s="747">
        <f t="shared" si="24"/>
        <v>0</v>
      </c>
      <c r="P17" s="733"/>
      <c r="Q17" s="733"/>
      <c r="R17" s="733"/>
      <c r="S17" s="841">
        <f t="shared" si="25"/>
        <v>0</v>
      </c>
      <c r="T17" s="842">
        <f t="shared" si="26"/>
        <v>0</v>
      </c>
      <c r="U17" s="842">
        <f t="shared" si="27"/>
        <v>0</v>
      </c>
      <c r="V17" s="842">
        <f t="shared" si="28"/>
        <v>0</v>
      </c>
      <c r="W17" s="842">
        <f t="shared" si="29"/>
        <v>0</v>
      </c>
      <c r="X17" s="842">
        <f t="shared" si="30"/>
        <v>0</v>
      </c>
      <c r="Y17" s="842">
        <f t="shared" si="31"/>
        <v>0</v>
      </c>
      <c r="Z17" s="842">
        <f t="shared" si="32"/>
        <v>0</v>
      </c>
      <c r="AA17" s="842">
        <f t="shared" si="33"/>
        <v>0</v>
      </c>
      <c r="AB17" s="842">
        <f t="shared" si="34"/>
        <v>0</v>
      </c>
      <c r="AC17" s="843">
        <f t="shared" si="35"/>
        <v>0</v>
      </c>
      <c r="AD17" s="638"/>
    </row>
    <row r="18" spans="1:30">
      <c r="A18" s="19" t="s">
        <v>41</v>
      </c>
      <c r="B18" s="607"/>
      <c r="C18" s="35"/>
      <c r="D18" s="32"/>
      <c r="E18" s="33"/>
      <c r="F18" s="33"/>
      <c r="G18" s="33"/>
      <c r="H18" s="33"/>
      <c r="I18" s="33"/>
      <c r="J18" s="33"/>
      <c r="K18" s="33"/>
      <c r="L18" s="33"/>
      <c r="N18" s="743">
        <f t="shared" si="12"/>
        <v>0</v>
      </c>
      <c r="O18" s="747">
        <f t="shared" si="24"/>
        <v>0</v>
      </c>
      <c r="P18" s="733"/>
      <c r="Q18" s="733"/>
      <c r="R18" s="733"/>
      <c r="S18" s="841">
        <f t="shared" si="25"/>
        <v>0</v>
      </c>
      <c r="T18" s="842">
        <f t="shared" si="26"/>
        <v>0</v>
      </c>
      <c r="U18" s="842">
        <f t="shared" si="27"/>
        <v>0</v>
      </c>
      <c r="V18" s="842">
        <f t="shared" si="28"/>
        <v>0</v>
      </c>
      <c r="W18" s="842">
        <f t="shared" si="29"/>
        <v>0</v>
      </c>
      <c r="X18" s="842">
        <f t="shared" si="30"/>
        <v>0</v>
      </c>
      <c r="Y18" s="842">
        <f t="shared" si="31"/>
        <v>0</v>
      </c>
      <c r="Z18" s="842">
        <f t="shared" si="32"/>
        <v>0</v>
      </c>
      <c r="AA18" s="842">
        <f t="shared" si="33"/>
        <v>0</v>
      </c>
      <c r="AB18" s="842">
        <f t="shared" si="34"/>
        <v>0</v>
      </c>
      <c r="AC18" s="843">
        <f t="shared" si="35"/>
        <v>0</v>
      </c>
      <c r="AD18" s="638"/>
    </row>
    <row r="19" spans="1:30">
      <c r="A19" s="19" t="s">
        <v>42</v>
      </c>
      <c r="B19" s="607"/>
      <c r="C19" s="35"/>
      <c r="D19" s="32"/>
      <c r="E19" s="33"/>
      <c r="F19" s="33"/>
      <c r="G19" s="33"/>
      <c r="H19" s="33"/>
      <c r="I19" s="33"/>
      <c r="J19" s="33"/>
      <c r="K19" s="33"/>
      <c r="L19" s="33"/>
      <c r="N19" s="743">
        <f t="shared" si="12"/>
        <v>0</v>
      </c>
      <c r="O19" s="747">
        <f t="shared" si="24"/>
        <v>0</v>
      </c>
      <c r="P19" s="733"/>
      <c r="Q19" s="733"/>
      <c r="R19" s="733"/>
      <c r="S19" s="841">
        <f t="shared" si="25"/>
        <v>0</v>
      </c>
      <c r="T19" s="842">
        <f t="shared" si="26"/>
        <v>0</v>
      </c>
      <c r="U19" s="842">
        <f t="shared" si="27"/>
        <v>0</v>
      </c>
      <c r="V19" s="842">
        <f t="shared" si="28"/>
        <v>0</v>
      </c>
      <c r="W19" s="842">
        <f t="shared" si="29"/>
        <v>0</v>
      </c>
      <c r="X19" s="842">
        <f t="shared" si="30"/>
        <v>0</v>
      </c>
      <c r="Y19" s="842">
        <f t="shared" si="31"/>
        <v>0</v>
      </c>
      <c r="Z19" s="842">
        <f t="shared" si="32"/>
        <v>0</v>
      </c>
      <c r="AA19" s="842">
        <f t="shared" si="33"/>
        <v>0</v>
      </c>
      <c r="AB19" s="842">
        <f t="shared" si="34"/>
        <v>0</v>
      </c>
      <c r="AC19" s="843">
        <f t="shared" si="35"/>
        <v>0</v>
      </c>
      <c r="AD19" s="638"/>
    </row>
    <row r="20" spans="1:30">
      <c r="A20" s="19" t="s">
        <v>43</v>
      </c>
      <c r="B20" s="607"/>
      <c r="C20" s="35"/>
      <c r="D20" s="32"/>
      <c r="E20" s="33"/>
      <c r="F20" s="33"/>
      <c r="G20" s="33"/>
      <c r="H20" s="33"/>
      <c r="I20" s="33"/>
      <c r="J20" s="33"/>
      <c r="K20" s="33"/>
      <c r="L20" s="33"/>
      <c r="N20" s="743">
        <f t="shared" si="12"/>
        <v>0</v>
      </c>
      <c r="O20" s="747">
        <f t="shared" si="24"/>
        <v>0</v>
      </c>
      <c r="P20" s="733"/>
      <c r="Q20" s="733"/>
      <c r="R20" s="733"/>
      <c r="S20" s="841">
        <f t="shared" si="25"/>
        <v>0</v>
      </c>
      <c r="T20" s="842">
        <f t="shared" si="26"/>
        <v>0</v>
      </c>
      <c r="U20" s="842">
        <f t="shared" si="27"/>
        <v>0</v>
      </c>
      <c r="V20" s="842">
        <f t="shared" si="28"/>
        <v>0</v>
      </c>
      <c r="W20" s="842">
        <f t="shared" si="29"/>
        <v>0</v>
      </c>
      <c r="X20" s="842">
        <f t="shared" si="30"/>
        <v>0</v>
      </c>
      <c r="Y20" s="842">
        <f t="shared" si="31"/>
        <v>0</v>
      </c>
      <c r="Z20" s="842">
        <f t="shared" si="32"/>
        <v>0</v>
      </c>
      <c r="AA20" s="842">
        <f t="shared" si="33"/>
        <v>0</v>
      </c>
      <c r="AB20" s="842">
        <f t="shared" si="34"/>
        <v>0</v>
      </c>
      <c r="AC20" s="843">
        <f t="shared" si="35"/>
        <v>0</v>
      </c>
      <c r="AD20" s="638"/>
    </row>
    <row r="21" spans="1:30">
      <c r="A21" s="19" t="s">
        <v>44</v>
      </c>
      <c r="B21" s="607"/>
      <c r="C21" s="35"/>
      <c r="D21" s="32"/>
      <c r="E21" s="33"/>
      <c r="F21" s="33"/>
      <c r="G21" s="33"/>
      <c r="H21" s="33"/>
      <c r="I21" s="33"/>
      <c r="J21" s="33"/>
      <c r="K21" s="33"/>
      <c r="L21" s="33"/>
      <c r="N21" s="743">
        <f t="shared" si="12"/>
        <v>0</v>
      </c>
      <c r="O21" s="747">
        <f t="shared" si="24"/>
        <v>0</v>
      </c>
      <c r="P21" s="733"/>
      <c r="Q21" s="733"/>
      <c r="R21" s="733"/>
      <c r="S21" s="841">
        <f t="shared" si="25"/>
        <v>0</v>
      </c>
      <c r="T21" s="842">
        <f t="shared" si="26"/>
        <v>0</v>
      </c>
      <c r="U21" s="842">
        <f t="shared" si="27"/>
        <v>0</v>
      </c>
      <c r="V21" s="842">
        <f t="shared" si="28"/>
        <v>0</v>
      </c>
      <c r="W21" s="842">
        <f t="shared" si="29"/>
        <v>0</v>
      </c>
      <c r="X21" s="842">
        <f t="shared" si="30"/>
        <v>0</v>
      </c>
      <c r="Y21" s="842">
        <f t="shared" si="31"/>
        <v>0</v>
      </c>
      <c r="Z21" s="842">
        <f t="shared" si="32"/>
        <v>0</v>
      </c>
      <c r="AA21" s="842">
        <f t="shared" si="33"/>
        <v>0</v>
      </c>
      <c r="AB21" s="842">
        <f t="shared" si="34"/>
        <v>0</v>
      </c>
      <c r="AC21" s="843">
        <f t="shared" si="35"/>
        <v>0</v>
      </c>
      <c r="AD21" s="638"/>
    </row>
    <row r="22" spans="1:30">
      <c r="A22" s="19" t="s">
        <v>45</v>
      </c>
      <c r="B22" s="607"/>
      <c r="C22" s="35"/>
      <c r="D22" s="32"/>
      <c r="E22" s="33"/>
      <c r="F22" s="33"/>
      <c r="G22" s="33"/>
      <c r="H22" s="33"/>
      <c r="I22" s="33"/>
      <c r="J22" s="33"/>
      <c r="K22" s="33"/>
      <c r="L22" s="33"/>
      <c r="N22" s="743">
        <f t="shared" si="12"/>
        <v>0</v>
      </c>
      <c r="O22" s="747">
        <f t="shared" si="24"/>
        <v>0</v>
      </c>
      <c r="P22" s="733"/>
      <c r="Q22" s="733"/>
      <c r="R22" s="733"/>
      <c r="S22" s="841">
        <f t="shared" si="25"/>
        <v>0</v>
      </c>
      <c r="T22" s="842">
        <f t="shared" si="26"/>
        <v>0</v>
      </c>
      <c r="U22" s="842">
        <f t="shared" si="27"/>
        <v>0</v>
      </c>
      <c r="V22" s="842">
        <f t="shared" si="28"/>
        <v>0</v>
      </c>
      <c r="W22" s="842">
        <f t="shared" si="29"/>
        <v>0</v>
      </c>
      <c r="X22" s="842">
        <f t="shared" si="30"/>
        <v>0</v>
      </c>
      <c r="Y22" s="842">
        <f t="shared" si="31"/>
        <v>0</v>
      </c>
      <c r="Z22" s="842">
        <f t="shared" si="32"/>
        <v>0</v>
      </c>
      <c r="AA22" s="842">
        <f t="shared" si="33"/>
        <v>0</v>
      </c>
      <c r="AB22" s="842">
        <f t="shared" si="34"/>
        <v>0</v>
      </c>
      <c r="AC22" s="843">
        <f t="shared" si="35"/>
        <v>0</v>
      </c>
      <c r="AD22" s="638"/>
    </row>
    <row r="23" spans="1:30">
      <c r="A23" s="19" t="s">
        <v>46</v>
      </c>
      <c r="B23" s="607"/>
      <c r="C23" s="35"/>
      <c r="D23" s="32"/>
      <c r="E23" s="33"/>
      <c r="F23" s="33"/>
      <c r="G23" s="33"/>
      <c r="H23" s="33"/>
      <c r="I23" s="33"/>
      <c r="J23" s="33"/>
      <c r="K23" s="33"/>
      <c r="L23" s="33"/>
      <c r="N23" s="743">
        <f t="shared" si="12"/>
        <v>0</v>
      </c>
      <c r="O23" s="747">
        <f t="shared" si="24"/>
        <v>0</v>
      </c>
      <c r="P23" s="733"/>
      <c r="Q23" s="733"/>
      <c r="R23" s="733"/>
      <c r="S23" s="841">
        <f t="shared" si="25"/>
        <v>0</v>
      </c>
      <c r="T23" s="842">
        <f t="shared" si="26"/>
        <v>0</v>
      </c>
      <c r="U23" s="842">
        <f t="shared" si="27"/>
        <v>0</v>
      </c>
      <c r="V23" s="842">
        <f t="shared" si="28"/>
        <v>0</v>
      </c>
      <c r="W23" s="842">
        <f t="shared" si="29"/>
        <v>0</v>
      </c>
      <c r="X23" s="842">
        <f t="shared" si="30"/>
        <v>0</v>
      </c>
      <c r="Y23" s="842">
        <f t="shared" si="31"/>
        <v>0</v>
      </c>
      <c r="Z23" s="842">
        <f t="shared" si="32"/>
        <v>0</v>
      </c>
      <c r="AA23" s="842">
        <f t="shared" si="33"/>
        <v>0</v>
      </c>
      <c r="AB23" s="842">
        <f t="shared" si="34"/>
        <v>0</v>
      </c>
      <c r="AC23" s="843">
        <f t="shared" si="35"/>
        <v>0</v>
      </c>
      <c r="AD23" s="638"/>
    </row>
    <row r="24" spans="1:30">
      <c r="A24" s="19" t="s">
        <v>47</v>
      </c>
      <c r="B24" s="608"/>
      <c r="C24" s="35"/>
      <c r="D24" s="32"/>
      <c r="E24" s="33"/>
      <c r="F24" s="33"/>
      <c r="G24" s="33"/>
      <c r="H24" s="33"/>
      <c r="I24" s="33"/>
      <c r="J24" s="33"/>
      <c r="K24" s="33"/>
      <c r="L24" s="33"/>
      <c r="N24" s="743">
        <f t="shared" si="12"/>
        <v>0</v>
      </c>
      <c r="O24" s="747">
        <f t="shared" si="24"/>
        <v>0</v>
      </c>
      <c r="P24" s="733"/>
      <c r="Q24" s="733"/>
      <c r="R24" s="733"/>
      <c r="S24" s="841">
        <f t="shared" si="25"/>
        <v>0</v>
      </c>
      <c r="T24" s="842">
        <f t="shared" si="26"/>
        <v>0</v>
      </c>
      <c r="U24" s="842">
        <f t="shared" si="27"/>
        <v>0</v>
      </c>
      <c r="V24" s="842">
        <f t="shared" si="28"/>
        <v>0</v>
      </c>
      <c r="W24" s="842">
        <f t="shared" si="29"/>
        <v>0</v>
      </c>
      <c r="X24" s="842">
        <f t="shared" si="30"/>
        <v>0</v>
      </c>
      <c r="Y24" s="842">
        <f t="shared" si="31"/>
        <v>0</v>
      </c>
      <c r="Z24" s="842">
        <f t="shared" si="32"/>
        <v>0</v>
      </c>
      <c r="AA24" s="842">
        <f t="shared" si="33"/>
        <v>0</v>
      </c>
      <c r="AB24" s="842">
        <f t="shared" si="34"/>
        <v>0</v>
      </c>
      <c r="AC24" s="843">
        <f t="shared" si="35"/>
        <v>0</v>
      </c>
      <c r="AD24" s="638"/>
    </row>
    <row r="25" spans="1:30">
      <c r="A25" s="19" t="s">
        <v>48</v>
      </c>
      <c r="B25" s="608"/>
      <c r="C25" s="35"/>
      <c r="D25" s="32"/>
      <c r="E25" s="33"/>
      <c r="F25" s="33"/>
      <c r="G25" s="33"/>
      <c r="H25" s="33"/>
      <c r="I25" s="33"/>
      <c r="J25" s="33"/>
      <c r="K25" s="33"/>
      <c r="L25" s="33"/>
      <c r="N25" s="743">
        <f t="shared" si="12"/>
        <v>0</v>
      </c>
      <c r="O25" s="747">
        <f t="shared" si="24"/>
        <v>0</v>
      </c>
      <c r="P25" s="733"/>
      <c r="Q25" s="733"/>
      <c r="R25" s="733"/>
      <c r="S25" s="841">
        <f t="shared" si="25"/>
        <v>0</v>
      </c>
      <c r="T25" s="842">
        <f t="shared" si="26"/>
        <v>0</v>
      </c>
      <c r="U25" s="842">
        <f t="shared" si="27"/>
        <v>0</v>
      </c>
      <c r="V25" s="842">
        <f t="shared" si="28"/>
        <v>0</v>
      </c>
      <c r="W25" s="842">
        <f t="shared" si="29"/>
        <v>0</v>
      </c>
      <c r="X25" s="842">
        <f t="shared" si="30"/>
        <v>0</v>
      </c>
      <c r="Y25" s="842">
        <f t="shared" si="31"/>
        <v>0</v>
      </c>
      <c r="Z25" s="842">
        <f t="shared" si="32"/>
        <v>0</v>
      </c>
      <c r="AA25" s="842">
        <f t="shared" si="33"/>
        <v>0</v>
      </c>
      <c r="AB25" s="842">
        <f t="shared" si="34"/>
        <v>0</v>
      </c>
      <c r="AC25" s="843">
        <f t="shared" si="35"/>
        <v>0</v>
      </c>
      <c r="AD25" s="638"/>
    </row>
    <row r="26" spans="1:30">
      <c r="A26" s="19" t="s">
        <v>0</v>
      </c>
      <c r="B26" s="608"/>
      <c r="C26" s="35"/>
      <c r="D26" s="32"/>
      <c r="E26" s="33"/>
      <c r="F26" s="33"/>
      <c r="G26" s="33"/>
      <c r="H26" s="33"/>
      <c r="I26" s="33"/>
      <c r="J26" s="33"/>
      <c r="K26" s="33"/>
      <c r="L26" s="33"/>
      <c r="N26" s="743">
        <f t="shared" si="12"/>
        <v>0</v>
      </c>
      <c r="O26" s="747">
        <f t="shared" si="24"/>
        <v>0</v>
      </c>
      <c r="P26" s="733"/>
      <c r="Q26" s="733"/>
      <c r="R26" s="733"/>
      <c r="S26" s="841">
        <f t="shared" si="25"/>
        <v>0</v>
      </c>
      <c r="T26" s="842">
        <f t="shared" si="26"/>
        <v>0</v>
      </c>
      <c r="U26" s="842">
        <f t="shared" si="27"/>
        <v>0</v>
      </c>
      <c r="V26" s="842">
        <f t="shared" si="28"/>
        <v>0</v>
      </c>
      <c r="W26" s="842">
        <f t="shared" si="29"/>
        <v>0</v>
      </c>
      <c r="X26" s="842">
        <f t="shared" si="30"/>
        <v>0</v>
      </c>
      <c r="Y26" s="842">
        <f t="shared" si="31"/>
        <v>0</v>
      </c>
      <c r="Z26" s="842">
        <f t="shared" si="32"/>
        <v>0</v>
      </c>
      <c r="AA26" s="842">
        <f t="shared" si="33"/>
        <v>0</v>
      </c>
      <c r="AB26" s="842">
        <f t="shared" si="34"/>
        <v>0</v>
      </c>
      <c r="AC26" s="843">
        <f t="shared" si="35"/>
        <v>0</v>
      </c>
      <c r="AD26" s="638"/>
    </row>
    <row r="27" spans="1:30">
      <c r="A27" s="19" t="s">
        <v>1</v>
      </c>
      <c r="B27" s="608"/>
      <c r="C27" s="35"/>
      <c r="D27" s="32"/>
      <c r="E27" s="33"/>
      <c r="F27" s="33"/>
      <c r="G27" s="33"/>
      <c r="H27" s="33"/>
      <c r="I27" s="33"/>
      <c r="J27" s="33"/>
      <c r="K27" s="33"/>
      <c r="L27" s="33"/>
      <c r="N27" s="743">
        <f t="shared" si="12"/>
        <v>0</v>
      </c>
      <c r="O27" s="747">
        <f t="shared" si="24"/>
        <v>0</v>
      </c>
      <c r="P27" s="733"/>
      <c r="Q27" s="733"/>
      <c r="R27" s="733"/>
      <c r="S27" s="841">
        <f t="shared" si="25"/>
        <v>0</v>
      </c>
      <c r="T27" s="842">
        <f t="shared" si="26"/>
        <v>0</v>
      </c>
      <c r="U27" s="842">
        <f t="shared" si="27"/>
        <v>0</v>
      </c>
      <c r="V27" s="842">
        <f t="shared" si="28"/>
        <v>0</v>
      </c>
      <c r="W27" s="842">
        <f t="shared" si="29"/>
        <v>0</v>
      </c>
      <c r="X27" s="842">
        <f t="shared" si="30"/>
        <v>0</v>
      </c>
      <c r="Y27" s="842">
        <f t="shared" si="31"/>
        <v>0</v>
      </c>
      <c r="Z27" s="842">
        <f t="shared" si="32"/>
        <v>0</v>
      </c>
      <c r="AA27" s="842">
        <f t="shared" si="33"/>
        <v>0</v>
      </c>
      <c r="AB27" s="842">
        <f t="shared" si="34"/>
        <v>0</v>
      </c>
      <c r="AC27" s="843">
        <f t="shared" si="35"/>
        <v>0</v>
      </c>
      <c r="AD27" s="638"/>
    </row>
    <row r="28" spans="1:30">
      <c r="A28" s="19" t="s">
        <v>2</v>
      </c>
      <c r="B28" s="608"/>
      <c r="C28" s="35"/>
      <c r="D28" s="32"/>
      <c r="E28" s="33"/>
      <c r="F28" s="33"/>
      <c r="G28" s="33"/>
      <c r="H28" s="33"/>
      <c r="I28" s="33"/>
      <c r="J28" s="33"/>
      <c r="K28" s="33"/>
      <c r="L28" s="33"/>
      <c r="N28" s="743">
        <f t="shared" si="12"/>
        <v>0</v>
      </c>
      <c r="O28" s="747">
        <f t="shared" si="24"/>
        <v>0</v>
      </c>
      <c r="P28" s="733"/>
      <c r="Q28" s="733"/>
      <c r="R28" s="733"/>
      <c r="S28" s="841">
        <f t="shared" si="25"/>
        <v>0</v>
      </c>
      <c r="T28" s="842">
        <f t="shared" si="26"/>
        <v>0</v>
      </c>
      <c r="U28" s="842">
        <f t="shared" si="27"/>
        <v>0</v>
      </c>
      <c r="V28" s="842">
        <f t="shared" si="28"/>
        <v>0</v>
      </c>
      <c r="W28" s="842">
        <f t="shared" si="29"/>
        <v>0</v>
      </c>
      <c r="X28" s="842">
        <f t="shared" si="30"/>
        <v>0</v>
      </c>
      <c r="Y28" s="842">
        <f t="shared" si="31"/>
        <v>0</v>
      </c>
      <c r="Z28" s="842">
        <f t="shared" si="32"/>
        <v>0</v>
      </c>
      <c r="AA28" s="842">
        <f t="shared" si="33"/>
        <v>0</v>
      </c>
      <c r="AB28" s="842">
        <f t="shared" si="34"/>
        <v>0</v>
      </c>
      <c r="AC28" s="843">
        <f t="shared" si="35"/>
        <v>0</v>
      </c>
      <c r="AD28" s="638"/>
    </row>
    <row r="29" spans="1:30">
      <c r="A29" s="19" t="s">
        <v>3</v>
      </c>
      <c r="B29" s="608"/>
      <c r="C29" s="35"/>
      <c r="D29" s="32"/>
      <c r="E29" s="33"/>
      <c r="F29" s="33"/>
      <c r="G29" s="33"/>
      <c r="H29" s="33"/>
      <c r="I29" s="33"/>
      <c r="J29" s="33"/>
      <c r="K29" s="33"/>
      <c r="L29" s="33"/>
      <c r="N29" s="743">
        <f t="shared" si="12"/>
        <v>0</v>
      </c>
      <c r="O29" s="747">
        <f t="shared" si="24"/>
        <v>0</v>
      </c>
      <c r="P29" s="733"/>
      <c r="Q29" s="733"/>
      <c r="R29" s="733"/>
      <c r="S29" s="841">
        <f t="shared" si="25"/>
        <v>0</v>
      </c>
      <c r="T29" s="842">
        <f t="shared" si="26"/>
        <v>0</v>
      </c>
      <c r="U29" s="842">
        <f t="shared" si="27"/>
        <v>0</v>
      </c>
      <c r="V29" s="842">
        <f t="shared" si="28"/>
        <v>0</v>
      </c>
      <c r="W29" s="842">
        <f t="shared" si="29"/>
        <v>0</v>
      </c>
      <c r="X29" s="842">
        <f t="shared" si="30"/>
        <v>0</v>
      </c>
      <c r="Y29" s="842">
        <f t="shared" si="31"/>
        <v>0</v>
      </c>
      <c r="Z29" s="842">
        <f t="shared" si="32"/>
        <v>0</v>
      </c>
      <c r="AA29" s="842">
        <f t="shared" si="33"/>
        <v>0</v>
      </c>
      <c r="AB29" s="842">
        <f t="shared" si="34"/>
        <v>0</v>
      </c>
      <c r="AC29" s="843">
        <f t="shared" si="35"/>
        <v>0</v>
      </c>
      <c r="AD29" s="638"/>
    </row>
    <row r="30" spans="1:30">
      <c r="A30" s="19" t="s">
        <v>49</v>
      </c>
      <c r="B30" s="608"/>
      <c r="C30" s="35"/>
      <c r="D30" s="32"/>
      <c r="E30" s="33"/>
      <c r="F30" s="33"/>
      <c r="G30" s="33"/>
      <c r="H30" s="33"/>
      <c r="I30" s="33"/>
      <c r="J30" s="33"/>
      <c r="K30" s="33"/>
      <c r="L30" s="33"/>
      <c r="N30" s="743">
        <f t="shared" si="12"/>
        <v>0</v>
      </c>
      <c r="O30" s="747">
        <f t="shared" si="24"/>
        <v>0</v>
      </c>
      <c r="P30" s="733"/>
      <c r="Q30" s="733"/>
      <c r="R30" s="733"/>
      <c r="S30" s="841">
        <f t="shared" si="25"/>
        <v>0</v>
      </c>
      <c r="T30" s="842">
        <f t="shared" si="26"/>
        <v>0</v>
      </c>
      <c r="U30" s="842">
        <f t="shared" si="27"/>
        <v>0</v>
      </c>
      <c r="V30" s="842">
        <f t="shared" si="28"/>
        <v>0</v>
      </c>
      <c r="W30" s="842">
        <f t="shared" si="29"/>
        <v>0</v>
      </c>
      <c r="X30" s="842">
        <f t="shared" si="30"/>
        <v>0</v>
      </c>
      <c r="Y30" s="842">
        <f t="shared" si="31"/>
        <v>0</v>
      </c>
      <c r="Z30" s="842">
        <f t="shared" si="32"/>
        <v>0</v>
      </c>
      <c r="AA30" s="842">
        <f t="shared" si="33"/>
        <v>0</v>
      </c>
      <c r="AB30" s="842">
        <f t="shared" si="34"/>
        <v>0</v>
      </c>
      <c r="AC30" s="843">
        <f t="shared" si="35"/>
        <v>0</v>
      </c>
      <c r="AD30" s="638"/>
    </row>
    <row r="31" spans="1:30">
      <c r="A31" s="19" t="s">
        <v>50</v>
      </c>
      <c r="B31" s="608"/>
      <c r="C31" s="35"/>
      <c r="D31" s="32"/>
      <c r="E31" s="33"/>
      <c r="F31" s="33"/>
      <c r="G31" s="33"/>
      <c r="H31" s="33"/>
      <c r="I31" s="33"/>
      <c r="J31" s="33"/>
      <c r="K31" s="33"/>
      <c r="L31" s="33"/>
      <c r="N31" s="743">
        <f t="shared" si="12"/>
        <v>0</v>
      </c>
      <c r="O31" s="747">
        <f t="shared" si="24"/>
        <v>0</v>
      </c>
      <c r="P31" s="733"/>
      <c r="Q31" s="733"/>
      <c r="R31" s="733"/>
      <c r="S31" s="841">
        <f t="shared" si="25"/>
        <v>0</v>
      </c>
      <c r="T31" s="842">
        <f t="shared" si="26"/>
        <v>0</v>
      </c>
      <c r="U31" s="842">
        <f t="shared" si="27"/>
        <v>0</v>
      </c>
      <c r="V31" s="842">
        <f t="shared" si="28"/>
        <v>0</v>
      </c>
      <c r="W31" s="842">
        <f t="shared" si="29"/>
        <v>0</v>
      </c>
      <c r="X31" s="842">
        <f t="shared" si="30"/>
        <v>0</v>
      </c>
      <c r="Y31" s="842">
        <f t="shared" si="31"/>
        <v>0</v>
      </c>
      <c r="Z31" s="842">
        <f t="shared" si="32"/>
        <v>0</v>
      </c>
      <c r="AA31" s="842">
        <f t="shared" si="33"/>
        <v>0</v>
      </c>
      <c r="AB31" s="842">
        <f t="shared" si="34"/>
        <v>0</v>
      </c>
      <c r="AC31" s="843">
        <f t="shared" si="35"/>
        <v>0</v>
      </c>
      <c r="AD31" s="638"/>
    </row>
    <row r="32" spans="1:30">
      <c r="A32" s="19" t="s">
        <v>51</v>
      </c>
      <c r="B32" s="608"/>
      <c r="C32" s="35"/>
      <c r="D32" s="32"/>
      <c r="E32" s="33"/>
      <c r="F32" s="33"/>
      <c r="G32" s="33"/>
      <c r="H32" s="33"/>
      <c r="I32" s="33"/>
      <c r="J32" s="33"/>
      <c r="K32" s="33"/>
      <c r="L32" s="33"/>
      <c r="N32" s="743">
        <f t="shared" si="12"/>
        <v>0</v>
      </c>
      <c r="O32" s="747">
        <f t="shared" si="24"/>
        <v>0</v>
      </c>
      <c r="P32" s="733"/>
      <c r="Q32" s="733"/>
      <c r="R32" s="733"/>
      <c r="S32" s="841">
        <f t="shared" si="25"/>
        <v>0</v>
      </c>
      <c r="T32" s="842">
        <f t="shared" si="26"/>
        <v>0</v>
      </c>
      <c r="U32" s="842">
        <f t="shared" si="27"/>
        <v>0</v>
      </c>
      <c r="V32" s="842">
        <f t="shared" si="28"/>
        <v>0</v>
      </c>
      <c r="W32" s="842">
        <f t="shared" si="29"/>
        <v>0</v>
      </c>
      <c r="X32" s="842">
        <f t="shared" si="30"/>
        <v>0</v>
      </c>
      <c r="Y32" s="842">
        <f t="shared" si="31"/>
        <v>0</v>
      </c>
      <c r="Z32" s="842">
        <f t="shared" si="32"/>
        <v>0</v>
      </c>
      <c r="AA32" s="842">
        <f t="shared" si="33"/>
        <v>0</v>
      </c>
      <c r="AB32" s="842">
        <f t="shared" si="34"/>
        <v>0</v>
      </c>
      <c r="AC32" s="843">
        <f t="shared" si="35"/>
        <v>0</v>
      </c>
      <c r="AD32" s="638"/>
    </row>
    <row r="33" spans="1:30">
      <c r="A33" s="19" t="s">
        <v>52</v>
      </c>
      <c r="B33" s="608"/>
      <c r="C33" s="35"/>
      <c r="D33" s="32"/>
      <c r="E33" s="33"/>
      <c r="F33" s="33"/>
      <c r="G33" s="33"/>
      <c r="H33" s="33"/>
      <c r="I33" s="33"/>
      <c r="J33" s="33"/>
      <c r="K33" s="33"/>
      <c r="L33" s="33"/>
      <c r="N33" s="743">
        <f t="shared" si="12"/>
        <v>0</v>
      </c>
      <c r="O33" s="747">
        <f t="shared" si="24"/>
        <v>0</v>
      </c>
      <c r="P33" s="733"/>
      <c r="Q33" s="733"/>
      <c r="R33" s="733"/>
      <c r="S33" s="841">
        <f t="shared" si="25"/>
        <v>0</v>
      </c>
      <c r="T33" s="842">
        <f t="shared" si="26"/>
        <v>0</v>
      </c>
      <c r="U33" s="842">
        <f t="shared" si="27"/>
        <v>0</v>
      </c>
      <c r="V33" s="842">
        <f t="shared" si="28"/>
        <v>0</v>
      </c>
      <c r="W33" s="842">
        <f t="shared" si="29"/>
        <v>0</v>
      </c>
      <c r="X33" s="842">
        <f t="shared" si="30"/>
        <v>0</v>
      </c>
      <c r="Y33" s="842">
        <f t="shared" si="31"/>
        <v>0</v>
      </c>
      <c r="Z33" s="842">
        <f t="shared" si="32"/>
        <v>0</v>
      </c>
      <c r="AA33" s="842">
        <f t="shared" si="33"/>
        <v>0</v>
      </c>
      <c r="AB33" s="842">
        <f t="shared" si="34"/>
        <v>0</v>
      </c>
      <c r="AC33" s="843">
        <f t="shared" si="35"/>
        <v>0</v>
      </c>
      <c r="AD33" s="638"/>
    </row>
    <row r="34" spans="1:30">
      <c r="A34" s="19" t="s">
        <v>53</v>
      </c>
      <c r="B34" s="608"/>
      <c r="C34" s="35"/>
      <c r="D34" s="32"/>
      <c r="E34" s="33"/>
      <c r="F34" s="33"/>
      <c r="G34" s="33"/>
      <c r="H34" s="33"/>
      <c r="I34" s="33"/>
      <c r="J34" s="33"/>
      <c r="K34" s="33"/>
      <c r="L34" s="33"/>
      <c r="N34" s="743">
        <f t="shared" si="12"/>
        <v>0</v>
      </c>
      <c r="O34" s="747">
        <f t="shared" si="24"/>
        <v>0</v>
      </c>
      <c r="P34" s="733"/>
      <c r="Q34" s="733"/>
      <c r="R34" s="733"/>
      <c r="S34" s="841">
        <f t="shared" si="25"/>
        <v>0</v>
      </c>
      <c r="T34" s="842">
        <f t="shared" si="26"/>
        <v>0</v>
      </c>
      <c r="U34" s="842">
        <f t="shared" si="27"/>
        <v>0</v>
      </c>
      <c r="V34" s="842">
        <f t="shared" si="28"/>
        <v>0</v>
      </c>
      <c r="W34" s="842">
        <f t="shared" si="29"/>
        <v>0</v>
      </c>
      <c r="X34" s="842">
        <f t="shared" si="30"/>
        <v>0</v>
      </c>
      <c r="Y34" s="842">
        <f t="shared" si="31"/>
        <v>0</v>
      </c>
      <c r="Z34" s="842">
        <f t="shared" si="32"/>
        <v>0</v>
      </c>
      <c r="AA34" s="842">
        <f t="shared" si="33"/>
        <v>0</v>
      </c>
      <c r="AB34" s="842">
        <f t="shared" si="34"/>
        <v>0</v>
      </c>
      <c r="AC34" s="843">
        <f t="shared" si="35"/>
        <v>0</v>
      </c>
      <c r="AD34" s="638"/>
    </row>
    <row r="35" spans="1:30">
      <c r="A35" s="19" t="s">
        <v>54</v>
      </c>
      <c r="B35" s="608"/>
      <c r="C35" s="35"/>
      <c r="D35" s="32"/>
      <c r="E35" s="33"/>
      <c r="F35" s="33"/>
      <c r="G35" s="33"/>
      <c r="H35" s="33"/>
      <c r="I35" s="33"/>
      <c r="J35" s="33"/>
      <c r="K35" s="33"/>
      <c r="L35" s="33"/>
      <c r="N35" s="743">
        <f t="shared" si="12"/>
        <v>0</v>
      </c>
      <c r="O35" s="747">
        <f t="shared" si="24"/>
        <v>0</v>
      </c>
      <c r="P35" s="733"/>
      <c r="Q35" s="733"/>
      <c r="R35" s="733"/>
      <c r="S35" s="841">
        <f t="shared" si="25"/>
        <v>0</v>
      </c>
      <c r="T35" s="842">
        <f t="shared" si="26"/>
        <v>0</v>
      </c>
      <c r="U35" s="842">
        <f t="shared" si="27"/>
        <v>0</v>
      </c>
      <c r="V35" s="842">
        <f t="shared" si="28"/>
        <v>0</v>
      </c>
      <c r="W35" s="842">
        <f t="shared" si="29"/>
        <v>0</v>
      </c>
      <c r="X35" s="842">
        <f t="shared" si="30"/>
        <v>0</v>
      </c>
      <c r="Y35" s="842">
        <f t="shared" si="31"/>
        <v>0</v>
      </c>
      <c r="Z35" s="842">
        <f t="shared" si="32"/>
        <v>0</v>
      </c>
      <c r="AA35" s="842">
        <f t="shared" si="33"/>
        <v>0</v>
      </c>
      <c r="AB35" s="842">
        <f t="shared" si="34"/>
        <v>0</v>
      </c>
      <c r="AC35" s="843">
        <f t="shared" si="35"/>
        <v>0</v>
      </c>
      <c r="AD35" s="638"/>
    </row>
    <row r="36" spans="1:30">
      <c r="A36" s="19" t="s">
        <v>55</v>
      </c>
      <c r="B36" s="608"/>
      <c r="C36" s="35"/>
      <c r="D36" s="32"/>
      <c r="E36" s="33"/>
      <c r="F36" s="33"/>
      <c r="G36" s="33"/>
      <c r="H36" s="33"/>
      <c r="I36" s="33"/>
      <c r="J36" s="33"/>
      <c r="K36" s="33"/>
      <c r="L36" s="33"/>
      <c r="N36" s="743">
        <f t="shared" si="12"/>
        <v>0</v>
      </c>
      <c r="O36" s="747">
        <f t="shared" si="24"/>
        <v>0</v>
      </c>
      <c r="P36" s="733"/>
      <c r="Q36" s="733"/>
      <c r="R36" s="733"/>
      <c r="S36" s="841">
        <f t="shared" si="25"/>
        <v>0</v>
      </c>
      <c r="T36" s="842">
        <f t="shared" si="26"/>
        <v>0</v>
      </c>
      <c r="U36" s="842">
        <f t="shared" si="27"/>
        <v>0</v>
      </c>
      <c r="V36" s="842">
        <f t="shared" si="28"/>
        <v>0</v>
      </c>
      <c r="W36" s="842">
        <f t="shared" si="29"/>
        <v>0</v>
      </c>
      <c r="X36" s="842">
        <f t="shared" si="30"/>
        <v>0</v>
      </c>
      <c r="Y36" s="842">
        <f t="shared" si="31"/>
        <v>0</v>
      </c>
      <c r="Z36" s="842">
        <f t="shared" si="32"/>
        <v>0</v>
      </c>
      <c r="AA36" s="842">
        <f t="shared" si="33"/>
        <v>0</v>
      </c>
      <c r="AB36" s="842">
        <f t="shared" si="34"/>
        <v>0</v>
      </c>
      <c r="AC36" s="843">
        <f t="shared" si="35"/>
        <v>0</v>
      </c>
      <c r="AD36" s="638"/>
    </row>
    <row r="37" spans="1:30">
      <c r="A37" s="19" t="s">
        <v>56</v>
      </c>
      <c r="B37" s="608"/>
      <c r="C37" s="35"/>
      <c r="D37" s="32"/>
      <c r="E37" s="33"/>
      <c r="F37" s="33"/>
      <c r="G37" s="33"/>
      <c r="H37" s="33"/>
      <c r="I37" s="33"/>
      <c r="J37" s="33"/>
      <c r="K37" s="33"/>
      <c r="L37" s="33"/>
      <c r="N37" s="743">
        <f t="shared" si="12"/>
        <v>0</v>
      </c>
      <c r="O37" s="747">
        <f t="shared" si="24"/>
        <v>0</v>
      </c>
      <c r="P37" s="733"/>
      <c r="Q37" s="733"/>
      <c r="R37" s="733"/>
      <c r="S37" s="841">
        <f t="shared" si="25"/>
        <v>0</v>
      </c>
      <c r="T37" s="842">
        <f t="shared" si="26"/>
        <v>0</v>
      </c>
      <c r="U37" s="842">
        <f t="shared" si="27"/>
        <v>0</v>
      </c>
      <c r="V37" s="842">
        <f t="shared" si="28"/>
        <v>0</v>
      </c>
      <c r="W37" s="842">
        <f t="shared" si="29"/>
        <v>0</v>
      </c>
      <c r="X37" s="842">
        <f t="shared" si="30"/>
        <v>0</v>
      </c>
      <c r="Y37" s="842">
        <f t="shared" si="31"/>
        <v>0</v>
      </c>
      <c r="Z37" s="842">
        <f t="shared" si="32"/>
        <v>0</v>
      </c>
      <c r="AA37" s="842">
        <f t="shared" si="33"/>
        <v>0</v>
      </c>
      <c r="AB37" s="842">
        <f t="shared" si="34"/>
        <v>0</v>
      </c>
      <c r="AC37" s="843">
        <f t="shared" si="35"/>
        <v>0</v>
      </c>
      <c r="AD37" s="638"/>
    </row>
    <row r="38" spans="1:30">
      <c r="A38" s="19" t="s">
        <v>57</v>
      </c>
      <c r="B38" s="609"/>
      <c r="C38" s="35"/>
      <c r="D38" s="32"/>
      <c r="E38" s="33"/>
      <c r="F38" s="33"/>
      <c r="G38" s="33"/>
      <c r="H38" s="33"/>
      <c r="I38" s="33"/>
      <c r="J38" s="33"/>
      <c r="K38" s="33"/>
      <c r="L38" s="33"/>
      <c r="N38" s="743">
        <f t="shared" si="12"/>
        <v>0</v>
      </c>
      <c r="O38" s="747">
        <f t="shared" si="24"/>
        <v>0</v>
      </c>
      <c r="P38" s="733"/>
      <c r="Q38" s="733"/>
      <c r="R38" s="733"/>
      <c r="S38" s="841">
        <f t="shared" si="25"/>
        <v>0</v>
      </c>
      <c r="T38" s="842">
        <f t="shared" si="26"/>
        <v>0</v>
      </c>
      <c r="U38" s="842">
        <f t="shared" si="27"/>
        <v>0</v>
      </c>
      <c r="V38" s="842">
        <f t="shared" si="28"/>
        <v>0</v>
      </c>
      <c r="W38" s="842">
        <f t="shared" si="29"/>
        <v>0</v>
      </c>
      <c r="X38" s="842">
        <f t="shared" si="30"/>
        <v>0</v>
      </c>
      <c r="Y38" s="842">
        <f t="shared" si="31"/>
        <v>0</v>
      </c>
      <c r="Z38" s="842">
        <f t="shared" si="32"/>
        <v>0</v>
      </c>
      <c r="AA38" s="842">
        <f t="shared" si="33"/>
        <v>0</v>
      </c>
      <c r="AB38" s="842">
        <f t="shared" si="34"/>
        <v>0</v>
      </c>
      <c r="AC38" s="843">
        <f t="shared" si="35"/>
        <v>0</v>
      </c>
      <c r="AD38" s="638"/>
    </row>
    <row r="39" spans="1:30">
      <c r="A39" s="19" t="s">
        <v>4</v>
      </c>
      <c r="B39" s="609"/>
      <c r="C39" s="35"/>
      <c r="D39" s="32"/>
      <c r="E39" s="33"/>
      <c r="F39" s="33"/>
      <c r="G39" s="33"/>
      <c r="H39" s="33"/>
      <c r="I39" s="33"/>
      <c r="J39" s="33"/>
      <c r="K39" s="33"/>
      <c r="L39" s="33"/>
      <c r="N39" s="743">
        <f t="shared" si="12"/>
        <v>0</v>
      </c>
      <c r="O39" s="747">
        <f t="shared" si="24"/>
        <v>0</v>
      </c>
      <c r="P39" s="733"/>
      <c r="Q39" s="733"/>
      <c r="R39" s="733"/>
      <c r="S39" s="841">
        <f t="shared" si="25"/>
        <v>0</v>
      </c>
      <c r="T39" s="842">
        <f t="shared" si="26"/>
        <v>0</v>
      </c>
      <c r="U39" s="842">
        <f t="shared" si="27"/>
        <v>0</v>
      </c>
      <c r="V39" s="842">
        <f t="shared" si="28"/>
        <v>0</v>
      </c>
      <c r="W39" s="842">
        <f t="shared" si="29"/>
        <v>0</v>
      </c>
      <c r="X39" s="842">
        <f t="shared" si="30"/>
        <v>0</v>
      </c>
      <c r="Y39" s="842">
        <f t="shared" si="31"/>
        <v>0</v>
      </c>
      <c r="Z39" s="842">
        <f t="shared" si="32"/>
        <v>0</v>
      </c>
      <c r="AA39" s="842">
        <f t="shared" si="33"/>
        <v>0</v>
      </c>
      <c r="AB39" s="842">
        <f t="shared" si="34"/>
        <v>0</v>
      </c>
      <c r="AC39" s="843">
        <f t="shared" si="35"/>
        <v>0</v>
      </c>
      <c r="AD39" s="638"/>
    </row>
    <row r="40" spans="1:30">
      <c r="A40" s="19" t="s">
        <v>5</v>
      </c>
      <c r="B40" s="610"/>
      <c r="C40" s="35"/>
      <c r="D40" s="32"/>
      <c r="E40" s="33"/>
      <c r="F40" s="33"/>
      <c r="G40" s="33"/>
      <c r="H40" s="33"/>
      <c r="I40" s="610"/>
      <c r="J40" s="33"/>
      <c r="K40" s="33"/>
      <c r="L40" s="33"/>
      <c r="N40" s="743">
        <f t="shared" si="12"/>
        <v>0</v>
      </c>
      <c r="O40" s="747">
        <f t="shared" si="24"/>
        <v>0</v>
      </c>
      <c r="P40" s="733"/>
      <c r="Q40" s="733"/>
      <c r="R40" s="733"/>
      <c r="S40" s="841">
        <f t="shared" si="25"/>
        <v>0</v>
      </c>
      <c r="T40" s="842">
        <f t="shared" si="26"/>
        <v>0</v>
      </c>
      <c r="U40" s="842">
        <f t="shared" si="27"/>
        <v>0</v>
      </c>
      <c r="V40" s="842">
        <f t="shared" si="28"/>
        <v>0</v>
      </c>
      <c r="W40" s="842">
        <f t="shared" si="29"/>
        <v>0</v>
      </c>
      <c r="X40" s="842">
        <f t="shared" si="30"/>
        <v>0</v>
      </c>
      <c r="Y40" s="842">
        <f t="shared" si="31"/>
        <v>0</v>
      </c>
      <c r="Z40" s="842">
        <f t="shared" si="32"/>
        <v>0</v>
      </c>
      <c r="AA40" s="842">
        <f t="shared" si="33"/>
        <v>0</v>
      </c>
      <c r="AB40" s="842">
        <f t="shared" si="34"/>
        <v>0</v>
      </c>
      <c r="AC40" s="843">
        <f t="shared" si="35"/>
        <v>0</v>
      </c>
      <c r="AD40" s="638"/>
    </row>
    <row r="41" spans="1:30">
      <c r="A41" s="19" t="s">
        <v>6</v>
      </c>
      <c r="B41" s="610"/>
      <c r="C41" s="35"/>
      <c r="D41" s="32"/>
      <c r="E41" s="33"/>
      <c r="F41" s="33"/>
      <c r="G41" s="33"/>
      <c r="H41" s="33"/>
      <c r="I41" s="610"/>
      <c r="J41" s="33"/>
      <c r="K41" s="33"/>
      <c r="L41" s="33"/>
      <c r="N41" s="743">
        <f t="shared" si="12"/>
        <v>0</v>
      </c>
      <c r="O41" s="747">
        <f t="shared" si="24"/>
        <v>0</v>
      </c>
      <c r="P41" s="733"/>
      <c r="Q41" s="733"/>
      <c r="R41" s="733"/>
      <c r="S41" s="841">
        <f t="shared" si="25"/>
        <v>0</v>
      </c>
      <c r="T41" s="842">
        <f t="shared" si="26"/>
        <v>0</v>
      </c>
      <c r="U41" s="842">
        <f t="shared" si="27"/>
        <v>0</v>
      </c>
      <c r="V41" s="842">
        <f t="shared" si="28"/>
        <v>0</v>
      </c>
      <c r="W41" s="842">
        <f t="shared" si="29"/>
        <v>0</v>
      </c>
      <c r="X41" s="842">
        <f t="shared" si="30"/>
        <v>0</v>
      </c>
      <c r="Y41" s="842">
        <f t="shared" si="31"/>
        <v>0</v>
      </c>
      <c r="Z41" s="842">
        <f t="shared" si="32"/>
        <v>0</v>
      </c>
      <c r="AA41" s="842">
        <f t="shared" si="33"/>
        <v>0</v>
      </c>
      <c r="AB41" s="842">
        <f t="shared" si="34"/>
        <v>0</v>
      </c>
      <c r="AC41" s="843">
        <f t="shared" si="35"/>
        <v>0</v>
      </c>
      <c r="AD41" s="638"/>
    </row>
    <row r="42" spans="1:30">
      <c r="A42" s="19" t="s">
        <v>7</v>
      </c>
      <c r="B42" s="610"/>
      <c r="C42" s="35"/>
      <c r="D42" s="32"/>
      <c r="E42" s="33"/>
      <c r="F42" s="33"/>
      <c r="G42" s="33"/>
      <c r="H42" s="33"/>
      <c r="I42" s="610"/>
      <c r="J42" s="33"/>
      <c r="K42" s="33"/>
      <c r="L42" s="33"/>
      <c r="N42" s="743">
        <f t="shared" si="12"/>
        <v>0</v>
      </c>
      <c r="O42" s="747">
        <f t="shared" si="24"/>
        <v>0</v>
      </c>
      <c r="P42" s="733"/>
      <c r="Q42" s="733"/>
      <c r="R42" s="733"/>
      <c r="S42" s="841">
        <f t="shared" si="25"/>
        <v>0</v>
      </c>
      <c r="T42" s="842">
        <f t="shared" si="26"/>
        <v>0</v>
      </c>
      <c r="U42" s="842">
        <f t="shared" si="27"/>
        <v>0</v>
      </c>
      <c r="V42" s="842">
        <f t="shared" si="28"/>
        <v>0</v>
      </c>
      <c r="W42" s="842">
        <f t="shared" si="29"/>
        <v>0</v>
      </c>
      <c r="X42" s="842">
        <f t="shared" si="30"/>
        <v>0</v>
      </c>
      <c r="Y42" s="842">
        <f t="shared" si="31"/>
        <v>0</v>
      </c>
      <c r="Z42" s="842">
        <f t="shared" si="32"/>
        <v>0</v>
      </c>
      <c r="AA42" s="842">
        <f t="shared" si="33"/>
        <v>0</v>
      </c>
      <c r="AB42" s="842">
        <f t="shared" si="34"/>
        <v>0</v>
      </c>
      <c r="AC42" s="843">
        <f t="shared" si="35"/>
        <v>0</v>
      </c>
      <c r="AD42" s="638"/>
    </row>
    <row r="43" spans="1:30">
      <c r="A43" s="19" t="s">
        <v>58</v>
      </c>
      <c r="B43" s="610"/>
      <c r="C43" s="35"/>
      <c r="D43" s="32"/>
      <c r="E43" s="33"/>
      <c r="F43" s="33"/>
      <c r="G43" s="33"/>
      <c r="H43" s="33"/>
      <c r="I43" s="610"/>
      <c r="J43" s="33"/>
      <c r="K43" s="33"/>
      <c r="L43" s="33"/>
      <c r="N43" s="743">
        <f t="shared" si="12"/>
        <v>0</v>
      </c>
      <c r="O43" s="747">
        <f t="shared" si="24"/>
        <v>0</v>
      </c>
      <c r="P43" s="733"/>
      <c r="Q43" s="733"/>
      <c r="R43" s="733"/>
      <c r="S43" s="841">
        <f t="shared" si="25"/>
        <v>0</v>
      </c>
      <c r="T43" s="842">
        <f t="shared" si="26"/>
        <v>0</v>
      </c>
      <c r="U43" s="842">
        <f t="shared" si="27"/>
        <v>0</v>
      </c>
      <c r="V43" s="842">
        <f t="shared" si="28"/>
        <v>0</v>
      </c>
      <c r="W43" s="842">
        <f t="shared" si="29"/>
        <v>0</v>
      </c>
      <c r="X43" s="842">
        <f t="shared" si="30"/>
        <v>0</v>
      </c>
      <c r="Y43" s="842">
        <f t="shared" si="31"/>
        <v>0</v>
      </c>
      <c r="Z43" s="842">
        <f t="shared" si="32"/>
        <v>0</v>
      </c>
      <c r="AA43" s="842">
        <f t="shared" si="33"/>
        <v>0</v>
      </c>
      <c r="AB43" s="842">
        <f t="shared" si="34"/>
        <v>0</v>
      </c>
      <c r="AC43" s="843">
        <f t="shared" si="35"/>
        <v>0</v>
      </c>
      <c r="AD43" s="638"/>
    </row>
    <row r="44" spans="1:30">
      <c r="A44" s="19" t="s">
        <v>59</v>
      </c>
      <c r="B44" s="610"/>
      <c r="C44" s="35"/>
      <c r="D44" s="32"/>
      <c r="E44" s="33"/>
      <c r="F44" s="33"/>
      <c r="G44" s="33"/>
      <c r="H44" s="33"/>
      <c r="I44" s="610"/>
      <c r="J44" s="33"/>
      <c r="K44" s="33"/>
      <c r="L44" s="33"/>
      <c r="N44" s="743">
        <f t="shared" si="12"/>
        <v>0</v>
      </c>
      <c r="O44" s="747">
        <f t="shared" si="24"/>
        <v>0</v>
      </c>
      <c r="P44" s="733"/>
      <c r="Q44" s="733"/>
      <c r="R44" s="733"/>
      <c r="S44" s="841">
        <f t="shared" si="25"/>
        <v>0</v>
      </c>
      <c r="T44" s="842">
        <f t="shared" si="26"/>
        <v>0</v>
      </c>
      <c r="U44" s="842">
        <f t="shared" si="27"/>
        <v>0</v>
      </c>
      <c r="V44" s="842">
        <f t="shared" si="28"/>
        <v>0</v>
      </c>
      <c r="W44" s="842">
        <f t="shared" si="29"/>
        <v>0</v>
      </c>
      <c r="X44" s="842">
        <f t="shared" si="30"/>
        <v>0</v>
      </c>
      <c r="Y44" s="842">
        <f t="shared" si="31"/>
        <v>0</v>
      </c>
      <c r="Z44" s="842">
        <f t="shared" si="32"/>
        <v>0</v>
      </c>
      <c r="AA44" s="842">
        <f t="shared" si="33"/>
        <v>0</v>
      </c>
      <c r="AB44" s="842">
        <f t="shared" si="34"/>
        <v>0</v>
      </c>
      <c r="AC44" s="843">
        <f t="shared" si="35"/>
        <v>0</v>
      </c>
      <c r="AD44" s="638"/>
    </row>
    <row r="45" spans="1:30">
      <c r="A45" s="19" t="s">
        <v>60</v>
      </c>
      <c r="B45" s="610"/>
      <c r="C45" s="35"/>
      <c r="D45" s="32"/>
      <c r="E45" s="33"/>
      <c r="F45" s="33"/>
      <c r="G45" s="33"/>
      <c r="H45" s="33"/>
      <c r="I45" s="610"/>
      <c r="J45" s="33"/>
      <c r="K45" s="33"/>
      <c r="L45" s="33"/>
      <c r="N45" s="743">
        <f t="shared" si="12"/>
        <v>0</v>
      </c>
      <c r="O45" s="747">
        <f t="shared" si="24"/>
        <v>0</v>
      </c>
      <c r="P45" s="733"/>
      <c r="Q45" s="733"/>
      <c r="R45" s="733"/>
      <c r="S45" s="841">
        <f t="shared" si="25"/>
        <v>0</v>
      </c>
      <c r="T45" s="842">
        <f t="shared" si="26"/>
        <v>0</v>
      </c>
      <c r="U45" s="842">
        <f t="shared" si="27"/>
        <v>0</v>
      </c>
      <c r="V45" s="842">
        <f t="shared" si="28"/>
        <v>0</v>
      </c>
      <c r="W45" s="842">
        <f t="shared" si="29"/>
        <v>0</v>
      </c>
      <c r="X45" s="842">
        <f t="shared" si="30"/>
        <v>0</v>
      </c>
      <c r="Y45" s="842">
        <f t="shared" si="31"/>
        <v>0</v>
      </c>
      <c r="Z45" s="842">
        <f t="shared" si="32"/>
        <v>0</v>
      </c>
      <c r="AA45" s="842">
        <f t="shared" si="33"/>
        <v>0</v>
      </c>
      <c r="AB45" s="842">
        <f t="shared" si="34"/>
        <v>0</v>
      </c>
      <c r="AC45" s="843">
        <f t="shared" si="35"/>
        <v>0</v>
      </c>
      <c r="AD45" s="638"/>
    </row>
    <row r="46" spans="1:30">
      <c r="A46" s="19" t="s">
        <v>61</v>
      </c>
      <c r="B46" s="610"/>
      <c r="C46" s="35"/>
      <c r="D46" s="32"/>
      <c r="E46" s="33"/>
      <c r="F46" s="33"/>
      <c r="G46" s="33"/>
      <c r="H46" s="33"/>
      <c r="I46" s="610"/>
      <c r="J46" s="33"/>
      <c r="K46" s="33"/>
      <c r="L46" s="33"/>
      <c r="N46" s="743">
        <f t="shared" si="12"/>
        <v>0</v>
      </c>
      <c r="O46" s="747">
        <f t="shared" si="24"/>
        <v>0</v>
      </c>
      <c r="P46" s="733"/>
      <c r="Q46" s="733"/>
      <c r="R46" s="733"/>
      <c r="S46" s="841">
        <f t="shared" si="25"/>
        <v>0</v>
      </c>
      <c r="T46" s="842">
        <f t="shared" si="26"/>
        <v>0</v>
      </c>
      <c r="U46" s="842">
        <f t="shared" si="27"/>
        <v>0</v>
      </c>
      <c r="V46" s="842">
        <f t="shared" si="28"/>
        <v>0</v>
      </c>
      <c r="W46" s="842">
        <f t="shared" si="29"/>
        <v>0</v>
      </c>
      <c r="X46" s="842">
        <f t="shared" si="30"/>
        <v>0</v>
      </c>
      <c r="Y46" s="842">
        <f t="shared" si="31"/>
        <v>0</v>
      </c>
      <c r="Z46" s="842">
        <f t="shared" si="32"/>
        <v>0</v>
      </c>
      <c r="AA46" s="842">
        <f t="shared" si="33"/>
        <v>0</v>
      </c>
      <c r="AB46" s="842">
        <f t="shared" si="34"/>
        <v>0</v>
      </c>
      <c r="AC46" s="843">
        <f t="shared" si="35"/>
        <v>0</v>
      </c>
      <c r="AD46" s="638"/>
    </row>
    <row r="47" spans="1:30">
      <c r="A47" s="19" t="s">
        <v>62</v>
      </c>
      <c r="B47" s="610"/>
      <c r="C47" s="35"/>
      <c r="D47" s="32"/>
      <c r="E47" s="33"/>
      <c r="F47" s="33"/>
      <c r="G47" s="33"/>
      <c r="H47" s="33"/>
      <c r="I47" s="610"/>
      <c r="J47" s="33"/>
      <c r="K47" s="33"/>
      <c r="L47" s="33"/>
      <c r="N47" s="743">
        <f t="shared" si="12"/>
        <v>0</v>
      </c>
      <c r="O47" s="747">
        <f t="shared" si="24"/>
        <v>0</v>
      </c>
      <c r="P47" s="733"/>
      <c r="Q47" s="733"/>
      <c r="R47" s="733"/>
      <c r="S47" s="841">
        <f t="shared" si="25"/>
        <v>0</v>
      </c>
      <c r="T47" s="842">
        <f t="shared" si="26"/>
        <v>0</v>
      </c>
      <c r="U47" s="842">
        <f t="shared" si="27"/>
        <v>0</v>
      </c>
      <c r="V47" s="842">
        <f t="shared" si="28"/>
        <v>0</v>
      </c>
      <c r="W47" s="842">
        <f t="shared" si="29"/>
        <v>0</v>
      </c>
      <c r="X47" s="842">
        <f t="shared" si="30"/>
        <v>0</v>
      </c>
      <c r="Y47" s="842">
        <f t="shared" si="31"/>
        <v>0</v>
      </c>
      <c r="Z47" s="842">
        <f t="shared" si="32"/>
        <v>0</v>
      </c>
      <c r="AA47" s="842">
        <f t="shared" si="33"/>
        <v>0</v>
      </c>
      <c r="AB47" s="842">
        <f t="shared" si="34"/>
        <v>0</v>
      </c>
      <c r="AC47" s="843">
        <f t="shared" si="35"/>
        <v>0</v>
      </c>
      <c r="AD47" s="638"/>
    </row>
    <row r="48" spans="1:30">
      <c r="A48" s="19" t="s">
        <v>63</v>
      </c>
      <c r="B48" s="610"/>
      <c r="C48" s="35"/>
      <c r="D48" s="32"/>
      <c r="E48" s="33"/>
      <c r="F48" s="33"/>
      <c r="G48" s="33"/>
      <c r="H48" s="33"/>
      <c r="I48" s="610"/>
      <c r="J48" s="33"/>
      <c r="K48" s="33"/>
      <c r="L48" s="33"/>
      <c r="N48" s="743">
        <f t="shared" si="12"/>
        <v>0</v>
      </c>
      <c r="O48" s="747">
        <f t="shared" si="24"/>
        <v>0</v>
      </c>
      <c r="P48" s="733"/>
      <c r="Q48" s="733"/>
      <c r="R48" s="733"/>
      <c r="S48" s="841">
        <f t="shared" si="25"/>
        <v>0</v>
      </c>
      <c r="T48" s="842">
        <f t="shared" si="26"/>
        <v>0</v>
      </c>
      <c r="U48" s="842">
        <f t="shared" si="27"/>
        <v>0</v>
      </c>
      <c r="V48" s="842">
        <f t="shared" si="28"/>
        <v>0</v>
      </c>
      <c r="W48" s="842">
        <f t="shared" si="29"/>
        <v>0</v>
      </c>
      <c r="X48" s="842">
        <f t="shared" si="30"/>
        <v>0</v>
      </c>
      <c r="Y48" s="842">
        <f t="shared" si="31"/>
        <v>0</v>
      </c>
      <c r="Z48" s="842">
        <f t="shared" si="32"/>
        <v>0</v>
      </c>
      <c r="AA48" s="842">
        <f t="shared" si="33"/>
        <v>0</v>
      </c>
      <c r="AB48" s="842">
        <f t="shared" si="34"/>
        <v>0</v>
      </c>
      <c r="AC48" s="843">
        <f t="shared" si="35"/>
        <v>0</v>
      </c>
      <c r="AD48" s="638"/>
    </row>
    <row r="49" spans="1:30">
      <c r="A49" s="19" t="s">
        <v>64</v>
      </c>
      <c r="B49" s="610"/>
      <c r="C49" s="35"/>
      <c r="D49" s="32"/>
      <c r="E49" s="33"/>
      <c r="F49" s="33"/>
      <c r="G49" s="33"/>
      <c r="H49" s="33"/>
      <c r="I49" s="610"/>
      <c r="J49" s="33"/>
      <c r="K49" s="33"/>
      <c r="L49" s="33"/>
      <c r="N49" s="743">
        <f t="shared" si="12"/>
        <v>0</v>
      </c>
      <c r="O49" s="747">
        <f t="shared" si="24"/>
        <v>0</v>
      </c>
      <c r="P49" s="733"/>
      <c r="Q49" s="733"/>
      <c r="R49" s="733"/>
      <c r="S49" s="841">
        <f t="shared" si="25"/>
        <v>0</v>
      </c>
      <c r="T49" s="842">
        <f t="shared" si="26"/>
        <v>0</v>
      </c>
      <c r="U49" s="842">
        <f t="shared" si="27"/>
        <v>0</v>
      </c>
      <c r="V49" s="842">
        <f t="shared" si="28"/>
        <v>0</v>
      </c>
      <c r="W49" s="842">
        <f t="shared" si="29"/>
        <v>0</v>
      </c>
      <c r="X49" s="842">
        <f t="shared" si="30"/>
        <v>0</v>
      </c>
      <c r="Y49" s="842">
        <f t="shared" si="31"/>
        <v>0</v>
      </c>
      <c r="Z49" s="842">
        <f t="shared" si="32"/>
        <v>0</v>
      </c>
      <c r="AA49" s="842">
        <f t="shared" si="33"/>
        <v>0</v>
      </c>
      <c r="AB49" s="842">
        <f t="shared" si="34"/>
        <v>0</v>
      </c>
      <c r="AC49" s="843">
        <f t="shared" si="35"/>
        <v>0</v>
      </c>
      <c r="AD49" s="638"/>
    </row>
    <row r="50" spans="1:30">
      <c r="A50" s="19" t="s">
        <v>65</v>
      </c>
      <c r="B50" s="610"/>
      <c r="C50" s="35"/>
      <c r="D50" s="32"/>
      <c r="E50" s="33"/>
      <c r="F50" s="33"/>
      <c r="G50" s="33"/>
      <c r="H50" s="33"/>
      <c r="I50" s="610"/>
      <c r="J50" s="33"/>
      <c r="K50" s="33"/>
      <c r="L50" s="33"/>
      <c r="N50" s="743">
        <f t="shared" si="12"/>
        <v>0</v>
      </c>
      <c r="O50" s="747">
        <f t="shared" si="24"/>
        <v>0</v>
      </c>
      <c r="P50" s="733"/>
      <c r="Q50" s="733"/>
      <c r="R50" s="733"/>
      <c r="S50" s="841">
        <f t="shared" si="25"/>
        <v>0</v>
      </c>
      <c r="T50" s="842">
        <f t="shared" si="26"/>
        <v>0</v>
      </c>
      <c r="U50" s="842">
        <f t="shared" si="27"/>
        <v>0</v>
      </c>
      <c r="V50" s="842">
        <f t="shared" si="28"/>
        <v>0</v>
      </c>
      <c r="W50" s="842">
        <f t="shared" si="29"/>
        <v>0</v>
      </c>
      <c r="X50" s="842">
        <f t="shared" si="30"/>
        <v>0</v>
      </c>
      <c r="Y50" s="842">
        <f t="shared" si="31"/>
        <v>0</v>
      </c>
      <c r="Z50" s="842">
        <f t="shared" si="32"/>
        <v>0</v>
      </c>
      <c r="AA50" s="842">
        <f t="shared" si="33"/>
        <v>0</v>
      </c>
      <c r="AB50" s="842">
        <f t="shared" si="34"/>
        <v>0</v>
      </c>
      <c r="AC50" s="843">
        <f t="shared" si="35"/>
        <v>0</v>
      </c>
      <c r="AD50" s="638"/>
    </row>
    <row r="51" spans="1:30">
      <c r="A51" s="19" t="s">
        <v>66</v>
      </c>
      <c r="B51" s="610"/>
      <c r="C51" s="35"/>
      <c r="D51" s="32"/>
      <c r="E51" s="34"/>
      <c r="F51" s="34"/>
      <c r="G51" s="34"/>
      <c r="H51" s="34"/>
      <c r="I51" s="610"/>
      <c r="J51" s="34"/>
      <c r="K51" s="34"/>
      <c r="L51" s="34"/>
      <c r="N51" s="743">
        <f t="shared" si="12"/>
        <v>0</v>
      </c>
      <c r="O51" s="747">
        <f t="shared" si="24"/>
        <v>0</v>
      </c>
      <c r="P51" s="733"/>
      <c r="Q51" s="733"/>
      <c r="R51" s="733"/>
      <c r="S51" s="841">
        <f t="shared" si="25"/>
        <v>0</v>
      </c>
      <c r="T51" s="842">
        <f t="shared" si="26"/>
        <v>0</v>
      </c>
      <c r="U51" s="842">
        <f t="shared" si="27"/>
        <v>0</v>
      </c>
      <c r="V51" s="842">
        <f t="shared" si="28"/>
        <v>0</v>
      </c>
      <c r="W51" s="842">
        <f t="shared" si="29"/>
        <v>0</v>
      </c>
      <c r="X51" s="842">
        <f t="shared" si="30"/>
        <v>0</v>
      </c>
      <c r="Y51" s="842">
        <f t="shared" si="31"/>
        <v>0</v>
      </c>
      <c r="Z51" s="842">
        <f t="shared" si="32"/>
        <v>0</v>
      </c>
      <c r="AA51" s="842">
        <f t="shared" si="33"/>
        <v>0</v>
      </c>
      <c r="AB51" s="842">
        <f t="shared" si="34"/>
        <v>0</v>
      </c>
      <c r="AC51" s="843">
        <f t="shared" si="35"/>
        <v>0</v>
      </c>
      <c r="AD51" s="638"/>
    </row>
    <row r="52" spans="1:30">
      <c r="A52" s="19" t="s">
        <v>8</v>
      </c>
      <c r="B52" s="610"/>
      <c r="C52" s="35"/>
      <c r="D52" s="32"/>
      <c r="E52" s="34"/>
      <c r="F52" s="34"/>
      <c r="G52" s="34"/>
      <c r="H52" s="34"/>
      <c r="I52" s="610"/>
      <c r="J52" s="34"/>
      <c r="K52" s="34"/>
      <c r="L52" s="34"/>
      <c r="N52" s="743">
        <f t="shared" si="12"/>
        <v>0</v>
      </c>
      <c r="O52" s="747">
        <f t="shared" si="24"/>
        <v>0</v>
      </c>
      <c r="P52" s="733"/>
      <c r="Q52" s="733"/>
      <c r="R52" s="733"/>
      <c r="S52" s="841">
        <f t="shared" si="25"/>
        <v>0</v>
      </c>
      <c r="T52" s="842">
        <f t="shared" si="26"/>
        <v>0</v>
      </c>
      <c r="U52" s="842">
        <f t="shared" si="27"/>
        <v>0</v>
      </c>
      <c r="V52" s="842">
        <f t="shared" si="28"/>
        <v>0</v>
      </c>
      <c r="W52" s="842">
        <f t="shared" si="29"/>
        <v>0</v>
      </c>
      <c r="X52" s="842">
        <f t="shared" si="30"/>
        <v>0</v>
      </c>
      <c r="Y52" s="842">
        <f t="shared" si="31"/>
        <v>0</v>
      </c>
      <c r="Z52" s="842">
        <f t="shared" si="32"/>
        <v>0</v>
      </c>
      <c r="AA52" s="842">
        <f t="shared" si="33"/>
        <v>0</v>
      </c>
      <c r="AB52" s="842">
        <f t="shared" si="34"/>
        <v>0</v>
      </c>
      <c r="AC52" s="843">
        <f t="shared" si="35"/>
        <v>0</v>
      </c>
      <c r="AD52" s="638"/>
    </row>
    <row r="53" spans="1:30">
      <c r="A53" s="19" t="s">
        <v>9</v>
      </c>
      <c r="B53" s="610"/>
      <c r="C53" s="35"/>
      <c r="D53" s="32"/>
      <c r="E53" s="34"/>
      <c r="F53" s="34"/>
      <c r="G53" s="34"/>
      <c r="H53" s="34"/>
      <c r="I53" s="610"/>
      <c r="J53" s="34"/>
      <c r="K53" s="34"/>
      <c r="L53" s="34"/>
      <c r="N53" s="743">
        <f t="shared" si="12"/>
        <v>0</v>
      </c>
      <c r="O53" s="747">
        <f t="shared" si="24"/>
        <v>0</v>
      </c>
      <c r="P53" s="733"/>
      <c r="Q53" s="733"/>
      <c r="R53" s="733"/>
      <c r="S53" s="841">
        <f t="shared" si="25"/>
        <v>0</v>
      </c>
      <c r="T53" s="842">
        <f t="shared" si="26"/>
        <v>0</v>
      </c>
      <c r="U53" s="842">
        <f t="shared" si="27"/>
        <v>0</v>
      </c>
      <c r="V53" s="842">
        <f t="shared" si="28"/>
        <v>0</v>
      </c>
      <c r="W53" s="842">
        <f t="shared" si="29"/>
        <v>0</v>
      </c>
      <c r="X53" s="842">
        <f t="shared" si="30"/>
        <v>0</v>
      </c>
      <c r="Y53" s="842">
        <f t="shared" si="31"/>
        <v>0</v>
      </c>
      <c r="Z53" s="842">
        <f t="shared" si="32"/>
        <v>0</v>
      </c>
      <c r="AA53" s="842">
        <f t="shared" si="33"/>
        <v>0</v>
      </c>
      <c r="AB53" s="842">
        <f t="shared" si="34"/>
        <v>0</v>
      </c>
      <c r="AC53" s="843">
        <f t="shared" si="35"/>
        <v>0</v>
      </c>
      <c r="AD53" s="638"/>
    </row>
    <row r="54" spans="1:30">
      <c r="A54" s="19" t="s">
        <v>10</v>
      </c>
      <c r="B54" s="610"/>
      <c r="C54" s="35"/>
      <c r="D54" s="32"/>
      <c r="E54" s="34"/>
      <c r="F54" s="34"/>
      <c r="G54" s="34"/>
      <c r="H54" s="34"/>
      <c r="I54" s="610"/>
      <c r="J54" s="34"/>
      <c r="K54" s="34"/>
      <c r="L54" s="34"/>
      <c r="N54" s="743">
        <f t="shared" si="12"/>
        <v>0</v>
      </c>
      <c r="O54" s="747">
        <f t="shared" si="24"/>
        <v>0</v>
      </c>
      <c r="P54" s="733"/>
      <c r="Q54" s="733"/>
      <c r="R54" s="733"/>
      <c r="S54" s="841">
        <f t="shared" si="25"/>
        <v>0</v>
      </c>
      <c r="T54" s="842">
        <f t="shared" si="26"/>
        <v>0</v>
      </c>
      <c r="U54" s="842">
        <f t="shared" si="27"/>
        <v>0</v>
      </c>
      <c r="V54" s="842">
        <f t="shared" si="28"/>
        <v>0</v>
      </c>
      <c r="W54" s="842">
        <f t="shared" si="29"/>
        <v>0</v>
      </c>
      <c r="X54" s="842">
        <f t="shared" si="30"/>
        <v>0</v>
      </c>
      <c r="Y54" s="842">
        <f t="shared" si="31"/>
        <v>0</v>
      </c>
      <c r="Z54" s="842">
        <f t="shared" si="32"/>
        <v>0</v>
      </c>
      <c r="AA54" s="842">
        <f t="shared" si="33"/>
        <v>0</v>
      </c>
      <c r="AB54" s="842">
        <f t="shared" si="34"/>
        <v>0</v>
      </c>
      <c r="AC54" s="843">
        <f t="shared" si="35"/>
        <v>0</v>
      </c>
      <c r="AD54" s="638"/>
    </row>
    <row r="55" spans="1:30">
      <c r="A55" s="19" t="s">
        <v>11</v>
      </c>
      <c r="B55" s="610"/>
      <c r="C55" s="35"/>
      <c r="D55" s="32"/>
      <c r="E55" s="34"/>
      <c r="F55" s="34"/>
      <c r="G55" s="34"/>
      <c r="H55" s="34"/>
      <c r="I55" s="610"/>
      <c r="J55" s="34"/>
      <c r="K55" s="34"/>
      <c r="L55" s="34"/>
      <c r="N55" s="743">
        <f t="shared" si="12"/>
        <v>0</v>
      </c>
      <c r="O55" s="747">
        <f t="shared" si="24"/>
        <v>0</v>
      </c>
      <c r="P55" s="733"/>
      <c r="Q55" s="733"/>
      <c r="R55" s="733"/>
      <c r="S55" s="841">
        <f t="shared" si="25"/>
        <v>0</v>
      </c>
      <c r="T55" s="842">
        <f t="shared" si="26"/>
        <v>0</v>
      </c>
      <c r="U55" s="842">
        <f t="shared" si="27"/>
        <v>0</v>
      </c>
      <c r="V55" s="842">
        <f t="shared" si="28"/>
        <v>0</v>
      </c>
      <c r="W55" s="842">
        <f t="shared" si="29"/>
        <v>0</v>
      </c>
      <c r="X55" s="842">
        <f t="shared" si="30"/>
        <v>0</v>
      </c>
      <c r="Y55" s="842">
        <f t="shared" si="31"/>
        <v>0</v>
      </c>
      <c r="Z55" s="842">
        <f t="shared" si="32"/>
        <v>0</v>
      </c>
      <c r="AA55" s="842">
        <f t="shared" si="33"/>
        <v>0</v>
      </c>
      <c r="AB55" s="842">
        <f t="shared" si="34"/>
        <v>0</v>
      </c>
      <c r="AC55" s="843">
        <f t="shared" si="35"/>
        <v>0</v>
      </c>
      <c r="AD55" s="638"/>
    </row>
    <row r="56" spans="1:30">
      <c r="A56" s="19" t="s">
        <v>67</v>
      </c>
      <c r="B56" s="834">
        <v>3844</v>
      </c>
      <c r="C56" s="839"/>
      <c r="D56" s="32"/>
      <c r="E56" s="839"/>
      <c r="F56" s="34"/>
      <c r="G56" s="34"/>
      <c r="H56" s="34"/>
      <c r="I56" s="610"/>
      <c r="J56" s="34"/>
      <c r="K56" s="34"/>
      <c r="L56" s="34"/>
      <c r="N56" s="743">
        <f t="shared" ref="N56:N84" si="36">SUM(B56:G56)</f>
        <v>3844</v>
      </c>
      <c r="O56" s="747">
        <f t="shared" si="24"/>
        <v>1</v>
      </c>
      <c r="P56" s="733"/>
      <c r="Q56" s="733"/>
      <c r="R56" s="733"/>
      <c r="S56" s="841">
        <f t="shared" si="25"/>
        <v>3844</v>
      </c>
      <c r="T56" s="842">
        <f t="shared" ref="T56:T84" si="37">T55+B56</f>
        <v>3844</v>
      </c>
      <c r="U56" s="842">
        <f t="shared" si="27"/>
        <v>0</v>
      </c>
      <c r="V56" s="842">
        <f t="shared" si="28"/>
        <v>0</v>
      </c>
      <c r="W56" s="842">
        <f t="shared" si="29"/>
        <v>0</v>
      </c>
      <c r="X56" s="842">
        <f t="shared" si="30"/>
        <v>0</v>
      </c>
      <c r="Y56" s="842">
        <f t="shared" si="31"/>
        <v>0</v>
      </c>
      <c r="Z56" s="842">
        <f t="shared" si="32"/>
        <v>0</v>
      </c>
      <c r="AA56" s="842">
        <f t="shared" si="33"/>
        <v>0</v>
      </c>
      <c r="AB56" s="842">
        <f t="shared" si="34"/>
        <v>0</v>
      </c>
      <c r="AC56" s="843">
        <f t="shared" si="35"/>
        <v>0</v>
      </c>
      <c r="AD56" s="638"/>
    </row>
    <row r="57" spans="1:30">
      <c r="A57" s="19" t="s">
        <v>68</v>
      </c>
      <c r="B57" s="834">
        <v>9500</v>
      </c>
      <c r="C57" s="839"/>
      <c r="D57" s="32"/>
      <c r="E57" s="839"/>
      <c r="F57" s="34"/>
      <c r="G57" s="34"/>
      <c r="H57" s="34"/>
      <c r="I57" s="610"/>
      <c r="J57" s="34"/>
      <c r="K57" s="34"/>
      <c r="L57" s="34"/>
      <c r="N57" s="743">
        <f t="shared" si="36"/>
        <v>9500</v>
      </c>
      <c r="O57" s="747">
        <f t="shared" si="24"/>
        <v>1</v>
      </c>
      <c r="P57" s="733"/>
      <c r="Q57" s="733"/>
      <c r="R57" s="733"/>
      <c r="S57" s="841">
        <f t="shared" si="25"/>
        <v>13344</v>
      </c>
      <c r="T57" s="842">
        <f t="shared" si="37"/>
        <v>13344</v>
      </c>
      <c r="U57" s="842">
        <f t="shared" si="27"/>
        <v>0</v>
      </c>
      <c r="V57" s="842">
        <f t="shared" si="28"/>
        <v>0</v>
      </c>
      <c r="W57" s="842">
        <f t="shared" si="29"/>
        <v>0</v>
      </c>
      <c r="X57" s="842">
        <f t="shared" si="30"/>
        <v>0</v>
      </c>
      <c r="Y57" s="842">
        <f t="shared" si="31"/>
        <v>0</v>
      </c>
      <c r="Z57" s="842">
        <f t="shared" si="32"/>
        <v>0</v>
      </c>
      <c r="AA57" s="842">
        <f t="shared" si="33"/>
        <v>0</v>
      </c>
      <c r="AB57" s="842">
        <f t="shared" si="34"/>
        <v>0</v>
      </c>
      <c r="AC57" s="843">
        <f t="shared" si="35"/>
        <v>0</v>
      </c>
      <c r="AD57" s="638"/>
    </row>
    <row r="58" spans="1:30">
      <c r="A58" s="19" t="s">
        <v>69</v>
      </c>
      <c r="B58" s="834">
        <v>11395</v>
      </c>
      <c r="C58" s="839"/>
      <c r="D58" s="32"/>
      <c r="E58" s="839"/>
      <c r="F58" s="34"/>
      <c r="G58" s="34"/>
      <c r="H58" s="34"/>
      <c r="I58" s="610"/>
      <c r="J58" s="34"/>
      <c r="K58" s="34"/>
      <c r="L58" s="34"/>
      <c r="N58" s="743">
        <f t="shared" si="36"/>
        <v>11395</v>
      </c>
      <c r="O58" s="747">
        <f t="shared" si="24"/>
        <v>1</v>
      </c>
      <c r="P58" s="733"/>
      <c r="Q58" s="733"/>
      <c r="R58" s="733"/>
      <c r="S58" s="841">
        <f t="shared" si="25"/>
        <v>24739</v>
      </c>
      <c r="T58" s="842">
        <f t="shared" si="37"/>
        <v>24739</v>
      </c>
      <c r="U58" s="842">
        <f t="shared" si="27"/>
        <v>0</v>
      </c>
      <c r="V58" s="842">
        <f t="shared" si="28"/>
        <v>0</v>
      </c>
      <c r="W58" s="842">
        <f t="shared" si="29"/>
        <v>0</v>
      </c>
      <c r="X58" s="842">
        <f t="shared" si="30"/>
        <v>0</v>
      </c>
      <c r="Y58" s="842">
        <f t="shared" si="31"/>
        <v>0</v>
      </c>
      <c r="Z58" s="842">
        <f t="shared" si="32"/>
        <v>0</v>
      </c>
      <c r="AA58" s="842">
        <f t="shared" si="33"/>
        <v>0</v>
      </c>
      <c r="AB58" s="842">
        <f t="shared" si="34"/>
        <v>0</v>
      </c>
      <c r="AC58" s="843">
        <f t="shared" si="35"/>
        <v>0</v>
      </c>
      <c r="AD58" s="638"/>
    </row>
    <row r="59" spans="1:30">
      <c r="A59" s="19" t="s">
        <v>70</v>
      </c>
      <c r="B59" s="834">
        <v>8516</v>
      </c>
      <c r="C59" s="839"/>
      <c r="D59" s="32"/>
      <c r="E59" s="839"/>
      <c r="F59" s="34"/>
      <c r="G59" s="34"/>
      <c r="H59" s="34"/>
      <c r="I59" s="611"/>
      <c r="J59" s="34"/>
      <c r="K59" s="34"/>
      <c r="L59" s="34"/>
      <c r="N59" s="743">
        <f t="shared" si="36"/>
        <v>8516</v>
      </c>
      <c r="O59" s="747">
        <f t="shared" si="24"/>
        <v>1</v>
      </c>
      <c r="P59" s="733"/>
      <c r="Q59" s="733"/>
      <c r="R59" s="733"/>
      <c r="S59" s="841">
        <f t="shared" si="25"/>
        <v>33255</v>
      </c>
      <c r="T59" s="842">
        <f t="shared" si="37"/>
        <v>33255</v>
      </c>
      <c r="U59" s="842">
        <f t="shared" si="27"/>
        <v>0</v>
      </c>
      <c r="V59" s="842">
        <f t="shared" si="28"/>
        <v>0</v>
      </c>
      <c r="W59" s="842">
        <f t="shared" si="29"/>
        <v>0</v>
      </c>
      <c r="X59" s="842">
        <f t="shared" si="30"/>
        <v>0</v>
      </c>
      <c r="Y59" s="842">
        <f t="shared" si="31"/>
        <v>0</v>
      </c>
      <c r="Z59" s="842">
        <f t="shared" si="32"/>
        <v>0</v>
      </c>
      <c r="AA59" s="842">
        <f t="shared" si="33"/>
        <v>0</v>
      </c>
      <c r="AB59" s="842">
        <f t="shared" si="34"/>
        <v>0</v>
      </c>
      <c r="AC59" s="843">
        <f t="shared" si="35"/>
        <v>0</v>
      </c>
      <c r="AD59" s="638"/>
    </row>
    <row r="60" spans="1:30">
      <c r="A60" s="19" t="s">
        <v>71</v>
      </c>
      <c r="B60" s="834">
        <v>14222</v>
      </c>
      <c r="C60" s="839"/>
      <c r="D60" s="32"/>
      <c r="E60" s="839"/>
      <c r="F60" s="34"/>
      <c r="G60" s="34"/>
      <c r="H60" s="34"/>
      <c r="I60" s="611"/>
      <c r="J60" s="34"/>
      <c r="K60" s="34"/>
      <c r="L60" s="34"/>
      <c r="N60" s="743">
        <f t="shared" si="36"/>
        <v>14222</v>
      </c>
      <c r="O60" s="747">
        <f t="shared" si="24"/>
        <v>1</v>
      </c>
      <c r="P60" s="733"/>
      <c r="Q60" s="733"/>
      <c r="R60" s="733"/>
      <c r="S60" s="841">
        <f t="shared" si="25"/>
        <v>47477</v>
      </c>
      <c r="T60" s="842">
        <f t="shared" si="37"/>
        <v>47477</v>
      </c>
      <c r="U60" s="842">
        <f t="shared" si="27"/>
        <v>0</v>
      </c>
      <c r="V60" s="842">
        <f t="shared" si="28"/>
        <v>0</v>
      </c>
      <c r="W60" s="842">
        <f t="shared" si="29"/>
        <v>0</v>
      </c>
      <c r="X60" s="842">
        <f t="shared" si="30"/>
        <v>0</v>
      </c>
      <c r="Y60" s="842">
        <f t="shared" si="31"/>
        <v>0</v>
      </c>
      <c r="Z60" s="842">
        <f t="shared" si="32"/>
        <v>0</v>
      </c>
      <c r="AA60" s="842">
        <f t="shared" si="33"/>
        <v>0</v>
      </c>
      <c r="AB60" s="842">
        <f t="shared" si="34"/>
        <v>0</v>
      </c>
      <c r="AC60" s="843">
        <f t="shared" si="35"/>
        <v>0</v>
      </c>
      <c r="AD60" s="638"/>
    </row>
    <row r="61" spans="1:30">
      <c r="A61" s="19" t="s">
        <v>72</v>
      </c>
      <c r="B61" s="834">
        <v>7094</v>
      </c>
      <c r="C61" s="839"/>
      <c r="D61" s="32"/>
      <c r="E61" s="839"/>
      <c r="F61" s="34"/>
      <c r="G61" s="34"/>
      <c r="H61" s="34"/>
      <c r="I61" s="611"/>
      <c r="J61" s="34"/>
      <c r="K61" s="34"/>
      <c r="L61" s="34"/>
      <c r="N61" s="743">
        <f t="shared" si="36"/>
        <v>7094</v>
      </c>
      <c r="O61" s="747">
        <f t="shared" si="24"/>
        <v>1</v>
      </c>
      <c r="P61" s="733"/>
      <c r="Q61" s="733"/>
      <c r="R61" s="733"/>
      <c r="S61" s="841">
        <f t="shared" si="25"/>
        <v>54571</v>
      </c>
      <c r="T61" s="842">
        <f t="shared" si="37"/>
        <v>54571</v>
      </c>
      <c r="U61" s="842">
        <f t="shared" si="27"/>
        <v>0</v>
      </c>
      <c r="V61" s="842">
        <f t="shared" si="28"/>
        <v>0</v>
      </c>
      <c r="W61" s="842">
        <f t="shared" si="29"/>
        <v>0</v>
      </c>
      <c r="X61" s="842">
        <f t="shared" si="30"/>
        <v>0</v>
      </c>
      <c r="Y61" s="842">
        <f t="shared" si="31"/>
        <v>0</v>
      </c>
      <c r="Z61" s="842">
        <f t="shared" si="32"/>
        <v>0</v>
      </c>
      <c r="AA61" s="842">
        <f t="shared" si="33"/>
        <v>0</v>
      </c>
      <c r="AB61" s="842">
        <f t="shared" si="34"/>
        <v>0</v>
      </c>
      <c r="AC61" s="843">
        <f t="shared" si="35"/>
        <v>0</v>
      </c>
      <c r="AD61" s="638"/>
    </row>
    <row r="62" spans="1:30">
      <c r="A62" s="19" t="s">
        <v>73</v>
      </c>
      <c r="B62" s="834">
        <v>41486</v>
      </c>
      <c r="C62" s="839"/>
      <c r="D62" s="32"/>
      <c r="E62" s="839"/>
      <c r="F62" s="34"/>
      <c r="G62" s="34"/>
      <c r="H62" s="34"/>
      <c r="I62" s="612"/>
      <c r="J62" s="34"/>
      <c r="K62" s="34"/>
      <c r="L62" s="34"/>
      <c r="N62" s="743">
        <f t="shared" si="36"/>
        <v>41486</v>
      </c>
      <c r="O62" s="747">
        <f t="shared" si="24"/>
        <v>1</v>
      </c>
      <c r="P62" s="733"/>
      <c r="Q62" s="733"/>
      <c r="R62" s="733"/>
      <c r="S62" s="841">
        <f t="shared" si="25"/>
        <v>96057</v>
      </c>
      <c r="T62" s="842">
        <f t="shared" si="37"/>
        <v>96057</v>
      </c>
      <c r="U62" s="842">
        <f t="shared" si="27"/>
        <v>0</v>
      </c>
      <c r="V62" s="842">
        <f t="shared" si="28"/>
        <v>0</v>
      </c>
      <c r="W62" s="842">
        <f t="shared" si="29"/>
        <v>0</v>
      </c>
      <c r="X62" s="842">
        <f t="shared" si="30"/>
        <v>0</v>
      </c>
      <c r="Y62" s="842">
        <f t="shared" si="31"/>
        <v>0</v>
      </c>
      <c r="Z62" s="842">
        <f t="shared" si="32"/>
        <v>0</v>
      </c>
      <c r="AA62" s="842">
        <f t="shared" si="33"/>
        <v>0</v>
      </c>
      <c r="AB62" s="842">
        <f t="shared" si="34"/>
        <v>0</v>
      </c>
      <c r="AC62" s="843">
        <f t="shared" si="35"/>
        <v>0</v>
      </c>
      <c r="AD62" s="638"/>
    </row>
    <row r="63" spans="1:30">
      <c r="A63" s="19" t="s">
        <v>74</v>
      </c>
      <c r="B63" s="834">
        <v>24093</v>
      </c>
      <c r="C63" s="839"/>
      <c r="D63" s="32"/>
      <c r="E63" s="839"/>
      <c r="F63" s="34"/>
      <c r="G63" s="34"/>
      <c r="H63" s="34"/>
      <c r="I63" s="612"/>
      <c r="J63" s="34"/>
      <c r="K63" s="34"/>
      <c r="L63" s="34"/>
      <c r="N63" s="743">
        <f t="shared" si="36"/>
        <v>24093</v>
      </c>
      <c r="O63" s="747">
        <f t="shared" si="24"/>
        <v>1</v>
      </c>
      <c r="P63" s="733"/>
      <c r="Q63" s="733"/>
      <c r="R63" s="733"/>
      <c r="S63" s="841">
        <f t="shared" si="25"/>
        <v>120150</v>
      </c>
      <c r="T63" s="842">
        <f t="shared" si="37"/>
        <v>120150</v>
      </c>
      <c r="U63" s="842">
        <f t="shared" si="27"/>
        <v>0</v>
      </c>
      <c r="V63" s="842">
        <f t="shared" si="28"/>
        <v>0</v>
      </c>
      <c r="W63" s="842">
        <f t="shared" si="29"/>
        <v>0</v>
      </c>
      <c r="X63" s="842">
        <f t="shared" si="30"/>
        <v>0</v>
      </c>
      <c r="Y63" s="842">
        <f t="shared" si="31"/>
        <v>0</v>
      </c>
      <c r="Z63" s="842">
        <f t="shared" si="32"/>
        <v>0</v>
      </c>
      <c r="AA63" s="842">
        <f t="shared" si="33"/>
        <v>0</v>
      </c>
      <c r="AB63" s="842">
        <f t="shared" si="34"/>
        <v>0</v>
      </c>
      <c r="AC63" s="843">
        <f t="shared" si="35"/>
        <v>0</v>
      </c>
      <c r="AD63" s="638"/>
    </row>
    <row r="64" spans="1:30">
      <c r="A64" s="19" t="s">
        <v>75</v>
      </c>
      <c r="B64" s="834">
        <v>27592</v>
      </c>
      <c r="C64" s="839"/>
      <c r="D64" s="32"/>
      <c r="E64" s="839"/>
      <c r="F64" s="34"/>
      <c r="G64" s="34"/>
      <c r="H64" s="34"/>
      <c r="I64" s="612"/>
      <c r="J64" s="34"/>
      <c r="K64" s="34"/>
      <c r="L64" s="34"/>
      <c r="N64" s="743">
        <f t="shared" si="36"/>
        <v>27592</v>
      </c>
      <c r="O64" s="747">
        <f t="shared" si="24"/>
        <v>1</v>
      </c>
      <c r="P64" s="733"/>
      <c r="Q64" s="733"/>
      <c r="R64" s="733"/>
      <c r="S64" s="841">
        <f t="shared" si="25"/>
        <v>147742</v>
      </c>
      <c r="T64" s="842">
        <f t="shared" si="37"/>
        <v>147742</v>
      </c>
      <c r="U64" s="842">
        <f t="shared" si="27"/>
        <v>0</v>
      </c>
      <c r="V64" s="842">
        <f t="shared" si="28"/>
        <v>0</v>
      </c>
      <c r="W64" s="842">
        <f t="shared" si="29"/>
        <v>0</v>
      </c>
      <c r="X64" s="842">
        <f t="shared" si="30"/>
        <v>0</v>
      </c>
      <c r="Y64" s="842">
        <f t="shared" si="31"/>
        <v>0</v>
      </c>
      <c r="Z64" s="842">
        <f t="shared" si="32"/>
        <v>0</v>
      </c>
      <c r="AA64" s="842">
        <f t="shared" si="33"/>
        <v>0</v>
      </c>
      <c r="AB64" s="842">
        <f t="shared" si="34"/>
        <v>0</v>
      </c>
      <c r="AC64" s="843">
        <f t="shared" si="35"/>
        <v>0</v>
      </c>
      <c r="AD64" s="638"/>
    </row>
    <row r="65" spans="1:30">
      <c r="A65" s="19" t="s">
        <v>12</v>
      </c>
      <c r="B65" s="835">
        <v>26390</v>
      </c>
      <c r="C65" s="839"/>
      <c r="D65" s="32"/>
      <c r="E65" s="839"/>
      <c r="F65" s="34"/>
      <c r="G65" s="34"/>
      <c r="H65" s="34"/>
      <c r="I65" s="612"/>
      <c r="J65" s="34"/>
      <c r="K65" s="34"/>
      <c r="L65" s="34"/>
      <c r="N65" s="743">
        <f t="shared" si="36"/>
        <v>26390</v>
      </c>
      <c r="O65" s="747">
        <f t="shared" si="24"/>
        <v>1</v>
      </c>
      <c r="P65" s="733"/>
      <c r="Q65" s="733"/>
      <c r="R65" s="733"/>
      <c r="S65" s="841">
        <f t="shared" si="25"/>
        <v>174132</v>
      </c>
      <c r="T65" s="842">
        <f t="shared" si="37"/>
        <v>174132</v>
      </c>
      <c r="U65" s="842">
        <f t="shared" si="27"/>
        <v>0</v>
      </c>
      <c r="V65" s="842">
        <f t="shared" si="28"/>
        <v>0</v>
      </c>
      <c r="W65" s="842">
        <f t="shared" si="29"/>
        <v>0</v>
      </c>
      <c r="X65" s="842">
        <f t="shared" si="30"/>
        <v>0</v>
      </c>
      <c r="Y65" s="842">
        <f t="shared" si="31"/>
        <v>0</v>
      </c>
      <c r="Z65" s="842">
        <f t="shared" si="32"/>
        <v>0</v>
      </c>
      <c r="AA65" s="842">
        <f t="shared" si="33"/>
        <v>0</v>
      </c>
      <c r="AB65" s="842">
        <f t="shared" si="34"/>
        <v>0</v>
      </c>
      <c r="AC65" s="843">
        <f t="shared" si="35"/>
        <v>0</v>
      </c>
      <c r="AD65" s="638"/>
    </row>
    <row r="66" spans="1:30">
      <c r="A66" s="19" t="s">
        <v>13</v>
      </c>
      <c r="B66" s="835">
        <v>26999</v>
      </c>
      <c r="C66" s="839"/>
      <c r="D66" s="32"/>
      <c r="E66" s="839"/>
      <c r="F66" s="34"/>
      <c r="G66" s="34"/>
      <c r="H66" s="34"/>
      <c r="I66" s="612"/>
      <c r="J66" s="34"/>
      <c r="K66" s="34"/>
      <c r="L66" s="34"/>
      <c r="N66" s="743">
        <f t="shared" si="36"/>
        <v>26999</v>
      </c>
      <c r="O66" s="747">
        <f t="shared" si="24"/>
        <v>1</v>
      </c>
      <c r="P66" s="733"/>
      <c r="Q66" s="733"/>
      <c r="R66" s="733"/>
      <c r="S66" s="841">
        <f t="shared" si="25"/>
        <v>201131</v>
      </c>
      <c r="T66" s="842">
        <f t="shared" si="37"/>
        <v>201131</v>
      </c>
      <c r="U66" s="842">
        <f t="shared" si="27"/>
        <v>0</v>
      </c>
      <c r="V66" s="842">
        <f t="shared" si="28"/>
        <v>0</v>
      </c>
      <c r="W66" s="842">
        <f t="shared" si="29"/>
        <v>0</v>
      </c>
      <c r="X66" s="842">
        <f t="shared" si="30"/>
        <v>0</v>
      </c>
      <c r="Y66" s="842">
        <f t="shared" si="31"/>
        <v>0</v>
      </c>
      <c r="Z66" s="842">
        <f t="shared" si="32"/>
        <v>0</v>
      </c>
      <c r="AA66" s="842">
        <f t="shared" si="33"/>
        <v>0</v>
      </c>
      <c r="AB66" s="842">
        <f t="shared" si="34"/>
        <v>0</v>
      </c>
      <c r="AC66" s="843">
        <f t="shared" si="35"/>
        <v>0</v>
      </c>
      <c r="AD66" s="638"/>
    </row>
    <row r="67" spans="1:30">
      <c r="A67" s="19" t="s">
        <v>14</v>
      </c>
      <c r="B67" s="835">
        <v>25419</v>
      </c>
      <c r="C67" s="839"/>
      <c r="D67" s="32"/>
      <c r="E67" s="839"/>
      <c r="F67" s="34"/>
      <c r="G67" s="34"/>
      <c r="H67" s="34"/>
      <c r="I67" s="34"/>
      <c r="J67" s="34"/>
      <c r="K67" s="34"/>
      <c r="L67" s="34"/>
      <c r="N67" s="743">
        <f t="shared" si="36"/>
        <v>25419</v>
      </c>
      <c r="O67" s="747">
        <f t="shared" si="24"/>
        <v>1</v>
      </c>
      <c r="P67" s="733"/>
      <c r="Q67" s="733"/>
      <c r="R67" s="733"/>
      <c r="S67" s="841">
        <f t="shared" si="25"/>
        <v>226550</v>
      </c>
      <c r="T67" s="842">
        <f t="shared" si="37"/>
        <v>226550</v>
      </c>
      <c r="U67" s="842">
        <f t="shared" si="27"/>
        <v>0</v>
      </c>
      <c r="V67" s="842">
        <f t="shared" si="28"/>
        <v>0</v>
      </c>
      <c r="W67" s="842">
        <f t="shared" si="29"/>
        <v>0</v>
      </c>
      <c r="X67" s="842">
        <f t="shared" si="30"/>
        <v>0</v>
      </c>
      <c r="Y67" s="842">
        <f t="shared" si="31"/>
        <v>0</v>
      </c>
      <c r="Z67" s="842">
        <f t="shared" si="32"/>
        <v>0</v>
      </c>
      <c r="AA67" s="842">
        <f t="shared" si="33"/>
        <v>0</v>
      </c>
      <c r="AB67" s="842">
        <f t="shared" si="34"/>
        <v>0</v>
      </c>
      <c r="AC67" s="843">
        <f t="shared" si="35"/>
        <v>0</v>
      </c>
      <c r="AD67" s="638"/>
    </row>
    <row r="68" spans="1:30">
      <c r="A68" s="19" t="s">
        <v>15</v>
      </c>
      <c r="B68" s="835">
        <v>22990</v>
      </c>
      <c r="C68" s="839"/>
      <c r="D68" s="32"/>
      <c r="E68" s="839"/>
      <c r="F68" s="34"/>
      <c r="G68" s="34"/>
      <c r="H68" s="34"/>
      <c r="I68" s="34"/>
      <c r="J68" s="34"/>
      <c r="K68" s="34"/>
      <c r="L68" s="34"/>
      <c r="N68" s="743">
        <f t="shared" si="36"/>
        <v>22990</v>
      </c>
      <c r="O68" s="747">
        <f t="shared" si="24"/>
        <v>1</v>
      </c>
      <c r="P68" s="733"/>
      <c r="Q68" s="733"/>
      <c r="R68" s="733"/>
      <c r="S68" s="841">
        <f t="shared" si="25"/>
        <v>249540</v>
      </c>
      <c r="T68" s="842">
        <f t="shared" si="37"/>
        <v>249540</v>
      </c>
      <c r="U68" s="842">
        <f t="shared" si="27"/>
        <v>0</v>
      </c>
      <c r="V68" s="842">
        <f t="shared" si="28"/>
        <v>0</v>
      </c>
      <c r="W68" s="842">
        <f t="shared" si="29"/>
        <v>0</v>
      </c>
      <c r="X68" s="842">
        <f t="shared" si="30"/>
        <v>0</v>
      </c>
      <c r="Y68" s="842">
        <f t="shared" si="31"/>
        <v>0</v>
      </c>
      <c r="Z68" s="842">
        <f t="shared" si="32"/>
        <v>0</v>
      </c>
      <c r="AA68" s="842">
        <f t="shared" si="33"/>
        <v>0</v>
      </c>
      <c r="AB68" s="842">
        <f t="shared" si="34"/>
        <v>0</v>
      </c>
      <c r="AC68" s="843">
        <f t="shared" si="35"/>
        <v>0</v>
      </c>
      <c r="AD68" s="638"/>
    </row>
    <row r="69" spans="1:30">
      <c r="A69" s="19" t="s">
        <v>76</v>
      </c>
      <c r="B69" s="835">
        <v>24550</v>
      </c>
      <c r="C69" s="839"/>
      <c r="D69" s="32"/>
      <c r="E69" s="839"/>
      <c r="F69" s="34"/>
      <c r="G69" s="34"/>
      <c r="H69" s="34"/>
      <c r="I69" s="34"/>
      <c r="J69" s="34"/>
      <c r="K69" s="34"/>
      <c r="L69" s="34"/>
      <c r="N69" s="743">
        <f t="shared" si="36"/>
        <v>24550</v>
      </c>
      <c r="O69" s="747">
        <f t="shared" si="24"/>
        <v>1</v>
      </c>
      <c r="P69" s="733"/>
      <c r="Q69" s="733"/>
      <c r="R69" s="733"/>
      <c r="S69" s="841">
        <f t="shared" si="25"/>
        <v>274090</v>
      </c>
      <c r="T69" s="842">
        <f t="shared" si="37"/>
        <v>274090</v>
      </c>
      <c r="U69" s="842">
        <f t="shared" si="27"/>
        <v>0</v>
      </c>
      <c r="V69" s="842">
        <f t="shared" si="28"/>
        <v>0</v>
      </c>
      <c r="W69" s="842">
        <f t="shared" si="29"/>
        <v>0</v>
      </c>
      <c r="X69" s="842">
        <f t="shared" si="30"/>
        <v>0</v>
      </c>
      <c r="Y69" s="842">
        <f t="shared" si="31"/>
        <v>0</v>
      </c>
      <c r="Z69" s="842">
        <f t="shared" si="32"/>
        <v>0</v>
      </c>
      <c r="AA69" s="842">
        <f t="shared" si="33"/>
        <v>0</v>
      </c>
      <c r="AB69" s="842">
        <f t="shared" si="34"/>
        <v>0</v>
      </c>
      <c r="AC69" s="843">
        <f t="shared" si="35"/>
        <v>0</v>
      </c>
      <c r="AD69" s="638"/>
    </row>
    <row r="70" spans="1:30">
      <c r="A70" s="19" t="s">
        <v>77</v>
      </c>
      <c r="B70" s="835">
        <v>25000</v>
      </c>
      <c r="C70" s="839"/>
      <c r="D70" s="32"/>
      <c r="E70" s="839"/>
      <c r="F70" s="34"/>
      <c r="G70" s="34"/>
      <c r="H70" s="34"/>
      <c r="I70" s="34"/>
      <c r="J70" s="34"/>
      <c r="K70" s="34"/>
      <c r="L70" s="34"/>
      <c r="N70" s="743">
        <f t="shared" si="36"/>
        <v>25000</v>
      </c>
      <c r="O70" s="747">
        <f t="shared" ref="O70:O120" si="38">IF(OR(O69=1,N70&gt;0),1,0)</f>
        <v>1</v>
      </c>
      <c r="P70" s="733"/>
      <c r="Q70" s="733"/>
      <c r="R70" s="733"/>
      <c r="S70" s="841">
        <f t="shared" ref="S70:S120" si="39">S69+B70</f>
        <v>299090</v>
      </c>
      <c r="T70" s="842">
        <f t="shared" si="37"/>
        <v>299090</v>
      </c>
      <c r="U70" s="842">
        <f t="shared" ref="U70:V120" si="40">U69+D70</f>
        <v>0</v>
      </c>
      <c r="V70" s="842">
        <f t="shared" si="40"/>
        <v>0</v>
      </c>
      <c r="W70" s="842">
        <f t="shared" ref="W70:W120" si="41">W69+F70</f>
        <v>0</v>
      </c>
      <c r="X70" s="842">
        <f t="shared" ref="X70:X120" si="42">X69+G70</f>
        <v>0</v>
      </c>
      <c r="Y70" s="842">
        <f t="shared" ref="Y70:Y120" si="43">Y69+H70</f>
        <v>0</v>
      </c>
      <c r="Z70" s="842">
        <f t="shared" ref="Z70:Z120" si="44">Z69+I70</f>
        <v>0</v>
      </c>
      <c r="AA70" s="842">
        <f t="shared" ref="AA70:AA120" si="45">AA69+J70</f>
        <v>0</v>
      </c>
      <c r="AB70" s="842">
        <f t="shared" ref="AB70:AB120" si="46">AB69+K70</f>
        <v>0</v>
      </c>
      <c r="AC70" s="843">
        <f t="shared" ref="AC70:AC120" si="47">AC69+L70</f>
        <v>0</v>
      </c>
      <c r="AD70" s="638"/>
    </row>
    <row r="71" spans="1:30">
      <c r="A71" s="19" t="s">
        <v>78</v>
      </c>
      <c r="B71" s="835">
        <v>26000</v>
      </c>
      <c r="C71" s="839"/>
      <c r="D71" s="32"/>
      <c r="E71" s="839"/>
      <c r="F71" s="34"/>
      <c r="G71" s="34"/>
      <c r="H71" s="34"/>
      <c r="I71" s="34"/>
      <c r="J71" s="34"/>
      <c r="K71" s="34"/>
      <c r="L71" s="34"/>
      <c r="N71" s="743">
        <f t="shared" si="36"/>
        <v>26000</v>
      </c>
      <c r="O71" s="747">
        <f t="shared" si="38"/>
        <v>1</v>
      </c>
      <c r="P71" s="733"/>
      <c r="Q71" s="733"/>
      <c r="R71" s="733"/>
      <c r="S71" s="841">
        <f t="shared" si="39"/>
        <v>325090</v>
      </c>
      <c r="T71" s="842">
        <f t="shared" si="37"/>
        <v>325090</v>
      </c>
      <c r="U71" s="842">
        <f t="shared" si="40"/>
        <v>0</v>
      </c>
      <c r="V71" s="842">
        <f t="shared" si="40"/>
        <v>0</v>
      </c>
      <c r="W71" s="842">
        <f t="shared" si="41"/>
        <v>0</v>
      </c>
      <c r="X71" s="842">
        <f t="shared" si="42"/>
        <v>0</v>
      </c>
      <c r="Y71" s="842">
        <f t="shared" si="43"/>
        <v>0</v>
      </c>
      <c r="Z71" s="842">
        <f t="shared" si="44"/>
        <v>0</v>
      </c>
      <c r="AA71" s="842">
        <f t="shared" si="45"/>
        <v>0</v>
      </c>
      <c r="AB71" s="842">
        <f t="shared" si="46"/>
        <v>0</v>
      </c>
      <c r="AC71" s="843">
        <f t="shared" si="47"/>
        <v>0</v>
      </c>
      <c r="AD71" s="638"/>
    </row>
    <row r="72" spans="1:30">
      <c r="A72" s="19" t="s">
        <v>79</v>
      </c>
      <c r="B72" s="835">
        <v>26000</v>
      </c>
      <c r="C72" s="839"/>
      <c r="D72" s="32"/>
      <c r="E72" s="839"/>
      <c r="F72" s="34"/>
      <c r="G72" s="34"/>
      <c r="H72" s="34"/>
      <c r="I72" s="34"/>
      <c r="J72" s="34"/>
      <c r="K72" s="34"/>
      <c r="L72" s="34"/>
      <c r="N72" s="743">
        <f t="shared" si="36"/>
        <v>26000</v>
      </c>
      <c r="O72" s="747">
        <f t="shared" si="38"/>
        <v>1</v>
      </c>
      <c r="P72" s="733"/>
      <c r="Q72" s="733"/>
      <c r="R72" s="733"/>
      <c r="S72" s="841">
        <f t="shared" si="39"/>
        <v>351090</v>
      </c>
      <c r="T72" s="842">
        <f t="shared" si="37"/>
        <v>351090</v>
      </c>
      <c r="U72" s="842">
        <f t="shared" si="40"/>
        <v>0</v>
      </c>
      <c r="V72" s="842">
        <f t="shared" si="40"/>
        <v>0</v>
      </c>
      <c r="W72" s="842">
        <f t="shared" si="41"/>
        <v>0</v>
      </c>
      <c r="X72" s="842">
        <f t="shared" si="42"/>
        <v>0</v>
      </c>
      <c r="Y72" s="842">
        <f t="shared" si="43"/>
        <v>0</v>
      </c>
      <c r="Z72" s="842">
        <f t="shared" si="44"/>
        <v>0</v>
      </c>
      <c r="AA72" s="842">
        <f t="shared" si="45"/>
        <v>0</v>
      </c>
      <c r="AB72" s="842">
        <f t="shared" si="46"/>
        <v>0</v>
      </c>
      <c r="AC72" s="843">
        <f t="shared" si="47"/>
        <v>0</v>
      </c>
      <c r="AD72" s="638"/>
    </row>
    <row r="73" spans="1:30">
      <c r="A73" s="19" t="s">
        <v>80</v>
      </c>
      <c r="B73" s="835">
        <v>26000</v>
      </c>
      <c r="C73" s="839"/>
      <c r="D73" s="32"/>
      <c r="E73" s="839"/>
      <c r="F73" s="34"/>
      <c r="G73" s="34"/>
      <c r="H73" s="34"/>
      <c r="I73" s="34"/>
      <c r="J73" s="34"/>
      <c r="K73" s="34"/>
      <c r="L73" s="34"/>
      <c r="N73" s="743">
        <f t="shared" si="36"/>
        <v>26000</v>
      </c>
      <c r="O73" s="747">
        <f t="shared" si="38"/>
        <v>1</v>
      </c>
      <c r="P73" s="733"/>
      <c r="Q73" s="733"/>
      <c r="R73" s="733"/>
      <c r="S73" s="841">
        <f t="shared" si="39"/>
        <v>377090</v>
      </c>
      <c r="T73" s="842">
        <f t="shared" si="37"/>
        <v>377090</v>
      </c>
      <c r="U73" s="842">
        <f t="shared" si="40"/>
        <v>0</v>
      </c>
      <c r="V73" s="842">
        <f t="shared" si="40"/>
        <v>0</v>
      </c>
      <c r="W73" s="842">
        <f t="shared" si="41"/>
        <v>0</v>
      </c>
      <c r="X73" s="842">
        <f t="shared" si="42"/>
        <v>0</v>
      </c>
      <c r="Y73" s="842">
        <f t="shared" si="43"/>
        <v>0</v>
      </c>
      <c r="Z73" s="842">
        <f t="shared" si="44"/>
        <v>0</v>
      </c>
      <c r="AA73" s="842">
        <f t="shared" si="45"/>
        <v>0</v>
      </c>
      <c r="AB73" s="842">
        <f t="shared" si="46"/>
        <v>0</v>
      </c>
      <c r="AC73" s="843">
        <f t="shared" si="47"/>
        <v>0</v>
      </c>
      <c r="AD73" s="638"/>
    </row>
    <row r="74" spans="1:30">
      <c r="A74" s="19" t="s">
        <v>81</v>
      </c>
      <c r="B74" s="835">
        <v>26000</v>
      </c>
      <c r="C74" s="839"/>
      <c r="D74" s="32"/>
      <c r="E74" s="839"/>
      <c r="F74" s="34"/>
      <c r="G74" s="34"/>
      <c r="H74" s="34"/>
      <c r="I74" s="34"/>
      <c r="J74" s="34"/>
      <c r="K74" s="34"/>
      <c r="L74" s="34"/>
      <c r="N74" s="743">
        <f t="shared" si="36"/>
        <v>26000</v>
      </c>
      <c r="O74" s="747">
        <f t="shared" si="38"/>
        <v>1</v>
      </c>
      <c r="P74" s="733"/>
      <c r="Q74" s="733"/>
      <c r="R74" s="733"/>
      <c r="S74" s="841">
        <f t="shared" si="39"/>
        <v>403090</v>
      </c>
      <c r="T74" s="842">
        <f t="shared" si="37"/>
        <v>403090</v>
      </c>
      <c r="U74" s="842">
        <f t="shared" si="40"/>
        <v>0</v>
      </c>
      <c r="V74" s="842">
        <f t="shared" si="40"/>
        <v>0</v>
      </c>
      <c r="W74" s="842">
        <f t="shared" si="41"/>
        <v>0</v>
      </c>
      <c r="X74" s="842">
        <f t="shared" si="42"/>
        <v>0</v>
      </c>
      <c r="Y74" s="842">
        <f t="shared" si="43"/>
        <v>0</v>
      </c>
      <c r="Z74" s="842">
        <f t="shared" si="44"/>
        <v>0</v>
      </c>
      <c r="AA74" s="842">
        <f t="shared" si="45"/>
        <v>0</v>
      </c>
      <c r="AB74" s="842">
        <f t="shared" si="46"/>
        <v>0</v>
      </c>
      <c r="AC74" s="843">
        <f t="shared" si="47"/>
        <v>0</v>
      </c>
      <c r="AD74" s="638"/>
    </row>
    <row r="75" spans="1:30">
      <c r="A75" s="19" t="s">
        <v>82</v>
      </c>
      <c r="B75" s="835">
        <v>26000</v>
      </c>
      <c r="C75" s="839"/>
      <c r="D75" s="32"/>
      <c r="E75" s="839"/>
      <c r="F75" s="34"/>
      <c r="G75" s="34"/>
      <c r="H75" s="34"/>
      <c r="I75" s="34"/>
      <c r="J75" s="34"/>
      <c r="K75" s="34"/>
      <c r="L75" s="34"/>
      <c r="N75" s="743">
        <f t="shared" si="36"/>
        <v>26000</v>
      </c>
      <c r="O75" s="747">
        <f t="shared" si="38"/>
        <v>1</v>
      </c>
      <c r="P75" s="733"/>
      <c r="Q75" s="733"/>
      <c r="R75" s="733"/>
      <c r="S75" s="841">
        <f t="shared" si="39"/>
        <v>429090</v>
      </c>
      <c r="T75" s="842">
        <f t="shared" si="37"/>
        <v>429090</v>
      </c>
      <c r="U75" s="842">
        <f t="shared" si="40"/>
        <v>0</v>
      </c>
      <c r="V75" s="842">
        <f t="shared" si="40"/>
        <v>0</v>
      </c>
      <c r="W75" s="842">
        <f t="shared" si="41"/>
        <v>0</v>
      </c>
      <c r="X75" s="842">
        <f t="shared" si="42"/>
        <v>0</v>
      </c>
      <c r="Y75" s="842">
        <f t="shared" si="43"/>
        <v>0</v>
      </c>
      <c r="Z75" s="842">
        <f t="shared" si="44"/>
        <v>0</v>
      </c>
      <c r="AA75" s="842">
        <f t="shared" si="45"/>
        <v>0</v>
      </c>
      <c r="AB75" s="842">
        <f t="shared" si="46"/>
        <v>0</v>
      </c>
      <c r="AC75" s="843">
        <f t="shared" si="47"/>
        <v>0</v>
      </c>
      <c r="AD75" s="638"/>
    </row>
    <row r="76" spans="1:30">
      <c r="A76" s="19" t="s">
        <v>83</v>
      </c>
      <c r="B76" s="835">
        <v>25000</v>
      </c>
      <c r="C76" s="839"/>
      <c r="D76" s="32"/>
      <c r="E76" s="839"/>
      <c r="F76" s="34"/>
      <c r="G76" s="34"/>
      <c r="H76" s="34"/>
      <c r="I76" s="34"/>
      <c r="J76" s="34"/>
      <c r="K76" s="34"/>
      <c r="L76" s="34"/>
      <c r="N76" s="743">
        <f t="shared" si="36"/>
        <v>25000</v>
      </c>
      <c r="O76" s="747">
        <f t="shared" si="38"/>
        <v>1</v>
      </c>
      <c r="P76" s="733"/>
      <c r="Q76" s="733"/>
      <c r="R76" s="733"/>
      <c r="S76" s="841">
        <f t="shared" si="39"/>
        <v>454090</v>
      </c>
      <c r="T76" s="842">
        <f t="shared" si="37"/>
        <v>454090</v>
      </c>
      <c r="U76" s="842">
        <f t="shared" si="40"/>
        <v>0</v>
      </c>
      <c r="V76" s="842">
        <f t="shared" si="40"/>
        <v>0</v>
      </c>
      <c r="W76" s="842">
        <f t="shared" si="41"/>
        <v>0</v>
      </c>
      <c r="X76" s="842">
        <f t="shared" si="42"/>
        <v>0</v>
      </c>
      <c r="Y76" s="842">
        <f t="shared" si="43"/>
        <v>0</v>
      </c>
      <c r="Z76" s="842">
        <f t="shared" si="44"/>
        <v>0</v>
      </c>
      <c r="AA76" s="842">
        <f t="shared" si="45"/>
        <v>0</v>
      </c>
      <c r="AB76" s="842">
        <f t="shared" si="46"/>
        <v>0</v>
      </c>
      <c r="AC76" s="843">
        <f t="shared" si="47"/>
        <v>0</v>
      </c>
      <c r="AD76" s="638"/>
    </row>
    <row r="77" spans="1:30">
      <c r="A77" s="19" t="s">
        <v>84</v>
      </c>
      <c r="B77" s="835">
        <v>23000</v>
      </c>
      <c r="C77" s="839"/>
      <c r="D77" s="32"/>
      <c r="E77" s="839"/>
      <c r="F77" s="34"/>
      <c r="G77" s="34"/>
      <c r="H77" s="34"/>
      <c r="I77" s="34"/>
      <c r="J77" s="34"/>
      <c r="K77" s="34"/>
      <c r="L77" s="34"/>
      <c r="N77" s="743">
        <f t="shared" si="36"/>
        <v>23000</v>
      </c>
      <c r="O77" s="747">
        <f t="shared" si="38"/>
        <v>1</v>
      </c>
      <c r="P77" s="733"/>
      <c r="Q77" s="733"/>
      <c r="R77" s="733"/>
      <c r="S77" s="841">
        <f t="shared" si="39"/>
        <v>477090</v>
      </c>
      <c r="T77" s="842">
        <f t="shared" si="37"/>
        <v>477090</v>
      </c>
      <c r="U77" s="842">
        <f t="shared" si="40"/>
        <v>0</v>
      </c>
      <c r="V77" s="842">
        <f t="shared" si="40"/>
        <v>0</v>
      </c>
      <c r="W77" s="842">
        <f t="shared" si="41"/>
        <v>0</v>
      </c>
      <c r="X77" s="842">
        <f t="shared" si="42"/>
        <v>0</v>
      </c>
      <c r="Y77" s="842">
        <f t="shared" si="43"/>
        <v>0</v>
      </c>
      <c r="Z77" s="842">
        <f t="shared" si="44"/>
        <v>0</v>
      </c>
      <c r="AA77" s="842">
        <f t="shared" si="45"/>
        <v>0</v>
      </c>
      <c r="AB77" s="842">
        <f t="shared" si="46"/>
        <v>0</v>
      </c>
      <c r="AC77" s="843">
        <f t="shared" si="47"/>
        <v>0</v>
      </c>
      <c r="AD77" s="638"/>
    </row>
    <row r="78" spans="1:30">
      <c r="A78" s="19" t="s">
        <v>16</v>
      </c>
      <c r="B78" s="835">
        <v>23000</v>
      </c>
      <c r="C78" s="839"/>
      <c r="D78" s="32"/>
      <c r="E78" s="839"/>
      <c r="F78" s="34"/>
      <c r="G78" s="34"/>
      <c r="H78" s="34"/>
      <c r="I78" s="34"/>
      <c r="J78" s="34"/>
      <c r="K78" s="34"/>
      <c r="L78" s="34"/>
      <c r="N78" s="743">
        <f t="shared" si="36"/>
        <v>23000</v>
      </c>
      <c r="O78" s="747">
        <f t="shared" si="38"/>
        <v>1</v>
      </c>
      <c r="P78" s="733"/>
      <c r="Q78" s="733"/>
      <c r="R78" s="733"/>
      <c r="S78" s="841">
        <f t="shared" si="39"/>
        <v>500090</v>
      </c>
      <c r="T78" s="842">
        <f t="shared" si="37"/>
        <v>500090</v>
      </c>
      <c r="U78" s="842">
        <f t="shared" si="40"/>
        <v>0</v>
      </c>
      <c r="V78" s="842">
        <f t="shared" si="40"/>
        <v>0</v>
      </c>
      <c r="W78" s="842">
        <f t="shared" si="41"/>
        <v>0</v>
      </c>
      <c r="X78" s="842">
        <f t="shared" si="42"/>
        <v>0</v>
      </c>
      <c r="Y78" s="842">
        <f t="shared" si="43"/>
        <v>0</v>
      </c>
      <c r="Z78" s="842">
        <f t="shared" si="44"/>
        <v>0</v>
      </c>
      <c r="AA78" s="842">
        <f t="shared" si="45"/>
        <v>0</v>
      </c>
      <c r="AB78" s="842">
        <f t="shared" si="46"/>
        <v>0</v>
      </c>
      <c r="AC78" s="843">
        <f t="shared" si="47"/>
        <v>0</v>
      </c>
      <c r="AD78" s="638"/>
    </row>
    <row r="79" spans="1:30">
      <c r="A79" s="19" t="s">
        <v>17</v>
      </c>
      <c r="B79" s="836">
        <v>20000</v>
      </c>
      <c r="C79" s="839"/>
      <c r="D79" s="32"/>
      <c r="E79" s="839"/>
      <c r="F79" s="34"/>
      <c r="G79" s="34"/>
      <c r="H79" s="34"/>
      <c r="I79" s="34"/>
      <c r="J79" s="34"/>
      <c r="K79" s="34"/>
      <c r="L79" s="34"/>
      <c r="N79" s="743">
        <f t="shared" si="36"/>
        <v>20000</v>
      </c>
      <c r="O79" s="747">
        <f t="shared" si="38"/>
        <v>1</v>
      </c>
      <c r="P79" s="733"/>
      <c r="Q79" s="733"/>
      <c r="R79" s="733"/>
      <c r="S79" s="841">
        <f t="shared" si="39"/>
        <v>520090</v>
      </c>
      <c r="T79" s="842">
        <f t="shared" si="37"/>
        <v>520090</v>
      </c>
      <c r="U79" s="842">
        <f t="shared" si="40"/>
        <v>0</v>
      </c>
      <c r="V79" s="842">
        <f t="shared" si="40"/>
        <v>0</v>
      </c>
      <c r="W79" s="842">
        <f t="shared" si="41"/>
        <v>0</v>
      </c>
      <c r="X79" s="842">
        <f t="shared" si="42"/>
        <v>0</v>
      </c>
      <c r="Y79" s="842">
        <f t="shared" si="43"/>
        <v>0</v>
      </c>
      <c r="Z79" s="842">
        <f t="shared" si="44"/>
        <v>0</v>
      </c>
      <c r="AA79" s="842">
        <f t="shared" si="45"/>
        <v>0</v>
      </c>
      <c r="AB79" s="842">
        <f t="shared" si="46"/>
        <v>0</v>
      </c>
      <c r="AC79" s="843">
        <f t="shared" si="47"/>
        <v>0</v>
      </c>
      <c r="AD79" s="638"/>
    </row>
    <row r="80" spans="1:30">
      <c r="A80" s="19" t="s">
        <v>18</v>
      </c>
      <c r="B80" s="836">
        <v>20000</v>
      </c>
      <c r="C80" s="839"/>
      <c r="D80" s="32"/>
      <c r="E80" s="839"/>
      <c r="F80" s="34"/>
      <c r="G80" s="34"/>
      <c r="H80" s="34"/>
      <c r="I80" s="34"/>
      <c r="J80" s="34"/>
      <c r="K80" s="34"/>
      <c r="L80" s="34"/>
      <c r="N80" s="743">
        <f t="shared" si="36"/>
        <v>20000</v>
      </c>
      <c r="O80" s="747">
        <f t="shared" si="38"/>
        <v>1</v>
      </c>
      <c r="P80" s="733"/>
      <c r="Q80" s="733"/>
      <c r="R80" s="733"/>
      <c r="S80" s="841">
        <f t="shared" si="39"/>
        <v>540090</v>
      </c>
      <c r="T80" s="842">
        <f t="shared" si="37"/>
        <v>540090</v>
      </c>
      <c r="U80" s="842">
        <f t="shared" si="40"/>
        <v>0</v>
      </c>
      <c r="V80" s="842">
        <f t="shared" si="40"/>
        <v>0</v>
      </c>
      <c r="W80" s="842">
        <f t="shared" si="41"/>
        <v>0</v>
      </c>
      <c r="X80" s="842">
        <f t="shared" si="42"/>
        <v>0</v>
      </c>
      <c r="Y80" s="842">
        <f t="shared" si="43"/>
        <v>0</v>
      </c>
      <c r="Z80" s="842">
        <f t="shared" si="44"/>
        <v>0</v>
      </c>
      <c r="AA80" s="842">
        <f t="shared" si="45"/>
        <v>0</v>
      </c>
      <c r="AB80" s="842">
        <f t="shared" si="46"/>
        <v>0</v>
      </c>
      <c r="AC80" s="843">
        <f t="shared" si="47"/>
        <v>0</v>
      </c>
      <c r="AD80" s="638"/>
    </row>
    <row r="81" spans="1:30">
      <c r="A81" s="19" t="s">
        <v>19</v>
      </c>
      <c r="B81" s="836">
        <v>18000</v>
      </c>
      <c r="C81" s="839"/>
      <c r="D81" s="32"/>
      <c r="E81" s="839"/>
      <c r="F81" s="34"/>
      <c r="G81" s="34"/>
      <c r="H81" s="34"/>
      <c r="I81" s="34"/>
      <c r="J81" s="34"/>
      <c r="K81" s="34"/>
      <c r="L81" s="34"/>
      <c r="N81" s="743">
        <f t="shared" si="36"/>
        <v>18000</v>
      </c>
      <c r="O81" s="747">
        <f t="shared" si="38"/>
        <v>1</v>
      </c>
      <c r="P81" s="733"/>
      <c r="Q81" s="733"/>
      <c r="R81" s="733"/>
      <c r="S81" s="841">
        <f t="shared" si="39"/>
        <v>558090</v>
      </c>
      <c r="T81" s="842">
        <f t="shared" si="37"/>
        <v>558090</v>
      </c>
      <c r="U81" s="842">
        <f t="shared" si="40"/>
        <v>0</v>
      </c>
      <c r="V81" s="842">
        <f t="shared" si="40"/>
        <v>0</v>
      </c>
      <c r="W81" s="842">
        <f t="shared" si="41"/>
        <v>0</v>
      </c>
      <c r="X81" s="842">
        <f t="shared" si="42"/>
        <v>0</v>
      </c>
      <c r="Y81" s="842">
        <f t="shared" si="43"/>
        <v>0</v>
      </c>
      <c r="Z81" s="842">
        <f t="shared" si="44"/>
        <v>0</v>
      </c>
      <c r="AA81" s="842">
        <f t="shared" si="45"/>
        <v>0</v>
      </c>
      <c r="AB81" s="842">
        <f t="shared" si="46"/>
        <v>0</v>
      </c>
      <c r="AC81" s="843">
        <f t="shared" si="47"/>
        <v>0</v>
      </c>
      <c r="AD81" s="638"/>
    </row>
    <row r="82" spans="1:30">
      <c r="A82" s="19" t="s">
        <v>85</v>
      </c>
      <c r="B82" s="836">
        <v>14000</v>
      </c>
      <c r="C82" s="839"/>
      <c r="D82" s="32"/>
      <c r="E82" s="839"/>
      <c r="F82" s="34"/>
      <c r="G82" s="34"/>
      <c r="H82" s="34"/>
      <c r="I82" s="34"/>
      <c r="J82" s="34"/>
      <c r="K82" s="34"/>
      <c r="L82" s="34"/>
      <c r="N82" s="743">
        <f t="shared" si="36"/>
        <v>14000</v>
      </c>
      <c r="O82" s="747">
        <f t="shared" si="38"/>
        <v>1</v>
      </c>
      <c r="P82" s="733"/>
      <c r="Q82" s="733"/>
      <c r="R82" s="733"/>
      <c r="S82" s="841">
        <f t="shared" si="39"/>
        <v>572090</v>
      </c>
      <c r="T82" s="842">
        <f t="shared" si="37"/>
        <v>572090</v>
      </c>
      <c r="U82" s="842">
        <f t="shared" si="40"/>
        <v>0</v>
      </c>
      <c r="V82" s="842">
        <f t="shared" si="40"/>
        <v>0</v>
      </c>
      <c r="W82" s="842">
        <f t="shared" si="41"/>
        <v>0</v>
      </c>
      <c r="X82" s="842">
        <f t="shared" si="42"/>
        <v>0</v>
      </c>
      <c r="Y82" s="842">
        <f t="shared" si="43"/>
        <v>0</v>
      </c>
      <c r="Z82" s="842">
        <f t="shared" si="44"/>
        <v>0</v>
      </c>
      <c r="AA82" s="842">
        <f t="shared" si="45"/>
        <v>0</v>
      </c>
      <c r="AB82" s="842">
        <f t="shared" si="46"/>
        <v>0</v>
      </c>
      <c r="AC82" s="843">
        <f t="shared" si="47"/>
        <v>0</v>
      </c>
      <c r="AD82" s="638"/>
    </row>
    <row r="83" spans="1:30">
      <c r="A83" s="19" t="s">
        <v>86</v>
      </c>
      <c r="B83" s="836">
        <v>14000</v>
      </c>
      <c r="C83" s="839"/>
      <c r="D83" s="32"/>
      <c r="E83" s="839"/>
      <c r="F83" s="34"/>
      <c r="G83" s="34"/>
      <c r="H83" s="34"/>
      <c r="I83" s="34"/>
      <c r="J83" s="34"/>
      <c r="K83" s="34"/>
      <c r="L83" s="34"/>
      <c r="N83" s="743">
        <f t="shared" si="36"/>
        <v>14000</v>
      </c>
      <c r="O83" s="747">
        <f t="shared" si="38"/>
        <v>1</v>
      </c>
      <c r="P83" s="733"/>
      <c r="Q83" s="733"/>
      <c r="R83" s="733"/>
      <c r="S83" s="841">
        <f t="shared" si="39"/>
        <v>586090</v>
      </c>
      <c r="T83" s="842">
        <f t="shared" si="37"/>
        <v>586090</v>
      </c>
      <c r="U83" s="842">
        <f t="shared" si="40"/>
        <v>0</v>
      </c>
      <c r="V83" s="842">
        <f t="shared" si="40"/>
        <v>0</v>
      </c>
      <c r="W83" s="842">
        <f t="shared" si="41"/>
        <v>0</v>
      </c>
      <c r="X83" s="842">
        <f t="shared" si="42"/>
        <v>0</v>
      </c>
      <c r="Y83" s="842">
        <f t="shared" si="43"/>
        <v>0</v>
      </c>
      <c r="Z83" s="842">
        <f t="shared" si="44"/>
        <v>0</v>
      </c>
      <c r="AA83" s="842">
        <f t="shared" si="45"/>
        <v>0</v>
      </c>
      <c r="AB83" s="842">
        <f t="shared" si="46"/>
        <v>0</v>
      </c>
      <c r="AC83" s="843">
        <f t="shared" si="47"/>
        <v>0</v>
      </c>
      <c r="AD83" s="638"/>
    </row>
    <row r="84" spans="1:30">
      <c r="A84" s="19" t="s">
        <v>87</v>
      </c>
      <c r="B84" s="617">
        <v>10000</v>
      </c>
      <c r="C84" s="839"/>
      <c r="D84" s="32"/>
      <c r="E84" s="839"/>
      <c r="F84" s="34"/>
      <c r="G84" s="34"/>
      <c r="H84" s="34"/>
      <c r="I84" s="34"/>
      <c r="J84" s="34"/>
      <c r="K84" s="34"/>
      <c r="L84" s="34"/>
      <c r="N84" s="743">
        <f t="shared" si="36"/>
        <v>10000</v>
      </c>
      <c r="O84" s="747">
        <f t="shared" si="38"/>
        <v>1</v>
      </c>
      <c r="P84" s="733"/>
      <c r="Q84" s="733"/>
      <c r="R84" s="733"/>
      <c r="S84" s="841">
        <f t="shared" si="39"/>
        <v>596090</v>
      </c>
      <c r="T84" s="842">
        <f t="shared" si="37"/>
        <v>596090</v>
      </c>
      <c r="U84" s="842">
        <f t="shared" si="40"/>
        <v>0</v>
      </c>
      <c r="V84" s="842">
        <f t="shared" si="40"/>
        <v>0</v>
      </c>
      <c r="W84" s="842">
        <f t="shared" si="41"/>
        <v>0</v>
      </c>
      <c r="X84" s="842">
        <f t="shared" si="42"/>
        <v>0</v>
      </c>
      <c r="Y84" s="842">
        <f t="shared" si="43"/>
        <v>0</v>
      </c>
      <c r="Z84" s="842">
        <f t="shared" si="44"/>
        <v>0</v>
      </c>
      <c r="AA84" s="842">
        <f t="shared" si="45"/>
        <v>0</v>
      </c>
      <c r="AB84" s="842">
        <f t="shared" si="46"/>
        <v>0</v>
      </c>
      <c r="AC84" s="843">
        <f t="shared" si="47"/>
        <v>0</v>
      </c>
      <c r="AD84" s="638"/>
    </row>
    <row r="85" spans="1:30">
      <c r="A85" s="19" t="s">
        <v>88</v>
      </c>
      <c r="B85" s="617"/>
      <c r="C85" s="617"/>
      <c r="D85" s="32"/>
      <c r="E85" s="34"/>
      <c r="F85" s="34"/>
      <c r="G85" s="34"/>
      <c r="H85" s="34"/>
      <c r="I85" s="34"/>
      <c r="J85" s="34"/>
      <c r="K85" s="34"/>
      <c r="L85" s="34"/>
      <c r="N85" s="743">
        <f t="shared" ref="N85:N120" si="48">SUM(B85:G85)</f>
        <v>0</v>
      </c>
      <c r="O85" s="747">
        <f t="shared" si="38"/>
        <v>1</v>
      </c>
      <c r="P85" s="733"/>
      <c r="Q85" s="733"/>
      <c r="R85" s="733"/>
      <c r="S85" s="841">
        <f t="shared" si="39"/>
        <v>596090</v>
      </c>
      <c r="T85" s="842">
        <f t="shared" ref="T85:T120" si="49">T84+C85</f>
        <v>596090</v>
      </c>
      <c r="U85" s="842">
        <f t="shared" si="40"/>
        <v>0</v>
      </c>
      <c r="V85" s="842">
        <f t="shared" si="40"/>
        <v>0</v>
      </c>
      <c r="W85" s="842">
        <f t="shared" si="41"/>
        <v>0</v>
      </c>
      <c r="X85" s="842">
        <f t="shared" si="42"/>
        <v>0</v>
      </c>
      <c r="Y85" s="842">
        <f t="shared" si="43"/>
        <v>0</v>
      </c>
      <c r="Z85" s="842">
        <f t="shared" si="44"/>
        <v>0</v>
      </c>
      <c r="AA85" s="842">
        <f t="shared" si="45"/>
        <v>0</v>
      </c>
      <c r="AB85" s="842">
        <f t="shared" si="46"/>
        <v>0</v>
      </c>
      <c r="AC85" s="843">
        <f t="shared" si="47"/>
        <v>0</v>
      </c>
      <c r="AD85" s="638"/>
    </row>
    <row r="86" spans="1:30">
      <c r="A86" s="19" t="s">
        <v>89</v>
      </c>
      <c r="B86" s="617"/>
      <c r="C86" s="617"/>
      <c r="D86" s="32"/>
      <c r="E86" s="34"/>
      <c r="F86" s="34"/>
      <c r="G86" s="34"/>
      <c r="H86" s="34"/>
      <c r="I86" s="34"/>
      <c r="J86" s="34"/>
      <c r="K86" s="34"/>
      <c r="L86" s="34"/>
      <c r="N86" s="743">
        <f t="shared" si="48"/>
        <v>0</v>
      </c>
      <c r="O86" s="747">
        <f t="shared" si="38"/>
        <v>1</v>
      </c>
      <c r="P86" s="733"/>
      <c r="Q86" s="733"/>
      <c r="R86" s="733"/>
      <c r="S86" s="841">
        <f t="shared" si="39"/>
        <v>596090</v>
      </c>
      <c r="T86" s="842">
        <f t="shared" si="49"/>
        <v>596090</v>
      </c>
      <c r="U86" s="842">
        <f t="shared" si="40"/>
        <v>0</v>
      </c>
      <c r="V86" s="842">
        <f t="shared" si="40"/>
        <v>0</v>
      </c>
      <c r="W86" s="842">
        <f t="shared" si="41"/>
        <v>0</v>
      </c>
      <c r="X86" s="842">
        <f t="shared" si="42"/>
        <v>0</v>
      </c>
      <c r="Y86" s="842">
        <f t="shared" si="43"/>
        <v>0</v>
      </c>
      <c r="Z86" s="842">
        <f t="shared" si="44"/>
        <v>0</v>
      </c>
      <c r="AA86" s="842">
        <f t="shared" si="45"/>
        <v>0</v>
      </c>
      <c r="AB86" s="842">
        <f t="shared" si="46"/>
        <v>0</v>
      </c>
      <c r="AC86" s="843">
        <f t="shared" si="47"/>
        <v>0</v>
      </c>
      <c r="AD86" s="638"/>
    </row>
    <row r="87" spans="1:30">
      <c r="A87" s="19" t="s">
        <v>90</v>
      </c>
      <c r="B87" s="617"/>
      <c r="C87" s="617"/>
      <c r="D87" s="32"/>
      <c r="E87" s="34"/>
      <c r="F87" s="34"/>
      <c r="G87" s="34"/>
      <c r="H87" s="34"/>
      <c r="I87" s="34"/>
      <c r="J87" s="34"/>
      <c r="K87" s="34"/>
      <c r="L87" s="34"/>
      <c r="N87" s="743">
        <f t="shared" si="48"/>
        <v>0</v>
      </c>
      <c r="O87" s="747">
        <f t="shared" si="38"/>
        <v>1</v>
      </c>
      <c r="P87" s="733"/>
      <c r="Q87" s="733"/>
      <c r="R87" s="733"/>
      <c r="S87" s="841">
        <f t="shared" si="39"/>
        <v>596090</v>
      </c>
      <c r="T87" s="842">
        <f t="shared" si="49"/>
        <v>596090</v>
      </c>
      <c r="U87" s="842">
        <f t="shared" si="40"/>
        <v>0</v>
      </c>
      <c r="V87" s="842">
        <f t="shared" si="40"/>
        <v>0</v>
      </c>
      <c r="W87" s="842">
        <f t="shared" si="41"/>
        <v>0</v>
      </c>
      <c r="X87" s="842">
        <f t="shared" si="42"/>
        <v>0</v>
      </c>
      <c r="Y87" s="842">
        <f t="shared" si="43"/>
        <v>0</v>
      </c>
      <c r="Z87" s="842">
        <f t="shared" si="44"/>
        <v>0</v>
      </c>
      <c r="AA87" s="842">
        <f t="shared" si="45"/>
        <v>0</v>
      </c>
      <c r="AB87" s="842">
        <f t="shared" si="46"/>
        <v>0</v>
      </c>
      <c r="AC87" s="843">
        <f t="shared" si="47"/>
        <v>0</v>
      </c>
      <c r="AD87" s="638"/>
    </row>
    <row r="88" spans="1:30">
      <c r="A88" s="19" t="s">
        <v>91</v>
      </c>
      <c r="B88" s="617"/>
      <c r="C88" s="617"/>
      <c r="D88" s="32"/>
      <c r="E88" s="34"/>
      <c r="F88" s="34"/>
      <c r="G88" s="34"/>
      <c r="H88" s="34"/>
      <c r="I88" s="34"/>
      <c r="J88" s="34"/>
      <c r="K88" s="34"/>
      <c r="L88" s="34"/>
      <c r="N88" s="743">
        <f t="shared" si="48"/>
        <v>0</v>
      </c>
      <c r="O88" s="747">
        <f t="shared" si="38"/>
        <v>1</v>
      </c>
      <c r="P88" s="733"/>
      <c r="Q88" s="733"/>
      <c r="R88" s="733"/>
      <c r="S88" s="841">
        <f t="shared" si="39"/>
        <v>596090</v>
      </c>
      <c r="T88" s="842">
        <f t="shared" si="49"/>
        <v>596090</v>
      </c>
      <c r="U88" s="842">
        <f t="shared" si="40"/>
        <v>0</v>
      </c>
      <c r="V88" s="842">
        <f t="shared" si="40"/>
        <v>0</v>
      </c>
      <c r="W88" s="842">
        <f t="shared" si="41"/>
        <v>0</v>
      </c>
      <c r="X88" s="842">
        <f t="shared" si="42"/>
        <v>0</v>
      </c>
      <c r="Y88" s="842">
        <f t="shared" si="43"/>
        <v>0</v>
      </c>
      <c r="Z88" s="842">
        <f t="shared" si="44"/>
        <v>0</v>
      </c>
      <c r="AA88" s="842">
        <f t="shared" si="45"/>
        <v>0</v>
      </c>
      <c r="AB88" s="842">
        <f t="shared" si="46"/>
        <v>0</v>
      </c>
      <c r="AC88" s="843">
        <f t="shared" si="47"/>
        <v>0</v>
      </c>
      <c r="AD88" s="638"/>
    </row>
    <row r="89" spans="1:30">
      <c r="A89" s="19" t="s">
        <v>92</v>
      </c>
      <c r="B89" s="617"/>
      <c r="C89" s="617"/>
      <c r="D89" s="32"/>
      <c r="E89" s="34"/>
      <c r="F89" s="34"/>
      <c r="G89" s="34"/>
      <c r="H89" s="34"/>
      <c r="I89" s="34"/>
      <c r="J89" s="34"/>
      <c r="K89" s="34"/>
      <c r="L89" s="34"/>
      <c r="N89" s="743">
        <f t="shared" si="48"/>
        <v>0</v>
      </c>
      <c r="O89" s="747">
        <f t="shared" si="38"/>
        <v>1</v>
      </c>
      <c r="P89" s="733"/>
      <c r="Q89" s="733"/>
      <c r="R89" s="733"/>
      <c r="S89" s="841">
        <f t="shared" si="39"/>
        <v>596090</v>
      </c>
      <c r="T89" s="842">
        <f t="shared" si="49"/>
        <v>596090</v>
      </c>
      <c r="U89" s="842">
        <f t="shared" si="40"/>
        <v>0</v>
      </c>
      <c r="V89" s="842">
        <f t="shared" si="40"/>
        <v>0</v>
      </c>
      <c r="W89" s="842">
        <f t="shared" si="41"/>
        <v>0</v>
      </c>
      <c r="X89" s="842">
        <f t="shared" si="42"/>
        <v>0</v>
      </c>
      <c r="Y89" s="842">
        <f t="shared" si="43"/>
        <v>0</v>
      </c>
      <c r="Z89" s="842">
        <f t="shared" si="44"/>
        <v>0</v>
      </c>
      <c r="AA89" s="842">
        <f t="shared" si="45"/>
        <v>0</v>
      </c>
      <c r="AB89" s="842">
        <f t="shared" si="46"/>
        <v>0</v>
      </c>
      <c r="AC89" s="843">
        <f t="shared" si="47"/>
        <v>0</v>
      </c>
      <c r="AD89" s="638"/>
    </row>
    <row r="90" spans="1:30">
      <c r="A90" s="19" t="s">
        <v>93</v>
      </c>
      <c r="B90" s="617"/>
      <c r="C90" s="617"/>
      <c r="D90" s="32"/>
      <c r="E90" s="34"/>
      <c r="F90" s="34"/>
      <c r="G90" s="34"/>
      <c r="H90" s="34"/>
      <c r="I90" s="34"/>
      <c r="J90" s="34"/>
      <c r="K90" s="34"/>
      <c r="L90" s="34"/>
      <c r="N90" s="743">
        <f t="shared" si="48"/>
        <v>0</v>
      </c>
      <c r="O90" s="747">
        <f t="shared" si="38"/>
        <v>1</v>
      </c>
      <c r="P90" s="733"/>
      <c r="Q90" s="733"/>
      <c r="R90" s="733"/>
      <c r="S90" s="841">
        <f t="shared" si="39"/>
        <v>596090</v>
      </c>
      <c r="T90" s="842">
        <f t="shared" si="49"/>
        <v>596090</v>
      </c>
      <c r="U90" s="842">
        <f t="shared" si="40"/>
        <v>0</v>
      </c>
      <c r="V90" s="842">
        <f t="shared" si="40"/>
        <v>0</v>
      </c>
      <c r="W90" s="842">
        <f t="shared" si="41"/>
        <v>0</v>
      </c>
      <c r="X90" s="842">
        <f t="shared" si="42"/>
        <v>0</v>
      </c>
      <c r="Y90" s="842">
        <f t="shared" si="43"/>
        <v>0</v>
      </c>
      <c r="Z90" s="842">
        <f t="shared" si="44"/>
        <v>0</v>
      </c>
      <c r="AA90" s="842">
        <f t="shared" si="45"/>
        <v>0</v>
      </c>
      <c r="AB90" s="842">
        <f t="shared" si="46"/>
        <v>0</v>
      </c>
      <c r="AC90" s="843">
        <f t="shared" si="47"/>
        <v>0</v>
      </c>
      <c r="AD90" s="638"/>
    </row>
    <row r="91" spans="1:30">
      <c r="A91" s="19" t="s">
        <v>20</v>
      </c>
      <c r="B91" s="617"/>
      <c r="C91" s="617"/>
      <c r="D91" s="32"/>
      <c r="E91" s="34"/>
      <c r="F91" s="34"/>
      <c r="G91" s="34"/>
      <c r="H91" s="34"/>
      <c r="I91" s="34"/>
      <c r="J91" s="34"/>
      <c r="K91" s="34"/>
      <c r="L91" s="34"/>
      <c r="N91" s="743">
        <f t="shared" si="48"/>
        <v>0</v>
      </c>
      <c r="O91" s="747">
        <f t="shared" si="38"/>
        <v>1</v>
      </c>
      <c r="P91" s="733"/>
      <c r="Q91" s="733"/>
      <c r="R91" s="733"/>
      <c r="S91" s="841">
        <f t="shared" si="39"/>
        <v>596090</v>
      </c>
      <c r="T91" s="842">
        <f t="shared" si="49"/>
        <v>596090</v>
      </c>
      <c r="U91" s="842">
        <f t="shared" si="40"/>
        <v>0</v>
      </c>
      <c r="V91" s="842">
        <f t="shared" si="40"/>
        <v>0</v>
      </c>
      <c r="W91" s="842">
        <f t="shared" si="41"/>
        <v>0</v>
      </c>
      <c r="X91" s="842">
        <f t="shared" si="42"/>
        <v>0</v>
      </c>
      <c r="Y91" s="842">
        <f t="shared" si="43"/>
        <v>0</v>
      </c>
      <c r="Z91" s="842">
        <f t="shared" si="44"/>
        <v>0</v>
      </c>
      <c r="AA91" s="842">
        <f t="shared" si="45"/>
        <v>0</v>
      </c>
      <c r="AB91" s="842">
        <f t="shared" si="46"/>
        <v>0</v>
      </c>
      <c r="AC91" s="843">
        <f t="shared" si="47"/>
        <v>0</v>
      </c>
      <c r="AD91" s="638"/>
    </row>
    <row r="92" spans="1:30">
      <c r="A92" s="19" t="s">
        <v>21</v>
      </c>
      <c r="B92" s="617"/>
      <c r="C92" s="617"/>
      <c r="D92" s="32"/>
      <c r="E92" s="34"/>
      <c r="F92" s="34"/>
      <c r="G92" s="34"/>
      <c r="H92" s="34"/>
      <c r="I92" s="34"/>
      <c r="J92" s="34"/>
      <c r="K92" s="34"/>
      <c r="L92" s="34"/>
      <c r="N92" s="743">
        <f t="shared" si="48"/>
        <v>0</v>
      </c>
      <c r="O92" s="747">
        <f t="shared" si="38"/>
        <v>1</v>
      </c>
      <c r="P92" s="733"/>
      <c r="Q92" s="733"/>
      <c r="R92" s="733"/>
      <c r="S92" s="841">
        <f t="shared" si="39"/>
        <v>596090</v>
      </c>
      <c r="T92" s="842">
        <f t="shared" si="49"/>
        <v>596090</v>
      </c>
      <c r="U92" s="842">
        <f t="shared" si="40"/>
        <v>0</v>
      </c>
      <c r="V92" s="842">
        <f t="shared" si="40"/>
        <v>0</v>
      </c>
      <c r="W92" s="842">
        <f t="shared" si="41"/>
        <v>0</v>
      </c>
      <c r="X92" s="842">
        <f t="shared" si="42"/>
        <v>0</v>
      </c>
      <c r="Y92" s="842">
        <f t="shared" si="43"/>
        <v>0</v>
      </c>
      <c r="Z92" s="842">
        <f t="shared" si="44"/>
        <v>0</v>
      </c>
      <c r="AA92" s="842">
        <f t="shared" si="45"/>
        <v>0</v>
      </c>
      <c r="AB92" s="842">
        <f t="shared" si="46"/>
        <v>0</v>
      </c>
      <c r="AC92" s="843">
        <f t="shared" si="47"/>
        <v>0</v>
      </c>
      <c r="AD92" s="638"/>
    </row>
    <row r="93" spans="1:30">
      <c r="A93" s="19" t="s">
        <v>22</v>
      </c>
      <c r="B93" s="617"/>
      <c r="C93" s="617"/>
      <c r="D93" s="32"/>
      <c r="E93" s="34"/>
      <c r="F93" s="34"/>
      <c r="G93" s="34"/>
      <c r="H93" s="34"/>
      <c r="I93" s="34"/>
      <c r="J93" s="34"/>
      <c r="K93" s="34"/>
      <c r="L93" s="34"/>
      <c r="N93" s="743">
        <f t="shared" si="48"/>
        <v>0</v>
      </c>
      <c r="O93" s="747">
        <f t="shared" si="38"/>
        <v>1</v>
      </c>
      <c r="P93" s="733"/>
      <c r="Q93" s="733"/>
      <c r="R93" s="733"/>
      <c r="S93" s="841">
        <f t="shared" si="39"/>
        <v>596090</v>
      </c>
      <c r="T93" s="842">
        <f t="shared" si="49"/>
        <v>596090</v>
      </c>
      <c r="U93" s="842">
        <f t="shared" si="40"/>
        <v>0</v>
      </c>
      <c r="V93" s="842">
        <f t="shared" si="40"/>
        <v>0</v>
      </c>
      <c r="W93" s="842">
        <f t="shared" si="41"/>
        <v>0</v>
      </c>
      <c r="X93" s="842">
        <f t="shared" si="42"/>
        <v>0</v>
      </c>
      <c r="Y93" s="842">
        <f t="shared" si="43"/>
        <v>0</v>
      </c>
      <c r="Z93" s="842">
        <f t="shared" si="44"/>
        <v>0</v>
      </c>
      <c r="AA93" s="842">
        <f t="shared" si="45"/>
        <v>0</v>
      </c>
      <c r="AB93" s="842">
        <f t="shared" si="46"/>
        <v>0</v>
      </c>
      <c r="AC93" s="843">
        <f t="shared" si="47"/>
        <v>0</v>
      </c>
      <c r="AD93" s="638"/>
    </row>
    <row r="94" spans="1:30">
      <c r="A94" s="19" t="s">
        <v>23</v>
      </c>
      <c r="B94" s="617"/>
      <c r="C94" s="617"/>
      <c r="D94" s="32"/>
      <c r="E94" s="34"/>
      <c r="F94" s="34"/>
      <c r="G94" s="34"/>
      <c r="H94" s="34"/>
      <c r="I94" s="34"/>
      <c r="J94" s="34"/>
      <c r="K94" s="34"/>
      <c r="L94" s="34"/>
      <c r="N94" s="743">
        <f t="shared" si="48"/>
        <v>0</v>
      </c>
      <c r="O94" s="747">
        <f t="shared" si="38"/>
        <v>1</v>
      </c>
      <c r="P94" s="733"/>
      <c r="Q94" s="733"/>
      <c r="R94" s="733"/>
      <c r="S94" s="841">
        <f t="shared" si="39"/>
        <v>596090</v>
      </c>
      <c r="T94" s="842">
        <f t="shared" si="49"/>
        <v>596090</v>
      </c>
      <c r="U94" s="842">
        <f t="shared" si="40"/>
        <v>0</v>
      </c>
      <c r="V94" s="842">
        <f t="shared" si="40"/>
        <v>0</v>
      </c>
      <c r="W94" s="842">
        <f t="shared" si="41"/>
        <v>0</v>
      </c>
      <c r="X94" s="842">
        <f t="shared" si="42"/>
        <v>0</v>
      </c>
      <c r="Y94" s="842">
        <f t="shared" si="43"/>
        <v>0</v>
      </c>
      <c r="Z94" s="842">
        <f t="shared" si="44"/>
        <v>0</v>
      </c>
      <c r="AA94" s="842">
        <f t="shared" si="45"/>
        <v>0</v>
      </c>
      <c r="AB94" s="842">
        <f t="shared" si="46"/>
        <v>0</v>
      </c>
      <c r="AC94" s="843">
        <f t="shared" si="47"/>
        <v>0</v>
      </c>
      <c r="AD94" s="638"/>
    </row>
    <row r="95" spans="1:30">
      <c r="A95" s="19" t="s">
        <v>974</v>
      </c>
      <c r="B95" s="617"/>
      <c r="C95" s="617"/>
      <c r="D95" s="32"/>
      <c r="E95" s="34"/>
      <c r="F95" s="34"/>
      <c r="G95" s="34"/>
      <c r="H95" s="34"/>
      <c r="I95" s="34"/>
      <c r="J95" s="34"/>
      <c r="K95" s="34"/>
      <c r="L95" s="34"/>
      <c r="N95" s="743">
        <f t="shared" si="48"/>
        <v>0</v>
      </c>
      <c r="O95" s="747">
        <f t="shared" si="38"/>
        <v>1</v>
      </c>
      <c r="P95" s="733"/>
      <c r="Q95" s="733"/>
      <c r="R95" s="733"/>
      <c r="S95" s="841">
        <f t="shared" si="39"/>
        <v>596090</v>
      </c>
      <c r="T95" s="842">
        <f t="shared" si="49"/>
        <v>596090</v>
      </c>
      <c r="U95" s="842">
        <f t="shared" si="40"/>
        <v>0</v>
      </c>
      <c r="V95" s="842">
        <f t="shared" si="40"/>
        <v>0</v>
      </c>
      <c r="W95" s="842">
        <f t="shared" si="41"/>
        <v>0</v>
      </c>
      <c r="X95" s="842">
        <f t="shared" si="42"/>
        <v>0</v>
      </c>
      <c r="Y95" s="842">
        <f t="shared" si="43"/>
        <v>0</v>
      </c>
      <c r="Z95" s="842">
        <f t="shared" si="44"/>
        <v>0</v>
      </c>
      <c r="AA95" s="842">
        <f t="shared" si="45"/>
        <v>0</v>
      </c>
      <c r="AB95" s="842">
        <f t="shared" si="46"/>
        <v>0</v>
      </c>
      <c r="AC95" s="843">
        <f t="shared" si="47"/>
        <v>0</v>
      </c>
      <c r="AD95" s="638"/>
    </row>
    <row r="96" spans="1:30">
      <c r="A96" s="19" t="s">
        <v>975</v>
      </c>
      <c r="B96" s="617"/>
      <c r="C96" s="617"/>
      <c r="D96" s="32"/>
      <c r="E96" s="34"/>
      <c r="F96" s="34"/>
      <c r="G96" s="34"/>
      <c r="H96" s="34"/>
      <c r="I96" s="34"/>
      <c r="J96" s="34"/>
      <c r="K96" s="34"/>
      <c r="L96" s="34"/>
      <c r="N96" s="743">
        <f t="shared" si="48"/>
        <v>0</v>
      </c>
      <c r="O96" s="747">
        <f t="shared" si="38"/>
        <v>1</v>
      </c>
      <c r="P96" s="733"/>
      <c r="Q96" s="733"/>
      <c r="R96" s="733"/>
      <c r="S96" s="841">
        <f t="shared" si="39"/>
        <v>596090</v>
      </c>
      <c r="T96" s="842">
        <f t="shared" si="49"/>
        <v>596090</v>
      </c>
      <c r="U96" s="842">
        <f t="shared" si="40"/>
        <v>0</v>
      </c>
      <c r="V96" s="842">
        <f t="shared" si="40"/>
        <v>0</v>
      </c>
      <c r="W96" s="842">
        <f t="shared" si="41"/>
        <v>0</v>
      </c>
      <c r="X96" s="842">
        <f t="shared" si="42"/>
        <v>0</v>
      </c>
      <c r="Y96" s="842">
        <f t="shared" si="43"/>
        <v>0</v>
      </c>
      <c r="Z96" s="842">
        <f t="shared" si="44"/>
        <v>0</v>
      </c>
      <c r="AA96" s="842">
        <f t="shared" si="45"/>
        <v>0</v>
      </c>
      <c r="AB96" s="842">
        <f t="shared" si="46"/>
        <v>0</v>
      </c>
      <c r="AC96" s="843">
        <f t="shared" si="47"/>
        <v>0</v>
      </c>
      <c r="AD96" s="638"/>
    </row>
    <row r="97" spans="1:30">
      <c r="A97" s="19" t="s">
        <v>976</v>
      </c>
      <c r="B97" s="617"/>
      <c r="C97" s="617"/>
      <c r="D97" s="32"/>
      <c r="E97" s="34"/>
      <c r="F97" s="34"/>
      <c r="G97" s="34"/>
      <c r="H97" s="34"/>
      <c r="I97" s="34"/>
      <c r="J97" s="34"/>
      <c r="K97" s="34"/>
      <c r="L97" s="34"/>
      <c r="N97" s="743">
        <f t="shared" si="48"/>
        <v>0</v>
      </c>
      <c r="O97" s="747">
        <f t="shared" si="38"/>
        <v>1</v>
      </c>
      <c r="P97" s="733"/>
      <c r="Q97" s="733"/>
      <c r="R97" s="733"/>
      <c r="S97" s="841">
        <f t="shared" si="39"/>
        <v>596090</v>
      </c>
      <c r="T97" s="842">
        <f t="shared" si="49"/>
        <v>596090</v>
      </c>
      <c r="U97" s="842">
        <f t="shared" si="40"/>
        <v>0</v>
      </c>
      <c r="V97" s="842">
        <f t="shared" si="40"/>
        <v>0</v>
      </c>
      <c r="W97" s="842">
        <f t="shared" si="41"/>
        <v>0</v>
      </c>
      <c r="X97" s="842">
        <f t="shared" si="42"/>
        <v>0</v>
      </c>
      <c r="Y97" s="842">
        <f t="shared" si="43"/>
        <v>0</v>
      </c>
      <c r="Z97" s="842">
        <f t="shared" si="44"/>
        <v>0</v>
      </c>
      <c r="AA97" s="842">
        <f t="shared" si="45"/>
        <v>0</v>
      </c>
      <c r="AB97" s="842">
        <f t="shared" si="46"/>
        <v>0</v>
      </c>
      <c r="AC97" s="843">
        <f t="shared" si="47"/>
        <v>0</v>
      </c>
      <c r="AD97" s="638"/>
    </row>
    <row r="98" spans="1:30">
      <c r="A98" s="19" t="s">
        <v>977</v>
      </c>
      <c r="B98" s="617"/>
      <c r="C98" s="617"/>
      <c r="D98" s="32"/>
      <c r="E98" s="34"/>
      <c r="F98" s="34"/>
      <c r="G98" s="34"/>
      <c r="H98" s="34"/>
      <c r="I98" s="34"/>
      <c r="J98" s="34"/>
      <c r="K98" s="34"/>
      <c r="L98" s="34"/>
      <c r="N98" s="743">
        <f t="shared" si="48"/>
        <v>0</v>
      </c>
      <c r="O98" s="747">
        <f t="shared" si="38"/>
        <v>1</v>
      </c>
      <c r="P98" s="733"/>
      <c r="Q98" s="733"/>
      <c r="R98" s="733"/>
      <c r="S98" s="841">
        <f t="shared" si="39"/>
        <v>596090</v>
      </c>
      <c r="T98" s="842">
        <f t="shared" si="49"/>
        <v>596090</v>
      </c>
      <c r="U98" s="842">
        <f t="shared" si="40"/>
        <v>0</v>
      </c>
      <c r="V98" s="842">
        <f t="shared" si="40"/>
        <v>0</v>
      </c>
      <c r="W98" s="842">
        <f t="shared" si="41"/>
        <v>0</v>
      </c>
      <c r="X98" s="842">
        <f t="shared" si="42"/>
        <v>0</v>
      </c>
      <c r="Y98" s="842">
        <f t="shared" si="43"/>
        <v>0</v>
      </c>
      <c r="Z98" s="842">
        <f t="shared" si="44"/>
        <v>0</v>
      </c>
      <c r="AA98" s="842">
        <f t="shared" si="45"/>
        <v>0</v>
      </c>
      <c r="AB98" s="842">
        <f t="shared" si="46"/>
        <v>0</v>
      </c>
      <c r="AC98" s="843">
        <f t="shared" si="47"/>
        <v>0</v>
      </c>
      <c r="AD98" s="638"/>
    </row>
    <row r="99" spans="1:30">
      <c r="A99" s="19" t="s">
        <v>978</v>
      </c>
      <c r="B99" s="617"/>
      <c r="C99" s="617"/>
      <c r="D99" s="32"/>
      <c r="E99" s="34"/>
      <c r="F99" s="34"/>
      <c r="G99" s="34"/>
      <c r="H99" s="34"/>
      <c r="I99" s="34"/>
      <c r="J99" s="34"/>
      <c r="K99" s="34"/>
      <c r="L99" s="34"/>
      <c r="N99" s="743">
        <f t="shared" si="48"/>
        <v>0</v>
      </c>
      <c r="O99" s="747">
        <f t="shared" si="38"/>
        <v>1</v>
      </c>
      <c r="P99" s="733"/>
      <c r="Q99" s="733"/>
      <c r="R99" s="733"/>
      <c r="S99" s="841">
        <f t="shared" si="39"/>
        <v>596090</v>
      </c>
      <c r="T99" s="842">
        <f t="shared" si="49"/>
        <v>596090</v>
      </c>
      <c r="U99" s="842">
        <f t="shared" si="40"/>
        <v>0</v>
      </c>
      <c r="V99" s="842">
        <f t="shared" si="40"/>
        <v>0</v>
      </c>
      <c r="W99" s="842">
        <f t="shared" si="41"/>
        <v>0</v>
      </c>
      <c r="X99" s="842">
        <f t="shared" si="42"/>
        <v>0</v>
      </c>
      <c r="Y99" s="842">
        <f t="shared" si="43"/>
        <v>0</v>
      </c>
      <c r="Z99" s="842">
        <f t="shared" si="44"/>
        <v>0</v>
      </c>
      <c r="AA99" s="842">
        <f t="shared" si="45"/>
        <v>0</v>
      </c>
      <c r="AB99" s="842">
        <f t="shared" si="46"/>
        <v>0</v>
      </c>
      <c r="AC99" s="843">
        <f t="shared" si="47"/>
        <v>0</v>
      </c>
      <c r="AD99" s="638"/>
    </row>
    <row r="100" spans="1:30">
      <c r="A100" s="19" t="s">
        <v>979</v>
      </c>
      <c r="B100" s="617"/>
      <c r="C100" s="617"/>
      <c r="D100" s="32"/>
      <c r="E100" s="34"/>
      <c r="F100" s="34"/>
      <c r="G100" s="34"/>
      <c r="H100" s="34"/>
      <c r="I100" s="34"/>
      <c r="J100" s="34"/>
      <c r="K100" s="34"/>
      <c r="L100" s="34"/>
      <c r="N100" s="743">
        <f t="shared" si="48"/>
        <v>0</v>
      </c>
      <c r="O100" s="747">
        <f t="shared" si="38"/>
        <v>1</v>
      </c>
      <c r="P100" s="733"/>
      <c r="Q100" s="733"/>
      <c r="R100" s="733"/>
      <c r="S100" s="841">
        <f t="shared" si="39"/>
        <v>596090</v>
      </c>
      <c r="T100" s="842">
        <f t="shared" si="49"/>
        <v>596090</v>
      </c>
      <c r="U100" s="842">
        <f t="shared" si="40"/>
        <v>0</v>
      </c>
      <c r="V100" s="842">
        <f t="shared" si="40"/>
        <v>0</v>
      </c>
      <c r="W100" s="842">
        <f t="shared" si="41"/>
        <v>0</v>
      </c>
      <c r="X100" s="842">
        <f t="shared" si="42"/>
        <v>0</v>
      </c>
      <c r="Y100" s="842">
        <f t="shared" si="43"/>
        <v>0</v>
      </c>
      <c r="Z100" s="842">
        <f t="shared" si="44"/>
        <v>0</v>
      </c>
      <c r="AA100" s="842">
        <f t="shared" si="45"/>
        <v>0</v>
      </c>
      <c r="AB100" s="842">
        <f t="shared" si="46"/>
        <v>0</v>
      </c>
      <c r="AC100" s="843">
        <f t="shared" si="47"/>
        <v>0</v>
      </c>
      <c r="AD100" s="638"/>
    </row>
    <row r="101" spans="1:30">
      <c r="A101" s="19" t="s">
        <v>980</v>
      </c>
      <c r="B101" s="617"/>
      <c r="C101" s="617"/>
      <c r="D101" s="32"/>
      <c r="E101" s="34"/>
      <c r="F101" s="34"/>
      <c r="G101" s="34"/>
      <c r="H101" s="34"/>
      <c r="I101" s="34"/>
      <c r="J101" s="34"/>
      <c r="K101" s="34"/>
      <c r="L101" s="34"/>
      <c r="N101" s="743">
        <f t="shared" si="48"/>
        <v>0</v>
      </c>
      <c r="O101" s="747">
        <f t="shared" si="38"/>
        <v>1</v>
      </c>
      <c r="P101" s="733"/>
      <c r="Q101" s="733"/>
      <c r="R101" s="733"/>
      <c r="S101" s="841">
        <f t="shared" si="39"/>
        <v>596090</v>
      </c>
      <c r="T101" s="842">
        <f t="shared" si="49"/>
        <v>596090</v>
      </c>
      <c r="U101" s="842">
        <f t="shared" si="40"/>
        <v>0</v>
      </c>
      <c r="V101" s="842">
        <f t="shared" si="40"/>
        <v>0</v>
      </c>
      <c r="W101" s="842">
        <f t="shared" si="41"/>
        <v>0</v>
      </c>
      <c r="X101" s="842">
        <f t="shared" si="42"/>
        <v>0</v>
      </c>
      <c r="Y101" s="842">
        <f t="shared" si="43"/>
        <v>0</v>
      </c>
      <c r="Z101" s="842">
        <f t="shared" si="44"/>
        <v>0</v>
      </c>
      <c r="AA101" s="842">
        <f t="shared" si="45"/>
        <v>0</v>
      </c>
      <c r="AB101" s="842">
        <f t="shared" si="46"/>
        <v>0</v>
      </c>
      <c r="AC101" s="843">
        <f t="shared" si="47"/>
        <v>0</v>
      </c>
      <c r="AD101" s="638"/>
    </row>
    <row r="102" spans="1:30">
      <c r="A102" s="19" t="s">
        <v>981</v>
      </c>
      <c r="B102" s="617"/>
      <c r="C102" s="617"/>
      <c r="D102" s="32"/>
      <c r="E102" s="34"/>
      <c r="F102" s="34"/>
      <c r="G102" s="34"/>
      <c r="H102" s="34"/>
      <c r="I102" s="34"/>
      <c r="J102" s="34"/>
      <c r="K102" s="34"/>
      <c r="L102" s="34"/>
      <c r="N102" s="743">
        <f t="shared" si="48"/>
        <v>0</v>
      </c>
      <c r="O102" s="747">
        <f t="shared" si="38"/>
        <v>1</v>
      </c>
      <c r="P102" s="733"/>
      <c r="Q102" s="733"/>
      <c r="R102" s="733"/>
      <c r="S102" s="841">
        <f t="shared" si="39"/>
        <v>596090</v>
      </c>
      <c r="T102" s="842">
        <f t="shared" si="49"/>
        <v>596090</v>
      </c>
      <c r="U102" s="842">
        <f t="shared" si="40"/>
        <v>0</v>
      </c>
      <c r="V102" s="842">
        <f t="shared" si="40"/>
        <v>0</v>
      </c>
      <c r="W102" s="842">
        <f t="shared" si="41"/>
        <v>0</v>
      </c>
      <c r="X102" s="842">
        <f t="shared" si="42"/>
        <v>0</v>
      </c>
      <c r="Y102" s="842">
        <f t="shared" si="43"/>
        <v>0</v>
      </c>
      <c r="Z102" s="842">
        <f t="shared" si="44"/>
        <v>0</v>
      </c>
      <c r="AA102" s="842">
        <f t="shared" si="45"/>
        <v>0</v>
      </c>
      <c r="AB102" s="842">
        <f t="shared" si="46"/>
        <v>0</v>
      </c>
      <c r="AC102" s="843">
        <f t="shared" si="47"/>
        <v>0</v>
      </c>
      <c r="AD102" s="638"/>
    </row>
    <row r="103" spans="1:30">
      <c r="A103" s="19" t="s">
        <v>982</v>
      </c>
      <c r="B103" s="617"/>
      <c r="C103" s="617"/>
      <c r="D103" s="32"/>
      <c r="E103" s="34"/>
      <c r="F103" s="34"/>
      <c r="G103" s="34"/>
      <c r="H103" s="34"/>
      <c r="I103" s="34"/>
      <c r="J103" s="34"/>
      <c r="K103" s="34"/>
      <c r="L103" s="34"/>
      <c r="N103" s="743">
        <f t="shared" si="48"/>
        <v>0</v>
      </c>
      <c r="O103" s="747">
        <f t="shared" si="38"/>
        <v>1</v>
      </c>
      <c r="P103" s="733"/>
      <c r="Q103" s="733"/>
      <c r="R103" s="733"/>
      <c r="S103" s="841">
        <f t="shared" si="39"/>
        <v>596090</v>
      </c>
      <c r="T103" s="842">
        <f t="shared" si="49"/>
        <v>596090</v>
      </c>
      <c r="U103" s="842">
        <f t="shared" si="40"/>
        <v>0</v>
      </c>
      <c r="V103" s="842">
        <f t="shared" si="40"/>
        <v>0</v>
      </c>
      <c r="W103" s="842">
        <f t="shared" si="41"/>
        <v>0</v>
      </c>
      <c r="X103" s="842">
        <f t="shared" si="42"/>
        <v>0</v>
      </c>
      <c r="Y103" s="842">
        <f t="shared" si="43"/>
        <v>0</v>
      </c>
      <c r="Z103" s="842">
        <f t="shared" si="44"/>
        <v>0</v>
      </c>
      <c r="AA103" s="842">
        <f t="shared" si="45"/>
        <v>0</v>
      </c>
      <c r="AB103" s="842">
        <f t="shared" si="46"/>
        <v>0</v>
      </c>
      <c r="AC103" s="843">
        <f t="shared" si="47"/>
        <v>0</v>
      </c>
      <c r="AD103" s="638"/>
    </row>
    <row r="104" spans="1:30">
      <c r="A104" s="19" t="s">
        <v>983</v>
      </c>
      <c r="B104" s="617"/>
      <c r="C104" s="617"/>
      <c r="D104" s="32"/>
      <c r="E104" s="34"/>
      <c r="F104" s="34"/>
      <c r="G104" s="34"/>
      <c r="H104" s="34"/>
      <c r="I104" s="34"/>
      <c r="J104" s="34"/>
      <c r="K104" s="34"/>
      <c r="L104" s="34"/>
      <c r="N104" s="743">
        <f t="shared" si="48"/>
        <v>0</v>
      </c>
      <c r="O104" s="747">
        <f t="shared" si="38"/>
        <v>1</v>
      </c>
      <c r="P104" s="733"/>
      <c r="Q104" s="733"/>
      <c r="R104" s="733"/>
      <c r="S104" s="841">
        <f t="shared" si="39"/>
        <v>596090</v>
      </c>
      <c r="T104" s="842">
        <f t="shared" si="49"/>
        <v>596090</v>
      </c>
      <c r="U104" s="842">
        <f t="shared" si="40"/>
        <v>0</v>
      </c>
      <c r="V104" s="842">
        <f t="shared" si="40"/>
        <v>0</v>
      </c>
      <c r="W104" s="842">
        <f t="shared" si="41"/>
        <v>0</v>
      </c>
      <c r="X104" s="842">
        <f t="shared" si="42"/>
        <v>0</v>
      </c>
      <c r="Y104" s="842">
        <f t="shared" si="43"/>
        <v>0</v>
      </c>
      <c r="Z104" s="842">
        <f t="shared" si="44"/>
        <v>0</v>
      </c>
      <c r="AA104" s="842">
        <f t="shared" si="45"/>
        <v>0</v>
      </c>
      <c r="AB104" s="842">
        <f t="shared" si="46"/>
        <v>0</v>
      </c>
      <c r="AC104" s="843">
        <f t="shared" si="47"/>
        <v>0</v>
      </c>
      <c r="AD104" s="638"/>
    </row>
    <row r="105" spans="1:30">
      <c r="A105" s="19" t="s">
        <v>984</v>
      </c>
      <c r="B105" s="617"/>
      <c r="C105" s="617"/>
      <c r="D105" s="32"/>
      <c r="E105" s="34"/>
      <c r="F105" s="34"/>
      <c r="G105" s="34"/>
      <c r="H105" s="34"/>
      <c r="I105" s="34"/>
      <c r="J105" s="34"/>
      <c r="K105" s="34"/>
      <c r="L105" s="34"/>
      <c r="N105" s="743">
        <f t="shared" si="48"/>
        <v>0</v>
      </c>
      <c r="O105" s="747">
        <f t="shared" si="38"/>
        <v>1</v>
      </c>
      <c r="P105" s="733"/>
      <c r="Q105" s="733"/>
      <c r="R105" s="733"/>
      <c r="S105" s="841">
        <f t="shared" si="39"/>
        <v>596090</v>
      </c>
      <c r="T105" s="842">
        <f t="shared" si="49"/>
        <v>596090</v>
      </c>
      <c r="U105" s="842">
        <f t="shared" si="40"/>
        <v>0</v>
      </c>
      <c r="V105" s="842">
        <f t="shared" si="40"/>
        <v>0</v>
      </c>
      <c r="W105" s="842">
        <f t="shared" si="41"/>
        <v>0</v>
      </c>
      <c r="X105" s="842">
        <f t="shared" si="42"/>
        <v>0</v>
      </c>
      <c r="Y105" s="842">
        <f t="shared" si="43"/>
        <v>0</v>
      </c>
      <c r="Z105" s="842">
        <f t="shared" si="44"/>
        <v>0</v>
      </c>
      <c r="AA105" s="842">
        <f t="shared" si="45"/>
        <v>0</v>
      </c>
      <c r="AB105" s="842">
        <f t="shared" si="46"/>
        <v>0</v>
      </c>
      <c r="AC105" s="843">
        <f t="shared" si="47"/>
        <v>0</v>
      </c>
      <c r="AD105" s="638"/>
    </row>
    <row r="106" spans="1:30">
      <c r="A106" s="19" t="s">
        <v>985</v>
      </c>
      <c r="B106" s="617"/>
      <c r="C106" s="617"/>
      <c r="D106" s="32"/>
      <c r="E106" s="34"/>
      <c r="F106" s="34"/>
      <c r="G106" s="34"/>
      <c r="H106" s="34"/>
      <c r="I106" s="34"/>
      <c r="J106" s="34"/>
      <c r="K106" s="34"/>
      <c r="L106" s="34"/>
      <c r="N106" s="743">
        <f t="shared" si="48"/>
        <v>0</v>
      </c>
      <c r="O106" s="747">
        <f t="shared" si="38"/>
        <v>1</v>
      </c>
      <c r="P106" s="733"/>
      <c r="Q106" s="733"/>
      <c r="R106" s="733"/>
      <c r="S106" s="841">
        <f t="shared" si="39"/>
        <v>596090</v>
      </c>
      <c r="T106" s="842">
        <f t="shared" si="49"/>
        <v>596090</v>
      </c>
      <c r="U106" s="842">
        <f t="shared" si="40"/>
        <v>0</v>
      </c>
      <c r="V106" s="842">
        <f t="shared" si="40"/>
        <v>0</v>
      </c>
      <c r="W106" s="842">
        <f t="shared" si="41"/>
        <v>0</v>
      </c>
      <c r="X106" s="842">
        <f t="shared" si="42"/>
        <v>0</v>
      </c>
      <c r="Y106" s="842">
        <f t="shared" si="43"/>
        <v>0</v>
      </c>
      <c r="Z106" s="842">
        <f t="shared" si="44"/>
        <v>0</v>
      </c>
      <c r="AA106" s="842">
        <f t="shared" si="45"/>
        <v>0</v>
      </c>
      <c r="AB106" s="842">
        <f t="shared" si="46"/>
        <v>0</v>
      </c>
      <c r="AC106" s="843">
        <f t="shared" si="47"/>
        <v>0</v>
      </c>
      <c r="AD106" s="638"/>
    </row>
    <row r="107" spans="1:30">
      <c r="A107" s="19" t="s">
        <v>986</v>
      </c>
      <c r="B107" s="617"/>
      <c r="C107" s="617"/>
      <c r="D107" s="32"/>
      <c r="E107" s="34"/>
      <c r="F107" s="34"/>
      <c r="G107" s="34"/>
      <c r="H107" s="34"/>
      <c r="I107" s="34"/>
      <c r="J107" s="34"/>
      <c r="K107" s="34"/>
      <c r="L107" s="34"/>
      <c r="N107" s="743">
        <f t="shared" si="48"/>
        <v>0</v>
      </c>
      <c r="O107" s="747">
        <f t="shared" si="38"/>
        <v>1</v>
      </c>
      <c r="P107" s="733"/>
      <c r="Q107" s="733"/>
      <c r="R107" s="733"/>
      <c r="S107" s="841">
        <f t="shared" si="39"/>
        <v>596090</v>
      </c>
      <c r="T107" s="842">
        <f t="shared" si="49"/>
        <v>596090</v>
      </c>
      <c r="U107" s="842">
        <f t="shared" si="40"/>
        <v>0</v>
      </c>
      <c r="V107" s="842">
        <f t="shared" si="40"/>
        <v>0</v>
      </c>
      <c r="W107" s="842">
        <f t="shared" si="41"/>
        <v>0</v>
      </c>
      <c r="X107" s="842">
        <f t="shared" si="42"/>
        <v>0</v>
      </c>
      <c r="Y107" s="842">
        <f t="shared" si="43"/>
        <v>0</v>
      </c>
      <c r="Z107" s="842">
        <f t="shared" si="44"/>
        <v>0</v>
      </c>
      <c r="AA107" s="842">
        <f t="shared" si="45"/>
        <v>0</v>
      </c>
      <c r="AB107" s="842">
        <f t="shared" si="46"/>
        <v>0</v>
      </c>
      <c r="AC107" s="843">
        <f t="shared" si="47"/>
        <v>0</v>
      </c>
      <c r="AD107" s="638"/>
    </row>
    <row r="108" spans="1:30">
      <c r="A108" s="19" t="s">
        <v>987</v>
      </c>
      <c r="B108" s="617"/>
      <c r="C108" s="617"/>
      <c r="D108" s="32"/>
      <c r="E108" s="34"/>
      <c r="F108" s="34"/>
      <c r="G108" s="34"/>
      <c r="H108" s="34"/>
      <c r="I108" s="34"/>
      <c r="J108" s="34"/>
      <c r="K108" s="34"/>
      <c r="L108" s="729"/>
      <c r="N108" s="743">
        <f t="shared" si="48"/>
        <v>0</v>
      </c>
      <c r="O108" s="747">
        <f t="shared" si="38"/>
        <v>1</v>
      </c>
      <c r="P108" s="733"/>
      <c r="Q108" s="733"/>
      <c r="R108" s="733"/>
      <c r="S108" s="841">
        <f t="shared" si="39"/>
        <v>596090</v>
      </c>
      <c r="T108" s="842">
        <f t="shared" si="49"/>
        <v>596090</v>
      </c>
      <c r="U108" s="842">
        <f t="shared" si="40"/>
        <v>0</v>
      </c>
      <c r="V108" s="842">
        <f t="shared" si="40"/>
        <v>0</v>
      </c>
      <c r="W108" s="842">
        <f t="shared" si="41"/>
        <v>0</v>
      </c>
      <c r="X108" s="842">
        <f t="shared" si="42"/>
        <v>0</v>
      </c>
      <c r="Y108" s="842">
        <f t="shared" si="43"/>
        <v>0</v>
      </c>
      <c r="Z108" s="842">
        <f t="shared" si="44"/>
        <v>0</v>
      </c>
      <c r="AA108" s="842">
        <f t="shared" si="45"/>
        <v>0</v>
      </c>
      <c r="AB108" s="842">
        <f t="shared" si="46"/>
        <v>0</v>
      </c>
      <c r="AC108" s="843">
        <f t="shared" si="47"/>
        <v>0</v>
      </c>
      <c r="AD108" s="638"/>
    </row>
    <row r="109" spans="1:30">
      <c r="A109" s="19" t="s">
        <v>988</v>
      </c>
      <c r="B109" s="617"/>
      <c r="C109" s="617"/>
      <c r="D109" s="32"/>
      <c r="E109" s="34"/>
      <c r="F109" s="34"/>
      <c r="G109" s="34"/>
      <c r="H109" s="34"/>
      <c r="I109" s="34"/>
      <c r="J109" s="34"/>
      <c r="K109" s="34"/>
      <c r="L109" s="34"/>
      <c r="N109" s="743">
        <f t="shared" si="48"/>
        <v>0</v>
      </c>
      <c r="O109" s="747">
        <f t="shared" si="38"/>
        <v>1</v>
      </c>
      <c r="P109" s="733"/>
      <c r="Q109" s="733"/>
      <c r="R109" s="733"/>
      <c r="S109" s="841">
        <f t="shared" si="39"/>
        <v>596090</v>
      </c>
      <c r="T109" s="842">
        <f t="shared" si="49"/>
        <v>596090</v>
      </c>
      <c r="U109" s="842">
        <f t="shared" si="40"/>
        <v>0</v>
      </c>
      <c r="V109" s="842">
        <f t="shared" si="40"/>
        <v>0</v>
      </c>
      <c r="W109" s="842">
        <f t="shared" si="41"/>
        <v>0</v>
      </c>
      <c r="X109" s="842">
        <f t="shared" si="42"/>
        <v>0</v>
      </c>
      <c r="Y109" s="842">
        <f t="shared" si="43"/>
        <v>0</v>
      </c>
      <c r="Z109" s="842">
        <f t="shared" si="44"/>
        <v>0</v>
      </c>
      <c r="AA109" s="842">
        <f t="shared" si="45"/>
        <v>0</v>
      </c>
      <c r="AB109" s="842">
        <f t="shared" si="46"/>
        <v>0</v>
      </c>
      <c r="AC109" s="843">
        <f t="shared" si="47"/>
        <v>0</v>
      </c>
      <c r="AD109" s="638"/>
    </row>
    <row r="110" spans="1:30">
      <c r="A110" s="19" t="s">
        <v>989</v>
      </c>
      <c r="B110" s="617"/>
      <c r="C110" s="617"/>
      <c r="D110" s="32"/>
      <c r="E110" s="34"/>
      <c r="F110" s="34"/>
      <c r="G110" s="34"/>
      <c r="H110" s="34"/>
      <c r="I110" s="34"/>
      <c r="J110" s="34"/>
      <c r="K110" s="34"/>
      <c r="L110" s="34"/>
      <c r="N110" s="743">
        <f t="shared" si="48"/>
        <v>0</v>
      </c>
      <c r="O110" s="747">
        <f t="shared" si="38"/>
        <v>1</v>
      </c>
      <c r="P110" s="733"/>
      <c r="Q110" s="733"/>
      <c r="R110" s="733"/>
      <c r="S110" s="841">
        <f t="shared" si="39"/>
        <v>596090</v>
      </c>
      <c r="T110" s="842">
        <f t="shared" si="49"/>
        <v>596090</v>
      </c>
      <c r="U110" s="842">
        <f t="shared" si="40"/>
        <v>0</v>
      </c>
      <c r="V110" s="842">
        <f t="shared" si="40"/>
        <v>0</v>
      </c>
      <c r="W110" s="842">
        <f t="shared" si="41"/>
        <v>0</v>
      </c>
      <c r="X110" s="842">
        <f t="shared" si="42"/>
        <v>0</v>
      </c>
      <c r="Y110" s="842">
        <f t="shared" si="43"/>
        <v>0</v>
      </c>
      <c r="Z110" s="842">
        <f t="shared" si="44"/>
        <v>0</v>
      </c>
      <c r="AA110" s="842">
        <f t="shared" si="45"/>
        <v>0</v>
      </c>
      <c r="AB110" s="842">
        <f t="shared" si="46"/>
        <v>0</v>
      </c>
      <c r="AC110" s="843">
        <f t="shared" si="47"/>
        <v>0</v>
      </c>
      <c r="AD110" s="638"/>
    </row>
    <row r="111" spans="1:30">
      <c r="A111" s="19" t="s">
        <v>990</v>
      </c>
      <c r="B111" s="617"/>
      <c r="C111" s="617"/>
      <c r="D111" s="32"/>
      <c r="E111" s="34"/>
      <c r="F111" s="34"/>
      <c r="G111" s="34"/>
      <c r="H111" s="34"/>
      <c r="I111" s="34"/>
      <c r="J111" s="34"/>
      <c r="K111" s="34"/>
      <c r="L111" s="34"/>
      <c r="N111" s="743">
        <f t="shared" si="48"/>
        <v>0</v>
      </c>
      <c r="O111" s="747">
        <f t="shared" si="38"/>
        <v>1</v>
      </c>
      <c r="P111" s="733"/>
      <c r="Q111" s="733"/>
      <c r="R111" s="733"/>
      <c r="S111" s="841">
        <f t="shared" si="39"/>
        <v>596090</v>
      </c>
      <c r="T111" s="842">
        <f t="shared" si="49"/>
        <v>596090</v>
      </c>
      <c r="U111" s="842">
        <f t="shared" si="40"/>
        <v>0</v>
      </c>
      <c r="V111" s="842">
        <f t="shared" si="40"/>
        <v>0</v>
      </c>
      <c r="W111" s="842">
        <f t="shared" si="41"/>
        <v>0</v>
      </c>
      <c r="X111" s="842">
        <f t="shared" si="42"/>
        <v>0</v>
      </c>
      <c r="Y111" s="842">
        <f t="shared" si="43"/>
        <v>0</v>
      </c>
      <c r="Z111" s="842">
        <f t="shared" si="44"/>
        <v>0</v>
      </c>
      <c r="AA111" s="842">
        <f t="shared" si="45"/>
        <v>0</v>
      </c>
      <c r="AB111" s="842">
        <f t="shared" si="46"/>
        <v>0</v>
      </c>
      <c r="AC111" s="843">
        <f t="shared" si="47"/>
        <v>0</v>
      </c>
      <c r="AD111" s="638"/>
    </row>
    <row r="112" spans="1:30">
      <c r="A112" s="19" t="s">
        <v>991</v>
      </c>
      <c r="B112" s="617"/>
      <c r="C112" s="617"/>
      <c r="D112" s="32"/>
      <c r="E112" s="34"/>
      <c r="F112" s="34"/>
      <c r="G112" s="34"/>
      <c r="H112" s="34"/>
      <c r="I112" s="34"/>
      <c r="J112" s="34"/>
      <c r="K112" s="34"/>
      <c r="L112" s="34"/>
      <c r="N112" s="743">
        <f t="shared" si="48"/>
        <v>0</v>
      </c>
      <c r="O112" s="747">
        <f t="shared" si="38"/>
        <v>1</v>
      </c>
      <c r="P112" s="733"/>
      <c r="Q112" s="733"/>
      <c r="R112" s="733"/>
      <c r="S112" s="841">
        <f t="shared" si="39"/>
        <v>596090</v>
      </c>
      <c r="T112" s="842">
        <f t="shared" si="49"/>
        <v>596090</v>
      </c>
      <c r="U112" s="842">
        <f t="shared" si="40"/>
        <v>0</v>
      </c>
      <c r="V112" s="842">
        <f t="shared" si="40"/>
        <v>0</v>
      </c>
      <c r="W112" s="842">
        <f t="shared" si="41"/>
        <v>0</v>
      </c>
      <c r="X112" s="842">
        <f t="shared" si="42"/>
        <v>0</v>
      </c>
      <c r="Y112" s="842">
        <f t="shared" si="43"/>
        <v>0</v>
      </c>
      <c r="Z112" s="842">
        <f t="shared" si="44"/>
        <v>0</v>
      </c>
      <c r="AA112" s="842">
        <f t="shared" si="45"/>
        <v>0</v>
      </c>
      <c r="AB112" s="842">
        <f t="shared" si="46"/>
        <v>0</v>
      </c>
      <c r="AC112" s="843">
        <f t="shared" si="47"/>
        <v>0</v>
      </c>
      <c r="AD112" s="638"/>
    </row>
    <row r="113" spans="1:30">
      <c r="A113" s="19" t="s">
        <v>992</v>
      </c>
      <c r="B113" s="32"/>
      <c r="C113" s="34"/>
      <c r="D113" s="32"/>
      <c r="E113" s="34"/>
      <c r="F113" s="34"/>
      <c r="G113" s="34"/>
      <c r="H113" s="34"/>
      <c r="I113" s="34"/>
      <c r="J113" s="34"/>
      <c r="K113" s="34"/>
      <c r="L113" s="34"/>
      <c r="N113" s="743">
        <f t="shared" si="48"/>
        <v>0</v>
      </c>
      <c r="O113" s="747">
        <f t="shared" si="38"/>
        <v>1</v>
      </c>
      <c r="P113" s="733"/>
      <c r="Q113" s="733"/>
      <c r="R113" s="733"/>
      <c r="S113" s="841">
        <f t="shared" si="39"/>
        <v>596090</v>
      </c>
      <c r="T113" s="842">
        <f t="shared" si="49"/>
        <v>596090</v>
      </c>
      <c r="U113" s="842">
        <f t="shared" si="40"/>
        <v>0</v>
      </c>
      <c r="V113" s="842">
        <f t="shared" si="40"/>
        <v>0</v>
      </c>
      <c r="W113" s="842">
        <f t="shared" si="41"/>
        <v>0</v>
      </c>
      <c r="X113" s="842">
        <f t="shared" si="42"/>
        <v>0</v>
      </c>
      <c r="Y113" s="842">
        <f t="shared" si="43"/>
        <v>0</v>
      </c>
      <c r="Z113" s="842">
        <f t="shared" si="44"/>
        <v>0</v>
      </c>
      <c r="AA113" s="842">
        <f t="shared" si="45"/>
        <v>0</v>
      </c>
      <c r="AB113" s="842">
        <f t="shared" si="46"/>
        <v>0</v>
      </c>
      <c r="AC113" s="843">
        <f t="shared" si="47"/>
        <v>0</v>
      </c>
      <c r="AD113" s="638"/>
    </row>
    <row r="114" spans="1:30">
      <c r="A114" s="19" t="s">
        <v>993</v>
      </c>
      <c r="B114" s="32"/>
      <c r="C114" s="34"/>
      <c r="D114" s="32"/>
      <c r="E114" s="34"/>
      <c r="F114" s="34"/>
      <c r="G114" s="34"/>
      <c r="H114" s="34"/>
      <c r="I114" s="34"/>
      <c r="J114" s="34"/>
      <c r="K114" s="34"/>
      <c r="L114" s="34"/>
      <c r="N114" s="743">
        <f t="shared" si="48"/>
        <v>0</v>
      </c>
      <c r="O114" s="747">
        <f t="shared" si="38"/>
        <v>1</v>
      </c>
      <c r="P114" s="733"/>
      <c r="Q114" s="733"/>
      <c r="R114" s="733"/>
      <c r="S114" s="841">
        <f t="shared" si="39"/>
        <v>596090</v>
      </c>
      <c r="T114" s="842">
        <f t="shared" si="49"/>
        <v>596090</v>
      </c>
      <c r="U114" s="842">
        <f t="shared" si="40"/>
        <v>0</v>
      </c>
      <c r="V114" s="842">
        <f t="shared" si="40"/>
        <v>0</v>
      </c>
      <c r="W114" s="842">
        <f t="shared" si="41"/>
        <v>0</v>
      </c>
      <c r="X114" s="842">
        <f t="shared" si="42"/>
        <v>0</v>
      </c>
      <c r="Y114" s="842">
        <f t="shared" si="43"/>
        <v>0</v>
      </c>
      <c r="Z114" s="842">
        <f t="shared" si="44"/>
        <v>0</v>
      </c>
      <c r="AA114" s="842">
        <f t="shared" si="45"/>
        <v>0</v>
      </c>
      <c r="AB114" s="842">
        <f t="shared" si="46"/>
        <v>0</v>
      </c>
      <c r="AC114" s="843">
        <f t="shared" si="47"/>
        <v>0</v>
      </c>
      <c r="AD114" s="638"/>
    </row>
    <row r="115" spans="1:30">
      <c r="A115" s="19" t="s">
        <v>994</v>
      </c>
      <c r="B115" s="32"/>
      <c r="C115" s="34"/>
      <c r="D115" s="32"/>
      <c r="E115" s="34"/>
      <c r="F115" s="34"/>
      <c r="G115" s="34"/>
      <c r="H115" s="34"/>
      <c r="I115" s="34"/>
      <c r="J115" s="34"/>
      <c r="K115" s="34"/>
      <c r="L115" s="34"/>
      <c r="N115" s="743">
        <f t="shared" si="48"/>
        <v>0</v>
      </c>
      <c r="O115" s="747">
        <f t="shared" si="38"/>
        <v>1</v>
      </c>
      <c r="P115" s="733"/>
      <c r="Q115" s="733"/>
      <c r="R115" s="733"/>
      <c r="S115" s="841">
        <f t="shared" si="39"/>
        <v>596090</v>
      </c>
      <c r="T115" s="842">
        <f t="shared" si="49"/>
        <v>596090</v>
      </c>
      <c r="U115" s="842">
        <f t="shared" si="40"/>
        <v>0</v>
      </c>
      <c r="V115" s="842">
        <f t="shared" si="40"/>
        <v>0</v>
      </c>
      <c r="W115" s="842">
        <f t="shared" si="41"/>
        <v>0</v>
      </c>
      <c r="X115" s="842">
        <f t="shared" si="42"/>
        <v>0</v>
      </c>
      <c r="Y115" s="842">
        <f t="shared" si="43"/>
        <v>0</v>
      </c>
      <c r="Z115" s="842">
        <f t="shared" si="44"/>
        <v>0</v>
      </c>
      <c r="AA115" s="842">
        <f t="shared" si="45"/>
        <v>0</v>
      </c>
      <c r="AB115" s="842">
        <f t="shared" si="46"/>
        <v>0</v>
      </c>
      <c r="AC115" s="843">
        <f t="shared" si="47"/>
        <v>0</v>
      </c>
      <c r="AD115" s="638"/>
    </row>
    <row r="116" spans="1:30">
      <c r="A116" s="19" t="s">
        <v>995</v>
      </c>
      <c r="B116" s="32"/>
      <c r="C116" s="34"/>
      <c r="D116" s="32"/>
      <c r="E116" s="34"/>
      <c r="F116" s="34"/>
      <c r="G116" s="34"/>
      <c r="H116" s="34"/>
      <c r="I116" s="34"/>
      <c r="J116" s="34"/>
      <c r="K116" s="34"/>
      <c r="L116" s="34"/>
      <c r="N116" s="743">
        <f t="shared" si="48"/>
        <v>0</v>
      </c>
      <c r="O116" s="747">
        <f t="shared" si="38"/>
        <v>1</v>
      </c>
      <c r="P116" s="733"/>
      <c r="Q116" s="733"/>
      <c r="R116" s="733"/>
      <c r="S116" s="841">
        <f t="shared" si="39"/>
        <v>596090</v>
      </c>
      <c r="T116" s="842">
        <f t="shared" si="49"/>
        <v>596090</v>
      </c>
      <c r="U116" s="842">
        <f t="shared" si="40"/>
        <v>0</v>
      </c>
      <c r="V116" s="842">
        <f t="shared" si="40"/>
        <v>0</v>
      </c>
      <c r="W116" s="842">
        <f t="shared" si="41"/>
        <v>0</v>
      </c>
      <c r="X116" s="842">
        <f t="shared" si="42"/>
        <v>0</v>
      </c>
      <c r="Y116" s="842">
        <f t="shared" si="43"/>
        <v>0</v>
      </c>
      <c r="Z116" s="842">
        <f t="shared" si="44"/>
        <v>0</v>
      </c>
      <c r="AA116" s="842">
        <f t="shared" si="45"/>
        <v>0</v>
      </c>
      <c r="AB116" s="842">
        <f t="shared" si="46"/>
        <v>0</v>
      </c>
      <c r="AC116" s="843">
        <f t="shared" si="47"/>
        <v>0</v>
      </c>
      <c r="AD116" s="638"/>
    </row>
    <row r="117" spans="1:30">
      <c r="A117" s="19" t="s">
        <v>996</v>
      </c>
      <c r="B117" s="32"/>
      <c r="C117" s="34"/>
      <c r="D117" s="32"/>
      <c r="E117" s="34"/>
      <c r="F117" s="34"/>
      <c r="G117" s="34"/>
      <c r="H117" s="34"/>
      <c r="I117" s="34"/>
      <c r="J117" s="34"/>
      <c r="K117" s="34"/>
      <c r="L117" s="34"/>
      <c r="N117" s="743">
        <f t="shared" si="48"/>
        <v>0</v>
      </c>
      <c r="O117" s="747">
        <f t="shared" si="38"/>
        <v>1</v>
      </c>
      <c r="P117" s="733"/>
      <c r="Q117" s="733"/>
      <c r="R117" s="733"/>
      <c r="S117" s="841">
        <f t="shared" si="39"/>
        <v>596090</v>
      </c>
      <c r="T117" s="842">
        <f t="shared" si="49"/>
        <v>596090</v>
      </c>
      <c r="U117" s="842">
        <f t="shared" si="40"/>
        <v>0</v>
      </c>
      <c r="V117" s="842">
        <f t="shared" si="40"/>
        <v>0</v>
      </c>
      <c r="W117" s="842">
        <f t="shared" si="41"/>
        <v>0</v>
      </c>
      <c r="X117" s="842">
        <f t="shared" si="42"/>
        <v>0</v>
      </c>
      <c r="Y117" s="842">
        <f t="shared" si="43"/>
        <v>0</v>
      </c>
      <c r="Z117" s="842">
        <f t="shared" si="44"/>
        <v>0</v>
      </c>
      <c r="AA117" s="842">
        <f t="shared" si="45"/>
        <v>0</v>
      </c>
      <c r="AB117" s="842">
        <f t="shared" si="46"/>
        <v>0</v>
      </c>
      <c r="AC117" s="843">
        <f t="shared" si="47"/>
        <v>0</v>
      </c>
      <c r="AD117" s="638"/>
    </row>
    <row r="118" spans="1:30">
      <c r="A118" s="19" t="s">
        <v>997</v>
      </c>
      <c r="B118" s="32"/>
      <c r="C118" s="34"/>
      <c r="D118" s="32"/>
      <c r="E118" s="34"/>
      <c r="F118" s="34"/>
      <c r="G118" s="34"/>
      <c r="H118" s="34"/>
      <c r="I118" s="34"/>
      <c r="J118" s="34"/>
      <c r="K118" s="34"/>
      <c r="L118" s="34"/>
      <c r="N118" s="743">
        <f t="shared" si="48"/>
        <v>0</v>
      </c>
      <c r="O118" s="747">
        <f t="shared" si="38"/>
        <v>1</v>
      </c>
      <c r="P118" s="733"/>
      <c r="Q118" s="733"/>
      <c r="R118" s="733"/>
      <c r="S118" s="841">
        <f t="shared" si="39"/>
        <v>596090</v>
      </c>
      <c r="T118" s="842">
        <f t="shared" si="49"/>
        <v>596090</v>
      </c>
      <c r="U118" s="842">
        <f t="shared" si="40"/>
        <v>0</v>
      </c>
      <c r="V118" s="842">
        <f t="shared" si="40"/>
        <v>0</v>
      </c>
      <c r="W118" s="842">
        <f t="shared" si="41"/>
        <v>0</v>
      </c>
      <c r="X118" s="842">
        <f t="shared" si="42"/>
        <v>0</v>
      </c>
      <c r="Y118" s="842">
        <f t="shared" si="43"/>
        <v>0</v>
      </c>
      <c r="Z118" s="842">
        <f t="shared" si="44"/>
        <v>0</v>
      </c>
      <c r="AA118" s="842">
        <f t="shared" si="45"/>
        <v>0</v>
      </c>
      <c r="AB118" s="842">
        <f t="shared" si="46"/>
        <v>0</v>
      </c>
      <c r="AC118" s="843">
        <f t="shared" si="47"/>
        <v>0</v>
      </c>
      <c r="AD118" s="638"/>
    </row>
    <row r="119" spans="1:30">
      <c r="A119" s="19" t="s">
        <v>998</v>
      </c>
      <c r="B119" s="32"/>
      <c r="C119" s="34"/>
      <c r="D119" s="32"/>
      <c r="E119" s="34"/>
      <c r="F119" s="34"/>
      <c r="G119" s="34"/>
      <c r="H119" s="34"/>
      <c r="I119" s="34"/>
      <c r="J119" s="34"/>
      <c r="K119" s="34"/>
      <c r="L119" s="34"/>
      <c r="N119" s="743">
        <f t="shared" si="48"/>
        <v>0</v>
      </c>
      <c r="O119" s="747">
        <f t="shared" si="38"/>
        <v>1</v>
      </c>
      <c r="P119" s="733"/>
      <c r="Q119" s="733"/>
      <c r="R119" s="733"/>
      <c r="S119" s="841">
        <f t="shared" si="39"/>
        <v>596090</v>
      </c>
      <c r="T119" s="842">
        <f t="shared" si="49"/>
        <v>596090</v>
      </c>
      <c r="U119" s="842">
        <f t="shared" si="40"/>
        <v>0</v>
      </c>
      <c r="V119" s="842">
        <f t="shared" si="40"/>
        <v>0</v>
      </c>
      <c r="W119" s="842">
        <f t="shared" si="41"/>
        <v>0</v>
      </c>
      <c r="X119" s="842">
        <f t="shared" si="42"/>
        <v>0</v>
      </c>
      <c r="Y119" s="842">
        <f t="shared" si="43"/>
        <v>0</v>
      </c>
      <c r="Z119" s="842">
        <f t="shared" si="44"/>
        <v>0</v>
      </c>
      <c r="AA119" s="842">
        <f t="shared" si="45"/>
        <v>0</v>
      </c>
      <c r="AB119" s="842">
        <f t="shared" si="46"/>
        <v>0</v>
      </c>
      <c r="AC119" s="843">
        <f t="shared" si="47"/>
        <v>0</v>
      </c>
      <c r="AD119" s="638"/>
    </row>
    <row r="120" spans="1:30" ht="15" thickBot="1">
      <c r="A120" s="19" t="s">
        <v>999</v>
      </c>
      <c r="B120" s="32"/>
      <c r="C120" s="34"/>
      <c r="D120" s="32"/>
      <c r="E120" s="34"/>
      <c r="F120" s="34"/>
      <c r="G120" s="34"/>
      <c r="H120" s="34"/>
      <c r="I120" s="34"/>
      <c r="J120" s="34"/>
      <c r="K120" s="34"/>
      <c r="L120" s="34"/>
      <c r="N120" s="744">
        <f t="shared" si="48"/>
        <v>0</v>
      </c>
      <c r="O120" s="748">
        <f t="shared" si="38"/>
        <v>1</v>
      </c>
      <c r="P120" s="733"/>
      <c r="Q120" s="733"/>
      <c r="R120" s="733"/>
      <c r="S120" s="841">
        <f t="shared" si="39"/>
        <v>596090</v>
      </c>
      <c r="T120" s="844">
        <f t="shared" si="49"/>
        <v>596090</v>
      </c>
      <c r="U120" s="844">
        <f t="shared" si="40"/>
        <v>0</v>
      </c>
      <c r="V120" s="842">
        <f t="shared" si="40"/>
        <v>0</v>
      </c>
      <c r="W120" s="844">
        <f t="shared" si="41"/>
        <v>0</v>
      </c>
      <c r="X120" s="844">
        <f t="shared" si="42"/>
        <v>0</v>
      </c>
      <c r="Y120" s="844">
        <f t="shared" si="43"/>
        <v>0</v>
      </c>
      <c r="Z120" s="844">
        <f t="shared" si="44"/>
        <v>0</v>
      </c>
      <c r="AA120" s="844">
        <f t="shared" si="45"/>
        <v>0</v>
      </c>
      <c r="AB120" s="844">
        <f t="shared" si="46"/>
        <v>0</v>
      </c>
      <c r="AC120" s="845">
        <f t="shared" si="47"/>
        <v>0</v>
      </c>
      <c r="AD120" s="638"/>
    </row>
    <row r="121" spans="1:30" ht="15" thickTop="1">
      <c r="N121" s="733"/>
      <c r="O121" s="733"/>
      <c r="P121" s="733"/>
      <c r="Q121" s="733"/>
      <c r="R121" s="733"/>
      <c r="S121" s="733"/>
      <c r="T121" s="733"/>
      <c r="U121" s="733"/>
      <c r="V121" s="733"/>
      <c r="W121" s="733"/>
      <c r="X121" s="733"/>
      <c r="Y121" s="733"/>
      <c r="Z121" s="733"/>
      <c r="AA121" s="733"/>
      <c r="AB121" s="733"/>
      <c r="AC121" s="733"/>
      <c r="AD121" s="733"/>
    </row>
    <row r="122" spans="1:30">
      <c r="A122" s="21" t="s">
        <v>112</v>
      </c>
      <c r="B122" s="19">
        <f t="shared" ref="B122:D122" si="50">SUM(B4:B94)</f>
        <v>596090</v>
      </c>
      <c r="C122" s="19">
        <f t="shared" si="50"/>
        <v>0</v>
      </c>
      <c r="D122" s="19">
        <f t="shared" si="50"/>
        <v>0</v>
      </c>
      <c r="E122" s="19">
        <f>SUM(E4:E120)</f>
        <v>0</v>
      </c>
      <c r="F122" s="19">
        <f t="shared" ref="F122:L122" si="51">SUM(F4:F120)</f>
        <v>0</v>
      </c>
      <c r="G122" s="19">
        <f t="shared" si="51"/>
        <v>0</v>
      </c>
      <c r="H122" s="19">
        <f t="shared" si="51"/>
        <v>0</v>
      </c>
      <c r="I122" s="19">
        <f t="shared" si="51"/>
        <v>0</v>
      </c>
      <c r="J122" s="19">
        <f t="shared" si="51"/>
        <v>0</v>
      </c>
      <c r="K122" s="19">
        <f t="shared" si="51"/>
        <v>0</v>
      </c>
      <c r="L122" s="19">
        <f t="shared" si="51"/>
        <v>0</v>
      </c>
      <c r="M122" s="19">
        <f>SUM(B122:L122)</f>
        <v>596090</v>
      </c>
      <c r="N122" s="733"/>
      <c r="O122" s="733"/>
      <c r="P122" s="733"/>
      <c r="Q122" s="733"/>
      <c r="R122" s="733"/>
      <c r="S122" s="733"/>
      <c r="T122" s="733"/>
      <c r="U122" s="733"/>
      <c r="V122" s="733"/>
      <c r="W122" s="733"/>
      <c r="X122" s="733"/>
      <c r="Y122" s="733"/>
      <c r="Z122" s="733"/>
      <c r="AA122" s="733"/>
      <c r="AB122" s="733"/>
      <c r="AC122" s="733"/>
      <c r="AD122" s="733"/>
    </row>
    <row r="124" spans="1:30">
      <c r="A124" s="638"/>
      <c r="B124" s="638"/>
      <c r="C124" s="638"/>
      <c r="D124" s="638"/>
      <c r="E124" s="638"/>
      <c r="F124" s="638"/>
      <c r="G124" s="638"/>
      <c r="H124" s="638"/>
      <c r="I124" s="638"/>
      <c r="J124" s="638"/>
    </row>
    <row r="125" spans="1:30" ht="18.75" customHeight="1">
      <c r="A125" s="717">
        <f>COLUMN()</f>
        <v>1</v>
      </c>
      <c r="B125" s="717">
        <f>COLUMN()</f>
        <v>2</v>
      </c>
      <c r="C125" s="717">
        <f>COLUMN()</f>
        <v>3</v>
      </c>
      <c r="D125" s="717">
        <f>COLUMN()</f>
        <v>4</v>
      </c>
      <c r="E125" s="717">
        <f>COLUMN()</f>
        <v>5</v>
      </c>
      <c r="F125" s="717">
        <f>COLUMN()</f>
        <v>6</v>
      </c>
      <c r="G125" s="717">
        <f>COLUMN()</f>
        <v>7</v>
      </c>
      <c r="H125" s="717">
        <f>COLUMN()</f>
        <v>8</v>
      </c>
      <c r="I125" s="717">
        <f>COLUMN()</f>
        <v>9</v>
      </c>
      <c r="J125" s="717">
        <f>COLUMN()</f>
        <v>10</v>
      </c>
      <c r="K125" s="717">
        <f>COLUMN()</f>
        <v>11</v>
      </c>
      <c r="L125" s="717">
        <f>COLUMN()</f>
        <v>12</v>
      </c>
      <c r="M125" s="717">
        <f>COLUMN()</f>
        <v>13</v>
      </c>
      <c r="N125" s="717">
        <f>COLUMN()</f>
        <v>14</v>
      </c>
      <c r="O125" s="717">
        <f>COLUMN()</f>
        <v>15</v>
      </c>
      <c r="P125" s="717">
        <f>COLUMN()</f>
        <v>16</v>
      </c>
      <c r="Q125" s="717">
        <f>COLUMN()</f>
        <v>17</v>
      </c>
      <c r="R125" s="717">
        <f>COLUMN()</f>
        <v>18</v>
      </c>
      <c r="S125" s="717">
        <f>COLUMN()</f>
        <v>19</v>
      </c>
      <c r="T125" s="717">
        <f>COLUMN()</f>
        <v>20</v>
      </c>
      <c r="U125" s="717">
        <f>COLUMN()</f>
        <v>21</v>
      </c>
      <c r="V125" s="717">
        <f>COLUMN()</f>
        <v>22</v>
      </c>
      <c r="W125" s="717">
        <f>COLUMN()</f>
        <v>23</v>
      </c>
      <c r="X125" s="717">
        <f>COLUMN()</f>
        <v>24</v>
      </c>
      <c r="Y125" s="717">
        <f>COLUMN()</f>
        <v>25</v>
      </c>
      <c r="Z125" s="717">
        <f>COLUMN()</f>
        <v>26</v>
      </c>
      <c r="AA125" s="717">
        <f>COLUMN()</f>
        <v>27</v>
      </c>
      <c r="AB125" s="717">
        <f>COLUMN()</f>
        <v>28</v>
      </c>
      <c r="AC125" s="717">
        <f>COLUMN()</f>
        <v>29</v>
      </c>
      <c r="AD125" s="717"/>
    </row>
    <row r="126" spans="1:30">
      <c r="A126" s="827" t="str">
        <f>B2</f>
        <v>Diesel (average biofuel blend)</v>
      </c>
      <c r="B126" s="491">
        <f>B122</f>
        <v>596090</v>
      </c>
      <c r="C126" s="828"/>
      <c r="D126" s="491"/>
      <c r="E126" s="491"/>
      <c r="F126" s="491"/>
      <c r="G126" s="491"/>
      <c r="H126" s="829"/>
      <c r="I126" s="829"/>
      <c r="J126" s="829"/>
      <c r="K126" s="491"/>
      <c r="L126" s="491"/>
      <c r="M126" s="491"/>
      <c r="N126" s="491"/>
      <c r="O126" s="491"/>
      <c r="P126" s="491"/>
      <c r="Q126" s="491"/>
      <c r="R126" s="491"/>
      <c r="S126" s="491"/>
      <c r="T126" s="491"/>
      <c r="U126" s="491"/>
      <c r="V126" s="810"/>
    </row>
    <row r="127" spans="1:30">
      <c r="A127" s="830" t="str">
        <f>C2</f>
        <v>Diesel (100% mineral diesel)</v>
      </c>
      <c r="B127" s="136">
        <f>C122</f>
        <v>0</v>
      </c>
      <c r="C127" s="717"/>
      <c r="D127" s="136"/>
      <c r="E127" s="136"/>
      <c r="F127" s="136"/>
      <c r="G127" s="136"/>
      <c r="H127" s="136"/>
      <c r="I127" s="136"/>
      <c r="J127" s="136"/>
      <c r="K127" s="136"/>
      <c r="L127" s="136"/>
      <c r="M127" s="136"/>
      <c r="N127" s="136"/>
      <c r="O127" s="136"/>
      <c r="P127" s="136"/>
      <c r="Q127" s="136"/>
      <c r="R127" s="136"/>
      <c r="S127" s="136"/>
      <c r="T127" s="136"/>
      <c r="U127" s="136"/>
      <c r="V127" s="811"/>
    </row>
    <row r="128" spans="1:30">
      <c r="A128" s="830" t="str">
        <f>D2</f>
        <v>Gas oil (aka Red diesel)</v>
      </c>
      <c r="B128" s="136">
        <f>D122</f>
        <v>0</v>
      </c>
      <c r="C128" s="717"/>
      <c r="D128" s="136"/>
      <c r="E128" s="136"/>
      <c r="F128" s="136"/>
      <c r="G128" s="136"/>
      <c r="H128" s="136"/>
      <c r="I128" s="136"/>
      <c r="J128" s="136"/>
      <c r="K128" s="136"/>
      <c r="L128" s="136"/>
      <c r="M128" s="136"/>
      <c r="N128" s="136"/>
      <c r="O128" s="136"/>
      <c r="P128" s="136"/>
      <c r="Q128" s="136"/>
      <c r="R128" s="136"/>
      <c r="S128" s="136"/>
      <c r="T128" s="136"/>
      <c r="U128" s="136"/>
      <c r="V128" s="8"/>
    </row>
    <row r="129" spans="1:29">
      <c r="A129" s="830" t="str">
        <f>E2</f>
        <v>Petrol (average biofuel blend)</v>
      </c>
      <c r="B129" s="136">
        <f>E122</f>
        <v>0</v>
      </c>
      <c r="C129" s="717"/>
      <c r="D129" s="136"/>
      <c r="E129" s="136"/>
      <c r="F129" s="136"/>
      <c r="G129" s="136"/>
      <c r="H129" s="136"/>
      <c r="I129" s="136"/>
      <c r="J129" s="136"/>
      <c r="K129" s="136"/>
      <c r="L129" s="136"/>
      <c r="M129" s="136"/>
      <c r="N129" s="136"/>
      <c r="O129" s="136"/>
      <c r="P129" s="136"/>
      <c r="Q129" s="136"/>
      <c r="R129" s="136"/>
      <c r="S129" s="136"/>
      <c r="T129" s="136"/>
      <c r="U129" s="136"/>
      <c r="V129" s="8"/>
    </row>
    <row r="130" spans="1:29">
      <c r="A130" s="830" t="str">
        <f>F2</f>
        <v>Natural Gas</v>
      </c>
      <c r="B130" s="136">
        <f>F122</f>
        <v>0</v>
      </c>
      <c r="C130" s="717"/>
      <c r="D130" s="136"/>
      <c r="E130" s="136"/>
      <c r="F130" s="136"/>
      <c r="G130" s="136"/>
      <c r="H130" s="136"/>
      <c r="I130" s="136"/>
      <c r="J130" s="136"/>
      <c r="K130" s="136"/>
      <c r="L130" s="136"/>
      <c r="M130" s="136"/>
      <c r="N130" s="136"/>
      <c r="O130" s="136"/>
      <c r="P130" s="136"/>
      <c r="Q130" s="136"/>
      <c r="R130" s="136"/>
      <c r="S130" s="136"/>
      <c r="T130" s="136"/>
      <c r="U130" s="136"/>
      <c r="V130" s="8"/>
    </row>
    <row r="131" spans="1:29">
      <c r="A131" s="830" t="str">
        <f>G2</f>
        <v>LPG</v>
      </c>
      <c r="B131" s="136">
        <f>G122</f>
        <v>0</v>
      </c>
      <c r="C131" s="717"/>
      <c r="D131" s="136"/>
      <c r="E131" s="136"/>
      <c r="F131" s="136"/>
      <c r="G131" s="136"/>
      <c r="H131" s="136"/>
      <c r="I131" s="136"/>
      <c r="J131" s="136"/>
      <c r="K131" s="136"/>
      <c r="L131" s="136"/>
      <c r="M131" s="136"/>
      <c r="N131" s="136"/>
      <c r="O131" s="136"/>
      <c r="P131" s="136"/>
      <c r="Q131" s="136"/>
      <c r="R131" s="136"/>
      <c r="S131" s="136"/>
      <c r="T131" s="136"/>
      <c r="U131" s="136"/>
      <c r="V131" s="811"/>
    </row>
    <row r="132" spans="1:29">
      <c r="A132" s="830" t="str">
        <f>H2</f>
        <v>Bioethanol 100%</v>
      </c>
      <c r="B132" s="136">
        <f>H122</f>
        <v>0</v>
      </c>
      <c r="C132" s="717"/>
      <c r="D132" s="136"/>
      <c r="E132" s="136"/>
      <c r="F132" s="136"/>
      <c r="G132" s="136"/>
      <c r="H132" s="136"/>
      <c r="I132" s="136"/>
      <c r="J132" s="136"/>
      <c r="K132" s="136"/>
      <c r="L132" s="136"/>
      <c r="M132" s="136"/>
      <c r="N132" s="136"/>
      <c r="O132" s="136"/>
      <c r="P132" s="136"/>
      <c r="Q132" s="136"/>
      <c r="R132" s="136"/>
      <c r="S132" s="136"/>
      <c r="T132" s="136"/>
      <c r="U132" s="136"/>
      <c r="V132" s="811"/>
    </row>
    <row r="133" spans="1:29">
      <c r="A133" s="830" t="str">
        <f>I2</f>
        <v>Biodiesel 100%</v>
      </c>
      <c r="B133" s="136">
        <f>I122</f>
        <v>0</v>
      </c>
      <c r="C133" s="717"/>
      <c r="D133" s="136"/>
      <c r="E133" s="136"/>
      <c r="F133" s="136"/>
      <c r="G133" s="136"/>
      <c r="H133" s="136"/>
      <c r="I133" s="136"/>
      <c r="J133" s="136"/>
      <c r="K133" s="136"/>
      <c r="L133" s="136"/>
      <c r="M133" s="136"/>
      <c r="N133" s="136"/>
      <c r="O133" s="136"/>
      <c r="P133" s="136"/>
      <c r="Q133" s="136"/>
      <c r="R133" s="136"/>
      <c r="S133" s="136"/>
      <c r="T133" s="136"/>
      <c r="U133" s="136"/>
      <c r="V133" s="811"/>
    </row>
    <row r="134" spans="1:29">
      <c r="A134" s="830" t="str">
        <f>J2</f>
        <v>Biomethane 100%</v>
      </c>
      <c r="B134" s="136">
        <f>J122</f>
        <v>0</v>
      </c>
      <c r="C134" s="717"/>
      <c r="D134" s="136"/>
      <c r="E134" s="136"/>
      <c r="F134" s="136"/>
      <c r="G134" s="136"/>
      <c r="H134" s="136"/>
      <c r="I134" s="136"/>
      <c r="J134" s="136"/>
      <c r="K134" s="136"/>
      <c r="L134" s="136"/>
      <c r="M134" s="136"/>
      <c r="N134" s="136"/>
      <c r="O134" s="136"/>
      <c r="P134" s="136"/>
      <c r="Q134" s="136"/>
      <c r="R134" s="136"/>
      <c r="S134" s="136"/>
      <c r="T134" s="136"/>
      <c r="U134" s="136"/>
      <c r="V134" s="811"/>
    </row>
    <row r="135" spans="1:29">
      <c r="A135" s="830"/>
      <c r="B135" s="136"/>
      <c r="C135" s="136"/>
      <c r="D135" s="136"/>
      <c r="E135" s="136"/>
      <c r="F135" s="136"/>
      <c r="G135" s="136"/>
      <c r="H135" s="136"/>
      <c r="I135" s="136"/>
      <c r="J135" s="136"/>
      <c r="K135" s="136"/>
      <c r="L135" s="136"/>
      <c r="M135" s="136"/>
      <c r="N135" s="136"/>
      <c r="O135" s="136"/>
      <c r="P135" s="136"/>
      <c r="Q135" s="136"/>
      <c r="R135" s="136"/>
      <c r="S135" s="136"/>
      <c r="T135" s="136"/>
      <c r="U135" s="136"/>
      <c r="V135" s="811"/>
      <c r="W135" s="31"/>
    </row>
    <row r="136" spans="1:29" ht="28.5">
      <c r="A136" s="830" t="s">
        <v>220</v>
      </c>
      <c r="B136" s="136"/>
      <c r="C136" s="136"/>
      <c r="D136" s="136"/>
      <c r="E136" s="136"/>
      <c r="F136" s="136"/>
      <c r="G136" s="136"/>
      <c r="H136" s="136"/>
      <c r="I136" s="136"/>
      <c r="J136" s="136"/>
      <c r="K136" s="136"/>
      <c r="L136" s="136"/>
      <c r="M136" s="136"/>
      <c r="N136" s="136"/>
      <c r="O136" s="136"/>
      <c r="P136" s="136"/>
      <c r="Q136" s="136"/>
      <c r="R136" s="136"/>
      <c r="S136" s="136"/>
      <c r="T136" s="136"/>
      <c r="U136" s="136"/>
      <c r="V136" s="811"/>
      <c r="W136" s="31"/>
    </row>
    <row r="137" spans="1:29">
      <c r="A137" s="814"/>
      <c r="B137" s="484">
        <f>IF(SUM('Fuel Equipment'!B63:B71)&gt;4,IF(VLOOKUP('Fuel Equipment'!B22,$A$126:$B$134,2,FALSE)&gt;0,0,1),0)</f>
        <v>0</v>
      </c>
      <c r="C137" s="484">
        <f>IF(SUM('Fuel Equipment'!C63:C71)&gt;4,IF(VLOOKUP('Fuel Equipment'!C22,$A$126:$B$134,2,FALSE)&gt;0,0,1),0)</f>
        <v>0</v>
      </c>
      <c r="D137" s="484">
        <f>IF(SUM('Fuel Equipment'!D63:D71)&gt;4,IF(VLOOKUP('Fuel Equipment'!D22,$A$126:$B$134,2,FALSE)&gt;0,0,1),0)</f>
        <v>0</v>
      </c>
      <c r="E137" s="484">
        <f>IF(SUM('Fuel Equipment'!E63:E71)&gt;4,IF(VLOOKUP('Fuel Equipment'!E22,$A$126:$B$134,2,FALSE)&gt;0,0,1),0)</f>
        <v>0</v>
      </c>
      <c r="F137" s="484">
        <f>IF(SUM('Fuel Equipment'!F63:F71)&gt;4,IF(VLOOKUP('Fuel Equipment'!F22,$A$126:$B$134,2,FALSE)&gt;0,0,1),0)</f>
        <v>0</v>
      </c>
      <c r="G137" s="484">
        <f>IF(SUM('Fuel Equipment'!G63:G71)&gt;4,IF(VLOOKUP('Fuel Equipment'!G22,$A$126:$B$134,2,FALSE)&gt;0,0,1),0)</f>
        <v>0</v>
      </c>
      <c r="H137" s="484">
        <f>IF(SUM('Fuel Equipment'!H63:H71)&gt;4,IF(VLOOKUP('Fuel Equipment'!H22,$A$126:$B$134,2,FALSE)&gt;0,0,1),0)</f>
        <v>0</v>
      </c>
      <c r="I137" s="484">
        <f>IF(SUM('Fuel Equipment'!I63:I71)&gt;4,IF(VLOOKUP('Fuel Equipment'!I22,$A$126:$B$134,2,FALSE)&gt;0,0,1),0)</f>
        <v>0</v>
      </c>
      <c r="J137" s="484">
        <f>IF(SUM('Fuel Equipment'!J63:J71)&gt;4,IF(VLOOKUP('Fuel Equipment'!J22,$A$126:$B$134,2,FALSE)&gt;0,0,1),0)</f>
        <v>0</v>
      </c>
      <c r="K137" s="484">
        <f>IF(SUM('Fuel Equipment'!K63:K71)&gt;4,IF(VLOOKUP('Fuel Equipment'!K22,$A$126:$B$134,2,FALSE)&gt;0,0,1),0)</f>
        <v>0</v>
      </c>
      <c r="L137" s="484">
        <f>IF(SUM('Fuel Equipment'!L63:L71)&gt;4,IF(VLOOKUP('Fuel Equipment'!L22,$A$126:$B$134,2,FALSE)&gt;0,0,1),0)</f>
        <v>0</v>
      </c>
      <c r="M137" s="484"/>
      <c r="N137" s="484"/>
      <c r="O137" s="484"/>
      <c r="P137" s="484"/>
      <c r="Q137" s="484"/>
      <c r="R137" s="484"/>
      <c r="S137" s="484"/>
      <c r="T137" s="717"/>
      <c r="U137" s="717"/>
      <c r="W137" s="485"/>
      <c r="X137" s="77"/>
      <c r="Y137" s="77"/>
      <c r="Z137" s="77"/>
      <c r="AA137" s="77"/>
      <c r="AB137" s="77"/>
      <c r="AC137" s="77"/>
    </row>
    <row r="138" spans="1:29">
      <c r="A138" s="814" t="s">
        <v>223</v>
      </c>
      <c r="B138" s="136"/>
      <c r="C138" s="136"/>
      <c r="D138" s="136"/>
      <c r="E138" s="136"/>
      <c r="F138" s="136"/>
      <c r="G138" s="136"/>
      <c r="H138" s="136"/>
      <c r="I138" s="136"/>
      <c r="J138" s="136"/>
      <c r="K138" s="136"/>
      <c r="L138" s="136"/>
      <c r="M138" s="136"/>
      <c r="N138" s="136"/>
      <c r="O138" s="136"/>
      <c r="P138" s="136"/>
      <c r="Q138" s="136"/>
      <c r="R138" s="136"/>
      <c r="S138" s="137"/>
      <c r="T138" s="717"/>
      <c r="U138" s="717"/>
      <c r="W138" s="31"/>
    </row>
    <row r="139" spans="1:29">
      <c r="A139" s="814"/>
      <c r="B139" s="136">
        <f>IF('Fuel Equipment'!B22='Data Entry Fuel'!$B$2,VLOOKUP('Fuel Equipment'!B$17,'Data Entry Fuel'!$A$4:$AC$120,$S125,FALSE),IF('Fuel Equipment'!B22='Data Entry Fuel'!$C$2,VLOOKUP('Fuel Equipment'!B$17,'Data Entry Fuel'!$A$4:$AC$120,$T125,FALSE),IF('Fuel Equipment'!B22='Data Entry Fuel'!$D$2,VLOOKUP('Fuel Equipment'!B$17,'Data Entry Fuel'!$A$4:$AC$120,$U125,FALSE),IF('Fuel Equipment'!B22='Data Entry Fuel'!$E$2,VLOOKUP('Fuel Equipment'!B$17,'Data Entry Fuel'!$A$4:$AC$120,$V125,FALSE),IF('Fuel Equipment'!B22='Data Entry Fuel'!$F$2,VLOOKUP('Fuel Equipment'!B$17,'Data Entry Fuel'!$A$4:$AC$120,$W125,FALSE),IF('Fuel Equipment'!B22='Data Entry Fuel'!$G$2,VLOOKUP('Fuel Equipment'!B$17,'Data Entry Fuel'!$A$4:$AC$120,$X125,FALSE),IF('Fuel Equipment'!B22='Data Entry Fuel'!$H$2,VLOOKUP('Fuel Equipment'!B$17,'Data Entry Fuel'!$A$4:$AC$120,$Y125,FALSE),IF('Fuel Equipment'!B22='Data Entry Fuel'!$I$2,VLOOKUP('Fuel Equipment'!B$17,'Data Entry Fuel'!$A$4:$AC$120,$Z125,FALSE),IF('Fuel Equipment'!B22='Data Entry Fuel'!$J$2,VLOOKUP('Fuel Equipment'!B$17,'Data Entry Fuel'!$A$4:$AC$120,$AA125,FALSE),"ERROR")))))))))</f>
        <v>3844</v>
      </c>
      <c r="C139" s="136">
        <f>IF('Fuel Equipment'!C22='Data Entry Fuel'!$B$2,VLOOKUP('Fuel Equipment'!C$17,'Data Entry Fuel'!$A$4:$AC$120,$S125,FALSE),IF('Fuel Equipment'!C22='Data Entry Fuel'!$C$2,VLOOKUP('Fuel Equipment'!C$17,'Data Entry Fuel'!$A$4:$AC$120,$T125,FALSE),IF('Fuel Equipment'!C22='Data Entry Fuel'!$D$2,VLOOKUP('Fuel Equipment'!C$17,'Data Entry Fuel'!$A$4:$AC$120,$U125,FALSE),IF('Fuel Equipment'!C22='Data Entry Fuel'!$E$2,VLOOKUP('Fuel Equipment'!C$17,'Data Entry Fuel'!$A$4:$AC$120,$V125,FALSE),IF('Fuel Equipment'!C22='Data Entry Fuel'!$F$2,VLOOKUP('Fuel Equipment'!C$17,'Data Entry Fuel'!$A$4:$AC$120,$W125,FALSE),IF('Fuel Equipment'!C22='Data Entry Fuel'!$G$2,VLOOKUP('Fuel Equipment'!C$17,'Data Entry Fuel'!$A$4:$AC$120,$X125,FALSE),IF('Fuel Equipment'!C22='Data Entry Fuel'!$H$2,VLOOKUP('Fuel Equipment'!C$17,'Data Entry Fuel'!$A$4:$AC$120,$Y125,FALSE),IF('Fuel Equipment'!C22='Data Entry Fuel'!$I$2,VLOOKUP('Fuel Equipment'!C$17,'Data Entry Fuel'!$A$4:$AC$120,$Z125,FALSE),IF('Fuel Equipment'!C22='Data Entry Fuel'!$J$2,VLOOKUP('Fuel Equipment'!C$17,'Data Entry Fuel'!$A$4:$AC$120,$AA125,FALSE),"ERROR")))))))))</f>
        <v>3844</v>
      </c>
      <c r="D139" s="136">
        <f>IF('Fuel Equipment'!D22='Data Entry Fuel'!$B$2,VLOOKUP('Fuel Equipment'!D$17,'Data Entry Fuel'!$A$4:$AC$120,$S125,FALSE),IF('Fuel Equipment'!D22='Data Entry Fuel'!$C$2,VLOOKUP('Fuel Equipment'!D$17,'Data Entry Fuel'!$A$4:$AC$120,$T125,FALSE),IF('Fuel Equipment'!D22='Data Entry Fuel'!$D$2,VLOOKUP('Fuel Equipment'!D$17,'Data Entry Fuel'!$A$4:$AC$120,$U125,FALSE),IF('Fuel Equipment'!D22='Data Entry Fuel'!$E$2,VLOOKUP('Fuel Equipment'!D$17,'Data Entry Fuel'!$A$4:$AC$120,$V125,FALSE),IF('Fuel Equipment'!D22='Data Entry Fuel'!$F$2,VLOOKUP('Fuel Equipment'!D$17,'Data Entry Fuel'!$A$4:$AC$120,$W125,FALSE),IF('Fuel Equipment'!D22='Data Entry Fuel'!$G$2,VLOOKUP('Fuel Equipment'!D$17,'Data Entry Fuel'!$A$4:$AC$120,$X125,FALSE),IF('Fuel Equipment'!D22='Data Entry Fuel'!$H$2,VLOOKUP('Fuel Equipment'!D$17,'Data Entry Fuel'!$A$4:$AC$120,$Y125,FALSE),IF('Fuel Equipment'!D22='Data Entry Fuel'!$I$2,VLOOKUP('Fuel Equipment'!D$17,'Data Entry Fuel'!$A$4:$AC$120,$Z125,FALSE),IF('Fuel Equipment'!D22='Data Entry Fuel'!$J$2,VLOOKUP('Fuel Equipment'!D$17,'Data Entry Fuel'!$A$4:$AC$120,$AA125,FALSE),"ERROR")))))))))</f>
        <v>96057</v>
      </c>
      <c r="E139" s="136">
        <f>IF('Fuel Equipment'!E22='Data Entry Fuel'!$B$2,VLOOKUP('Fuel Equipment'!E$17,'Data Entry Fuel'!$A$4:$AC$120,$S125,FALSE),IF('Fuel Equipment'!E22='Data Entry Fuel'!$C$2,VLOOKUP('Fuel Equipment'!E$17,'Data Entry Fuel'!$A$4:$AC$120,$T125,FALSE),IF('Fuel Equipment'!E22='Data Entry Fuel'!$D$2,VLOOKUP('Fuel Equipment'!E$17,'Data Entry Fuel'!$A$4:$AC$120,$U125,FALSE),IF('Fuel Equipment'!E22='Data Entry Fuel'!$E$2,VLOOKUP('Fuel Equipment'!E$17,'Data Entry Fuel'!$A$4:$AC$120,$V125,FALSE),IF('Fuel Equipment'!E22='Data Entry Fuel'!$F$2,VLOOKUP('Fuel Equipment'!E$17,'Data Entry Fuel'!$A$4:$AC$120,$W125,FALSE),IF('Fuel Equipment'!E22='Data Entry Fuel'!$G$2,VLOOKUP('Fuel Equipment'!E$17,'Data Entry Fuel'!$A$4:$AC$120,$X125,FALSE),IF('Fuel Equipment'!E22='Data Entry Fuel'!$H$2,VLOOKUP('Fuel Equipment'!E$17,'Data Entry Fuel'!$A$4:$AC$120,$Y125,FALSE),IF('Fuel Equipment'!E22='Data Entry Fuel'!$I$2,VLOOKUP('Fuel Equipment'!E$17,'Data Entry Fuel'!$A$4:$AC$120,$Z125,FALSE),IF('Fuel Equipment'!E22='Data Entry Fuel'!$J$2,VLOOKUP('Fuel Equipment'!E$17,'Data Entry Fuel'!$A$4:$AC$120,$AA125,FALSE),"ERROR")))))))))</f>
        <v>3844</v>
      </c>
      <c r="F139" s="136">
        <f>IF('Fuel Equipment'!F22='Data Entry Fuel'!$B$2,VLOOKUP('Fuel Equipment'!F$17,'Data Entry Fuel'!$A$4:$AC$120,$S125,FALSE),IF('Fuel Equipment'!F22='Data Entry Fuel'!$C$2,VLOOKUP('Fuel Equipment'!F$17,'Data Entry Fuel'!$A$4:$AC$120,$T125,FALSE),IF('Fuel Equipment'!F22='Data Entry Fuel'!$D$2,VLOOKUP('Fuel Equipment'!F$17,'Data Entry Fuel'!$A$4:$AC$120,$U125,FALSE),IF('Fuel Equipment'!F22='Data Entry Fuel'!$E$2,VLOOKUP('Fuel Equipment'!F$17,'Data Entry Fuel'!$A$4:$AC$120,$V125,FALSE),IF('Fuel Equipment'!F22='Data Entry Fuel'!$F$2,VLOOKUP('Fuel Equipment'!F$17,'Data Entry Fuel'!$A$4:$AC$120,$W125,FALSE),IF('Fuel Equipment'!F22='Data Entry Fuel'!$G$2,VLOOKUP('Fuel Equipment'!F$17,'Data Entry Fuel'!$A$4:$AC$120,$X125,FALSE),IF('Fuel Equipment'!F22='Data Entry Fuel'!$H$2,VLOOKUP('Fuel Equipment'!F$17,'Data Entry Fuel'!$A$4:$AC$120,$Y125,FALSE),IF('Fuel Equipment'!F22='Data Entry Fuel'!$I$2,VLOOKUP('Fuel Equipment'!F$17,'Data Entry Fuel'!$A$4:$AC$120,$Z125,FALSE),IF('Fuel Equipment'!F22='Data Entry Fuel'!$J$2,VLOOKUP('Fuel Equipment'!F$17,'Data Entry Fuel'!$A$4:$AC$120,$AA125,FALSE),"ERROR")))))))))</f>
        <v>0</v>
      </c>
      <c r="G139" s="136">
        <f>IF('Fuel Equipment'!G22='Data Entry Fuel'!$B$2,VLOOKUP('Fuel Equipment'!G$17,'Data Entry Fuel'!$A$4:$AC$120,$S125,FALSE),IF('Fuel Equipment'!G22='Data Entry Fuel'!$C$2,VLOOKUP('Fuel Equipment'!G$17,'Data Entry Fuel'!$A$4:$AC$120,$T125,FALSE),IF('Fuel Equipment'!G22='Data Entry Fuel'!$D$2,VLOOKUP('Fuel Equipment'!G$17,'Data Entry Fuel'!$A$4:$AC$120,$U125,FALSE),IF('Fuel Equipment'!G22='Data Entry Fuel'!$E$2,VLOOKUP('Fuel Equipment'!G$17,'Data Entry Fuel'!$A$4:$AC$120,$V125,FALSE),IF('Fuel Equipment'!G22='Data Entry Fuel'!$F$2,VLOOKUP('Fuel Equipment'!G$17,'Data Entry Fuel'!$A$4:$AC$120,$W125,FALSE),IF('Fuel Equipment'!G22='Data Entry Fuel'!$G$2,VLOOKUP('Fuel Equipment'!G$17,'Data Entry Fuel'!$A$4:$AC$120,$X125,FALSE),IF('Fuel Equipment'!G22='Data Entry Fuel'!$H$2,VLOOKUP('Fuel Equipment'!G$17,'Data Entry Fuel'!$A$4:$AC$120,$Y125,FALSE),IF('Fuel Equipment'!G22='Data Entry Fuel'!$I$2,VLOOKUP('Fuel Equipment'!G$17,'Data Entry Fuel'!$A$4:$AC$120,$Z125,FALSE),IF('Fuel Equipment'!G22='Data Entry Fuel'!$J$2,VLOOKUP('Fuel Equipment'!G$17,'Data Entry Fuel'!$A$4:$AC$120,$AA125,FALSE),"ERROR")))))))))</f>
        <v>0</v>
      </c>
      <c r="H139" s="136">
        <f>IF('Fuel Equipment'!H22='Data Entry Fuel'!$B$2,VLOOKUP('Fuel Equipment'!H$17,'Data Entry Fuel'!$A$4:$AC$120,$S125,FALSE),IF('Fuel Equipment'!H22='Data Entry Fuel'!$C$2,VLOOKUP('Fuel Equipment'!H$17,'Data Entry Fuel'!$A$4:$AC$120,$T125,FALSE),IF('Fuel Equipment'!H22='Data Entry Fuel'!$D$2,VLOOKUP('Fuel Equipment'!H$17,'Data Entry Fuel'!$A$4:$AC$120,$U125,FALSE),IF('Fuel Equipment'!H22='Data Entry Fuel'!$E$2,VLOOKUP('Fuel Equipment'!H$17,'Data Entry Fuel'!$A$4:$AC$120,$V125,FALSE),IF('Fuel Equipment'!H22='Data Entry Fuel'!$F$2,VLOOKUP('Fuel Equipment'!H$17,'Data Entry Fuel'!$A$4:$AC$120,$W125,FALSE),IF('Fuel Equipment'!H22='Data Entry Fuel'!$G$2,VLOOKUP('Fuel Equipment'!H$17,'Data Entry Fuel'!$A$4:$AC$120,$X125,FALSE),IF('Fuel Equipment'!H22='Data Entry Fuel'!$H$2,VLOOKUP('Fuel Equipment'!H$17,'Data Entry Fuel'!$A$4:$AC$120,$Y125,FALSE),IF('Fuel Equipment'!H22='Data Entry Fuel'!$I$2,VLOOKUP('Fuel Equipment'!H$17,'Data Entry Fuel'!$A$4:$AC$120,$Z125,FALSE),IF('Fuel Equipment'!H22='Data Entry Fuel'!$J$2,VLOOKUP('Fuel Equipment'!H$17,'Data Entry Fuel'!$A$4:$AC$120,$AA125,FALSE),"ERROR")))))))))</f>
        <v>0</v>
      </c>
      <c r="I139" s="136">
        <f>IF('Fuel Equipment'!I22='Data Entry Fuel'!$B$2,VLOOKUP('Fuel Equipment'!I$17,'Data Entry Fuel'!$A$4:$AC$120,$S125,FALSE),IF('Fuel Equipment'!I22='Data Entry Fuel'!$C$2,VLOOKUP('Fuel Equipment'!I$17,'Data Entry Fuel'!$A$4:$AC$120,$T125,FALSE),IF('Fuel Equipment'!I22='Data Entry Fuel'!$D$2,VLOOKUP('Fuel Equipment'!I$17,'Data Entry Fuel'!$A$4:$AC$120,$U125,FALSE),IF('Fuel Equipment'!I22='Data Entry Fuel'!$E$2,VLOOKUP('Fuel Equipment'!I$17,'Data Entry Fuel'!$A$4:$AC$120,$V125,FALSE),IF('Fuel Equipment'!I22='Data Entry Fuel'!$F$2,VLOOKUP('Fuel Equipment'!I$17,'Data Entry Fuel'!$A$4:$AC$120,$W125,FALSE),IF('Fuel Equipment'!I22='Data Entry Fuel'!$G$2,VLOOKUP('Fuel Equipment'!I$17,'Data Entry Fuel'!$A$4:$AC$120,$X125,FALSE),IF('Fuel Equipment'!I22='Data Entry Fuel'!$H$2,VLOOKUP('Fuel Equipment'!I$17,'Data Entry Fuel'!$A$4:$AC$120,$Y125,FALSE),IF('Fuel Equipment'!I22='Data Entry Fuel'!$I$2,VLOOKUP('Fuel Equipment'!I$17,'Data Entry Fuel'!$A$4:$AC$120,$Z125,FALSE),IF('Fuel Equipment'!I22='Data Entry Fuel'!$J$2,VLOOKUP('Fuel Equipment'!I$17,'Data Entry Fuel'!$A$4:$AC$120,$AA125,FALSE),"ERROR")))))))))</f>
        <v>0</v>
      </c>
      <c r="J139" s="136">
        <f>IF('Fuel Equipment'!J22='Data Entry Fuel'!$B$2,VLOOKUP('Fuel Equipment'!J$17,'Data Entry Fuel'!$A$4:$AC$120,$S125,FALSE),IF('Fuel Equipment'!J22='Data Entry Fuel'!$C$2,VLOOKUP('Fuel Equipment'!J$17,'Data Entry Fuel'!$A$4:$AC$120,$T125,FALSE),IF('Fuel Equipment'!J22='Data Entry Fuel'!$D$2,VLOOKUP('Fuel Equipment'!J$17,'Data Entry Fuel'!$A$4:$AC$120,$U125,FALSE),IF('Fuel Equipment'!J22='Data Entry Fuel'!$E$2,VLOOKUP('Fuel Equipment'!J$17,'Data Entry Fuel'!$A$4:$AC$120,$V125,FALSE),IF('Fuel Equipment'!J22='Data Entry Fuel'!$F$2,VLOOKUP('Fuel Equipment'!J$17,'Data Entry Fuel'!$A$4:$AC$120,$W125,FALSE),IF('Fuel Equipment'!J22='Data Entry Fuel'!$G$2,VLOOKUP('Fuel Equipment'!J$17,'Data Entry Fuel'!$A$4:$AC$120,$X125,FALSE),IF('Fuel Equipment'!J22='Data Entry Fuel'!$H$2,VLOOKUP('Fuel Equipment'!J$17,'Data Entry Fuel'!$A$4:$AC$120,$Y125,FALSE),IF('Fuel Equipment'!J22='Data Entry Fuel'!$I$2,VLOOKUP('Fuel Equipment'!J$17,'Data Entry Fuel'!$A$4:$AC$120,$Z125,FALSE),IF('Fuel Equipment'!J22='Data Entry Fuel'!$J$2,VLOOKUP('Fuel Equipment'!J$17,'Data Entry Fuel'!$A$4:$AC$120,$AA125,FALSE),"ERROR")))))))))</f>
        <v>0</v>
      </c>
      <c r="K139" s="136">
        <f>IF('Fuel Equipment'!K22='Data Entry Fuel'!$B$2,VLOOKUP('Fuel Equipment'!K$17,'Data Entry Fuel'!$A$4:$AC$120,$S125,FALSE),IF('Fuel Equipment'!K22='Data Entry Fuel'!$C$2,VLOOKUP('Fuel Equipment'!K$17,'Data Entry Fuel'!$A$4:$AC$120,$T125,FALSE),IF('Fuel Equipment'!K22='Data Entry Fuel'!$D$2,VLOOKUP('Fuel Equipment'!K$17,'Data Entry Fuel'!$A$4:$AC$120,$U125,FALSE),IF('Fuel Equipment'!K22='Data Entry Fuel'!$E$2,VLOOKUP('Fuel Equipment'!K$17,'Data Entry Fuel'!$A$4:$AC$120,$V125,FALSE),IF('Fuel Equipment'!K22='Data Entry Fuel'!$F$2,VLOOKUP('Fuel Equipment'!K$17,'Data Entry Fuel'!$A$4:$AC$120,$W125,FALSE),IF('Fuel Equipment'!K22='Data Entry Fuel'!$G$2,VLOOKUP('Fuel Equipment'!K$17,'Data Entry Fuel'!$A$4:$AC$120,$X125,FALSE),IF('Fuel Equipment'!K22='Data Entry Fuel'!$H$2,VLOOKUP('Fuel Equipment'!K$17,'Data Entry Fuel'!$A$4:$AC$120,$Y125,FALSE),IF('Fuel Equipment'!K22='Data Entry Fuel'!$I$2,VLOOKUP('Fuel Equipment'!K$17,'Data Entry Fuel'!$A$4:$AC$120,$Z125,FALSE),IF('Fuel Equipment'!K22='Data Entry Fuel'!$J$2,VLOOKUP('Fuel Equipment'!K$17,'Data Entry Fuel'!$A$4:$AC$120,$AA125,FALSE),"ERROR")))))))))</f>
        <v>0</v>
      </c>
      <c r="L139" s="136">
        <f>IF('Fuel Equipment'!L22='Data Entry Fuel'!$B$2,VLOOKUP('Fuel Equipment'!L$17,'Data Entry Fuel'!$A$4:$AC$120,$S125,FALSE),IF('Fuel Equipment'!L22='Data Entry Fuel'!$C$2,VLOOKUP('Fuel Equipment'!L$17,'Data Entry Fuel'!$A$4:$AC$120,$T125,FALSE),IF('Fuel Equipment'!L22='Data Entry Fuel'!$D$2,VLOOKUP('Fuel Equipment'!L$17,'Data Entry Fuel'!$A$4:$AC$120,$U125,FALSE),IF('Fuel Equipment'!L22='Data Entry Fuel'!$E$2,VLOOKUP('Fuel Equipment'!L$17,'Data Entry Fuel'!$A$4:$AC$120,$V125,FALSE),IF('Fuel Equipment'!L22='Data Entry Fuel'!$F$2,VLOOKUP('Fuel Equipment'!L$17,'Data Entry Fuel'!$A$4:$AC$120,$W125,FALSE),IF('Fuel Equipment'!L22='Data Entry Fuel'!$G$2,VLOOKUP('Fuel Equipment'!L$17,'Data Entry Fuel'!$A$4:$AC$120,$X125,FALSE),IF('Fuel Equipment'!L22='Data Entry Fuel'!$H$2,VLOOKUP('Fuel Equipment'!L$17,'Data Entry Fuel'!$A$4:$AC$120,$Y125,FALSE),IF('Fuel Equipment'!L22='Data Entry Fuel'!$I$2,VLOOKUP('Fuel Equipment'!L$17,'Data Entry Fuel'!$A$4:$AC$120,$Z125,FALSE),IF('Fuel Equipment'!L22='Data Entry Fuel'!$J$2,VLOOKUP('Fuel Equipment'!L$17,'Data Entry Fuel'!$A$4:$AC$120,$AA125,FALSE),"ERROR")))))))))</f>
        <v>0</v>
      </c>
      <c r="M139" s="136"/>
      <c r="N139" s="136"/>
      <c r="O139" s="136"/>
      <c r="P139" s="136"/>
      <c r="Q139" s="136"/>
      <c r="R139" s="136"/>
      <c r="S139" s="136"/>
      <c r="T139" s="717"/>
      <c r="U139" s="717"/>
      <c r="W139" s="31"/>
    </row>
    <row r="140" spans="1:29">
      <c r="A140" s="814"/>
      <c r="B140" s="136">
        <f>IF(SUM('Fuel Equipment'!B63:B71)&gt;4,IF('Data Entry Fuel'!B139&gt;0,0,1),0)</f>
        <v>0</v>
      </c>
      <c r="C140" s="136">
        <f>IF(SUM('Fuel Equipment'!C63:C71)&gt;4,IF('Data Entry Fuel'!C139&gt;0,0,1),0)</f>
        <v>0</v>
      </c>
      <c r="D140" s="136">
        <f>IF(SUM('Fuel Equipment'!D63:D71)&gt;4,IF('Data Entry Fuel'!D139&gt;0,0,1),0)</f>
        <v>0</v>
      </c>
      <c r="E140" s="136">
        <f>IF(SUM('Fuel Equipment'!E63:E71)&gt;4,IF('Data Entry Fuel'!E139&gt;0,0,1),0)</f>
        <v>0</v>
      </c>
      <c r="F140" s="136">
        <f>IF(SUM('Fuel Equipment'!F63:F71)&gt;4,IF('Data Entry Fuel'!F139&gt;0,0,1),0)</f>
        <v>0</v>
      </c>
      <c r="G140" s="136">
        <f>IF(SUM('Fuel Equipment'!G63:G71)&gt;4,IF('Data Entry Fuel'!G139&gt;0,0,1),0)</f>
        <v>0</v>
      </c>
      <c r="H140" s="136">
        <f>IF(SUM('Fuel Equipment'!H63:H71)&gt;4,IF('Data Entry Fuel'!H139&gt;0,0,1),0)</f>
        <v>0</v>
      </c>
      <c r="I140" s="136">
        <f>IF(SUM('Fuel Equipment'!I63:I71)&gt;4,IF('Data Entry Fuel'!I139&gt;0,0,1),0)</f>
        <v>0</v>
      </c>
      <c r="J140" s="136">
        <f>IF(SUM('Fuel Equipment'!J63:J71)&gt;4,IF('Data Entry Fuel'!J139&gt;0,0,1),0)</f>
        <v>0</v>
      </c>
      <c r="K140" s="136">
        <f>IF(SUM('Fuel Equipment'!K63:K71)&gt;4,IF('Data Entry Fuel'!K139&gt;0,0,1),0)</f>
        <v>0</v>
      </c>
      <c r="L140" s="136">
        <f>IF(SUM('Fuel Equipment'!L63:L71)&gt;4,IF('Data Entry Fuel'!L139&gt;0,0,1),0)</f>
        <v>0</v>
      </c>
      <c r="M140" s="136"/>
      <c r="N140" s="136"/>
      <c r="O140" s="136"/>
      <c r="P140" s="136"/>
      <c r="Q140" s="136"/>
      <c r="R140" s="136"/>
      <c r="S140" s="136"/>
      <c r="T140" s="717"/>
      <c r="U140" s="717"/>
      <c r="W140" s="31"/>
    </row>
    <row r="141" spans="1:29">
      <c r="A141" s="814"/>
      <c r="B141" s="136"/>
      <c r="C141" s="136"/>
      <c r="D141" s="136"/>
      <c r="E141" s="136"/>
      <c r="F141" s="136"/>
      <c r="G141" s="136"/>
      <c r="H141" s="136"/>
      <c r="I141" s="136"/>
      <c r="J141" s="136"/>
      <c r="K141" s="136"/>
      <c r="L141" s="136"/>
      <c r="M141" s="136"/>
      <c r="N141" s="136"/>
      <c r="O141" s="136"/>
      <c r="P141" s="136"/>
      <c r="Q141" s="136"/>
      <c r="R141" s="136"/>
      <c r="S141" s="136"/>
      <c r="T141" s="136"/>
      <c r="U141" s="136"/>
      <c r="V141" s="811"/>
      <c r="W141" s="31"/>
    </row>
    <row r="142" spans="1:29" ht="28.5">
      <c r="A142" s="830" t="s">
        <v>278</v>
      </c>
      <c r="B142" s="136"/>
      <c r="C142" s="136"/>
      <c r="D142" s="136"/>
      <c r="E142" s="136"/>
      <c r="F142" s="136"/>
      <c r="G142" s="136"/>
      <c r="H142" s="136"/>
      <c r="I142" s="136"/>
      <c r="J142" s="136"/>
      <c r="K142" s="136"/>
      <c r="L142" s="136"/>
      <c r="M142" s="136"/>
      <c r="N142" s="136"/>
      <c r="O142" s="136"/>
      <c r="P142" s="136"/>
      <c r="Q142" s="136"/>
      <c r="R142" s="136"/>
      <c r="S142" s="136"/>
      <c r="T142" s="136"/>
      <c r="U142" s="136"/>
      <c r="V142" s="811"/>
    </row>
    <row r="143" spans="1:29">
      <c r="A143" s="814"/>
      <c r="B143" s="136">
        <f>IF(Lighting!B49&gt;0,IF(VLOOKUP(Lighting!B46,$A$126:$B$134,2,FALSE)&gt;0,0,1),0)</f>
        <v>0</v>
      </c>
      <c r="C143" s="136">
        <f>IF(Lighting!C49&gt;0,IF(VLOOKUP(Lighting!C46,$A$126:$B$134,2,FALSE)&gt;0,0,1),0)</f>
        <v>0</v>
      </c>
      <c r="D143" s="136">
        <f>IF(Lighting!D49&gt;0,IF(VLOOKUP(Lighting!D46,$A$126:$B$134,2,FALSE)&gt;0,0,1),0)</f>
        <v>0</v>
      </c>
      <c r="E143" s="136">
        <f>IF(Lighting!E49&gt;0,IF(VLOOKUP(Lighting!E46,$A$126:$B$134,2,FALSE)&gt;0,0,1),0)</f>
        <v>0</v>
      </c>
      <c r="F143" s="136">
        <f>IF(Lighting!F49&gt;0,IF(VLOOKUP(Lighting!F46,$A$126:$B$134,2,FALSE)&gt;0,0,1),0)</f>
        <v>0</v>
      </c>
      <c r="G143" s="136">
        <f>IF(Lighting!G49&gt;0,IF(VLOOKUP(Lighting!G46,$A$126:$B$134,2,FALSE)&gt;0,0,1),0)</f>
        <v>0</v>
      </c>
      <c r="H143" s="136">
        <f>IF(Lighting!H49&gt;0,IF(VLOOKUP(Lighting!H46,$A$126:$B$134,2,FALSE)&gt;0,0,1),0)</f>
        <v>0</v>
      </c>
      <c r="I143" s="136">
        <f>IF(Lighting!I49&gt;0,IF(VLOOKUP(Lighting!I46,$A$126:$B$134,2,FALSE)&gt;0,0,1),0)</f>
        <v>0</v>
      </c>
      <c r="J143" s="136">
        <f>IF(Lighting!J49&gt;0,IF(VLOOKUP(Lighting!J46,$A$126:$B$134,2,FALSE)&gt;0,0,1),0)</f>
        <v>0</v>
      </c>
      <c r="K143" s="136">
        <f>IF(Lighting!K49&gt;0,IF(VLOOKUP(Lighting!K46,$A$126:$B$134,2,FALSE)&gt;0,0,1),0)</f>
        <v>0</v>
      </c>
      <c r="L143" s="136">
        <f>IF(Lighting!L49&gt;0,IF(VLOOKUP(Lighting!L46,$A$126:$B$134,2,FALSE)&gt;0,0,1),0)</f>
        <v>0</v>
      </c>
      <c r="M143" s="136"/>
      <c r="N143" s="136"/>
      <c r="O143" s="136"/>
      <c r="P143" s="136"/>
      <c r="Q143" s="136"/>
      <c r="R143" s="136"/>
      <c r="S143" s="136"/>
      <c r="T143" s="136"/>
      <c r="U143" s="136"/>
      <c r="V143" s="811"/>
    </row>
    <row r="144" spans="1:29">
      <c r="A144" s="814" t="s">
        <v>279</v>
      </c>
      <c r="B144" s="136"/>
      <c r="C144" s="136"/>
      <c r="D144" s="136"/>
      <c r="E144" s="136"/>
      <c r="F144" s="136"/>
      <c r="G144" s="136"/>
      <c r="H144" s="136"/>
      <c r="I144" s="136"/>
      <c r="J144" s="136"/>
      <c r="K144" s="136"/>
      <c r="L144" s="136"/>
      <c r="M144" s="136"/>
      <c r="N144" s="136"/>
      <c r="O144" s="136"/>
      <c r="P144" s="136"/>
      <c r="Q144" s="136"/>
      <c r="R144" s="136"/>
      <c r="S144" s="136"/>
      <c r="T144" s="136"/>
      <c r="U144" s="136"/>
      <c r="V144" s="811"/>
    </row>
    <row r="145" spans="1:22">
      <c r="A145" s="814"/>
      <c r="B145" s="136">
        <f>IF(Lighting!B46='Data Entry Fuel'!$B$2,VLOOKUP(Lighting!B$44,'Data Entry Fuel'!$A$4:$AC$120,$S125,FALSE),IF(Lighting!B46='Data Entry Fuel'!$C$2,VLOOKUP(Lighting!B$44,'Data Entry Fuel'!$A$4:$AC$120,$T125,FALSE),IF(Lighting!B46='Data Entry Fuel'!$D$2,VLOOKUP(Lighting!B$44,'Data Entry Fuel'!$A$4:$AC$120,$U125,FALSE),IF(Lighting!B46='Data Entry Fuel'!$E$2,VLOOKUP(Lighting!B$44,'Data Entry Fuel'!$A$4:$AC$120,$V125,FALSE),IF(Lighting!B46='Data Entry Fuel'!$F$2,VLOOKUP(Lighting!B$44,'Data Entry Fuel'!$A$4:$AC$120,$W125,FALSE),IF(Lighting!B46='Data Entry Fuel'!$G$2,VLOOKUP(Lighting!B$44,'Data Entry Fuel'!$A$4:$AC$120,$X125,FALSE),IF(Lighting!B46='Data Entry Fuel'!$H$2,VLOOKUP(Lighting!B$44,'Data Entry Fuel'!$A$4:$AC$120,$Y125,FALSE),IF(Lighting!B46='Data Entry Fuel'!$I$2,VLOOKUP(Lighting!B$44,'Data Entry Fuel'!$A$4:$AC$120,$Z125,FALSE),IF(Lighting!B46='Data Entry Fuel'!$J$2,VLOOKUP(Lighting!B$44,'Data Entry Fuel'!$A$4:$AC$120,$AA125,FALSE),"Error")))))))))</f>
        <v>120150</v>
      </c>
      <c r="C145" s="136">
        <f>IF(Lighting!C46='Data Entry Fuel'!$B$2,VLOOKUP(Lighting!C$44,'Data Entry Fuel'!$A$4:$AC$120,$S125,FALSE),IF(Lighting!C46='Data Entry Fuel'!$C$2,VLOOKUP(Lighting!C$44,'Data Entry Fuel'!$A$4:$AC$120,$T125,FALSE),IF(Lighting!C46='Data Entry Fuel'!$D$2,VLOOKUP(Lighting!C$44,'Data Entry Fuel'!$A$4:$AC$120,$U125,FALSE),IF(Lighting!C46='Data Entry Fuel'!$E$2,VLOOKUP(Lighting!C$44,'Data Entry Fuel'!$A$4:$AC$120,$V125,FALSE),IF(Lighting!C46='Data Entry Fuel'!$F$2,VLOOKUP(Lighting!C$44,'Data Entry Fuel'!$A$4:$AC$120,$W125,FALSE),IF(Lighting!C46='Data Entry Fuel'!$G$2,VLOOKUP(Lighting!C$44,'Data Entry Fuel'!$A$4:$AC$120,$X125,FALSE),IF(Lighting!C46='Data Entry Fuel'!$H$2,VLOOKUP(Lighting!C$44,'Data Entry Fuel'!$A$4:$AC$120,$Y125,FALSE),IF(Lighting!C46='Data Entry Fuel'!$I$2,VLOOKUP(Lighting!C$44,'Data Entry Fuel'!$A$4:$AC$120,$Z125,FALSE),IF(Lighting!C46='Data Entry Fuel'!$J$2,VLOOKUP(Lighting!C$44,'Data Entry Fuel'!$A$4:$AC$120,$AA125,FALSE),"Error")))))))))</f>
        <v>0</v>
      </c>
      <c r="D145" s="136">
        <f>IF(Lighting!D46='Data Entry Fuel'!$B$2,VLOOKUP(Lighting!D$44,'Data Entry Fuel'!$A$4:$AC$120,$S125,FALSE),IF(Lighting!D46='Data Entry Fuel'!$C$2,VLOOKUP(Lighting!D$44,'Data Entry Fuel'!$A$4:$AC$120,$T125,FALSE),IF(Lighting!D46='Data Entry Fuel'!$D$2,VLOOKUP(Lighting!D$44,'Data Entry Fuel'!$A$4:$AC$120,$U125,FALSE),IF(Lighting!D46='Data Entry Fuel'!$E$2,VLOOKUP(Lighting!D$44,'Data Entry Fuel'!$A$4:$AC$120,$V125,FALSE),IF(Lighting!D46='Data Entry Fuel'!$F$2,VLOOKUP(Lighting!D$44,'Data Entry Fuel'!$A$4:$AC$120,$W125,FALSE),IF(Lighting!D46='Data Entry Fuel'!$G$2,VLOOKUP(Lighting!D$44,'Data Entry Fuel'!$A$4:$AC$120,$X125,FALSE),IF(Lighting!D46='Data Entry Fuel'!$H$2,VLOOKUP(Lighting!D$44,'Data Entry Fuel'!$A$4:$AC$120,$Y125,FALSE),IF(Lighting!D46='Data Entry Fuel'!$I$2,VLOOKUP(Lighting!D$44,'Data Entry Fuel'!$A$4:$AC$120,$Z125,FALSE),IF(Lighting!D46='Data Entry Fuel'!$J$2,VLOOKUP(Lighting!D$44,'Data Entry Fuel'!$A$4:$AC$120,$AA125,FALSE),"Error")))))))))</f>
        <v>0</v>
      </c>
      <c r="E145" s="136">
        <f>IF(Lighting!E46='Data Entry Fuel'!$B$2,VLOOKUP(Lighting!E$44,'Data Entry Fuel'!$A$4:$AC$120,$S125,FALSE),IF(Lighting!E46='Data Entry Fuel'!$C$2,VLOOKUP(Lighting!E$44,'Data Entry Fuel'!$A$4:$AC$120,$T125,FALSE),IF(Lighting!E46='Data Entry Fuel'!$D$2,VLOOKUP(Lighting!E$44,'Data Entry Fuel'!$A$4:$AC$120,$U125,FALSE),IF(Lighting!E46='Data Entry Fuel'!$E$2,VLOOKUP(Lighting!E$44,'Data Entry Fuel'!$A$4:$AC$120,$V125,FALSE),IF(Lighting!E46='Data Entry Fuel'!$F$2,VLOOKUP(Lighting!E$44,'Data Entry Fuel'!$A$4:$AC$120,$W125,FALSE),IF(Lighting!E46='Data Entry Fuel'!$G$2,VLOOKUP(Lighting!E$44,'Data Entry Fuel'!$A$4:$AC$120,$X125,FALSE),IF(Lighting!E46='Data Entry Fuel'!$H$2,VLOOKUP(Lighting!E$44,'Data Entry Fuel'!$A$4:$AC$120,$Y125,FALSE),IF(Lighting!E46='Data Entry Fuel'!$I$2,VLOOKUP(Lighting!E$44,'Data Entry Fuel'!$A$4:$AC$120,$Z125,FALSE),IF(Lighting!E46='Data Entry Fuel'!$J$2,VLOOKUP(Lighting!E$44,'Data Entry Fuel'!$A$4:$AC$120,$AA125,FALSE),"Error")))))))))</f>
        <v>0</v>
      </c>
      <c r="F145" s="136">
        <f>IF(Lighting!F46='Data Entry Fuel'!$B$2,VLOOKUP(Lighting!F$44,'Data Entry Fuel'!$A$4:$AC$120,$S125,FALSE),IF(Lighting!F46='Data Entry Fuel'!$C$2,VLOOKUP(Lighting!F$44,'Data Entry Fuel'!$A$4:$AC$120,$T125,FALSE),IF(Lighting!F46='Data Entry Fuel'!$D$2,VLOOKUP(Lighting!F$44,'Data Entry Fuel'!$A$4:$AC$120,$U125,FALSE),IF(Lighting!F46='Data Entry Fuel'!$E$2,VLOOKUP(Lighting!F$44,'Data Entry Fuel'!$A$4:$AC$120,$V125,FALSE),IF(Lighting!F46='Data Entry Fuel'!$F$2,VLOOKUP(Lighting!F$44,'Data Entry Fuel'!$A$4:$AC$120,$W125,FALSE),IF(Lighting!F46='Data Entry Fuel'!$G$2,VLOOKUP(Lighting!F$44,'Data Entry Fuel'!$A$4:$AC$120,$X125,FALSE),IF(Lighting!F46='Data Entry Fuel'!$H$2,VLOOKUP(Lighting!F$44,'Data Entry Fuel'!$A$4:$AC$120,$Y125,FALSE),IF(Lighting!F46='Data Entry Fuel'!$I$2,VLOOKUP(Lighting!F$44,'Data Entry Fuel'!$A$4:$AC$120,$Z125,FALSE),IF(Lighting!F46='Data Entry Fuel'!$J$2,VLOOKUP(Lighting!F$44,'Data Entry Fuel'!$A$4:$AC$120,$AA125,FALSE),"Error")))))))))</f>
        <v>0</v>
      </c>
      <c r="G145" s="136" t="str">
        <f>IF(Lighting!G46='Data Entry Fuel'!$B$2,VLOOKUP(Lighting!G$44,'Data Entry Fuel'!$A$4:$AC$120,$S125,FALSE),IF(Lighting!G46='Data Entry Fuel'!$C$2,VLOOKUP(Lighting!G$44,'Data Entry Fuel'!$A$4:$AC$120,$T125,FALSE),IF(Lighting!G46='Data Entry Fuel'!$D$2,VLOOKUP(Lighting!G$44,'Data Entry Fuel'!$A$4:$AC$120,$U125,FALSE),IF(Lighting!G46='Data Entry Fuel'!$E$2,VLOOKUP(Lighting!G$44,'Data Entry Fuel'!$A$4:$AC$120,$V125,FALSE),IF(Lighting!G46='Data Entry Fuel'!$F$2,VLOOKUP(Lighting!G$44,'Data Entry Fuel'!$A$4:$AC$120,$W125,FALSE),IF(Lighting!G46='Data Entry Fuel'!$G$2,VLOOKUP(Lighting!G$44,'Data Entry Fuel'!$A$4:$AC$120,$X125,FALSE),IF(Lighting!G46='Data Entry Fuel'!$H$2,VLOOKUP(Lighting!G$44,'Data Entry Fuel'!$A$4:$AC$120,$Y125,FALSE),IF(Lighting!G46='Data Entry Fuel'!$I$2,VLOOKUP(Lighting!G$44,'Data Entry Fuel'!$A$4:$AC$120,$Z125,FALSE),IF(Lighting!G46='Data Entry Fuel'!$J$2,VLOOKUP(Lighting!G$44,'Data Entry Fuel'!$A$4:$AC$120,$AA125,FALSE),"Error")))))))))</f>
        <v>Error</v>
      </c>
      <c r="H145" s="136" t="str">
        <f>IF(Lighting!H46='Data Entry Fuel'!$B$2,VLOOKUP(Lighting!H$44,'Data Entry Fuel'!$A$4:$AC$120,$S125,FALSE),IF(Lighting!H46='Data Entry Fuel'!$C$2,VLOOKUP(Lighting!H$44,'Data Entry Fuel'!$A$4:$AC$120,$T125,FALSE),IF(Lighting!H46='Data Entry Fuel'!$D$2,VLOOKUP(Lighting!H$44,'Data Entry Fuel'!$A$4:$AC$120,$U125,FALSE),IF(Lighting!H46='Data Entry Fuel'!$E$2,VLOOKUP(Lighting!H$44,'Data Entry Fuel'!$A$4:$AC$120,$V125,FALSE),IF(Lighting!H46='Data Entry Fuel'!$F$2,VLOOKUP(Lighting!H$44,'Data Entry Fuel'!$A$4:$AC$120,$W125,FALSE),IF(Lighting!H46='Data Entry Fuel'!$G$2,VLOOKUP(Lighting!H$44,'Data Entry Fuel'!$A$4:$AC$120,$X125,FALSE),IF(Lighting!H46='Data Entry Fuel'!$H$2,VLOOKUP(Lighting!H$44,'Data Entry Fuel'!$A$4:$AC$120,$Y125,FALSE),IF(Lighting!H46='Data Entry Fuel'!$I$2,VLOOKUP(Lighting!H$44,'Data Entry Fuel'!$A$4:$AC$120,$Z125,FALSE),IF(Lighting!H46='Data Entry Fuel'!$J$2,VLOOKUP(Lighting!H$44,'Data Entry Fuel'!$A$4:$AC$120,$AA125,FALSE),"Error")))))))))</f>
        <v>Error</v>
      </c>
      <c r="I145" s="136" t="str">
        <f>IF(Lighting!I46='Data Entry Fuel'!$B$2,VLOOKUP(Lighting!I$44,'Data Entry Fuel'!$A$4:$AC$120,$S125,FALSE),IF(Lighting!I46='Data Entry Fuel'!$C$2,VLOOKUP(Lighting!I$44,'Data Entry Fuel'!$A$4:$AC$120,$T125,FALSE),IF(Lighting!I46='Data Entry Fuel'!$D$2,VLOOKUP(Lighting!I$44,'Data Entry Fuel'!$A$4:$AC$120,$U125,FALSE),IF(Lighting!I46='Data Entry Fuel'!$E$2,VLOOKUP(Lighting!I$44,'Data Entry Fuel'!$A$4:$AC$120,$V125,FALSE),IF(Lighting!I46='Data Entry Fuel'!$F$2,VLOOKUP(Lighting!I$44,'Data Entry Fuel'!$A$4:$AC$120,$W125,FALSE),IF(Lighting!I46='Data Entry Fuel'!$G$2,VLOOKUP(Lighting!I$44,'Data Entry Fuel'!$A$4:$AC$120,$X125,FALSE),IF(Lighting!I46='Data Entry Fuel'!$H$2,VLOOKUP(Lighting!I$44,'Data Entry Fuel'!$A$4:$AC$120,$Y125,FALSE),IF(Lighting!I46='Data Entry Fuel'!$I$2,VLOOKUP(Lighting!I$44,'Data Entry Fuel'!$A$4:$AC$120,$Z125,FALSE),IF(Lighting!I46='Data Entry Fuel'!$J$2,VLOOKUP(Lighting!I$44,'Data Entry Fuel'!$A$4:$AC$120,$AA125,FALSE),"Error")))))))))</f>
        <v>Error</v>
      </c>
      <c r="J145" s="136" t="str">
        <f>IF(Lighting!J46='Data Entry Fuel'!$B$2,VLOOKUP(Lighting!J$44,'Data Entry Fuel'!$A$4:$AC$120,$S125,FALSE),IF(Lighting!J46='Data Entry Fuel'!$C$2,VLOOKUP(Lighting!J$44,'Data Entry Fuel'!$A$4:$AC$120,$T125,FALSE),IF(Lighting!J46='Data Entry Fuel'!$D$2,VLOOKUP(Lighting!J$44,'Data Entry Fuel'!$A$4:$AC$120,$U125,FALSE),IF(Lighting!J46='Data Entry Fuel'!$E$2,VLOOKUP(Lighting!J$44,'Data Entry Fuel'!$A$4:$AC$120,$V125,FALSE),IF(Lighting!J46='Data Entry Fuel'!$F$2,VLOOKUP(Lighting!J$44,'Data Entry Fuel'!$A$4:$AC$120,$W125,FALSE),IF(Lighting!J46='Data Entry Fuel'!$G$2,VLOOKUP(Lighting!J$44,'Data Entry Fuel'!$A$4:$AC$120,$X125,FALSE),IF(Lighting!J46='Data Entry Fuel'!$H$2,VLOOKUP(Lighting!J$44,'Data Entry Fuel'!$A$4:$AC$120,$Y125,FALSE),IF(Lighting!J46='Data Entry Fuel'!$I$2,VLOOKUP(Lighting!J$44,'Data Entry Fuel'!$A$4:$AC$120,$Z125,FALSE),IF(Lighting!J46='Data Entry Fuel'!$J$2,VLOOKUP(Lighting!J$44,'Data Entry Fuel'!$A$4:$AC$120,$AA125,FALSE),"Error")))))))))</f>
        <v>Error</v>
      </c>
      <c r="K145" s="136" t="str">
        <f>IF(Lighting!K46='Data Entry Fuel'!$B$2,VLOOKUP(Lighting!K$44,'Data Entry Fuel'!$A$4:$AC$120,$S125,FALSE),IF(Lighting!K46='Data Entry Fuel'!$C$2,VLOOKUP(Lighting!K$44,'Data Entry Fuel'!$A$4:$AC$120,$T125,FALSE),IF(Lighting!K46='Data Entry Fuel'!$D$2,VLOOKUP(Lighting!K$44,'Data Entry Fuel'!$A$4:$AC$120,$U125,FALSE),IF(Lighting!K46='Data Entry Fuel'!$E$2,VLOOKUP(Lighting!K$44,'Data Entry Fuel'!$A$4:$AC$120,$V125,FALSE),IF(Lighting!K46='Data Entry Fuel'!$F$2,VLOOKUP(Lighting!K$44,'Data Entry Fuel'!$A$4:$AC$120,$W125,FALSE),IF(Lighting!K46='Data Entry Fuel'!$G$2,VLOOKUP(Lighting!K$44,'Data Entry Fuel'!$A$4:$AC$120,$X125,FALSE),IF(Lighting!K46='Data Entry Fuel'!$H$2,VLOOKUP(Lighting!K$44,'Data Entry Fuel'!$A$4:$AC$120,$Y125,FALSE),IF(Lighting!K46='Data Entry Fuel'!$I$2,VLOOKUP(Lighting!K$44,'Data Entry Fuel'!$A$4:$AC$120,$Z125,FALSE),IF(Lighting!K46='Data Entry Fuel'!$J$2,VLOOKUP(Lighting!K$44,'Data Entry Fuel'!$A$4:$AC$120,$AA125,FALSE),"Error")))))))))</f>
        <v>Error</v>
      </c>
      <c r="L145" s="136" t="str">
        <f>IF(Lighting!L46='Data Entry Fuel'!$B$2,VLOOKUP(Lighting!L$44,'Data Entry Fuel'!$A$4:$AC$120,$S125,FALSE),IF(Lighting!L46='Data Entry Fuel'!$C$2,VLOOKUP(Lighting!L$44,'Data Entry Fuel'!$A$4:$AC$120,$T125,FALSE),IF(Lighting!L46='Data Entry Fuel'!$D$2,VLOOKUP(Lighting!L$44,'Data Entry Fuel'!$A$4:$AC$120,$U125,FALSE),IF(Lighting!L46='Data Entry Fuel'!$E$2,VLOOKUP(Lighting!L$44,'Data Entry Fuel'!$A$4:$AC$120,$V125,FALSE),IF(Lighting!L46='Data Entry Fuel'!$F$2,VLOOKUP(Lighting!L$44,'Data Entry Fuel'!$A$4:$AC$120,$W125,FALSE),IF(Lighting!L46='Data Entry Fuel'!$G$2,VLOOKUP(Lighting!L$44,'Data Entry Fuel'!$A$4:$AC$120,$X125,FALSE),IF(Lighting!L46='Data Entry Fuel'!$H$2,VLOOKUP(Lighting!L$44,'Data Entry Fuel'!$A$4:$AC$120,$Y125,FALSE),IF(Lighting!L46='Data Entry Fuel'!$I$2,VLOOKUP(Lighting!L$44,'Data Entry Fuel'!$A$4:$AC$120,$Z125,FALSE),IF(Lighting!L46='Data Entry Fuel'!$J$2,VLOOKUP(Lighting!L$44,'Data Entry Fuel'!$A$4:$AC$120,$AA125,FALSE),"Error")))))))))</f>
        <v>Error</v>
      </c>
      <c r="M145" s="136"/>
      <c r="N145" s="136"/>
      <c r="O145" s="136"/>
      <c r="P145" s="136"/>
      <c r="Q145" s="136"/>
      <c r="R145" s="136"/>
      <c r="S145" s="136"/>
      <c r="T145" s="136"/>
      <c r="U145" s="136"/>
      <c r="V145" s="811"/>
    </row>
    <row r="146" spans="1:22">
      <c r="A146" s="814"/>
      <c r="B146" s="136">
        <f>IF(Lighting!B49&gt;0,IF('Data Entry Fuel'!B145&gt;0,0,1),0)</f>
        <v>0</v>
      </c>
      <c r="C146" s="136">
        <f>IF(Lighting!C49&gt;0,IF('Data Entry Fuel'!C145&gt;0,0,1),0)</f>
        <v>0</v>
      </c>
      <c r="D146" s="136">
        <f>IF(Lighting!D49&gt;0,IF('Data Entry Fuel'!D145&gt;0,0,1),0)</f>
        <v>0</v>
      </c>
      <c r="E146" s="136">
        <f>IF(Lighting!E49&gt;0,IF('Data Entry Fuel'!E145&gt;0,0,1),0)</f>
        <v>0</v>
      </c>
      <c r="F146" s="136">
        <f>IF(Lighting!F49&gt;0,IF('Data Entry Fuel'!F145&gt;0,0,1),0)</f>
        <v>0</v>
      </c>
      <c r="G146" s="136">
        <f>IF(Lighting!G49&gt;0,IF('Data Entry Fuel'!G145&gt;0,0,1),0)</f>
        <v>0</v>
      </c>
      <c r="H146" s="136">
        <f>IF(Lighting!H49&gt;0,IF('Data Entry Fuel'!H145&gt;0,0,1),0)</f>
        <v>0</v>
      </c>
      <c r="I146" s="136">
        <f>IF(Lighting!I49&gt;0,IF('Data Entry Fuel'!I145&gt;0,0,1),0)</f>
        <v>0</v>
      </c>
      <c r="J146" s="136">
        <f>IF(Lighting!J49&gt;0,IF('Data Entry Fuel'!J145&gt;0,0,1),0)</f>
        <v>0</v>
      </c>
      <c r="K146" s="136">
        <f>IF(Lighting!K49&gt;0,IF('Data Entry Fuel'!K145&gt;0,0,1),0)</f>
        <v>0</v>
      </c>
      <c r="L146" s="136">
        <f>IF(Lighting!L49&gt;0,IF('Data Entry Fuel'!L145&gt;0,0,1),0)</f>
        <v>0</v>
      </c>
      <c r="M146" s="136"/>
      <c r="N146" s="136"/>
      <c r="O146" s="136"/>
      <c r="P146" s="136"/>
      <c r="Q146" s="136"/>
      <c r="R146" s="136"/>
      <c r="S146" s="136"/>
      <c r="T146" s="136"/>
      <c r="U146" s="136"/>
      <c r="V146" s="811"/>
    </row>
    <row r="147" spans="1:22">
      <c r="A147" s="814"/>
      <c r="B147" s="136"/>
      <c r="C147" s="136"/>
      <c r="D147" s="136"/>
      <c r="E147" s="136"/>
      <c r="F147" s="136"/>
      <c r="G147" s="136"/>
      <c r="H147" s="136"/>
      <c r="I147" s="136"/>
      <c r="J147" s="136"/>
      <c r="K147" s="136"/>
      <c r="L147" s="136"/>
      <c r="M147" s="136"/>
      <c r="N147" s="136"/>
      <c r="O147" s="136"/>
      <c r="P147" s="136"/>
      <c r="Q147" s="136"/>
      <c r="R147" s="136"/>
      <c r="S147" s="136"/>
      <c r="T147" s="136"/>
      <c r="U147" s="136"/>
      <c r="V147" s="811"/>
    </row>
    <row r="148" spans="1:22">
      <c r="A148" s="814"/>
      <c r="B148" s="815"/>
      <c r="C148" s="136"/>
      <c r="D148" s="136"/>
      <c r="E148" s="136"/>
      <c r="F148" s="136"/>
      <c r="G148" s="136"/>
      <c r="H148" s="136"/>
      <c r="I148" s="136"/>
      <c r="J148" s="136"/>
      <c r="K148" s="136"/>
      <c r="L148" s="136"/>
      <c r="M148" s="136"/>
      <c r="N148" s="136"/>
      <c r="O148" s="136"/>
      <c r="P148" s="136"/>
      <c r="Q148" s="136"/>
      <c r="R148" s="136"/>
      <c r="S148" s="136"/>
      <c r="T148" s="136"/>
      <c r="U148" s="136"/>
      <c r="V148" s="811"/>
    </row>
    <row r="149" spans="1:22">
      <c r="A149" s="814"/>
      <c r="B149" s="816"/>
      <c r="C149" s="136"/>
      <c r="D149" s="136"/>
      <c r="E149" s="136"/>
      <c r="F149" s="136"/>
      <c r="G149" s="136"/>
      <c r="H149" s="136"/>
      <c r="I149" s="136"/>
      <c r="J149" s="136"/>
      <c r="K149" s="136"/>
      <c r="L149" s="136"/>
      <c r="M149" s="136"/>
      <c r="N149" s="136"/>
      <c r="O149" s="136"/>
      <c r="P149" s="136"/>
      <c r="Q149" s="136"/>
      <c r="R149" s="136"/>
      <c r="S149" s="136"/>
      <c r="T149" s="136"/>
      <c r="U149" s="136"/>
      <c r="V149" s="811"/>
    </row>
    <row r="150" spans="1:22">
      <c r="A150" s="814"/>
      <c r="B150" s="136"/>
      <c r="C150" s="136"/>
      <c r="D150" s="136"/>
      <c r="E150" s="136"/>
      <c r="F150" s="136"/>
      <c r="G150" s="136"/>
      <c r="H150" s="136"/>
      <c r="I150" s="136"/>
      <c r="J150" s="136"/>
      <c r="K150" s="136"/>
      <c r="L150" s="136"/>
      <c r="M150" s="136"/>
      <c r="N150" s="136"/>
      <c r="O150" s="136"/>
      <c r="P150" s="136"/>
      <c r="Q150" s="136"/>
      <c r="R150" s="136"/>
      <c r="S150" s="136"/>
      <c r="T150" s="136"/>
      <c r="U150" s="136"/>
      <c r="V150" s="811"/>
    </row>
    <row r="151" spans="1:22">
      <c r="A151" s="814"/>
      <c r="B151" s="136"/>
      <c r="C151" s="136"/>
      <c r="D151" s="136"/>
      <c r="E151" s="136"/>
      <c r="F151" s="136"/>
      <c r="G151" s="136"/>
      <c r="H151" s="136"/>
      <c r="I151" s="136"/>
      <c r="J151" s="136"/>
      <c r="K151" s="136"/>
      <c r="L151" s="136"/>
      <c r="M151" s="136"/>
      <c r="N151" s="136"/>
      <c r="O151" s="136"/>
      <c r="P151" s="136"/>
      <c r="Q151" s="136"/>
      <c r="R151" s="136"/>
      <c r="S151" s="136"/>
      <c r="T151" s="136"/>
      <c r="U151" s="136"/>
      <c r="V151" s="811"/>
    </row>
    <row r="152" spans="1:22">
      <c r="A152" s="814"/>
      <c r="B152" s="136"/>
      <c r="C152" s="136"/>
      <c r="D152" s="136"/>
      <c r="E152" s="136"/>
      <c r="F152" s="136"/>
      <c r="G152" s="136"/>
      <c r="H152" s="136"/>
      <c r="I152" s="136"/>
      <c r="J152" s="136"/>
      <c r="K152" s="136"/>
      <c r="L152" s="136"/>
      <c r="M152" s="136"/>
      <c r="N152" s="136"/>
      <c r="O152" s="136"/>
      <c r="P152" s="136"/>
      <c r="Q152" s="136"/>
      <c r="R152" s="136"/>
      <c r="S152" s="136"/>
      <c r="T152" s="136"/>
      <c r="U152" s="136"/>
      <c r="V152" s="811"/>
    </row>
    <row r="153" spans="1:22">
      <c r="A153" s="831"/>
      <c r="B153" s="832"/>
      <c r="C153" s="833"/>
      <c r="D153" s="833"/>
      <c r="E153" s="833"/>
      <c r="F153" s="833"/>
      <c r="G153" s="833"/>
      <c r="H153" s="833"/>
      <c r="I153" s="833"/>
      <c r="J153" s="833"/>
      <c r="K153" s="833"/>
      <c r="L153" s="833"/>
      <c r="M153" s="833"/>
      <c r="N153" s="812"/>
      <c r="O153" s="812"/>
      <c r="P153" s="812"/>
      <c r="Q153" s="812"/>
      <c r="R153" s="812"/>
      <c r="S153" s="812"/>
      <c r="T153" s="812"/>
      <c r="U153" s="812"/>
      <c r="V153" s="813"/>
    </row>
    <row r="155" spans="1:22" ht="18.75" thickBot="1">
      <c r="A155" s="18" t="s">
        <v>1063</v>
      </c>
    </row>
    <row r="156" spans="1:22" ht="15" thickTop="1">
      <c r="A156" s="749" t="s">
        <v>31</v>
      </c>
      <c r="B156" s="15">
        <f>VLOOKUP(B$2,Report!$A$18:$L$34,'Actual-CO2 Calculations'!$AK5,FALSE)</f>
        <v>2.56721666666667</v>
      </c>
      <c r="C156" s="15">
        <f>VLOOKUP(C$2,Report!$A$18:$L$34,'Actual-CO2 Calculations'!$AK5,FALSE)</f>
        <v>2.6838158268333299</v>
      </c>
      <c r="D156" s="15">
        <f>VLOOKUP(D$2,Report!$A$18:$L$34,'Actual-CO2 Calculations'!$AK5,FALSE)</f>
        <v>3.10375122916667</v>
      </c>
      <c r="E156" s="15">
        <f>VLOOKUP(E$2,Report!$A$18:$L$34,'Actual-CO2 Calculations'!$AK5,FALSE)</f>
        <v>2.2923833333333299</v>
      </c>
      <c r="F156" s="15">
        <f>VLOOKUP(F$2,Report!$A$18:$L$34,'Actual-CO2 Calculations'!$AK5,FALSE)</f>
        <v>2.026777777777778E-3</v>
      </c>
      <c r="G156" s="15">
        <f>VLOOKUP(G$2,Report!$A$18:$L$34,'Actual-CO2 Calculations'!$AK5,FALSE)</f>
        <v>1.55477215566667</v>
      </c>
      <c r="H156" s="15">
        <f>VLOOKUP(H$2,Report!$A$18:$L$34,'Actual-CO2 Calculations'!$AK5,FALSE)</f>
        <v>6.1666666666666701E-3</v>
      </c>
      <c r="I156" s="15">
        <f>(I$3*VLOOKUP(I$2,Report!$A$18:$L$34,'Actual-CO2 Calculations'!$AK5,FALSE))+((1-I$3)*C156)</f>
        <v>2.6838158268333299</v>
      </c>
      <c r="J156" s="15">
        <f>VLOOKUP(J$2,Report!$A$18:$L$34,'Actual-CO2 Calculations'!$AK5,FALSE)</f>
        <v>3.8333333333333301E-3</v>
      </c>
      <c r="K156" s="15" t="e">
        <f>VLOOKUP(K$2,Report!$A$18:$L$34,'Actual-CO2 Calculations'!$AK5,FALSE)</f>
        <v>#N/A</v>
      </c>
      <c r="L156" s="3" t="e">
        <f>VLOOKUP(L$2,Report!$A$18:$L$34,'Actual-CO2 Calculations'!$AK5,FALSE)</f>
        <v>#N/A</v>
      </c>
    </row>
    <row r="157" spans="1:22">
      <c r="A157" s="743" t="s">
        <v>32</v>
      </c>
      <c r="B157" s="7">
        <f>VLOOKUP(B$2,Report!$A$18:$L$34,'Actual-CO2 Calculations'!$AK6,FALSE)</f>
        <v>2.56721666666667</v>
      </c>
      <c r="C157" s="7">
        <f>VLOOKUP(C$2,Report!$A$18:$L$34,'Actual-CO2 Calculations'!$AK6,FALSE)</f>
        <v>2.6838158268333299</v>
      </c>
      <c r="D157" s="7">
        <f>VLOOKUP(D$2,Report!$A$18:$L$34,'Actual-CO2 Calculations'!$AK6,FALSE)</f>
        <v>3.10375122916667</v>
      </c>
      <c r="E157" s="7">
        <f>VLOOKUP(E$2,Report!$A$18:$L$34,'Actual-CO2 Calculations'!$AK6,FALSE)</f>
        <v>2.2923833333333299</v>
      </c>
      <c r="F157" s="7">
        <f>VLOOKUP(F$2,Report!$A$18:$L$34,'Actual-CO2 Calculations'!$AK6,FALSE)</f>
        <v>2.026777777777778E-3</v>
      </c>
      <c r="G157" s="7">
        <f>VLOOKUP(G$2,Report!$A$18:$L$34,'Actual-CO2 Calculations'!$AK6,FALSE)</f>
        <v>1.55477215566667</v>
      </c>
      <c r="H157" s="7">
        <f>VLOOKUP(H$2,Report!$A$18:$L$34,'Actual-CO2 Calculations'!$AK6,FALSE)</f>
        <v>6.1666666666666701E-3</v>
      </c>
      <c r="I157" s="7">
        <f>(I$3*VLOOKUP(I$2,Report!$A$18:$L$34,'Actual-CO2 Calculations'!$AK6,FALSE))+((1-I$3)*C157)</f>
        <v>2.6838158268333299</v>
      </c>
      <c r="J157" s="7">
        <f>VLOOKUP(J$2,Report!$A$18:$L$34,'Actual-CO2 Calculations'!$AK6,FALSE)</f>
        <v>3.8333333333333301E-3</v>
      </c>
      <c r="K157" s="7" t="e">
        <f>VLOOKUP(K$2,Report!$A$18:$L$34,'Actual-CO2 Calculations'!$AK6,FALSE)</f>
        <v>#N/A</v>
      </c>
      <c r="L157" s="10" t="e">
        <f>VLOOKUP(L$2,Report!$A$18:$L$34,'Actual-CO2 Calculations'!$AK6,FALSE)</f>
        <v>#N/A</v>
      </c>
    </row>
    <row r="158" spans="1:22">
      <c r="A158" s="743" t="s">
        <v>33</v>
      </c>
      <c r="B158" s="7">
        <f>VLOOKUP(B$2,Report!$A$18:$L$34,'Actual-CO2 Calculations'!$AK7,FALSE)</f>
        <v>2.56721666666667</v>
      </c>
      <c r="C158" s="7">
        <f>VLOOKUP(C$2,Report!$A$18:$L$34,'Actual-CO2 Calculations'!$AK7,FALSE)</f>
        <v>2.6838158268333299</v>
      </c>
      <c r="D158" s="7">
        <f>VLOOKUP(D$2,Report!$A$18:$L$34,'Actual-CO2 Calculations'!$AK7,FALSE)</f>
        <v>3.10375122916667</v>
      </c>
      <c r="E158" s="7">
        <f>VLOOKUP(E$2,Report!$A$18:$L$34,'Actual-CO2 Calculations'!$AK7,FALSE)</f>
        <v>2.2923833333333299</v>
      </c>
      <c r="F158" s="7">
        <f>VLOOKUP(F$2,Report!$A$18:$L$34,'Actual-CO2 Calculations'!$AK7,FALSE)</f>
        <v>2.0287333333333336E-3</v>
      </c>
      <c r="G158" s="7">
        <f>VLOOKUP(G$2,Report!$A$18:$L$34,'Actual-CO2 Calculations'!$AK7,FALSE)</f>
        <v>1.55477215566667</v>
      </c>
      <c r="H158" s="7">
        <f>VLOOKUP(H$2,Report!$A$18:$L$34,'Actual-CO2 Calculations'!$AK7,FALSE)</f>
        <v>6.0166666666666702E-3</v>
      </c>
      <c r="I158" s="7">
        <f>(I$3*VLOOKUP(I$2,Report!$A$18:$L$34,'Actual-CO2 Calculations'!$AK7,FALSE))+((1-I$3)*C158)</f>
        <v>2.6838158268333299</v>
      </c>
      <c r="J158" s="7">
        <f>VLOOKUP(J$2,Report!$A$18:$L$34,'Actual-CO2 Calculations'!$AK7,FALSE)</f>
        <v>4.28333333333333E-3</v>
      </c>
      <c r="K158" s="7" t="e">
        <f>VLOOKUP(K$2,Report!$A$18:$L$34,'Actual-CO2 Calculations'!$AK7,FALSE)</f>
        <v>#N/A</v>
      </c>
      <c r="L158" s="10" t="e">
        <f>VLOOKUP(L$2,Report!$A$18:$L$34,'Actual-CO2 Calculations'!$AK7,FALSE)</f>
        <v>#N/A</v>
      </c>
    </row>
    <row r="159" spans="1:22">
      <c r="A159" s="743" t="s">
        <v>34</v>
      </c>
      <c r="B159" s="7">
        <f>VLOOKUP(B$2,Report!$A$18:$L$34,'Actual-CO2 Calculations'!$AK8,FALSE)</f>
        <v>2.56721666666667</v>
      </c>
      <c r="C159" s="7">
        <f>VLOOKUP(C$2,Report!$A$18:$L$34,'Actual-CO2 Calculations'!$AK8,FALSE)</f>
        <v>2.6838158268333299</v>
      </c>
      <c r="D159" s="7">
        <f>VLOOKUP(D$2,Report!$A$18:$L$34,'Actual-CO2 Calculations'!$AK8,FALSE)</f>
        <v>3.10375122916667</v>
      </c>
      <c r="E159" s="7">
        <f>VLOOKUP(E$2,Report!$A$18:$L$34,'Actual-CO2 Calculations'!$AK8,FALSE)</f>
        <v>2.2923833333333299</v>
      </c>
      <c r="F159" s="7">
        <f>VLOOKUP(F$2,Report!$A$18:$L$34,'Actual-CO2 Calculations'!$AK8,FALSE)</f>
        <v>2.0287333333333336E-3</v>
      </c>
      <c r="G159" s="7">
        <f>VLOOKUP(G$2,Report!$A$18:$L$34,'Actual-CO2 Calculations'!$AK8,FALSE)</f>
        <v>1.55477215566667</v>
      </c>
      <c r="H159" s="7">
        <f>VLOOKUP(H$2,Report!$A$18:$L$34,'Actual-CO2 Calculations'!$AK8,FALSE)</f>
        <v>6.0166666666666702E-3</v>
      </c>
      <c r="I159" s="7">
        <f>(I$3*VLOOKUP(I$2,Report!$A$18:$L$34,'Actual-CO2 Calculations'!$AK8,FALSE))+((1-I$3)*C159)</f>
        <v>2.6838158268333299</v>
      </c>
      <c r="J159" s="7">
        <f>VLOOKUP(J$2,Report!$A$18:$L$34,'Actual-CO2 Calculations'!$AK8,FALSE)</f>
        <v>4.28333333333333E-3</v>
      </c>
      <c r="K159" s="7" t="e">
        <f>VLOOKUP(K$2,Report!$A$18:$L$34,'Actual-CO2 Calculations'!$AK8,FALSE)</f>
        <v>#N/A</v>
      </c>
      <c r="L159" s="10" t="e">
        <f>VLOOKUP(L$2,Report!$A$18:$L$34,'Actual-CO2 Calculations'!$AK8,FALSE)</f>
        <v>#N/A</v>
      </c>
    </row>
    <row r="160" spans="1:22">
      <c r="A160" s="743" t="s">
        <v>35</v>
      </c>
      <c r="B160" s="7">
        <f>VLOOKUP(B$2,Report!$A$18:$L$34,'Actual-CO2 Calculations'!$AK9,FALSE)</f>
        <v>2.56721666666667</v>
      </c>
      <c r="C160" s="7">
        <f>VLOOKUP(C$2,Report!$A$18:$L$34,'Actual-CO2 Calculations'!$AK9,FALSE)</f>
        <v>2.6838158268333299</v>
      </c>
      <c r="D160" s="7">
        <f>VLOOKUP(D$2,Report!$A$18:$L$34,'Actual-CO2 Calculations'!$AK9,FALSE)</f>
        <v>3.10375122916667</v>
      </c>
      <c r="E160" s="7">
        <f>VLOOKUP(E$2,Report!$A$18:$L$34,'Actual-CO2 Calculations'!$AK9,FALSE)</f>
        <v>2.2923833333333299</v>
      </c>
      <c r="F160" s="7">
        <f>VLOOKUP(F$2,Report!$A$18:$L$34,'Actual-CO2 Calculations'!$AK9,FALSE)</f>
        <v>2.0287333333333336E-3</v>
      </c>
      <c r="G160" s="7">
        <f>VLOOKUP(G$2,Report!$A$18:$L$34,'Actual-CO2 Calculations'!$AK9,FALSE)</f>
        <v>1.55477215566667</v>
      </c>
      <c r="H160" s="7">
        <f>VLOOKUP(H$2,Report!$A$18:$L$34,'Actual-CO2 Calculations'!$AK9,FALSE)</f>
        <v>6.0166666666666702E-3</v>
      </c>
      <c r="I160" s="7">
        <f>(I$3*VLOOKUP(I$2,Report!$A$18:$L$34,'Actual-CO2 Calculations'!$AK9,FALSE))+((1-I$3)*C160)</f>
        <v>2.6838158268333299</v>
      </c>
      <c r="J160" s="7">
        <f>VLOOKUP(J$2,Report!$A$18:$L$34,'Actual-CO2 Calculations'!$AK9,FALSE)</f>
        <v>4.28333333333333E-3</v>
      </c>
      <c r="K160" s="7" t="e">
        <f>VLOOKUP(K$2,Report!$A$18:$L$34,'Actual-CO2 Calculations'!$AK9,FALSE)</f>
        <v>#N/A</v>
      </c>
      <c r="L160" s="10" t="e">
        <f>VLOOKUP(L$2,Report!$A$18:$L$34,'Actual-CO2 Calculations'!$AK9,FALSE)</f>
        <v>#N/A</v>
      </c>
    </row>
    <row r="161" spans="1:12">
      <c r="A161" s="743" t="s">
        <v>36</v>
      </c>
      <c r="B161" s="7">
        <f>VLOOKUP(B$2,Report!$A$18:$L$34,'Actual-CO2 Calculations'!$AK10,FALSE)</f>
        <v>2.56721666666667</v>
      </c>
      <c r="C161" s="7">
        <f>VLOOKUP(C$2,Report!$A$18:$L$34,'Actual-CO2 Calculations'!$AK10,FALSE)</f>
        <v>2.6838158268333299</v>
      </c>
      <c r="D161" s="7">
        <f>VLOOKUP(D$2,Report!$A$18:$L$34,'Actual-CO2 Calculations'!$AK10,FALSE)</f>
        <v>3.10375122916667</v>
      </c>
      <c r="E161" s="7">
        <f>VLOOKUP(E$2,Report!$A$18:$L$34,'Actual-CO2 Calculations'!$AK10,FALSE)</f>
        <v>2.2923833333333299</v>
      </c>
      <c r="F161" s="7">
        <f>VLOOKUP(F$2,Report!$A$18:$L$34,'Actual-CO2 Calculations'!$AK10,FALSE)</f>
        <v>2.0287333333333336E-3</v>
      </c>
      <c r="G161" s="7">
        <f>VLOOKUP(G$2,Report!$A$18:$L$34,'Actual-CO2 Calculations'!$AK10,FALSE)</f>
        <v>1.55477215566667</v>
      </c>
      <c r="H161" s="7">
        <f>VLOOKUP(H$2,Report!$A$18:$L$34,'Actual-CO2 Calculations'!$AK10,FALSE)</f>
        <v>6.0166666666666702E-3</v>
      </c>
      <c r="I161" s="7">
        <f>(I$3*VLOOKUP(I$2,Report!$A$18:$L$34,'Actual-CO2 Calculations'!$AK10,FALSE))+((1-I$3)*C161)</f>
        <v>2.6838158268333299</v>
      </c>
      <c r="J161" s="7">
        <f>VLOOKUP(J$2,Report!$A$18:$L$34,'Actual-CO2 Calculations'!$AK10,FALSE)</f>
        <v>4.28333333333333E-3</v>
      </c>
      <c r="K161" s="7" t="e">
        <f>VLOOKUP(K$2,Report!$A$18:$L$34,'Actual-CO2 Calculations'!$AK10,FALSE)</f>
        <v>#N/A</v>
      </c>
      <c r="L161" s="10" t="e">
        <f>VLOOKUP(L$2,Report!$A$18:$L$34,'Actual-CO2 Calculations'!$AK10,FALSE)</f>
        <v>#N/A</v>
      </c>
    </row>
    <row r="162" spans="1:12">
      <c r="A162" s="743" t="s">
        <v>37</v>
      </c>
      <c r="B162" s="7">
        <f>VLOOKUP(B$2,Report!$A$18:$L$34,'Actual-CO2 Calculations'!$AK11,FALSE)</f>
        <v>2.56721666666667</v>
      </c>
      <c r="C162" s="7">
        <f>VLOOKUP(C$2,Report!$A$18:$L$34,'Actual-CO2 Calculations'!$AK11,FALSE)</f>
        <v>2.6838158268333299</v>
      </c>
      <c r="D162" s="7">
        <f>VLOOKUP(D$2,Report!$A$18:$L$34,'Actual-CO2 Calculations'!$AK11,FALSE)</f>
        <v>3.10375122916667</v>
      </c>
      <c r="E162" s="7">
        <f>VLOOKUP(E$2,Report!$A$18:$L$34,'Actual-CO2 Calculations'!$AK11,FALSE)</f>
        <v>2.2923833333333299</v>
      </c>
      <c r="F162" s="7">
        <f>VLOOKUP(F$2,Report!$A$18:$L$34,'Actual-CO2 Calculations'!$AK11,FALSE)</f>
        <v>2.0287333333333336E-3</v>
      </c>
      <c r="G162" s="7">
        <f>VLOOKUP(G$2,Report!$A$18:$L$34,'Actual-CO2 Calculations'!$AK11,FALSE)</f>
        <v>1.55477215566667</v>
      </c>
      <c r="H162" s="7">
        <f>VLOOKUP(H$2,Report!$A$18:$L$34,'Actual-CO2 Calculations'!$AK11,FALSE)</f>
        <v>6.0166666666666702E-3</v>
      </c>
      <c r="I162" s="7">
        <f>(I$3*VLOOKUP(I$2,Report!$A$18:$L$34,'Actual-CO2 Calculations'!$AK11,FALSE))+((1-I$3)*C162)</f>
        <v>2.6838158268333299</v>
      </c>
      <c r="J162" s="7">
        <f>VLOOKUP(J$2,Report!$A$18:$L$34,'Actual-CO2 Calculations'!$AK11,FALSE)</f>
        <v>4.28333333333333E-3</v>
      </c>
      <c r="K162" s="7" t="e">
        <f>VLOOKUP(K$2,Report!$A$18:$L$34,'Actual-CO2 Calculations'!$AK11,FALSE)</f>
        <v>#N/A</v>
      </c>
      <c r="L162" s="10" t="e">
        <f>VLOOKUP(L$2,Report!$A$18:$L$34,'Actual-CO2 Calculations'!$AK11,FALSE)</f>
        <v>#N/A</v>
      </c>
    </row>
    <row r="163" spans="1:12">
      <c r="A163" s="743" t="s">
        <v>38</v>
      </c>
      <c r="B163" s="7">
        <f>VLOOKUP(B$2,Report!$A$18:$L$34,'Actual-CO2 Calculations'!$AK12,FALSE)</f>
        <v>2.56721666666667</v>
      </c>
      <c r="C163" s="7">
        <f>VLOOKUP(C$2,Report!$A$18:$L$34,'Actual-CO2 Calculations'!$AK12,FALSE)</f>
        <v>2.6838158268333299</v>
      </c>
      <c r="D163" s="7">
        <f>VLOOKUP(D$2,Report!$A$18:$L$34,'Actual-CO2 Calculations'!$AK12,FALSE)</f>
        <v>3.10375122916667</v>
      </c>
      <c r="E163" s="7">
        <f>VLOOKUP(E$2,Report!$A$18:$L$34,'Actual-CO2 Calculations'!$AK12,FALSE)</f>
        <v>2.2923833333333299</v>
      </c>
      <c r="F163" s="7">
        <f>VLOOKUP(F$2,Report!$A$18:$L$34,'Actual-CO2 Calculations'!$AK12,FALSE)</f>
        <v>2.0287333333333336E-3</v>
      </c>
      <c r="G163" s="7">
        <f>VLOOKUP(G$2,Report!$A$18:$L$34,'Actual-CO2 Calculations'!$AK12,FALSE)</f>
        <v>1.55477215566667</v>
      </c>
      <c r="H163" s="7">
        <f>VLOOKUP(H$2,Report!$A$18:$L$34,'Actual-CO2 Calculations'!$AK12,FALSE)</f>
        <v>6.0166666666666702E-3</v>
      </c>
      <c r="I163" s="7">
        <f>(I$3*VLOOKUP(I$2,Report!$A$18:$L$34,'Actual-CO2 Calculations'!$AK12,FALSE))+((1-I$3)*C163)</f>
        <v>2.6838158268333299</v>
      </c>
      <c r="J163" s="7">
        <f>VLOOKUP(J$2,Report!$A$18:$L$34,'Actual-CO2 Calculations'!$AK12,FALSE)</f>
        <v>4.28333333333333E-3</v>
      </c>
      <c r="K163" s="7" t="e">
        <f>VLOOKUP(K$2,Report!$A$18:$L$34,'Actual-CO2 Calculations'!$AK12,FALSE)</f>
        <v>#N/A</v>
      </c>
      <c r="L163" s="10" t="e">
        <f>VLOOKUP(L$2,Report!$A$18:$L$34,'Actual-CO2 Calculations'!$AK12,FALSE)</f>
        <v>#N/A</v>
      </c>
    </row>
    <row r="164" spans="1:12">
      <c r="A164" s="743" t="s">
        <v>39</v>
      </c>
      <c r="B164" s="7">
        <f>VLOOKUP(B$2,Report!$A$18:$L$34,'Actual-CO2 Calculations'!$AK13,FALSE)</f>
        <v>2.56721666666667</v>
      </c>
      <c r="C164" s="7">
        <f>VLOOKUP(C$2,Report!$A$18:$L$34,'Actual-CO2 Calculations'!$AK13,FALSE)</f>
        <v>2.6838158268333299</v>
      </c>
      <c r="D164" s="7">
        <f>VLOOKUP(D$2,Report!$A$18:$L$34,'Actual-CO2 Calculations'!$AK13,FALSE)</f>
        <v>3.10375122916667</v>
      </c>
      <c r="E164" s="7">
        <f>VLOOKUP(E$2,Report!$A$18:$L$34,'Actual-CO2 Calculations'!$AK13,FALSE)</f>
        <v>2.2923833333333299</v>
      </c>
      <c r="F164" s="7">
        <f>VLOOKUP(F$2,Report!$A$18:$L$34,'Actual-CO2 Calculations'!$AK13,FALSE)</f>
        <v>2.0287333333333336E-3</v>
      </c>
      <c r="G164" s="7">
        <f>VLOOKUP(G$2,Report!$A$18:$L$34,'Actual-CO2 Calculations'!$AK13,FALSE)</f>
        <v>1.55477215566667</v>
      </c>
      <c r="H164" s="7">
        <f>VLOOKUP(H$2,Report!$A$18:$L$34,'Actual-CO2 Calculations'!$AK13,FALSE)</f>
        <v>6.0166666666666702E-3</v>
      </c>
      <c r="I164" s="7">
        <f>(I$3*VLOOKUP(I$2,Report!$A$18:$L$34,'Actual-CO2 Calculations'!$AK13,FALSE))+((1-I$3)*C164)</f>
        <v>2.6838158268333299</v>
      </c>
      <c r="J164" s="7">
        <f>VLOOKUP(J$2,Report!$A$18:$L$34,'Actual-CO2 Calculations'!$AK13,FALSE)</f>
        <v>4.28333333333333E-3</v>
      </c>
      <c r="K164" s="7" t="e">
        <f>VLOOKUP(K$2,Report!$A$18:$L$34,'Actual-CO2 Calculations'!$AK13,FALSE)</f>
        <v>#N/A</v>
      </c>
      <c r="L164" s="10" t="e">
        <f>VLOOKUP(L$2,Report!$A$18:$L$34,'Actual-CO2 Calculations'!$AK13,FALSE)</f>
        <v>#N/A</v>
      </c>
    </row>
    <row r="165" spans="1:12">
      <c r="A165" s="743" t="s">
        <v>25</v>
      </c>
      <c r="B165" s="7">
        <f>VLOOKUP(B$2,Report!$A$18:$L$34,'Actual-CO2 Calculations'!$AK14,FALSE)</f>
        <v>2.56721666666667</v>
      </c>
      <c r="C165" s="7">
        <f>VLOOKUP(C$2,Report!$A$18:$L$34,'Actual-CO2 Calculations'!$AK14,FALSE)</f>
        <v>2.6838158268333299</v>
      </c>
      <c r="D165" s="7">
        <f>VLOOKUP(D$2,Report!$A$18:$L$34,'Actual-CO2 Calculations'!$AK14,FALSE)</f>
        <v>3.10375122916667</v>
      </c>
      <c r="E165" s="7">
        <f>VLOOKUP(E$2,Report!$A$18:$L$34,'Actual-CO2 Calculations'!$AK14,FALSE)</f>
        <v>2.2923833333333299</v>
      </c>
      <c r="F165" s="7">
        <f>VLOOKUP(F$2,Report!$A$18:$L$34,'Actual-CO2 Calculations'!$AK14,FALSE)</f>
        <v>2.0287333333333336E-3</v>
      </c>
      <c r="G165" s="7">
        <f>VLOOKUP(G$2,Report!$A$18:$L$34,'Actual-CO2 Calculations'!$AK14,FALSE)</f>
        <v>1.55477215566667</v>
      </c>
      <c r="H165" s="7">
        <f>VLOOKUP(H$2,Report!$A$18:$L$34,'Actual-CO2 Calculations'!$AK14,FALSE)</f>
        <v>6.0166666666666702E-3</v>
      </c>
      <c r="I165" s="7">
        <f>(I$3*VLOOKUP(I$2,Report!$A$18:$L$34,'Actual-CO2 Calculations'!$AK14,FALSE))+((1-I$3)*C165)</f>
        <v>2.6838158268333299</v>
      </c>
      <c r="J165" s="7">
        <f>VLOOKUP(J$2,Report!$A$18:$L$34,'Actual-CO2 Calculations'!$AK14,FALSE)</f>
        <v>4.28333333333333E-3</v>
      </c>
      <c r="K165" s="7" t="e">
        <f>VLOOKUP(K$2,Report!$A$18:$L$34,'Actual-CO2 Calculations'!$AK14,FALSE)</f>
        <v>#N/A</v>
      </c>
      <c r="L165" s="10" t="e">
        <f>VLOOKUP(L$2,Report!$A$18:$L$34,'Actual-CO2 Calculations'!$AK14,FALSE)</f>
        <v>#N/A</v>
      </c>
    </row>
    <row r="166" spans="1:12">
      <c r="A166" s="743" t="s">
        <v>26</v>
      </c>
      <c r="B166" s="7">
        <f>VLOOKUP(B$2,Report!$A$18:$L$34,'Actual-CO2 Calculations'!$AK15,FALSE)</f>
        <v>2.56721666666667</v>
      </c>
      <c r="C166" s="7">
        <f>VLOOKUP(C$2,Report!$A$18:$L$34,'Actual-CO2 Calculations'!$AK15,FALSE)</f>
        <v>2.6838158268333299</v>
      </c>
      <c r="D166" s="7">
        <f>VLOOKUP(D$2,Report!$A$18:$L$34,'Actual-CO2 Calculations'!$AK15,FALSE)</f>
        <v>3.10375122916667</v>
      </c>
      <c r="E166" s="7">
        <f>VLOOKUP(E$2,Report!$A$18:$L$34,'Actual-CO2 Calculations'!$AK15,FALSE)</f>
        <v>2.2923833333333299</v>
      </c>
      <c r="F166" s="7">
        <f>VLOOKUP(F$2,Report!$A$18:$L$34,'Actual-CO2 Calculations'!$AK15,FALSE)</f>
        <v>2.0287333333333336E-3</v>
      </c>
      <c r="G166" s="7">
        <f>VLOOKUP(G$2,Report!$A$18:$L$34,'Actual-CO2 Calculations'!$AK15,FALSE)</f>
        <v>1.55477215566667</v>
      </c>
      <c r="H166" s="7">
        <f>VLOOKUP(H$2,Report!$A$18:$L$34,'Actual-CO2 Calculations'!$AK15,FALSE)</f>
        <v>6.0166666666666702E-3</v>
      </c>
      <c r="I166" s="7">
        <f>(I$3*VLOOKUP(I$2,Report!$A$18:$L$34,'Actual-CO2 Calculations'!$AK15,FALSE))+((1-I$3)*C166)</f>
        <v>2.6838158268333299</v>
      </c>
      <c r="J166" s="7">
        <f>VLOOKUP(J$2,Report!$A$18:$L$34,'Actual-CO2 Calculations'!$AK15,FALSE)</f>
        <v>4.28333333333333E-3</v>
      </c>
      <c r="K166" s="7" t="e">
        <f>VLOOKUP(K$2,Report!$A$18:$L$34,'Actual-CO2 Calculations'!$AK15,FALSE)</f>
        <v>#N/A</v>
      </c>
      <c r="L166" s="10" t="e">
        <f>VLOOKUP(L$2,Report!$A$18:$L$34,'Actual-CO2 Calculations'!$AK15,FALSE)</f>
        <v>#N/A</v>
      </c>
    </row>
    <row r="167" spans="1:12">
      <c r="A167" s="743" t="s">
        <v>27</v>
      </c>
      <c r="B167" s="7">
        <f>VLOOKUP(B$2,Report!$A$18:$L$34,'Actual-CO2 Calculations'!$AK16,FALSE)</f>
        <v>2.56721666666667</v>
      </c>
      <c r="C167" s="7">
        <f>VLOOKUP(C$2,Report!$A$18:$L$34,'Actual-CO2 Calculations'!$AK16,FALSE)</f>
        <v>2.6838158268333299</v>
      </c>
      <c r="D167" s="7">
        <f>VLOOKUP(D$2,Report!$A$18:$L$34,'Actual-CO2 Calculations'!$AK16,FALSE)</f>
        <v>3.10375122916667</v>
      </c>
      <c r="E167" s="7">
        <f>VLOOKUP(E$2,Report!$A$18:$L$34,'Actual-CO2 Calculations'!$AK16,FALSE)</f>
        <v>2.2923833333333299</v>
      </c>
      <c r="F167" s="7">
        <f>VLOOKUP(F$2,Report!$A$18:$L$34,'Actual-CO2 Calculations'!$AK16,FALSE)</f>
        <v>2.0287333333333336E-3</v>
      </c>
      <c r="G167" s="7">
        <f>VLOOKUP(G$2,Report!$A$18:$L$34,'Actual-CO2 Calculations'!$AK16,FALSE)</f>
        <v>1.55477215566667</v>
      </c>
      <c r="H167" s="7">
        <f>VLOOKUP(H$2,Report!$A$18:$L$34,'Actual-CO2 Calculations'!$AK16,FALSE)</f>
        <v>6.0166666666666702E-3</v>
      </c>
      <c r="I167" s="7">
        <f>(I$3*VLOOKUP(I$2,Report!$A$18:$L$34,'Actual-CO2 Calculations'!$AK16,FALSE))+((1-I$3)*C167)</f>
        <v>2.6838158268333299</v>
      </c>
      <c r="J167" s="7">
        <f>VLOOKUP(J$2,Report!$A$18:$L$34,'Actual-CO2 Calculations'!$AK16,FALSE)</f>
        <v>4.28333333333333E-3</v>
      </c>
      <c r="K167" s="7" t="e">
        <f>VLOOKUP(K$2,Report!$A$18:$L$34,'Actual-CO2 Calculations'!$AK16,FALSE)</f>
        <v>#N/A</v>
      </c>
      <c r="L167" s="10" t="e">
        <f>VLOOKUP(L$2,Report!$A$18:$L$34,'Actual-CO2 Calculations'!$AK16,FALSE)</f>
        <v>#N/A</v>
      </c>
    </row>
    <row r="168" spans="1:12">
      <c r="A168" s="743" t="s">
        <v>24</v>
      </c>
      <c r="B168" s="7">
        <f>VLOOKUP(B$2,Report!$A$18:$L$34,'Actual-CO2 Calculations'!$AK17,FALSE)</f>
        <v>2.56721666666667</v>
      </c>
      <c r="C168" s="7">
        <f>VLOOKUP(C$2,Report!$A$18:$L$34,'Actual-CO2 Calculations'!$AK17,FALSE)</f>
        <v>2.6838158268333299</v>
      </c>
      <c r="D168" s="7">
        <f>VLOOKUP(D$2,Report!$A$18:$L$34,'Actual-CO2 Calculations'!$AK17,FALSE)</f>
        <v>3.10375122916667</v>
      </c>
      <c r="E168" s="7">
        <f>VLOOKUP(E$2,Report!$A$18:$L$34,'Actual-CO2 Calculations'!$AK17,FALSE)</f>
        <v>2.2923833333333299</v>
      </c>
      <c r="F168" s="7">
        <f>VLOOKUP(F$2,Report!$A$18:$L$34,'Actual-CO2 Calculations'!$AK17,FALSE)</f>
        <v>2.0287333333333336E-3</v>
      </c>
      <c r="G168" s="7">
        <f>VLOOKUP(G$2,Report!$A$18:$L$34,'Actual-CO2 Calculations'!$AK17,FALSE)</f>
        <v>1.55477215566667</v>
      </c>
      <c r="H168" s="7">
        <f>VLOOKUP(H$2,Report!$A$18:$L$34,'Actual-CO2 Calculations'!$AK17,FALSE)</f>
        <v>6.0166666666666702E-3</v>
      </c>
      <c r="I168" s="7">
        <f>(I$3*VLOOKUP(I$2,Report!$A$18:$L$34,'Actual-CO2 Calculations'!$AK17,FALSE))+((1-I$3)*C168)</f>
        <v>2.6838158268333299</v>
      </c>
      <c r="J168" s="7">
        <f>VLOOKUP(J$2,Report!$A$18:$L$34,'Actual-CO2 Calculations'!$AK17,FALSE)</f>
        <v>4.28333333333333E-3</v>
      </c>
      <c r="K168" s="7" t="e">
        <f>VLOOKUP(K$2,Report!$A$18:$L$34,'Actual-CO2 Calculations'!$AK17,FALSE)</f>
        <v>#N/A</v>
      </c>
      <c r="L168" s="10" t="e">
        <f>VLOOKUP(L$2,Report!$A$18:$L$34,'Actual-CO2 Calculations'!$AK17,FALSE)</f>
        <v>#N/A</v>
      </c>
    </row>
    <row r="169" spans="1:12">
      <c r="A169" s="743" t="s">
        <v>40</v>
      </c>
      <c r="B169" s="7">
        <f>VLOOKUP(B$2,Report!$A$18:$L$34,'Actual-CO2 Calculations'!$AK18,FALSE)</f>
        <v>2.56721666666667</v>
      </c>
      <c r="C169" s="7">
        <f>VLOOKUP(C$2,Report!$A$18:$L$34,'Actual-CO2 Calculations'!$AK18,FALSE)</f>
        <v>2.6838158268333299</v>
      </c>
      <c r="D169" s="7">
        <f>VLOOKUP(D$2,Report!$A$18:$L$34,'Actual-CO2 Calculations'!$AK18,FALSE)</f>
        <v>3.10375122916667</v>
      </c>
      <c r="E169" s="7">
        <f>VLOOKUP(E$2,Report!$A$18:$L$34,'Actual-CO2 Calculations'!$AK18,FALSE)</f>
        <v>2.2923833333333299</v>
      </c>
      <c r="F169" s="7">
        <f>VLOOKUP(F$2,Report!$A$18:$L$34,'Actual-CO2 Calculations'!$AK18,FALSE)</f>
        <v>2.0287333333333336E-3</v>
      </c>
      <c r="G169" s="7">
        <f>VLOOKUP(G$2,Report!$A$18:$L$34,'Actual-CO2 Calculations'!$AK18,FALSE)</f>
        <v>1.55477215566667</v>
      </c>
      <c r="H169" s="7">
        <f>VLOOKUP(H$2,Report!$A$18:$L$34,'Actual-CO2 Calculations'!$AK18,FALSE)</f>
        <v>6.0166666666666702E-3</v>
      </c>
      <c r="I169" s="7">
        <f>(I$3*VLOOKUP(I$2,Report!$A$18:$L$34,'Actual-CO2 Calculations'!$AK18,FALSE))+((1-I$3)*C169)</f>
        <v>2.6838158268333299</v>
      </c>
      <c r="J169" s="7">
        <f>VLOOKUP(J$2,Report!$A$18:$L$34,'Actual-CO2 Calculations'!$AK18,FALSE)</f>
        <v>4.28333333333333E-3</v>
      </c>
      <c r="K169" s="7" t="e">
        <f>VLOOKUP(K$2,Report!$A$18:$L$34,'Actual-CO2 Calculations'!$AK18,FALSE)</f>
        <v>#N/A</v>
      </c>
      <c r="L169" s="10" t="e">
        <f>VLOOKUP(L$2,Report!$A$18:$L$34,'Actual-CO2 Calculations'!$AK18,FALSE)</f>
        <v>#N/A</v>
      </c>
    </row>
    <row r="170" spans="1:12">
      <c r="A170" s="743" t="s">
        <v>41</v>
      </c>
      <c r="B170" s="7">
        <f>VLOOKUP(B$2,Report!$A$18:$L$34,'Actual-CO2 Calculations'!$AK19,FALSE)</f>
        <v>2.56721666666667</v>
      </c>
      <c r="C170" s="7">
        <f>VLOOKUP(C$2,Report!$A$18:$L$34,'Actual-CO2 Calculations'!$AK19,FALSE)</f>
        <v>2.6838158268333299</v>
      </c>
      <c r="D170" s="7">
        <f>VLOOKUP(D$2,Report!$A$18:$L$34,'Actual-CO2 Calculations'!$AK19,FALSE)</f>
        <v>3.10375122916667</v>
      </c>
      <c r="E170" s="7">
        <f>VLOOKUP(E$2,Report!$A$18:$L$34,'Actual-CO2 Calculations'!$AK19,FALSE)</f>
        <v>2.2923833333333299</v>
      </c>
      <c r="F170" s="7">
        <f>VLOOKUP(F$2,Report!$A$18:$L$34,'Actual-CO2 Calculations'!$AK19,FALSE)</f>
        <v>2.0287333333333336E-3</v>
      </c>
      <c r="G170" s="7">
        <f>VLOOKUP(G$2,Report!$A$18:$L$34,'Actual-CO2 Calculations'!$AK19,FALSE)</f>
        <v>1.55477215566667</v>
      </c>
      <c r="H170" s="7">
        <f>VLOOKUP(H$2,Report!$A$18:$L$34,'Actual-CO2 Calculations'!$AK19,FALSE)</f>
        <v>6.0166666666666702E-3</v>
      </c>
      <c r="I170" s="7">
        <f>(I$3*VLOOKUP(I$2,Report!$A$18:$L$34,'Actual-CO2 Calculations'!$AK19,FALSE))+((1-I$3)*C170)</f>
        <v>2.6838158268333299</v>
      </c>
      <c r="J170" s="7">
        <f>VLOOKUP(J$2,Report!$A$18:$L$34,'Actual-CO2 Calculations'!$AK19,FALSE)</f>
        <v>4.28333333333333E-3</v>
      </c>
      <c r="K170" s="7" t="e">
        <f>VLOOKUP(K$2,Report!$A$18:$L$34,'Actual-CO2 Calculations'!$AK19,FALSE)</f>
        <v>#N/A</v>
      </c>
      <c r="L170" s="10" t="e">
        <f>VLOOKUP(L$2,Report!$A$18:$L$34,'Actual-CO2 Calculations'!$AK19,FALSE)</f>
        <v>#N/A</v>
      </c>
    </row>
    <row r="171" spans="1:12">
      <c r="A171" s="743" t="s">
        <v>42</v>
      </c>
      <c r="B171" s="7">
        <f>VLOOKUP(B$2,Report!$A$18:$L$34,'Actual-CO2 Calculations'!$AK20,FALSE)</f>
        <v>2.5766666666666702</v>
      </c>
      <c r="C171" s="7">
        <f>VLOOKUP(C$2,Report!$A$18:$L$34,'Actual-CO2 Calculations'!$AK20,FALSE)</f>
        <v>2.6799376153333299</v>
      </c>
      <c r="D171" s="7">
        <f>VLOOKUP(D$2,Report!$A$18:$L$34,'Actual-CO2 Calculations'!$AK20,FALSE)</f>
        <v>3.0559864166666699</v>
      </c>
      <c r="E171" s="7">
        <f>VLOOKUP(E$2,Report!$A$18:$L$34,'Actual-CO2 Calculations'!$AK20,FALSE)</f>
        <v>2.2669333333333301</v>
      </c>
      <c r="F171" s="7">
        <f>VLOOKUP(F$2,Report!$A$18:$L$34,'Actual-CO2 Calculations'!$AK20,FALSE)</f>
        <v>2.0287333333333336E-3</v>
      </c>
      <c r="G171" s="7">
        <f>VLOOKUP(G$2,Report!$A$18:$L$34,'Actual-CO2 Calculations'!$AK20,FALSE)</f>
        <v>1.5395983746666699</v>
      </c>
      <c r="H171" s="7">
        <f>VLOOKUP(H$2,Report!$A$18:$L$34,'Actual-CO2 Calculations'!$AK20,FALSE)</f>
        <v>5.8666666666666702E-3</v>
      </c>
      <c r="I171" s="7">
        <f>(I$3*VLOOKUP(I$2,Report!$A$18:$L$34,'Actual-CO2 Calculations'!$AK20,FALSE))+((1-I$3)*C171)</f>
        <v>2.6799376153333299</v>
      </c>
      <c r="J171" s="7">
        <f>VLOOKUP(J$2,Report!$A$18:$L$34,'Actual-CO2 Calculations'!$AK20,FALSE)</f>
        <v>4.7333333333333298E-3</v>
      </c>
      <c r="K171" s="7" t="e">
        <f>VLOOKUP(K$2,Report!$A$18:$L$34,'Actual-CO2 Calculations'!$AK20,FALSE)</f>
        <v>#N/A</v>
      </c>
      <c r="L171" s="10" t="e">
        <f>VLOOKUP(L$2,Report!$A$18:$L$34,'Actual-CO2 Calculations'!$AK20,FALSE)</f>
        <v>#N/A</v>
      </c>
    </row>
    <row r="172" spans="1:12">
      <c r="A172" s="743" t="s">
        <v>43</v>
      </c>
      <c r="B172" s="7">
        <f>VLOOKUP(B$2,Report!$A$18:$L$34,'Actual-CO2 Calculations'!$AK21,FALSE)</f>
        <v>2.5766666666666702</v>
      </c>
      <c r="C172" s="7">
        <f>VLOOKUP(C$2,Report!$A$18:$L$34,'Actual-CO2 Calculations'!$AK21,FALSE)</f>
        <v>2.6799376153333299</v>
      </c>
      <c r="D172" s="7">
        <f>VLOOKUP(D$2,Report!$A$18:$L$34,'Actual-CO2 Calculations'!$AK21,FALSE)</f>
        <v>3.0559864166666699</v>
      </c>
      <c r="E172" s="7">
        <f>VLOOKUP(E$2,Report!$A$18:$L$34,'Actual-CO2 Calculations'!$AK21,FALSE)</f>
        <v>2.2669333333333301</v>
      </c>
      <c r="F172" s="7">
        <f>VLOOKUP(F$2,Report!$A$18:$L$34,'Actual-CO2 Calculations'!$AK21,FALSE)</f>
        <v>2.0287333333333336E-3</v>
      </c>
      <c r="G172" s="7">
        <f>VLOOKUP(G$2,Report!$A$18:$L$34,'Actual-CO2 Calculations'!$AK21,FALSE)</f>
        <v>1.5395983746666699</v>
      </c>
      <c r="H172" s="7">
        <f>VLOOKUP(H$2,Report!$A$18:$L$34,'Actual-CO2 Calculations'!$AK21,FALSE)</f>
        <v>5.8666666666666702E-3</v>
      </c>
      <c r="I172" s="7">
        <f>(I$3*VLOOKUP(I$2,Report!$A$18:$L$34,'Actual-CO2 Calculations'!$AK21,FALSE))+((1-I$3)*C172)</f>
        <v>2.6799376153333299</v>
      </c>
      <c r="J172" s="7">
        <f>VLOOKUP(J$2,Report!$A$18:$L$34,'Actual-CO2 Calculations'!$AK21,FALSE)</f>
        <v>4.7333333333333298E-3</v>
      </c>
      <c r="K172" s="7" t="e">
        <f>VLOOKUP(K$2,Report!$A$18:$L$34,'Actual-CO2 Calculations'!$AK21,FALSE)</f>
        <v>#N/A</v>
      </c>
      <c r="L172" s="10" t="e">
        <f>VLOOKUP(L$2,Report!$A$18:$L$34,'Actual-CO2 Calculations'!$AK21,FALSE)</f>
        <v>#N/A</v>
      </c>
    </row>
    <row r="173" spans="1:12">
      <c r="A173" s="743" t="s">
        <v>44</v>
      </c>
      <c r="B173" s="7">
        <f>VLOOKUP(B$2,Report!$A$18:$L$34,'Actual-CO2 Calculations'!$AK22,FALSE)</f>
        <v>2.5766666666666702</v>
      </c>
      <c r="C173" s="7">
        <f>VLOOKUP(C$2,Report!$A$18:$L$34,'Actual-CO2 Calculations'!$AK22,FALSE)</f>
        <v>2.6799376153333299</v>
      </c>
      <c r="D173" s="7">
        <f>VLOOKUP(D$2,Report!$A$18:$L$34,'Actual-CO2 Calculations'!$AK22,FALSE)</f>
        <v>3.0559864166666699</v>
      </c>
      <c r="E173" s="7">
        <f>VLOOKUP(E$2,Report!$A$18:$L$34,'Actual-CO2 Calculations'!$AK22,FALSE)</f>
        <v>2.2669333333333301</v>
      </c>
      <c r="F173" s="7">
        <f>VLOOKUP(F$2,Report!$A$18:$L$34,'Actual-CO2 Calculations'!$AK22,FALSE)</f>
        <v>2.0287333333333336E-3</v>
      </c>
      <c r="G173" s="7">
        <f>VLOOKUP(G$2,Report!$A$18:$L$34,'Actual-CO2 Calculations'!$AK22,FALSE)</f>
        <v>1.5395983746666699</v>
      </c>
      <c r="H173" s="7">
        <f>VLOOKUP(H$2,Report!$A$18:$L$34,'Actual-CO2 Calculations'!$AK22,FALSE)</f>
        <v>5.8666666666666702E-3</v>
      </c>
      <c r="I173" s="7">
        <f>(I$3*VLOOKUP(I$2,Report!$A$18:$L$34,'Actual-CO2 Calculations'!$AK22,FALSE))+((1-I$3)*C173)</f>
        <v>2.6799376153333299</v>
      </c>
      <c r="J173" s="7">
        <f>VLOOKUP(J$2,Report!$A$18:$L$34,'Actual-CO2 Calculations'!$AK22,FALSE)</f>
        <v>4.7333333333333298E-3</v>
      </c>
      <c r="K173" s="7" t="e">
        <f>VLOOKUP(K$2,Report!$A$18:$L$34,'Actual-CO2 Calculations'!$AK22,FALSE)</f>
        <v>#N/A</v>
      </c>
      <c r="L173" s="10" t="e">
        <f>VLOOKUP(L$2,Report!$A$18:$L$34,'Actual-CO2 Calculations'!$AK22,FALSE)</f>
        <v>#N/A</v>
      </c>
    </row>
    <row r="174" spans="1:12">
      <c r="A174" s="743" t="s">
        <v>45</v>
      </c>
      <c r="B174" s="7">
        <f>VLOOKUP(B$2,Report!$A$18:$L$34,'Actual-CO2 Calculations'!$AK23,FALSE)</f>
        <v>2.5766666666666702</v>
      </c>
      <c r="C174" s="7">
        <f>VLOOKUP(C$2,Report!$A$18:$L$34,'Actual-CO2 Calculations'!$AK23,FALSE)</f>
        <v>2.6799376153333299</v>
      </c>
      <c r="D174" s="7">
        <f>VLOOKUP(D$2,Report!$A$18:$L$34,'Actual-CO2 Calculations'!$AK23,FALSE)</f>
        <v>3.0559864166666699</v>
      </c>
      <c r="E174" s="7">
        <f>VLOOKUP(E$2,Report!$A$18:$L$34,'Actual-CO2 Calculations'!$AK23,FALSE)</f>
        <v>2.2669333333333301</v>
      </c>
      <c r="F174" s="7">
        <f>VLOOKUP(F$2,Report!$A$18:$L$34,'Actual-CO2 Calculations'!$AK23,FALSE)</f>
        <v>2.0287333333333336E-3</v>
      </c>
      <c r="G174" s="7">
        <f>VLOOKUP(G$2,Report!$A$18:$L$34,'Actual-CO2 Calculations'!$AK23,FALSE)</f>
        <v>1.5395983746666699</v>
      </c>
      <c r="H174" s="7">
        <f>VLOOKUP(H$2,Report!$A$18:$L$34,'Actual-CO2 Calculations'!$AK23,FALSE)</f>
        <v>5.8666666666666702E-3</v>
      </c>
      <c r="I174" s="7">
        <f>(I$3*VLOOKUP(I$2,Report!$A$18:$L$34,'Actual-CO2 Calculations'!$AK23,FALSE))+((1-I$3)*C174)</f>
        <v>2.6799376153333299</v>
      </c>
      <c r="J174" s="7">
        <f>VLOOKUP(J$2,Report!$A$18:$L$34,'Actual-CO2 Calculations'!$AK23,FALSE)</f>
        <v>4.7333333333333298E-3</v>
      </c>
      <c r="K174" s="7" t="e">
        <f>VLOOKUP(K$2,Report!$A$18:$L$34,'Actual-CO2 Calculations'!$AK23,FALSE)</f>
        <v>#N/A</v>
      </c>
      <c r="L174" s="10" t="e">
        <f>VLOOKUP(L$2,Report!$A$18:$L$34,'Actual-CO2 Calculations'!$AK23,FALSE)</f>
        <v>#N/A</v>
      </c>
    </row>
    <row r="175" spans="1:12">
      <c r="A175" s="743" t="s">
        <v>46</v>
      </c>
      <c r="B175" s="7">
        <f>VLOOKUP(B$2,Report!$A$18:$L$34,'Actual-CO2 Calculations'!$AK24,FALSE)</f>
        <v>2.5766666666666702</v>
      </c>
      <c r="C175" s="7">
        <f>VLOOKUP(C$2,Report!$A$18:$L$34,'Actual-CO2 Calculations'!$AK24,FALSE)</f>
        <v>2.6799376153333299</v>
      </c>
      <c r="D175" s="7">
        <f>VLOOKUP(D$2,Report!$A$18:$L$34,'Actual-CO2 Calculations'!$AK24,FALSE)</f>
        <v>3.0559864166666699</v>
      </c>
      <c r="E175" s="7">
        <f>VLOOKUP(E$2,Report!$A$18:$L$34,'Actual-CO2 Calculations'!$AK24,FALSE)</f>
        <v>2.2669333333333301</v>
      </c>
      <c r="F175" s="7">
        <f>VLOOKUP(F$2,Report!$A$18:$L$34,'Actual-CO2 Calculations'!$AK24,FALSE)</f>
        <v>2.0287333333333336E-3</v>
      </c>
      <c r="G175" s="7">
        <f>VLOOKUP(G$2,Report!$A$18:$L$34,'Actual-CO2 Calculations'!$AK24,FALSE)</f>
        <v>1.5395983746666699</v>
      </c>
      <c r="H175" s="7">
        <f>VLOOKUP(H$2,Report!$A$18:$L$34,'Actual-CO2 Calculations'!$AK24,FALSE)</f>
        <v>5.8666666666666702E-3</v>
      </c>
      <c r="I175" s="7">
        <f>(I$3*VLOOKUP(I$2,Report!$A$18:$L$34,'Actual-CO2 Calculations'!$AK24,FALSE))+((1-I$3)*C175)</f>
        <v>2.6799376153333299</v>
      </c>
      <c r="J175" s="7">
        <f>VLOOKUP(J$2,Report!$A$18:$L$34,'Actual-CO2 Calculations'!$AK24,FALSE)</f>
        <v>4.7333333333333298E-3</v>
      </c>
      <c r="K175" s="7" t="e">
        <f>VLOOKUP(K$2,Report!$A$18:$L$34,'Actual-CO2 Calculations'!$AK24,FALSE)</f>
        <v>#N/A</v>
      </c>
      <c r="L175" s="10" t="e">
        <f>VLOOKUP(L$2,Report!$A$18:$L$34,'Actual-CO2 Calculations'!$AK24,FALSE)</f>
        <v>#N/A</v>
      </c>
    </row>
    <row r="176" spans="1:12">
      <c r="A176" s="743" t="s">
        <v>47</v>
      </c>
      <c r="B176" s="7">
        <f>VLOOKUP(B$2,Report!$A$18:$L$34,'Actual-CO2 Calculations'!$AK25,FALSE)</f>
        <v>2.5766666666666702</v>
      </c>
      <c r="C176" s="7">
        <f>VLOOKUP(C$2,Report!$A$18:$L$34,'Actual-CO2 Calculations'!$AK25,FALSE)</f>
        <v>2.6799376153333299</v>
      </c>
      <c r="D176" s="7">
        <f>VLOOKUP(D$2,Report!$A$18:$L$34,'Actual-CO2 Calculations'!$AK25,FALSE)</f>
        <v>3.0559864166666699</v>
      </c>
      <c r="E176" s="7">
        <f>VLOOKUP(E$2,Report!$A$18:$L$34,'Actual-CO2 Calculations'!$AK25,FALSE)</f>
        <v>2.2669333333333301</v>
      </c>
      <c r="F176" s="7">
        <f>VLOOKUP(F$2,Report!$A$18:$L$34,'Actual-CO2 Calculations'!$AK25,FALSE)</f>
        <v>2.0287333333333336E-3</v>
      </c>
      <c r="G176" s="7">
        <f>VLOOKUP(G$2,Report!$A$18:$L$34,'Actual-CO2 Calculations'!$AK25,FALSE)</f>
        <v>1.5395983746666699</v>
      </c>
      <c r="H176" s="7">
        <f>VLOOKUP(H$2,Report!$A$18:$L$34,'Actual-CO2 Calculations'!$AK25,FALSE)</f>
        <v>5.8666666666666702E-3</v>
      </c>
      <c r="I176" s="7">
        <f>(I$3*VLOOKUP(I$2,Report!$A$18:$L$34,'Actual-CO2 Calculations'!$AK25,FALSE))+((1-I$3)*C176)</f>
        <v>2.6799376153333299</v>
      </c>
      <c r="J176" s="7">
        <f>VLOOKUP(J$2,Report!$A$18:$L$34,'Actual-CO2 Calculations'!$AK25,FALSE)</f>
        <v>4.7333333333333298E-3</v>
      </c>
      <c r="K176" s="7" t="e">
        <f>VLOOKUP(K$2,Report!$A$18:$L$34,'Actual-CO2 Calculations'!$AK25,FALSE)</f>
        <v>#N/A</v>
      </c>
      <c r="L176" s="10" t="e">
        <f>VLOOKUP(L$2,Report!$A$18:$L$34,'Actual-CO2 Calculations'!$AK25,FALSE)</f>
        <v>#N/A</v>
      </c>
    </row>
    <row r="177" spans="1:12">
      <c r="A177" s="743" t="s">
        <v>48</v>
      </c>
      <c r="B177" s="7">
        <f>VLOOKUP(B$2,Report!$A$18:$L$34,'Actual-CO2 Calculations'!$AK26,FALSE)</f>
        <v>2.5766666666666702</v>
      </c>
      <c r="C177" s="7">
        <f>VLOOKUP(C$2,Report!$A$18:$L$34,'Actual-CO2 Calculations'!$AK26,FALSE)</f>
        <v>2.6799376153333299</v>
      </c>
      <c r="D177" s="7">
        <f>VLOOKUP(D$2,Report!$A$18:$L$34,'Actual-CO2 Calculations'!$AK26,FALSE)</f>
        <v>3.0559864166666699</v>
      </c>
      <c r="E177" s="7">
        <f>VLOOKUP(E$2,Report!$A$18:$L$34,'Actual-CO2 Calculations'!$AK26,FALSE)</f>
        <v>2.2669333333333301</v>
      </c>
      <c r="F177" s="7">
        <f>VLOOKUP(F$2,Report!$A$18:$L$34,'Actual-CO2 Calculations'!$AK26,FALSE)</f>
        <v>2.0287333333333336E-3</v>
      </c>
      <c r="G177" s="7">
        <f>VLOOKUP(G$2,Report!$A$18:$L$34,'Actual-CO2 Calculations'!$AK26,FALSE)</f>
        <v>1.5395983746666699</v>
      </c>
      <c r="H177" s="7">
        <f>VLOOKUP(H$2,Report!$A$18:$L$34,'Actual-CO2 Calculations'!$AK26,FALSE)</f>
        <v>5.8666666666666702E-3</v>
      </c>
      <c r="I177" s="7">
        <f>(I$3*VLOOKUP(I$2,Report!$A$18:$L$34,'Actual-CO2 Calculations'!$AK26,FALSE))+((1-I$3)*C177)</f>
        <v>2.6799376153333299</v>
      </c>
      <c r="J177" s="7">
        <f>VLOOKUP(J$2,Report!$A$18:$L$34,'Actual-CO2 Calculations'!$AK26,FALSE)</f>
        <v>4.7333333333333298E-3</v>
      </c>
      <c r="K177" s="7" t="e">
        <f>VLOOKUP(K$2,Report!$A$18:$L$34,'Actual-CO2 Calculations'!$AK26,FALSE)</f>
        <v>#N/A</v>
      </c>
      <c r="L177" s="10" t="e">
        <f>VLOOKUP(L$2,Report!$A$18:$L$34,'Actual-CO2 Calculations'!$AK26,FALSE)</f>
        <v>#N/A</v>
      </c>
    </row>
    <row r="178" spans="1:12">
      <c r="A178" s="743" t="s">
        <v>0</v>
      </c>
      <c r="B178" s="7">
        <f>VLOOKUP(B$2,Report!$A$18:$L$34,'Actual-CO2 Calculations'!$AK27,FALSE)</f>
        <v>2.5766666666666702</v>
      </c>
      <c r="C178" s="7">
        <f>VLOOKUP(C$2,Report!$A$18:$L$34,'Actual-CO2 Calculations'!$AK27,FALSE)</f>
        <v>2.6799376153333299</v>
      </c>
      <c r="D178" s="7">
        <f>VLOOKUP(D$2,Report!$A$18:$L$34,'Actual-CO2 Calculations'!$AK27,FALSE)</f>
        <v>3.0559864166666699</v>
      </c>
      <c r="E178" s="7">
        <f>VLOOKUP(E$2,Report!$A$18:$L$34,'Actual-CO2 Calculations'!$AK27,FALSE)</f>
        <v>2.2669333333333301</v>
      </c>
      <c r="F178" s="7">
        <f>VLOOKUP(F$2,Report!$A$18:$L$34,'Actual-CO2 Calculations'!$AK27,FALSE)</f>
        <v>2.0287333333333336E-3</v>
      </c>
      <c r="G178" s="7">
        <f>VLOOKUP(G$2,Report!$A$18:$L$34,'Actual-CO2 Calculations'!$AK27,FALSE)</f>
        <v>1.5395983746666699</v>
      </c>
      <c r="H178" s="7">
        <f>VLOOKUP(H$2,Report!$A$18:$L$34,'Actual-CO2 Calculations'!$AK27,FALSE)</f>
        <v>5.8666666666666702E-3</v>
      </c>
      <c r="I178" s="7">
        <f>(I$3*VLOOKUP(I$2,Report!$A$18:$L$34,'Actual-CO2 Calculations'!$AK27,FALSE))+((1-I$3)*C178)</f>
        <v>2.6799376153333299</v>
      </c>
      <c r="J178" s="7">
        <f>VLOOKUP(J$2,Report!$A$18:$L$34,'Actual-CO2 Calculations'!$AK27,FALSE)</f>
        <v>4.7333333333333298E-3</v>
      </c>
      <c r="K178" s="7" t="e">
        <f>VLOOKUP(K$2,Report!$A$18:$L$34,'Actual-CO2 Calculations'!$AK27,FALSE)</f>
        <v>#N/A</v>
      </c>
      <c r="L178" s="10" t="e">
        <f>VLOOKUP(L$2,Report!$A$18:$L$34,'Actual-CO2 Calculations'!$AK27,FALSE)</f>
        <v>#N/A</v>
      </c>
    </row>
    <row r="179" spans="1:12">
      <c r="A179" s="743" t="s">
        <v>1</v>
      </c>
      <c r="B179" s="7">
        <f>VLOOKUP(B$2,Report!$A$18:$L$34,'Actual-CO2 Calculations'!$AK28,FALSE)</f>
        <v>2.5766666666666702</v>
      </c>
      <c r="C179" s="7">
        <f>VLOOKUP(C$2,Report!$A$18:$L$34,'Actual-CO2 Calculations'!$AK28,FALSE)</f>
        <v>2.6799376153333299</v>
      </c>
      <c r="D179" s="7">
        <f>VLOOKUP(D$2,Report!$A$18:$L$34,'Actual-CO2 Calculations'!$AK28,FALSE)</f>
        <v>3.0559864166666699</v>
      </c>
      <c r="E179" s="7">
        <f>VLOOKUP(E$2,Report!$A$18:$L$34,'Actual-CO2 Calculations'!$AK28,FALSE)</f>
        <v>2.2669333333333301</v>
      </c>
      <c r="F179" s="7">
        <f>VLOOKUP(F$2,Report!$A$18:$L$34,'Actual-CO2 Calculations'!$AK28,FALSE)</f>
        <v>2.0287333333333336E-3</v>
      </c>
      <c r="G179" s="7">
        <f>VLOOKUP(G$2,Report!$A$18:$L$34,'Actual-CO2 Calculations'!$AK28,FALSE)</f>
        <v>1.5395983746666699</v>
      </c>
      <c r="H179" s="7">
        <f>VLOOKUP(H$2,Report!$A$18:$L$34,'Actual-CO2 Calculations'!$AK28,FALSE)</f>
        <v>5.8666666666666702E-3</v>
      </c>
      <c r="I179" s="7">
        <f>(I$3*VLOOKUP(I$2,Report!$A$18:$L$34,'Actual-CO2 Calculations'!$AK28,FALSE))+((1-I$3)*C179)</f>
        <v>2.6799376153333299</v>
      </c>
      <c r="J179" s="7">
        <f>VLOOKUP(J$2,Report!$A$18:$L$34,'Actual-CO2 Calculations'!$AK28,FALSE)</f>
        <v>4.7333333333333298E-3</v>
      </c>
      <c r="K179" s="7" t="e">
        <f>VLOOKUP(K$2,Report!$A$18:$L$34,'Actual-CO2 Calculations'!$AK28,FALSE)</f>
        <v>#N/A</v>
      </c>
      <c r="L179" s="10" t="e">
        <f>VLOOKUP(L$2,Report!$A$18:$L$34,'Actual-CO2 Calculations'!$AK28,FALSE)</f>
        <v>#N/A</v>
      </c>
    </row>
    <row r="180" spans="1:12">
      <c r="A180" s="743" t="s">
        <v>2</v>
      </c>
      <c r="B180" s="7">
        <f>VLOOKUP(B$2,Report!$A$18:$L$34,'Actual-CO2 Calculations'!$AK29,FALSE)</f>
        <v>2.5766666666666702</v>
      </c>
      <c r="C180" s="7">
        <f>VLOOKUP(C$2,Report!$A$18:$L$34,'Actual-CO2 Calculations'!$AK29,FALSE)</f>
        <v>2.6799376153333299</v>
      </c>
      <c r="D180" s="7">
        <f>VLOOKUP(D$2,Report!$A$18:$L$34,'Actual-CO2 Calculations'!$AK29,FALSE)</f>
        <v>3.0559864166666699</v>
      </c>
      <c r="E180" s="7">
        <f>VLOOKUP(E$2,Report!$A$18:$L$34,'Actual-CO2 Calculations'!$AK29,FALSE)</f>
        <v>2.2669333333333301</v>
      </c>
      <c r="F180" s="7">
        <f>VLOOKUP(F$2,Report!$A$18:$L$34,'Actual-CO2 Calculations'!$AK29,FALSE)</f>
        <v>2.0287333333333336E-3</v>
      </c>
      <c r="G180" s="7">
        <f>VLOOKUP(G$2,Report!$A$18:$L$34,'Actual-CO2 Calculations'!$AK29,FALSE)</f>
        <v>1.5395983746666699</v>
      </c>
      <c r="H180" s="7">
        <f>VLOOKUP(H$2,Report!$A$18:$L$34,'Actual-CO2 Calculations'!$AK29,FALSE)</f>
        <v>5.8666666666666702E-3</v>
      </c>
      <c r="I180" s="7">
        <f>(I$3*VLOOKUP(I$2,Report!$A$18:$L$34,'Actual-CO2 Calculations'!$AK29,FALSE))+((1-I$3)*C180)</f>
        <v>2.6799376153333299</v>
      </c>
      <c r="J180" s="7">
        <f>VLOOKUP(J$2,Report!$A$18:$L$34,'Actual-CO2 Calculations'!$AK29,FALSE)</f>
        <v>4.7333333333333298E-3</v>
      </c>
      <c r="K180" s="7" t="e">
        <f>VLOOKUP(K$2,Report!$A$18:$L$34,'Actual-CO2 Calculations'!$AK29,FALSE)</f>
        <v>#N/A</v>
      </c>
      <c r="L180" s="10" t="e">
        <f>VLOOKUP(L$2,Report!$A$18:$L$34,'Actual-CO2 Calculations'!$AK29,FALSE)</f>
        <v>#N/A</v>
      </c>
    </row>
    <row r="181" spans="1:12">
      <c r="A181" s="743" t="s">
        <v>3</v>
      </c>
      <c r="B181" s="7">
        <f>VLOOKUP(B$2,Report!$A$18:$L$34,'Actual-CO2 Calculations'!$AK30,FALSE)</f>
        <v>2.5766666666666702</v>
      </c>
      <c r="C181" s="7">
        <f>VLOOKUP(C$2,Report!$A$18:$L$34,'Actual-CO2 Calculations'!$AK30,FALSE)</f>
        <v>2.6799376153333299</v>
      </c>
      <c r="D181" s="7">
        <f>VLOOKUP(D$2,Report!$A$18:$L$34,'Actual-CO2 Calculations'!$AK30,FALSE)</f>
        <v>3.0559864166666699</v>
      </c>
      <c r="E181" s="7">
        <f>VLOOKUP(E$2,Report!$A$18:$L$34,'Actual-CO2 Calculations'!$AK30,FALSE)</f>
        <v>2.2669333333333301</v>
      </c>
      <c r="F181" s="7">
        <f>VLOOKUP(F$2,Report!$A$18:$L$34,'Actual-CO2 Calculations'!$AK30,FALSE)</f>
        <v>2.0287333333333336E-3</v>
      </c>
      <c r="G181" s="7">
        <f>VLOOKUP(G$2,Report!$A$18:$L$34,'Actual-CO2 Calculations'!$AK30,FALSE)</f>
        <v>1.5395983746666699</v>
      </c>
      <c r="H181" s="7">
        <f>VLOOKUP(H$2,Report!$A$18:$L$34,'Actual-CO2 Calculations'!$AK30,FALSE)</f>
        <v>5.8666666666666702E-3</v>
      </c>
      <c r="I181" s="7">
        <f>(I$3*VLOOKUP(I$2,Report!$A$18:$L$34,'Actual-CO2 Calculations'!$AK30,FALSE))+((1-I$3)*C181)</f>
        <v>2.6799376153333299</v>
      </c>
      <c r="J181" s="7">
        <f>VLOOKUP(J$2,Report!$A$18:$L$34,'Actual-CO2 Calculations'!$AK30,FALSE)</f>
        <v>4.7333333333333298E-3</v>
      </c>
      <c r="K181" s="7" t="e">
        <f>VLOOKUP(K$2,Report!$A$18:$L$34,'Actual-CO2 Calculations'!$AK30,FALSE)</f>
        <v>#N/A</v>
      </c>
      <c r="L181" s="10" t="e">
        <f>VLOOKUP(L$2,Report!$A$18:$L$34,'Actual-CO2 Calculations'!$AK30,FALSE)</f>
        <v>#N/A</v>
      </c>
    </row>
    <row r="182" spans="1:12">
      <c r="A182" s="743" t="s">
        <v>49</v>
      </c>
      <c r="B182" s="7">
        <f>VLOOKUP(B$2,Report!$A$18:$L$34,'Actual-CO2 Calculations'!$AK31,FALSE)</f>
        <v>2.5766666666666702</v>
      </c>
      <c r="C182" s="7">
        <f>VLOOKUP(C$2,Report!$A$18:$L$34,'Actual-CO2 Calculations'!$AK31,FALSE)</f>
        <v>2.6799376153333299</v>
      </c>
      <c r="D182" s="7">
        <f>VLOOKUP(D$2,Report!$A$18:$L$34,'Actual-CO2 Calculations'!$AK31,FALSE)</f>
        <v>3.0559864166666699</v>
      </c>
      <c r="E182" s="7">
        <f>VLOOKUP(E$2,Report!$A$18:$L$34,'Actual-CO2 Calculations'!$AK31,FALSE)</f>
        <v>2.2669333333333301</v>
      </c>
      <c r="F182" s="7">
        <f>VLOOKUP(F$2,Report!$A$18:$L$34,'Actual-CO2 Calculations'!$AK31,FALSE)</f>
        <v>2.0287333333333336E-3</v>
      </c>
      <c r="G182" s="7">
        <f>VLOOKUP(G$2,Report!$A$18:$L$34,'Actual-CO2 Calculations'!$AK31,FALSE)</f>
        <v>1.5395983746666699</v>
      </c>
      <c r="H182" s="7">
        <f>VLOOKUP(H$2,Report!$A$18:$L$34,'Actual-CO2 Calculations'!$AK31,FALSE)</f>
        <v>5.8666666666666702E-3</v>
      </c>
      <c r="I182" s="7">
        <f>(I$3*VLOOKUP(I$2,Report!$A$18:$L$34,'Actual-CO2 Calculations'!$AK31,FALSE))+((1-I$3)*C182)</f>
        <v>2.6799376153333299</v>
      </c>
      <c r="J182" s="7">
        <f>VLOOKUP(J$2,Report!$A$18:$L$34,'Actual-CO2 Calculations'!$AK31,FALSE)</f>
        <v>4.7333333333333298E-3</v>
      </c>
      <c r="K182" s="7" t="e">
        <f>VLOOKUP(K$2,Report!$A$18:$L$34,'Actual-CO2 Calculations'!$AK31,FALSE)</f>
        <v>#N/A</v>
      </c>
      <c r="L182" s="10" t="e">
        <f>VLOOKUP(L$2,Report!$A$18:$L$34,'Actual-CO2 Calculations'!$AK31,FALSE)</f>
        <v>#N/A</v>
      </c>
    </row>
    <row r="183" spans="1:12">
      <c r="A183" s="743" t="s">
        <v>50</v>
      </c>
      <c r="B183" s="7">
        <f>VLOOKUP(B$2,Report!$A$18:$L$34,'Actual-CO2 Calculations'!$AK32,FALSE)</f>
        <v>2.5766666666666702</v>
      </c>
      <c r="C183" s="7">
        <f>VLOOKUP(C$2,Report!$A$18:$L$34,'Actual-CO2 Calculations'!$AK32,FALSE)</f>
        <v>2.6799376153333299</v>
      </c>
      <c r="D183" s="7">
        <f>VLOOKUP(D$2,Report!$A$18:$L$34,'Actual-CO2 Calculations'!$AK32,FALSE)</f>
        <v>3.0559864166666699</v>
      </c>
      <c r="E183" s="7">
        <f>VLOOKUP(E$2,Report!$A$18:$L$34,'Actual-CO2 Calculations'!$AK32,FALSE)</f>
        <v>2.2669333333333301</v>
      </c>
      <c r="F183" s="7">
        <f>VLOOKUP(F$2,Report!$A$18:$L$34,'Actual-CO2 Calculations'!$AK32,FALSE)</f>
        <v>2.0287333333333336E-3</v>
      </c>
      <c r="G183" s="7">
        <f>VLOOKUP(G$2,Report!$A$18:$L$34,'Actual-CO2 Calculations'!$AK32,FALSE)</f>
        <v>1.5395983746666699</v>
      </c>
      <c r="H183" s="7">
        <f>VLOOKUP(H$2,Report!$A$18:$L$34,'Actual-CO2 Calculations'!$AK32,FALSE)</f>
        <v>5.8666666666666702E-3</v>
      </c>
      <c r="I183" s="7">
        <f>(I$3*VLOOKUP(I$2,Report!$A$18:$L$34,'Actual-CO2 Calculations'!$AK32,FALSE))+((1-I$3)*C183)</f>
        <v>2.6799376153333299</v>
      </c>
      <c r="J183" s="7">
        <f>VLOOKUP(J$2,Report!$A$18:$L$34,'Actual-CO2 Calculations'!$AK32,FALSE)</f>
        <v>4.7333333333333298E-3</v>
      </c>
      <c r="K183" s="7" t="e">
        <f>VLOOKUP(K$2,Report!$A$18:$L$34,'Actual-CO2 Calculations'!$AK32,FALSE)</f>
        <v>#N/A</v>
      </c>
      <c r="L183" s="10" t="e">
        <f>VLOOKUP(L$2,Report!$A$18:$L$34,'Actual-CO2 Calculations'!$AK32,FALSE)</f>
        <v>#N/A</v>
      </c>
    </row>
    <row r="184" spans="1:12">
      <c r="A184" s="743" t="s">
        <v>51</v>
      </c>
      <c r="B184" s="7">
        <f>VLOOKUP(B$2,Report!$A$18:$L$34,'Actual-CO2 Calculations'!$AK33,FALSE)</f>
        <v>2.5834999999999999</v>
      </c>
      <c r="C184" s="7">
        <f>VLOOKUP(C$2,Report!$A$18:$L$34,'Actual-CO2 Calculations'!$AK33,FALSE)</f>
        <v>2.6768999999999998</v>
      </c>
      <c r="D184" s="7">
        <f>VLOOKUP(D$2,Report!$A$18:$L$34,'Actual-CO2 Calculations'!$AK33,FALSE)</f>
        <v>3.0213000000000001</v>
      </c>
      <c r="E184" s="7">
        <f>VLOOKUP(E$2,Report!$A$18:$L$34,'Actual-CO2 Calculations'!$AK33,FALSE)</f>
        <v>2.2423000000000002</v>
      </c>
      <c r="F184" s="7">
        <f>VLOOKUP(F$2,Report!$A$18:$L$34,'Actual-CO2 Calculations'!$AK33,FALSE)</f>
        <v>2.0322000000000001E-3</v>
      </c>
      <c r="G184" s="7">
        <f>VLOOKUP(G$2,Report!$A$18:$L$34,'Actual-CO2 Calculations'!$AK33,FALSE)</f>
        <v>1.5326</v>
      </c>
      <c r="H184" s="7">
        <f>VLOOKUP(H$2,Report!$A$18:$L$34,'Actual-CO2 Calculations'!$AK33,FALSE)</f>
        <v>5.7000000000000002E-3</v>
      </c>
      <c r="I184" s="7">
        <f>(I$3*VLOOKUP(I$2,Report!$A$18:$L$34,'Actual-CO2 Calculations'!$AK33,FALSE))+((1-I$3)*C184)</f>
        <v>2.6768999999999998</v>
      </c>
      <c r="J184" s="7">
        <f>VLOOKUP(J$2,Report!$A$18:$L$34,'Actual-CO2 Calculations'!$AK33,FALSE)</f>
        <v>5.1999999999999998E-3</v>
      </c>
      <c r="K184" s="7" t="e">
        <f>VLOOKUP(K$2,Report!$A$18:$L$34,'Actual-CO2 Calculations'!$AK33,FALSE)</f>
        <v>#N/A</v>
      </c>
      <c r="L184" s="10" t="e">
        <f>VLOOKUP(L$2,Report!$A$18:$L$34,'Actual-CO2 Calculations'!$AK33,FALSE)</f>
        <v>#N/A</v>
      </c>
    </row>
    <row r="185" spans="1:12">
      <c r="A185" s="743" t="s">
        <v>52</v>
      </c>
      <c r="B185" s="7">
        <f>VLOOKUP(B$2,Report!$A$18:$L$34,'Actual-CO2 Calculations'!$AK34,FALSE)</f>
        <v>2.5834999999999999</v>
      </c>
      <c r="C185" s="7">
        <f>VLOOKUP(C$2,Report!$A$18:$L$34,'Actual-CO2 Calculations'!$AK34,FALSE)</f>
        <v>2.6768999999999998</v>
      </c>
      <c r="D185" s="7">
        <f>VLOOKUP(D$2,Report!$A$18:$L$34,'Actual-CO2 Calculations'!$AK34,FALSE)</f>
        <v>3.0213000000000001</v>
      </c>
      <c r="E185" s="7">
        <f>VLOOKUP(E$2,Report!$A$18:$L$34,'Actual-CO2 Calculations'!$AK34,FALSE)</f>
        <v>2.2423000000000002</v>
      </c>
      <c r="F185" s="7">
        <f>VLOOKUP(F$2,Report!$A$18:$L$34,'Actual-CO2 Calculations'!$AK34,FALSE)</f>
        <v>2.0322000000000001E-3</v>
      </c>
      <c r="G185" s="7">
        <f>VLOOKUP(G$2,Report!$A$18:$L$34,'Actual-CO2 Calculations'!$AK34,FALSE)</f>
        <v>1.5326</v>
      </c>
      <c r="H185" s="7">
        <f>VLOOKUP(H$2,Report!$A$18:$L$34,'Actual-CO2 Calculations'!$AK34,FALSE)</f>
        <v>5.7000000000000002E-3</v>
      </c>
      <c r="I185" s="7">
        <f>(I$3*VLOOKUP(I$2,Report!$A$18:$L$34,'Actual-CO2 Calculations'!$AK34,FALSE))+((1-I$3)*C185)</f>
        <v>2.6768999999999998</v>
      </c>
      <c r="J185" s="7">
        <f>VLOOKUP(J$2,Report!$A$18:$L$34,'Actual-CO2 Calculations'!$AK34,FALSE)</f>
        <v>5.1999999999999998E-3</v>
      </c>
      <c r="K185" s="7" t="e">
        <f>VLOOKUP(K$2,Report!$A$18:$L$34,'Actual-CO2 Calculations'!$AK34,FALSE)</f>
        <v>#N/A</v>
      </c>
      <c r="L185" s="10" t="e">
        <f>VLOOKUP(L$2,Report!$A$18:$L$34,'Actual-CO2 Calculations'!$AK34,FALSE)</f>
        <v>#N/A</v>
      </c>
    </row>
    <row r="186" spans="1:12">
      <c r="A186" s="743" t="s">
        <v>53</v>
      </c>
      <c r="B186" s="7">
        <f>VLOOKUP(B$2,Report!$A$18:$L$34,'Actual-CO2 Calculations'!$AK35,FALSE)</f>
        <v>2.5834999999999999</v>
      </c>
      <c r="C186" s="7">
        <f>VLOOKUP(C$2,Report!$A$18:$L$34,'Actual-CO2 Calculations'!$AK35,FALSE)</f>
        <v>2.6768999999999998</v>
      </c>
      <c r="D186" s="7">
        <f>VLOOKUP(D$2,Report!$A$18:$L$34,'Actual-CO2 Calculations'!$AK35,FALSE)</f>
        <v>3.0213000000000001</v>
      </c>
      <c r="E186" s="7">
        <f>VLOOKUP(E$2,Report!$A$18:$L$34,'Actual-CO2 Calculations'!$AK35,FALSE)</f>
        <v>2.2423000000000002</v>
      </c>
      <c r="F186" s="7">
        <f>VLOOKUP(F$2,Report!$A$18:$L$34,'Actual-CO2 Calculations'!$AK35,FALSE)</f>
        <v>2.0322000000000001E-3</v>
      </c>
      <c r="G186" s="7">
        <f>VLOOKUP(G$2,Report!$A$18:$L$34,'Actual-CO2 Calculations'!$AK35,FALSE)</f>
        <v>1.5326</v>
      </c>
      <c r="H186" s="7">
        <f>VLOOKUP(H$2,Report!$A$18:$L$34,'Actual-CO2 Calculations'!$AK35,FALSE)</f>
        <v>5.7000000000000002E-3</v>
      </c>
      <c r="I186" s="7">
        <f>(I$3*VLOOKUP(I$2,Report!$A$18:$L$34,'Actual-CO2 Calculations'!$AK35,FALSE))+((1-I$3)*C186)</f>
        <v>2.6768999999999998</v>
      </c>
      <c r="J186" s="7">
        <f>VLOOKUP(J$2,Report!$A$18:$L$34,'Actual-CO2 Calculations'!$AK35,FALSE)</f>
        <v>5.1999999999999998E-3</v>
      </c>
      <c r="K186" s="7" t="e">
        <f>VLOOKUP(K$2,Report!$A$18:$L$34,'Actual-CO2 Calculations'!$AK35,FALSE)</f>
        <v>#N/A</v>
      </c>
      <c r="L186" s="10" t="e">
        <f>VLOOKUP(L$2,Report!$A$18:$L$34,'Actual-CO2 Calculations'!$AK35,FALSE)</f>
        <v>#N/A</v>
      </c>
    </row>
    <row r="187" spans="1:12">
      <c r="A187" s="743" t="s">
        <v>54</v>
      </c>
      <c r="B187" s="7">
        <f>VLOOKUP(B$2,Report!$A$18:$L$34,'Actual-CO2 Calculations'!$AK36,FALSE)</f>
        <v>2.5834999999999999</v>
      </c>
      <c r="C187" s="7">
        <f>VLOOKUP(C$2,Report!$A$18:$L$34,'Actual-CO2 Calculations'!$AK36,FALSE)</f>
        <v>2.6768999999999998</v>
      </c>
      <c r="D187" s="7">
        <f>VLOOKUP(D$2,Report!$A$18:$L$34,'Actual-CO2 Calculations'!$AK36,FALSE)</f>
        <v>3.0213000000000001</v>
      </c>
      <c r="E187" s="7">
        <f>VLOOKUP(E$2,Report!$A$18:$L$34,'Actual-CO2 Calculations'!$AK36,FALSE)</f>
        <v>2.2423000000000002</v>
      </c>
      <c r="F187" s="7">
        <f>VLOOKUP(F$2,Report!$A$18:$L$34,'Actual-CO2 Calculations'!$AK36,FALSE)</f>
        <v>2.0322000000000001E-3</v>
      </c>
      <c r="G187" s="7">
        <f>VLOOKUP(G$2,Report!$A$18:$L$34,'Actual-CO2 Calculations'!$AK36,FALSE)</f>
        <v>1.5326</v>
      </c>
      <c r="H187" s="7">
        <f>VLOOKUP(H$2,Report!$A$18:$L$34,'Actual-CO2 Calculations'!$AK36,FALSE)</f>
        <v>5.7000000000000002E-3</v>
      </c>
      <c r="I187" s="7">
        <f>(I$3*VLOOKUP(I$2,Report!$A$18:$L$34,'Actual-CO2 Calculations'!$AK36,FALSE))+((1-I$3)*C187)</f>
        <v>2.6768999999999998</v>
      </c>
      <c r="J187" s="7">
        <f>VLOOKUP(J$2,Report!$A$18:$L$34,'Actual-CO2 Calculations'!$AK36,FALSE)</f>
        <v>5.1999999999999998E-3</v>
      </c>
      <c r="K187" s="7" t="e">
        <f>VLOOKUP(K$2,Report!$A$18:$L$34,'Actual-CO2 Calculations'!$AK36,FALSE)</f>
        <v>#N/A</v>
      </c>
      <c r="L187" s="10" t="e">
        <f>VLOOKUP(L$2,Report!$A$18:$L$34,'Actual-CO2 Calculations'!$AK36,FALSE)</f>
        <v>#N/A</v>
      </c>
    </row>
    <row r="188" spans="1:12">
      <c r="A188" s="743" t="s">
        <v>55</v>
      </c>
      <c r="B188" s="7">
        <f>VLOOKUP(B$2,Report!$A$18:$L$34,'Actual-CO2 Calculations'!$AK37,FALSE)</f>
        <v>2.5834999999999999</v>
      </c>
      <c r="C188" s="7">
        <f>VLOOKUP(C$2,Report!$A$18:$L$34,'Actual-CO2 Calculations'!$AK37,FALSE)</f>
        <v>2.6768999999999998</v>
      </c>
      <c r="D188" s="7">
        <f>VLOOKUP(D$2,Report!$A$18:$L$34,'Actual-CO2 Calculations'!$AK37,FALSE)</f>
        <v>3.0213000000000001</v>
      </c>
      <c r="E188" s="7">
        <f>VLOOKUP(E$2,Report!$A$18:$L$34,'Actual-CO2 Calculations'!$AK37,FALSE)</f>
        <v>2.2423000000000002</v>
      </c>
      <c r="F188" s="7">
        <f>VLOOKUP(F$2,Report!$A$18:$L$34,'Actual-CO2 Calculations'!$AK37,FALSE)</f>
        <v>2.0322000000000001E-3</v>
      </c>
      <c r="G188" s="7">
        <f>VLOOKUP(G$2,Report!$A$18:$L$34,'Actual-CO2 Calculations'!$AK37,FALSE)</f>
        <v>1.5326</v>
      </c>
      <c r="H188" s="7">
        <f>VLOOKUP(H$2,Report!$A$18:$L$34,'Actual-CO2 Calculations'!$AK37,FALSE)</f>
        <v>5.7000000000000002E-3</v>
      </c>
      <c r="I188" s="7">
        <f>(I$3*VLOOKUP(I$2,Report!$A$18:$L$34,'Actual-CO2 Calculations'!$AK37,FALSE))+((1-I$3)*C188)</f>
        <v>2.6768999999999998</v>
      </c>
      <c r="J188" s="7">
        <f>VLOOKUP(J$2,Report!$A$18:$L$34,'Actual-CO2 Calculations'!$AK37,FALSE)</f>
        <v>5.1999999999999998E-3</v>
      </c>
      <c r="K188" s="7" t="e">
        <f>VLOOKUP(K$2,Report!$A$18:$L$34,'Actual-CO2 Calculations'!$AK37,FALSE)</f>
        <v>#N/A</v>
      </c>
      <c r="L188" s="10" t="e">
        <f>VLOOKUP(L$2,Report!$A$18:$L$34,'Actual-CO2 Calculations'!$AK37,FALSE)</f>
        <v>#N/A</v>
      </c>
    </row>
    <row r="189" spans="1:12">
      <c r="A189" s="743" t="s">
        <v>56</v>
      </c>
      <c r="B189" s="7">
        <f>VLOOKUP(B$2,Report!$A$18:$L$34,'Actual-CO2 Calculations'!$AK38,FALSE)</f>
        <v>2.5834999999999999</v>
      </c>
      <c r="C189" s="7">
        <f>VLOOKUP(C$2,Report!$A$18:$L$34,'Actual-CO2 Calculations'!$AK38,FALSE)</f>
        <v>2.6768999999999998</v>
      </c>
      <c r="D189" s="7">
        <f>VLOOKUP(D$2,Report!$A$18:$L$34,'Actual-CO2 Calculations'!$AK38,FALSE)</f>
        <v>3.0213000000000001</v>
      </c>
      <c r="E189" s="7">
        <f>VLOOKUP(E$2,Report!$A$18:$L$34,'Actual-CO2 Calculations'!$AK38,FALSE)</f>
        <v>2.2423000000000002</v>
      </c>
      <c r="F189" s="7">
        <f>VLOOKUP(F$2,Report!$A$18:$L$34,'Actual-CO2 Calculations'!$AK38,FALSE)</f>
        <v>2.0322000000000001E-3</v>
      </c>
      <c r="G189" s="7">
        <f>VLOOKUP(G$2,Report!$A$18:$L$34,'Actual-CO2 Calculations'!$AK38,FALSE)</f>
        <v>1.5326</v>
      </c>
      <c r="H189" s="7">
        <f>VLOOKUP(H$2,Report!$A$18:$L$34,'Actual-CO2 Calculations'!$AK38,FALSE)</f>
        <v>5.7000000000000002E-3</v>
      </c>
      <c r="I189" s="7">
        <f>(I$3*VLOOKUP(I$2,Report!$A$18:$L$34,'Actual-CO2 Calculations'!$AK38,FALSE))+((1-I$3)*C189)</f>
        <v>2.6768999999999998</v>
      </c>
      <c r="J189" s="7">
        <f>VLOOKUP(J$2,Report!$A$18:$L$34,'Actual-CO2 Calculations'!$AK38,FALSE)</f>
        <v>5.1999999999999998E-3</v>
      </c>
      <c r="K189" s="7" t="e">
        <f>VLOOKUP(K$2,Report!$A$18:$L$34,'Actual-CO2 Calculations'!$AK38,FALSE)</f>
        <v>#N/A</v>
      </c>
      <c r="L189" s="10" t="e">
        <f>VLOOKUP(L$2,Report!$A$18:$L$34,'Actual-CO2 Calculations'!$AK38,FALSE)</f>
        <v>#N/A</v>
      </c>
    </row>
    <row r="190" spans="1:12">
      <c r="A190" s="743" t="s">
        <v>57</v>
      </c>
      <c r="B190" s="7">
        <f>VLOOKUP(B$2,Report!$A$18:$L$34,'Actual-CO2 Calculations'!$AK39,FALSE)</f>
        <v>2.5834999999999999</v>
      </c>
      <c r="C190" s="7">
        <f>VLOOKUP(C$2,Report!$A$18:$L$34,'Actual-CO2 Calculations'!$AK39,FALSE)</f>
        <v>2.6768999999999998</v>
      </c>
      <c r="D190" s="7">
        <f>VLOOKUP(D$2,Report!$A$18:$L$34,'Actual-CO2 Calculations'!$AK39,FALSE)</f>
        <v>3.0213000000000001</v>
      </c>
      <c r="E190" s="7">
        <f>VLOOKUP(E$2,Report!$A$18:$L$34,'Actual-CO2 Calculations'!$AK39,FALSE)</f>
        <v>2.2423000000000002</v>
      </c>
      <c r="F190" s="7">
        <f>VLOOKUP(F$2,Report!$A$18:$L$34,'Actual-CO2 Calculations'!$AK39,FALSE)</f>
        <v>2.0322000000000001E-3</v>
      </c>
      <c r="G190" s="7">
        <f>VLOOKUP(G$2,Report!$A$18:$L$34,'Actual-CO2 Calculations'!$AK39,FALSE)</f>
        <v>1.5326</v>
      </c>
      <c r="H190" s="7">
        <f>VLOOKUP(H$2,Report!$A$18:$L$34,'Actual-CO2 Calculations'!$AK39,FALSE)</f>
        <v>5.7000000000000002E-3</v>
      </c>
      <c r="I190" s="7">
        <f>(I$3*VLOOKUP(I$2,Report!$A$18:$L$34,'Actual-CO2 Calculations'!$AK39,FALSE))+((1-I$3)*C190)</f>
        <v>2.6768999999999998</v>
      </c>
      <c r="J190" s="7">
        <f>VLOOKUP(J$2,Report!$A$18:$L$34,'Actual-CO2 Calculations'!$AK39,FALSE)</f>
        <v>5.1999999999999998E-3</v>
      </c>
      <c r="K190" s="7" t="e">
        <f>VLOOKUP(K$2,Report!$A$18:$L$34,'Actual-CO2 Calculations'!$AK39,FALSE)</f>
        <v>#N/A</v>
      </c>
      <c r="L190" s="10" t="e">
        <f>VLOOKUP(L$2,Report!$A$18:$L$34,'Actual-CO2 Calculations'!$AK39,FALSE)</f>
        <v>#N/A</v>
      </c>
    </row>
    <row r="191" spans="1:12">
      <c r="A191" s="743" t="s">
        <v>4</v>
      </c>
      <c r="B191" s="7">
        <f>VLOOKUP(B$2,Report!$A$18:$L$34,'Actual-CO2 Calculations'!$AK40,FALSE)</f>
        <v>2.5834999999999999</v>
      </c>
      <c r="C191" s="7">
        <f>VLOOKUP(C$2,Report!$A$18:$L$34,'Actual-CO2 Calculations'!$AK40,FALSE)</f>
        <v>2.6768999999999998</v>
      </c>
      <c r="D191" s="7">
        <f>VLOOKUP(D$2,Report!$A$18:$L$34,'Actual-CO2 Calculations'!$AK40,FALSE)</f>
        <v>3.0213000000000001</v>
      </c>
      <c r="E191" s="7">
        <f>VLOOKUP(E$2,Report!$A$18:$L$34,'Actual-CO2 Calculations'!$AK40,FALSE)</f>
        <v>2.2423000000000002</v>
      </c>
      <c r="F191" s="7">
        <f>VLOOKUP(F$2,Report!$A$18:$L$34,'Actual-CO2 Calculations'!$AK40,FALSE)</f>
        <v>2.0322000000000001E-3</v>
      </c>
      <c r="G191" s="7">
        <f>VLOOKUP(G$2,Report!$A$18:$L$34,'Actual-CO2 Calculations'!$AK40,FALSE)</f>
        <v>1.5326</v>
      </c>
      <c r="H191" s="7">
        <f>VLOOKUP(H$2,Report!$A$18:$L$34,'Actual-CO2 Calculations'!$AK40,FALSE)</f>
        <v>5.7000000000000002E-3</v>
      </c>
      <c r="I191" s="7">
        <f>(I$3*VLOOKUP(I$2,Report!$A$18:$L$34,'Actual-CO2 Calculations'!$AK40,FALSE))+((1-I$3)*C191)</f>
        <v>2.6768999999999998</v>
      </c>
      <c r="J191" s="7">
        <f>VLOOKUP(J$2,Report!$A$18:$L$34,'Actual-CO2 Calculations'!$AK40,FALSE)</f>
        <v>5.1999999999999998E-3</v>
      </c>
      <c r="K191" s="7" t="e">
        <f>VLOOKUP(K$2,Report!$A$18:$L$34,'Actual-CO2 Calculations'!$AK40,FALSE)</f>
        <v>#N/A</v>
      </c>
      <c r="L191" s="10" t="e">
        <f>VLOOKUP(L$2,Report!$A$18:$L$34,'Actual-CO2 Calculations'!$AK40,FALSE)</f>
        <v>#N/A</v>
      </c>
    </row>
    <row r="192" spans="1:12">
      <c r="A192" s="743" t="s">
        <v>5</v>
      </c>
      <c r="B192" s="7">
        <f>VLOOKUP(B$2,Report!$A$18:$L$34,'Actual-CO2 Calculations'!$AK41,FALSE)</f>
        <v>2.5834999999999999</v>
      </c>
      <c r="C192" s="7">
        <f>VLOOKUP(C$2,Report!$A$18:$L$34,'Actual-CO2 Calculations'!$AK41,FALSE)</f>
        <v>2.6768999999999998</v>
      </c>
      <c r="D192" s="7">
        <f>VLOOKUP(D$2,Report!$A$18:$L$34,'Actual-CO2 Calculations'!$AK41,FALSE)</f>
        <v>3.0213000000000001</v>
      </c>
      <c r="E192" s="7">
        <f>VLOOKUP(E$2,Report!$A$18:$L$34,'Actual-CO2 Calculations'!$AK41,FALSE)</f>
        <v>2.2423000000000002</v>
      </c>
      <c r="F192" s="7">
        <f>VLOOKUP(F$2,Report!$A$18:$L$34,'Actual-CO2 Calculations'!$AK41,FALSE)</f>
        <v>2.0322000000000001E-3</v>
      </c>
      <c r="G192" s="7">
        <f>VLOOKUP(G$2,Report!$A$18:$L$34,'Actual-CO2 Calculations'!$AK41,FALSE)</f>
        <v>1.5326</v>
      </c>
      <c r="H192" s="7">
        <f>VLOOKUP(H$2,Report!$A$18:$L$34,'Actual-CO2 Calculations'!$AK41,FALSE)</f>
        <v>5.7000000000000002E-3</v>
      </c>
      <c r="I192" s="7">
        <f>(I$3*VLOOKUP(I$2,Report!$A$18:$L$34,'Actual-CO2 Calculations'!$AK41,FALSE))+((1-I$3)*C192)</f>
        <v>2.6768999999999998</v>
      </c>
      <c r="J192" s="7">
        <f>VLOOKUP(J$2,Report!$A$18:$L$34,'Actual-CO2 Calculations'!$AK41,FALSE)</f>
        <v>5.1999999999999998E-3</v>
      </c>
      <c r="K192" s="7" t="e">
        <f>VLOOKUP(K$2,Report!$A$18:$L$34,'Actual-CO2 Calculations'!$AK41,FALSE)</f>
        <v>#N/A</v>
      </c>
      <c r="L192" s="10" t="e">
        <f>VLOOKUP(L$2,Report!$A$18:$L$34,'Actual-CO2 Calculations'!$AK41,FALSE)</f>
        <v>#N/A</v>
      </c>
    </row>
    <row r="193" spans="1:12">
      <c r="A193" s="743" t="s">
        <v>6</v>
      </c>
      <c r="B193" s="7">
        <f>VLOOKUP(B$2,Report!$A$18:$L$34,'Actual-CO2 Calculations'!$AK42,FALSE)</f>
        <v>2.5834999999999999</v>
      </c>
      <c r="C193" s="7">
        <f>VLOOKUP(C$2,Report!$A$18:$L$34,'Actual-CO2 Calculations'!$AK42,FALSE)</f>
        <v>2.6768999999999998</v>
      </c>
      <c r="D193" s="7">
        <f>VLOOKUP(D$2,Report!$A$18:$L$34,'Actual-CO2 Calculations'!$AK42,FALSE)</f>
        <v>3.0213000000000001</v>
      </c>
      <c r="E193" s="7">
        <f>VLOOKUP(E$2,Report!$A$18:$L$34,'Actual-CO2 Calculations'!$AK42,FALSE)</f>
        <v>2.2423000000000002</v>
      </c>
      <c r="F193" s="7">
        <f>VLOOKUP(F$2,Report!$A$18:$L$34,'Actual-CO2 Calculations'!$AK42,FALSE)</f>
        <v>2.0322000000000001E-3</v>
      </c>
      <c r="G193" s="7">
        <f>VLOOKUP(G$2,Report!$A$18:$L$34,'Actual-CO2 Calculations'!$AK42,FALSE)</f>
        <v>1.5326</v>
      </c>
      <c r="H193" s="7">
        <f>VLOOKUP(H$2,Report!$A$18:$L$34,'Actual-CO2 Calculations'!$AK42,FALSE)</f>
        <v>5.7000000000000002E-3</v>
      </c>
      <c r="I193" s="7">
        <f>(I$3*VLOOKUP(I$2,Report!$A$18:$L$34,'Actual-CO2 Calculations'!$AK42,FALSE))+((1-I$3)*C193)</f>
        <v>2.6768999999999998</v>
      </c>
      <c r="J193" s="7">
        <f>VLOOKUP(J$2,Report!$A$18:$L$34,'Actual-CO2 Calculations'!$AK42,FALSE)</f>
        <v>5.1999999999999998E-3</v>
      </c>
      <c r="K193" s="7" t="e">
        <f>VLOOKUP(K$2,Report!$A$18:$L$34,'Actual-CO2 Calculations'!$AK42,FALSE)</f>
        <v>#N/A</v>
      </c>
      <c r="L193" s="10" t="e">
        <f>VLOOKUP(L$2,Report!$A$18:$L$34,'Actual-CO2 Calculations'!$AK42,FALSE)</f>
        <v>#N/A</v>
      </c>
    </row>
    <row r="194" spans="1:12">
      <c r="A194" s="743" t="s">
        <v>7</v>
      </c>
      <c r="B194" s="7">
        <f>VLOOKUP(B$2,Report!$A$18:$L$34,'Actual-CO2 Calculations'!$AK43,FALSE)</f>
        <v>2.5834999999999999</v>
      </c>
      <c r="C194" s="7">
        <f>VLOOKUP(C$2,Report!$A$18:$L$34,'Actual-CO2 Calculations'!$AK43,FALSE)</f>
        <v>2.6768999999999998</v>
      </c>
      <c r="D194" s="7">
        <f>VLOOKUP(D$2,Report!$A$18:$L$34,'Actual-CO2 Calculations'!$AK43,FALSE)</f>
        <v>3.0213000000000001</v>
      </c>
      <c r="E194" s="7">
        <f>VLOOKUP(E$2,Report!$A$18:$L$34,'Actual-CO2 Calculations'!$AK43,FALSE)</f>
        <v>2.2423000000000002</v>
      </c>
      <c r="F194" s="7">
        <f>VLOOKUP(F$2,Report!$A$18:$L$34,'Actual-CO2 Calculations'!$AK43,FALSE)</f>
        <v>2.0322000000000001E-3</v>
      </c>
      <c r="G194" s="7">
        <f>VLOOKUP(G$2,Report!$A$18:$L$34,'Actual-CO2 Calculations'!$AK43,FALSE)</f>
        <v>1.5326</v>
      </c>
      <c r="H194" s="7">
        <f>VLOOKUP(H$2,Report!$A$18:$L$34,'Actual-CO2 Calculations'!$AK43,FALSE)</f>
        <v>5.7000000000000002E-3</v>
      </c>
      <c r="I194" s="7">
        <f>(I$3*VLOOKUP(I$2,Report!$A$18:$L$34,'Actual-CO2 Calculations'!$AK43,FALSE))+((1-I$3)*C194)</f>
        <v>2.6768999999999998</v>
      </c>
      <c r="J194" s="7">
        <f>VLOOKUP(J$2,Report!$A$18:$L$34,'Actual-CO2 Calculations'!$AK43,FALSE)</f>
        <v>5.1999999999999998E-3</v>
      </c>
      <c r="K194" s="7" t="e">
        <f>VLOOKUP(K$2,Report!$A$18:$L$34,'Actual-CO2 Calculations'!$AK43,FALSE)</f>
        <v>#N/A</v>
      </c>
      <c r="L194" s="10" t="e">
        <f>VLOOKUP(L$2,Report!$A$18:$L$34,'Actual-CO2 Calculations'!$AK43,FALSE)</f>
        <v>#N/A</v>
      </c>
    </row>
    <row r="195" spans="1:12">
      <c r="A195" s="743" t="s">
        <v>58</v>
      </c>
      <c r="B195" s="7">
        <f>VLOOKUP(B$2,Report!$A$18:$L$34,'Actual-CO2 Calculations'!$AK44,FALSE)</f>
        <v>2.5834999999999999</v>
      </c>
      <c r="C195" s="7">
        <f>VLOOKUP(C$2,Report!$A$18:$L$34,'Actual-CO2 Calculations'!$AK44,FALSE)</f>
        <v>2.6768999999999998</v>
      </c>
      <c r="D195" s="7">
        <f>VLOOKUP(D$2,Report!$A$18:$L$34,'Actual-CO2 Calculations'!$AK44,FALSE)</f>
        <v>3.0213000000000001</v>
      </c>
      <c r="E195" s="7">
        <f>VLOOKUP(E$2,Report!$A$18:$L$34,'Actual-CO2 Calculations'!$AK44,FALSE)</f>
        <v>2.2423000000000002</v>
      </c>
      <c r="F195" s="7">
        <f>VLOOKUP(F$2,Report!$A$18:$L$34,'Actual-CO2 Calculations'!$AK44,FALSE)</f>
        <v>2.0322000000000001E-3</v>
      </c>
      <c r="G195" s="7">
        <f>VLOOKUP(G$2,Report!$A$18:$L$34,'Actual-CO2 Calculations'!$AK44,FALSE)</f>
        <v>1.5326</v>
      </c>
      <c r="H195" s="7">
        <f>VLOOKUP(H$2,Report!$A$18:$L$34,'Actual-CO2 Calculations'!$AK44,FALSE)</f>
        <v>5.7000000000000002E-3</v>
      </c>
      <c r="I195" s="7">
        <f>(I$3*VLOOKUP(I$2,Report!$A$18:$L$34,'Actual-CO2 Calculations'!$AK44,FALSE))+((1-I$3)*C195)</f>
        <v>2.6768999999999998</v>
      </c>
      <c r="J195" s="7">
        <f>VLOOKUP(J$2,Report!$A$18:$L$34,'Actual-CO2 Calculations'!$AK44,FALSE)</f>
        <v>5.1999999999999998E-3</v>
      </c>
      <c r="K195" s="7" t="e">
        <f>VLOOKUP(K$2,Report!$A$18:$L$34,'Actual-CO2 Calculations'!$AK44,FALSE)</f>
        <v>#N/A</v>
      </c>
      <c r="L195" s="10" t="e">
        <f>VLOOKUP(L$2,Report!$A$18:$L$34,'Actual-CO2 Calculations'!$AK44,FALSE)</f>
        <v>#N/A</v>
      </c>
    </row>
    <row r="196" spans="1:12">
      <c r="A196" s="743" t="s">
        <v>59</v>
      </c>
      <c r="B196" s="7">
        <f>VLOOKUP(B$2,Report!$A$18:$L$34,'Actual-CO2 Calculations'!$AK45,FALSE)</f>
        <v>2.5834999999999999</v>
      </c>
      <c r="C196" s="7">
        <f>VLOOKUP(C$2,Report!$A$18:$L$34,'Actual-CO2 Calculations'!$AK45,FALSE)</f>
        <v>2.6768999999999998</v>
      </c>
      <c r="D196" s="7">
        <f>VLOOKUP(D$2,Report!$A$18:$L$34,'Actual-CO2 Calculations'!$AK45,FALSE)</f>
        <v>3.0213000000000001</v>
      </c>
      <c r="E196" s="7">
        <f>VLOOKUP(E$2,Report!$A$18:$L$34,'Actual-CO2 Calculations'!$AK45,FALSE)</f>
        <v>2.2423000000000002</v>
      </c>
      <c r="F196" s="7">
        <f>VLOOKUP(F$2,Report!$A$18:$L$34,'Actual-CO2 Calculations'!$AK45,FALSE)</f>
        <v>2.0322000000000001E-3</v>
      </c>
      <c r="G196" s="7">
        <f>VLOOKUP(G$2,Report!$A$18:$L$34,'Actual-CO2 Calculations'!$AK45,FALSE)</f>
        <v>1.5326</v>
      </c>
      <c r="H196" s="7">
        <f>VLOOKUP(H$2,Report!$A$18:$L$34,'Actual-CO2 Calculations'!$AK45,FALSE)</f>
        <v>5.7000000000000002E-3</v>
      </c>
      <c r="I196" s="7">
        <f>(I$3*VLOOKUP(I$2,Report!$A$18:$L$34,'Actual-CO2 Calculations'!$AK45,FALSE))+((1-I$3)*C196)</f>
        <v>2.6768999999999998</v>
      </c>
      <c r="J196" s="7">
        <f>VLOOKUP(J$2,Report!$A$18:$L$34,'Actual-CO2 Calculations'!$AK45,FALSE)</f>
        <v>5.1999999999999998E-3</v>
      </c>
      <c r="K196" s="7" t="e">
        <f>VLOOKUP(K$2,Report!$A$18:$L$34,'Actual-CO2 Calculations'!$AK45,FALSE)</f>
        <v>#N/A</v>
      </c>
      <c r="L196" s="10" t="e">
        <f>VLOOKUP(L$2,Report!$A$18:$L$34,'Actual-CO2 Calculations'!$AK45,FALSE)</f>
        <v>#N/A</v>
      </c>
    </row>
    <row r="197" spans="1:12">
      <c r="A197" s="743" t="s">
        <v>60</v>
      </c>
      <c r="B197" s="7">
        <f>VLOOKUP(B$2,Report!$A$18:$L$34,'Actual-CO2 Calculations'!$AK46,FALSE)</f>
        <v>2.6008</v>
      </c>
      <c r="C197" s="7">
        <f>VLOOKUP(C$2,Report!$A$18:$L$34,'Actual-CO2 Calculations'!$AK46,FALSE)</f>
        <v>2.6705000000000001</v>
      </c>
      <c r="D197" s="7">
        <f>VLOOKUP(D$2,Report!$A$18:$L$34,'Actual-CO2 Calculations'!$AK46,FALSE)</f>
        <v>2.9342999999999999</v>
      </c>
      <c r="E197" s="7">
        <f>VLOOKUP(E$2,Report!$A$18:$L$34,'Actual-CO2 Calculations'!$AK46,FALSE)</f>
        <v>2.2143999999999999</v>
      </c>
      <c r="F197" s="7">
        <f>VLOOKUP(F$2,Report!$A$18:$L$34,'Actual-CO2 Calculations'!$AK46,FALSE)</f>
        <v>2.0194000000000002E-3</v>
      </c>
      <c r="G197" s="7">
        <f>VLOOKUP(G$2,Report!$A$18:$L$34,'Actual-CO2 Calculations'!$AK46,FALSE)</f>
        <v>1.4928999999999999</v>
      </c>
      <c r="H197" s="7">
        <f>VLOOKUP(H$2,Report!$A$18:$L$34,'Actual-CO2 Calculations'!$AK46,FALSE)</f>
        <v>5.5999999999999999E-3</v>
      </c>
      <c r="I197" s="7">
        <f>(I$3*VLOOKUP(I$2,Report!$A$18:$L$34,'Actual-CO2 Calculations'!$AK46,FALSE))+((1-I$3)*C197)</f>
        <v>2.6705000000000001</v>
      </c>
      <c r="J197" s="7">
        <f>VLOOKUP(J$2,Report!$A$18:$L$34,'Actual-CO2 Calculations'!$AK46,FALSE)</f>
        <v>5.5999999999999999E-3</v>
      </c>
      <c r="K197" s="7" t="e">
        <f>VLOOKUP(K$2,Report!$A$18:$L$34,'Actual-CO2 Calculations'!$AK46,FALSE)</f>
        <v>#N/A</v>
      </c>
      <c r="L197" s="10" t="e">
        <f>VLOOKUP(L$2,Report!$A$18:$L$34,'Actual-CO2 Calculations'!$AK46,FALSE)</f>
        <v>#N/A</v>
      </c>
    </row>
    <row r="198" spans="1:12">
      <c r="A198" s="743" t="s">
        <v>61</v>
      </c>
      <c r="B198" s="7">
        <f>VLOOKUP(B$2,Report!$A$18:$L$34,'Actual-CO2 Calculations'!$AK47,FALSE)</f>
        <v>2.6008</v>
      </c>
      <c r="C198" s="7">
        <f>VLOOKUP(C$2,Report!$A$18:$L$34,'Actual-CO2 Calculations'!$AK47,FALSE)</f>
        <v>2.6705000000000001</v>
      </c>
      <c r="D198" s="7">
        <f>VLOOKUP(D$2,Report!$A$18:$L$34,'Actual-CO2 Calculations'!$AK47,FALSE)</f>
        <v>2.9342999999999999</v>
      </c>
      <c r="E198" s="7">
        <f>VLOOKUP(E$2,Report!$A$18:$L$34,'Actual-CO2 Calculations'!$AK47,FALSE)</f>
        <v>2.2143999999999999</v>
      </c>
      <c r="F198" s="7">
        <f>VLOOKUP(F$2,Report!$A$18:$L$34,'Actual-CO2 Calculations'!$AK47,FALSE)</f>
        <v>2.0194000000000002E-3</v>
      </c>
      <c r="G198" s="7">
        <f>VLOOKUP(G$2,Report!$A$18:$L$34,'Actual-CO2 Calculations'!$AK47,FALSE)</f>
        <v>1.4928999999999999</v>
      </c>
      <c r="H198" s="7">
        <f>VLOOKUP(H$2,Report!$A$18:$L$34,'Actual-CO2 Calculations'!$AK47,FALSE)</f>
        <v>5.5999999999999999E-3</v>
      </c>
      <c r="I198" s="7">
        <f>(I$3*VLOOKUP(I$2,Report!$A$18:$L$34,'Actual-CO2 Calculations'!$AK47,FALSE))+((1-I$3)*C198)</f>
        <v>2.6705000000000001</v>
      </c>
      <c r="J198" s="7">
        <f>VLOOKUP(J$2,Report!$A$18:$L$34,'Actual-CO2 Calculations'!$AK47,FALSE)</f>
        <v>5.5999999999999999E-3</v>
      </c>
      <c r="K198" s="7" t="e">
        <f>VLOOKUP(K$2,Report!$A$18:$L$34,'Actual-CO2 Calculations'!$AK47,FALSE)</f>
        <v>#N/A</v>
      </c>
      <c r="L198" s="10" t="e">
        <f>VLOOKUP(L$2,Report!$A$18:$L$34,'Actual-CO2 Calculations'!$AK47,FALSE)</f>
        <v>#N/A</v>
      </c>
    </row>
    <row r="199" spans="1:12">
      <c r="A199" s="743" t="s">
        <v>62</v>
      </c>
      <c r="B199" s="7">
        <f>VLOOKUP(B$2,Report!$A$18:$L$34,'Actual-CO2 Calculations'!$AK48,FALSE)</f>
        <v>2.6008</v>
      </c>
      <c r="C199" s="7">
        <f>VLOOKUP(C$2,Report!$A$18:$L$34,'Actual-CO2 Calculations'!$AK48,FALSE)</f>
        <v>2.6705000000000001</v>
      </c>
      <c r="D199" s="7">
        <f>VLOOKUP(D$2,Report!$A$18:$L$34,'Actual-CO2 Calculations'!$AK48,FALSE)</f>
        <v>2.9342999999999999</v>
      </c>
      <c r="E199" s="7">
        <f>VLOOKUP(E$2,Report!$A$18:$L$34,'Actual-CO2 Calculations'!$AK48,FALSE)</f>
        <v>2.2143999999999999</v>
      </c>
      <c r="F199" s="7">
        <f>VLOOKUP(F$2,Report!$A$18:$L$34,'Actual-CO2 Calculations'!$AK48,FALSE)</f>
        <v>2.0194000000000002E-3</v>
      </c>
      <c r="G199" s="7">
        <f>VLOOKUP(G$2,Report!$A$18:$L$34,'Actual-CO2 Calculations'!$AK48,FALSE)</f>
        <v>1.4928999999999999</v>
      </c>
      <c r="H199" s="7">
        <f>VLOOKUP(H$2,Report!$A$18:$L$34,'Actual-CO2 Calculations'!$AK48,FALSE)</f>
        <v>5.5999999999999999E-3</v>
      </c>
      <c r="I199" s="7">
        <f>(I$3*VLOOKUP(I$2,Report!$A$18:$L$34,'Actual-CO2 Calculations'!$AK48,FALSE))+((1-I$3)*C199)</f>
        <v>2.6705000000000001</v>
      </c>
      <c r="J199" s="7">
        <f>VLOOKUP(J$2,Report!$A$18:$L$34,'Actual-CO2 Calculations'!$AK48,FALSE)</f>
        <v>5.5999999999999999E-3</v>
      </c>
      <c r="K199" s="7" t="e">
        <f>VLOOKUP(K$2,Report!$A$18:$L$34,'Actual-CO2 Calculations'!$AK48,FALSE)</f>
        <v>#N/A</v>
      </c>
      <c r="L199" s="10" t="e">
        <f>VLOOKUP(L$2,Report!$A$18:$L$34,'Actual-CO2 Calculations'!$AK48,FALSE)</f>
        <v>#N/A</v>
      </c>
    </row>
    <row r="200" spans="1:12">
      <c r="A200" s="743" t="s">
        <v>63</v>
      </c>
      <c r="B200" s="7">
        <f>VLOOKUP(B$2,Report!$A$18:$L$34,'Actual-CO2 Calculations'!$AK49,FALSE)</f>
        <v>2.6008</v>
      </c>
      <c r="C200" s="7">
        <f>VLOOKUP(C$2,Report!$A$18:$L$34,'Actual-CO2 Calculations'!$AK49,FALSE)</f>
        <v>2.6705000000000001</v>
      </c>
      <c r="D200" s="7">
        <f>VLOOKUP(D$2,Report!$A$18:$L$34,'Actual-CO2 Calculations'!$AK49,FALSE)</f>
        <v>2.9342999999999999</v>
      </c>
      <c r="E200" s="7">
        <f>VLOOKUP(E$2,Report!$A$18:$L$34,'Actual-CO2 Calculations'!$AK49,FALSE)</f>
        <v>2.2143999999999999</v>
      </c>
      <c r="F200" s="7">
        <f>VLOOKUP(F$2,Report!$A$18:$L$34,'Actual-CO2 Calculations'!$AK49,FALSE)</f>
        <v>2.0194000000000002E-3</v>
      </c>
      <c r="G200" s="7">
        <f>VLOOKUP(G$2,Report!$A$18:$L$34,'Actual-CO2 Calculations'!$AK49,FALSE)</f>
        <v>1.4928999999999999</v>
      </c>
      <c r="H200" s="7">
        <f>VLOOKUP(H$2,Report!$A$18:$L$34,'Actual-CO2 Calculations'!$AK49,FALSE)</f>
        <v>5.5999999999999999E-3</v>
      </c>
      <c r="I200" s="7">
        <f>(I$3*VLOOKUP(I$2,Report!$A$18:$L$34,'Actual-CO2 Calculations'!$AK49,FALSE))+((1-I$3)*C200)</f>
        <v>2.6705000000000001</v>
      </c>
      <c r="J200" s="7">
        <f>VLOOKUP(J$2,Report!$A$18:$L$34,'Actual-CO2 Calculations'!$AK49,FALSE)</f>
        <v>5.5999999999999999E-3</v>
      </c>
      <c r="K200" s="7" t="e">
        <f>VLOOKUP(K$2,Report!$A$18:$L$34,'Actual-CO2 Calculations'!$AK49,FALSE)</f>
        <v>#N/A</v>
      </c>
      <c r="L200" s="10" t="e">
        <f>VLOOKUP(L$2,Report!$A$18:$L$34,'Actual-CO2 Calculations'!$AK49,FALSE)</f>
        <v>#N/A</v>
      </c>
    </row>
    <row r="201" spans="1:12">
      <c r="A201" s="743" t="s">
        <v>64</v>
      </c>
      <c r="B201" s="7">
        <f>VLOOKUP(B$2,Report!$A$18:$L$34,'Actual-CO2 Calculations'!$AK50,FALSE)</f>
        <v>2.6008</v>
      </c>
      <c r="C201" s="7">
        <f>VLOOKUP(C$2,Report!$A$18:$L$34,'Actual-CO2 Calculations'!$AK50,FALSE)</f>
        <v>2.6705000000000001</v>
      </c>
      <c r="D201" s="7">
        <f>VLOOKUP(D$2,Report!$A$18:$L$34,'Actual-CO2 Calculations'!$AK50,FALSE)</f>
        <v>2.9342999999999999</v>
      </c>
      <c r="E201" s="7">
        <f>VLOOKUP(E$2,Report!$A$18:$L$34,'Actual-CO2 Calculations'!$AK50,FALSE)</f>
        <v>2.2143999999999999</v>
      </c>
      <c r="F201" s="7">
        <f>VLOOKUP(F$2,Report!$A$18:$L$34,'Actual-CO2 Calculations'!$AK50,FALSE)</f>
        <v>2.0194000000000002E-3</v>
      </c>
      <c r="G201" s="7">
        <f>VLOOKUP(G$2,Report!$A$18:$L$34,'Actual-CO2 Calculations'!$AK50,FALSE)</f>
        <v>1.4928999999999999</v>
      </c>
      <c r="H201" s="7">
        <f>VLOOKUP(H$2,Report!$A$18:$L$34,'Actual-CO2 Calculations'!$AK50,FALSE)</f>
        <v>5.5999999999999999E-3</v>
      </c>
      <c r="I201" s="7">
        <f>(I$3*VLOOKUP(I$2,Report!$A$18:$L$34,'Actual-CO2 Calculations'!$AK50,FALSE))+((1-I$3)*C201)</f>
        <v>2.6705000000000001</v>
      </c>
      <c r="J201" s="7">
        <f>VLOOKUP(J$2,Report!$A$18:$L$34,'Actual-CO2 Calculations'!$AK50,FALSE)</f>
        <v>5.5999999999999999E-3</v>
      </c>
      <c r="K201" s="7" t="e">
        <f>VLOOKUP(K$2,Report!$A$18:$L$34,'Actual-CO2 Calculations'!$AK50,FALSE)</f>
        <v>#N/A</v>
      </c>
      <c r="L201" s="10" t="e">
        <f>VLOOKUP(L$2,Report!$A$18:$L$34,'Actual-CO2 Calculations'!$AK50,FALSE)</f>
        <v>#N/A</v>
      </c>
    </row>
    <row r="202" spans="1:12">
      <c r="A202" s="743" t="s">
        <v>65</v>
      </c>
      <c r="B202" s="7">
        <f>VLOOKUP(B$2,Report!$A$18:$L$34,'Actual-CO2 Calculations'!$AK51,FALSE)</f>
        <v>2.6008</v>
      </c>
      <c r="C202" s="7">
        <f>VLOOKUP(C$2,Report!$A$18:$L$34,'Actual-CO2 Calculations'!$AK51,FALSE)</f>
        <v>2.6705000000000001</v>
      </c>
      <c r="D202" s="7">
        <f>VLOOKUP(D$2,Report!$A$18:$L$34,'Actual-CO2 Calculations'!$AK51,FALSE)</f>
        <v>2.9342999999999999</v>
      </c>
      <c r="E202" s="7">
        <f>VLOOKUP(E$2,Report!$A$18:$L$34,'Actual-CO2 Calculations'!$AK51,FALSE)</f>
        <v>2.2143999999999999</v>
      </c>
      <c r="F202" s="7">
        <f>VLOOKUP(F$2,Report!$A$18:$L$34,'Actual-CO2 Calculations'!$AK51,FALSE)</f>
        <v>2.0194000000000002E-3</v>
      </c>
      <c r="G202" s="7">
        <f>VLOOKUP(G$2,Report!$A$18:$L$34,'Actual-CO2 Calculations'!$AK51,FALSE)</f>
        <v>1.4928999999999999</v>
      </c>
      <c r="H202" s="7">
        <f>VLOOKUP(H$2,Report!$A$18:$L$34,'Actual-CO2 Calculations'!$AK51,FALSE)</f>
        <v>5.5999999999999999E-3</v>
      </c>
      <c r="I202" s="7">
        <f>(I$3*VLOOKUP(I$2,Report!$A$18:$L$34,'Actual-CO2 Calculations'!$AK51,FALSE))+((1-I$3)*C202)</f>
        <v>2.6705000000000001</v>
      </c>
      <c r="J202" s="7">
        <f>VLOOKUP(J$2,Report!$A$18:$L$34,'Actual-CO2 Calculations'!$AK51,FALSE)</f>
        <v>5.5999999999999999E-3</v>
      </c>
      <c r="K202" s="7" t="e">
        <f>VLOOKUP(K$2,Report!$A$18:$L$34,'Actual-CO2 Calculations'!$AK51,FALSE)</f>
        <v>#N/A</v>
      </c>
      <c r="L202" s="10" t="e">
        <f>VLOOKUP(L$2,Report!$A$18:$L$34,'Actual-CO2 Calculations'!$AK51,FALSE)</f>
        <v>#N/A</v>
      </c>
    </row>
    <row r="203" spans="1:12">
      <c r="A203" s="743" t="s">
        <v>66</v>
      </c>
      <c r="B203" s="7">
        <f>VLOOKUP(B$2,Report!$A$18:$L$34,'Actual-CO2 Calculations'!$AK52,FALSE)</f>
        <v>2.6008</v>
      </c>
      <c r="C203" s="7">
        <f>VLOOKUP(C$2,Report!$A$18:$L$34,'Actual-CO2 Calculations'!$AK52,FALSE)</f>
        <v>2.6705000000000001</v>
      </c>
      <c r="D203" s="7">
        <f>VLOOKUP(D$2,Report!$A$18:$L$34,'Actual-CO2 Calculations'!$AK52,FALSE)</f>
        <v>2.9342999999999999</v>
      </c>
      <c r="E203" s="7">
        <f>VLOOKUP(E$2,Report!$A$18:$L$34,'Actual-CO2 Calculations'!$AK52,FALSE)</f>
        <v>2.2143999999999999</v>
      </c>
      <c r="F203" s="7">
        <f>VLOOKUP(F$2,Report!$A$18:$L$34,'Actual-CO2 Calculations'!$AK52,FALSE)</f>
        <v>2.0194000000000002E-3</v>
      </c>
      <c r="G203" s="7">
        <f>VLOOKUP(G$2,Report!$A$18:$L$34,'Actual-CO2 Calculations'!$AK52,FALSE)</f>
        <v>1.4928999999999999</v>
      </c>
      <c r="H203" s="7">
        <f>VLOOKUP(H$2,Report!$A$18:$L$34,'Actual-CO2 Calculations'!$AK52,FALSE)</f>
        <v>5.5999999999999999E-3</v>
      </c>
      <c r="I203" s="7">
        <f>(I$3*VLOOKUP(I$2,Report!$A$18:$L$34,'Actual-CO2 Calculations'!$AK52,FALSE))+((1-I$3)*C203)</f>
        <v>2.6705000000000001</v>
      </c>
      <c r="J203" s="7">
        <f>VLOOKUP(J$2,Report!$A$18:$L$34,'Actual-CO2 Calculations'!$AK52,FALSE)</f>
        <v>5.5999999999999999E-3</v>
      </c>
      <c r="K203" s="7" t="e">
        <f>VLOOKUP(K$2,Report!$A$18:$L$34,'Actual-CO2 Calculations'!$AK52,FALSE)</f>
        <v>#N/A</v>
      </c>
      <c r="L203" s="10" t="e">
        <f>VLOOKUP(L$2,Report!$A$18:$L$34,'Actual-CO2 Calculations'!$AK52,FALSE)</f>
        <v>#N/A</v>
      </c>
    </row>
    <row r="204" spans="1:12">
      <c r="A204" s="743" t="s">
        <v>8</v>
      </c>
      <c r="B204" s="7">
        <f>VLOOKUP(B$2,Report!$A$18:$L$34,'Actual-CO2 Calculations'!$AK53,FALSE)</f>
        <v>2.6008</v>
      </c>
      <c r="C204" s="7">
        <f>VLOOKUP(C$2,Report!$A$18:$L$34,'Actual-CO2 Calculations'!$AK53,FALSE)</f>
        <v>2.6705000000000001</v>
      </c>
      <c r="D204" s="7">
        <f>VLOOKUP(D$2,Report!$A$18:$L$34,'Actual-CO2 Calculations'!$AK53,FALSE)</f>
        <v>2.9342999999999999</v>
      </c>
      <c r="E204" s="7">
        <f>VLOOKUP(E$2,Report!$A$18:$L$34,'Actual-CO2 Calculations'!$AK53,FALSE)</f>
        <v>2.2143999999999999</v>
      </c>
      <c r="F204" s="7">
        <f>VLOOKUP(F$2,Report!$A$18:$L$34,'Actual-CO2 Calculations'!$AK53,FALSE)</f>
        <v>2.0194000000000002E-3</v>
      </c>
      <c r="G204" s="7">
        <f>VLOOKUP(G$2,Report!$A$18:$L$34,'Actual-CO2 Calculations'!$AK53,FALSE)</f>
        <v>1.4928999999999999</v>
      </c>
      <c r="H204" s="7">
        <f>VLOOKUP(H$2,Report!$A$18:$L$34,'Actual-CO2 Calculations'!$AK53,FALSE)</f>
        <v>5.5999999999999999E-3</v>
      </c>
      <c r="I204" s="7">
        <f>(I$3*VLOOKUP(I$2,Report!$A$18:$L$34,'Actual-CO2 Calculations'!$AK53,FALSE))+((1-I$3)*C204)</f>
        <v>2.6705000000000001</v>
      </c>
      <c r="J204" s="7">
        <f>VLOOKUP(J$2,Report!$A$18:$L$34,'Actual-CO2 Calculations'!$AK53,FALSE)</f>
        <v>5.5999999999999999E-3</v>
      </c>
      <c r="K204" s="7" t="e">
        <f>VLOOKUP(K$2,Report!$A$18:$L$34,'Actual-CO2 Calculations'!$AK53,FALSE)</f>
        <v>#N/A</v>
      </c>
      <c r="L204" s="10" t="e">
        <f>VLOOKUP(L$2,Report!$A$18:$L$34,'Actual-CO2 Calculations'!$AK53,FALSE)</f>
        <v>#N/A</v>
      </c>
    </row>
    <row r="205" spans="1:12">
      <c r="A205" s="743" t="s">
        <v>9</v>
      </c>
      <c r="B205" s="7">
        <f>VLOOKUP(B$2,Report!$A$18:$L$34,'Actual-CO2 Calculations'!$AK54,FALSE)</f>
        <v>2.6008</v>
      </c>
      <c r="C205" s="7">
        <f>VLOOKUP(C$2,Report!$A$18:$L$34,'Actual-CO2 Calculations'!$AK54,FALSE)</f>
        <v>2.6705000000000001</v>
      </c>
      <c r="D205" s="7">
        <f>VLOOKUP(D$2,Report!$A$18:$L$34,'Actual-CO2 Calculations'!$AK54,FALSE)</f>
        <v>2.9342999999999999</v>
      </c>
      <c r="E205" s="7">
        <f>VLOOKUP(E$2,Report!$A$18:$L$34,'Actual-CO2 Calculations'!$AK54,FALSE)</f>
        <v>2.2143999999999999</v>
      </c>
      <c r="F205" s="7">
        <f>VLOOKUP(F$2,Report!$A$18:$L$34,'Actual-CO2 Calculations'!$AK54,FALSE)</f>
        <v>2.0194000000000002E-3</v>
      </c>
      <c r="G205" s="7">
        <f>VLOOKUP(G$2,Report!$A$18:$L$34,'Actual-CO2 Calculations'!$AK54,FALSE)</f>
        <v>1.4928999999999999</v>
      </c>
      <c r="H205" s="7">
        <f>VLOOKUP(H$2,Report!$A$18:$L$34,'Actual-CO2 Calculations'!$AK54,FALSE)</f>
        <v>5.5999999999999999E-3</v>
      </c>
      <c r="I205" s="7">
        <f>(I$3*VLOOKUP(I$2,Report!$A$18:$L$34,'Actual-CO2 Calculations'!$AK54,FALSE))+((1-I$3)*C205)</f>
        <v>2.6705000000000001</v>
      </c>
      <c r="J205" s="7">
        <f>VLOOKUP(J$2,Report!$A$18:$L$34,'Actual-CO2 Calculations'!$AK54,FALSE)</f>
        <v>5.5999999999999999E-3</v>
      </c>
      <c r="K205" s="7" t="e">
        <f>VLOOKUP(K$2,Report!$A$18:$L$34,'Actual-CO2 Calculations'!$AK54,FALSE)</f>
        <v>#N/A</v>
      </c>
      <c r="L205" s="10" t="e">
        <f>VLOOKUP(L$2,Report!$A$18:$L$34,'Actual-CO2 Calculations'!$AK54,FALSE)</f>
        <v>#N/A</v>
      </c>
    </row>
    <row r="206" spans="1:12">
      <c r="A206" s="743" t="s">
        <v>10</v>
      </c>
      <c r="B206" s="7">
        <f>VLOOKUP(B$2,Report!$A$18:$L$34,'Actual-CO2 Calculations'!$AK55,FALSE)</f>
        <v>2.6008</v>
      </c>
      <c r="C206" s="7">
        <f>VLOOKUP(C$2,Report!$A$18:$L$34,'Actual-CO2 Calculations'!$AK55,FALSE)</f>
        <v>2.6705000000000001</v>
      </c>
      <c r="D206" s="7">
        <f>VLOOKUP(D$2,Report!$A$18:$L$34,'Actual-CO2 Calculations'!$AK55,FALSE)</f>
        <v>2.9342999999999999</v>
      </c>
      <c r="E206" s="7">
        <f>VLOOKUP(E$2,Report!$A$18:$L$34,'Actual-CO2 Calculations'!$AK55,FALSE)</f>
        <v>2.2143999999999999</v>
      </c>
      <c r="F206" s="7">
        <f>VLOOKUP(F$2,Report!$A$18:$L$34,'Actual-CO2 Calculations'!$AK55,FALSE)</f>
        <v>2.0194000000000002E-3</v>
      </c>
      <c r="G206" s="7">
        <f>VLOOKUP(G$2,Report!$A$18:$L$34,'Actual-CO2 Calculations'!$AK55,FALSE)</f>
        <v>1.4928999999999999</v>
      </c>
      <c r="H206" s="7">
        <f>VLOOKUP(H$2,Report!$A$18:$L$34,'Actual-CO2 Calculations'!$AK55,FALSE)</f>
        <v>5.5999999999999999E-3</v>
      </c>
      <c r="I206" s="7">
        <f>(I$3*VLOOKUP(I$2,Report!$A$18:$L$34,'Actual-CO2 Calculations'!$AK55,FALSE))+((1-I$3)*C206)</f>
        <v>2.6705000000000001</v>
      </c>
      <c r="J206" s="7">
        <f>VLOOKUP(J$2,Report!$A$18:$L$34,'Actual-CO2 Calculations'!$AK55,FALSE)</f>
        <v>5.5999999999999999E-3</v>
      </c>
      <c r="K206" s="7" t="e">
        <f>VLOOKUP(K$2,Report!$A$18:$L$34,'Actual-CO2 Calculations'!$AK55,FALSE)</f>
        <v>#N/A</v>
      </c>
      <c r="L206" s="10" t="e">
        <f>VLOOKUP(L$2,Report!$A$18:$L$34,'Actual-CO2 Calculations'!$AK55,FALSE)</f>
        <v>#N/A</v>
      </c>
    </row>
    <row r="207" spans="1:12">
      <c r="A207" s="743" t="s">
        <v>11</v>
      </c>
      <c r="B207" s="7">
        <f>VLOOKUP(B$2,Report!$A$18:$L$34,'Actual-CO2 Calculations'!$AK56,FALSE)</f>
        <v>2.6008</v>
      </c>
      <c r="C207" s="7">
        <f>VLOOKUP(C$2,Report!$A$18:$L$34,'Actual-CO2 Calculations'!$AK56,FALSE)</f>
        <v>2.6705000000000001</v>
      </c>
      <c r="D207" s="7">
        <f>VLOOKUP(D$2,Report!$A$18:$L$34,'Actual-CO2 Calculations'!$AK56,FALSE)</f>
        <v>2.9342999999999999</v>
      </c>
      <c r="E207" s="7">
        <f>VLOOKUP(E$2,Report!$A$18:$L$34,'Actual-CO2 Calculations'!$AK56,FALSE)</f>
        <v>2.2143999999999999</v>
      </c>
      <c r="F207" s="7">
        <f>VLOOKUP(F$2,Report!$A$18:$L$34,'Actual-CO2 Calculations'!$AK56,FALSE)</f>
        <v>2.0194000000000002E-3</v>
      </c>
      <c r="G207" s="7">
        <f>VLOOKUP(G$2,Report!$A$18:$L$34,'Actual-CO2 Calculations'!$AK56,FALSE)</f>
        <v>1.4928999999999999</v>
      </c>
      <c r="H207" s="7">
        <f>VLOOKUP(H$2,Report!$A$18:$L$34,'Actual-CO2 Calculations'!$AK56,FALSE)</f>
        <v>5.5999999999999999E-3</v>
      </c>
      <c r="I207" s="7">
        <f>(I$3*VLOOKUP(I$2,Report!$A$18:$L$34,'Actual-CO2 Calculations'!$AK56,FALSE))+((1-I$3)*C207)</f>
        <v>2.6705000000000001</v>
      </c>
      <c r="J207" s="7">
        <f>VLOOKUP(J$2,Report!$A$18:$L$34,'Actual-CO2 Calculations'!$AK56,FALSE)</f>
        <v>5.5999999999999999E-3</v>
      </c>
      <c r="K207" s="7" t="e">
        <f>VLOOKUP(K$2,Report!$A$18:$L$34,'Actual-CO2 Calculations'!$AK56,FALSE)</f>
        <v>#N/A</v>
      </c>
      <c r="L207" s="10" t="e">
        <f>VLOOKUP(L$2,Report!$A$18:$L$34,'Actual-CO2 Calculations'!$AK56,FALSE)</f>
        <v>#N/A</v>
      </c>
    </row>
    <row r="208" spans="1:12">
      <c r="A208" s="743" t="s">
        <v>67</v>
      </c>
      <c r="B208" s="7">
        <f>VLOOKUP(B$2,Report!$A$18:$L$34,'Actual-CO2 Calculations'!$AK57,FALSE)</f>
        <v>2.6008</v>
      </c>
      <c r="C208" s="7">
        <f>VLOOKUP(C$2,Report!$A$18:$L$34,'Actual-CO2 Calculations'!$AK57,FALSE)</f>
        <v>2.6705000000000001</v>
      </c>
      <c r="D208" s="7">
        <f>VLOOKUP(D$2,Report!$A$18:$L$34,'Actual-CO2 Calculations'!$AK57,FALSE)</f>
        <v>2.9342999999999999</v>
      </c>
      <c r="E208" s="7">
        <f>VLOOKUP(E$2,Report!$A$18:$L$34,'Actual-CO2 Calculations'!$AK57,FALSE)</f>
        <v>2.2143999999999999</v>
      </c>
      <c r="F208" s="7">
        <f>VLOOKUP(F$2,Report!$A$18:$L$34,'Actual-CO2 Calculations'!$AK57,FALSE)</f>
        <v>2.0194000000000002E-3</v>
      </c>
      <c r="G208" s="7">
        <f>VLOOKUP(G$2,Report!$A$18:$L$34,'Actual-CO2 Calculations'!$AK57,FALSE)</f>
        <v>1.4928999999999999</v>
      </c>
      <c r="H208" s="7">
        <f>VLOOKUP(H$2,Report!$A$18:$L$34,'Actual-CO2 Calculations'!$AK57,FALSE)</f>
        <v>5.5999999999999999E-3</v>
      </c>
      <c r="I208" s="7">
        <f>(I$3*VLOOKUP(I$2,Report!$A$18:$L$34,'Actual-CO2 Calculations'!$AK57,FALSE))+((1-I$3)*C208)</f>
        <v>2.6705000000000001</v>
      </c>
      <c r="J208" s="7">
        <f>VLOOKUP(J$2,Report!$A$18:$L$34,'Actual-CO2 Calculations'!$AK57,FALSE)</f>
        <v>5.5999999999999999E-3</v>
      </c>
      <c r="K208" s="7" t="e">
        <f>VLOOKUP(K$2,Report!$A$18:$L$34,'Actual-CO2 Calculations'!$AK57,FALSE)</f>
        <v>#N/A</v>
      </c>
      <c r="L208" s="10" t="e">
        <f>VLOOKUP(L$2,Report!$A$18:$L$34,'Actual-CO2 Calculations'!$AK57,FALSE)</f>
        <v>#N/A</v>
      </c>
    </row>
    <row r="209" spans="1:12">
      <c r="A209" s="743" t="s">
        <v>68</v>
      </c>
      <c r="B209" s="7">
        <f>VLOOKUP(B$2,Report!$A$18:$L$34,'Actual-CO2 Calculations'!$AK58,FALSE)</f>
        <v>2.6008</v>
      </c>
      <c r="C209" s="7">
        <f>VLOOKUP(C$2,Report!$A$18:$L$34,'Actual-CO2 Calculations'!$AK58,FALSE)</f>
        <v>2.6705000000000001</v>
      </c>
      <c r="D209" s="7">
        <f>VLOOKUP(D$2,Report!$A$18:$L$34,'Actual-CO2 Calculations'!$AK58,FALSE)</f>
        <v>2.9342999999999999</v>
      </c>
      <c r="E209" s="7">
        <f>VLOOKUP(E$2,Report!$A$18:$L$34,'Actual-CO2 Calculations'!$AK58,FALSE)</f>
        <v>2.2143999999999999</v>
      </c>
      <c r="F209" s="7">
        <f>VLOOKUP(F$2,Report!$A$18:$L$34,'Actual-CO2 Calculations'!$AK58,FALSE)</f>
        <v>2.0194000000000002E-3</v>
      </c>
      <c r="G209" s="7">
        <f>VLOOKUP(G$2,Report!$A$18:$L$34,'Actual-CO2 Calculations'!$AK58,FALSE)</f>
        <v>1.4928999999999999</v>
      </c>
      <c r="H209" s="7">
        <f>VLOOKUP(H$2,Report!$A$18:$L$34,'Actual-CO2 Calculations'!$AK58,FALSE)</f>
        <v>5.5999999999999999E-3</v>
      </c>
      <c r="I209" s="7">
        <f>(I$3*VLOOKUP(I$2,Report!$A$18:$L$34,'Actual-CO2 Calculations'!$AK58,FALSE))+((1-I$3)*C209)</f>
        <v>2.6705000000000001</v>
      </c>
      <c r="J209" s="7">
        <f>VLOOKUP(J$2,Report!$A$18:$L$34,'Actual-CO2 Calculations'!$AK58,FALSE)</f>
        <v>5.5999999999999999E-3</v>
      </c>
      <c r="K209" s="7" t="e">
        <f>VLOOKUP(K$2,Report!$A$18:$L$34,'Actual-CO2 Calculations'!$AK58,FALSE)</f>
        <v>#N/A</v>
      </c>
      <c r="L209" s="10" t="e">
        <f>VLOOKUP(L$2,Report!$A$18:$L$34,'Actual-CO2 Calculations'!$AK58,FALSE)</f>
        <v>#N/A</v>
      </c>
    </row>
    <row r="210" spans="1:12">
      <c r="A210" s="743" t="s">
        <v>69</v>
      </c>
      <c r="B210" s="7">
        <f>VLOOKUP(B$2,Report!$A$18:$L$34,'Actual-CO2 Calculations'!$AK59,FALSE)</f>
        <v>2.6023999999999998</v>
      </c>
      <c r="C210" s="7">
        <f>VLOOKUP(C$2,Report!$A$18:$L$34,'Actual-CO2 Calculations'!$AK59,FALSE)</f>
        <v>2.6691435769999998</v>
      </c>
      <c r="D210" s="7">
        <f>VLOOKUP(D$2,Report!$A$18:$L$34,'Actual-CO2 Calculations'!$AK59,FALSE)</f>
        <v>2.9257703749999999</v>
      </c>
      <c r="E210" s="7">
        <f>VLOOKUP(E$2,Report!$A$18:$L$34,'Actual-CO2 Calculations'!$AK59,FALSE)</f>
        <v>2.1913999999999998</v>
      </c>
      <c r="F210" s="7">
        <f>VLOOKUP(F$2,Report!$A$18:$L$34,'Actual-CO2 Calculations'!$AK59,FALSE)</f>
        <v>2.0346000000000001E-3</v>
      </c>
      <c r="G210" s="7">
        <f>VLOOKUP(G$2,Report!$A$18:$L$34,'Actual-CO2 Calculations'!$AK59,FALSE)</f>
        <v>1.502252438</v>
      </c>
      <c r="H210" s="7">
        <f>VLOOKUP(H$2,Report!$A$18:$L$34,'Actual-CO2 Calculations'!$AK59,FALSE)</f>
        <v>5.4000000000000003E-3</v>
      </c>
      <c r="I210" s="7">
        <f>(I$3*VLOOKUP(I$2,Report!$A$18:$L$34,'Actual-CO2 Calculations'!$AK59,FALSE))+((1-I$3)*C210)</f>
        <v>2.6691435769999998</v>
      </c>
      <c r="J210" s="7">
        <f>VLOOKUP(J$2,Report!$A$18:$L$34,'Actual-CO2 Calculations'!$AK59,FALSE)</f>
        <v>6.1000000000000004E-3</v>
      </c>
      <c r="K210" s="7" t="e">
        <f>VLOOKUP(K$2,Report!$A$18:$L$34,'Actual-CO2 Calculations'!$AK59,FALSE)</f>
        <v>#N/A</v>
      </c>
      <c r="L210" s="10" t="e">
        <f>VLOOKUP(L$2,Report!$A$18:$L$34,'Actual-CO2 Calculations'!$AK59,FALSE)</f>
        <v>#N/A</v>
      </c>
    </row>
    <row r="211" spans="1:12">
      <c r="A211" s="743" t="s">
        <v>70</v>
      </c>
      <c r="B211" s="7">
        <f>VLOOKUP(B$2,Report!$A$18:$L$34,'Actual-CO2 Calculations'!$AK60,FALSE)</f>
        <v>2.6023999999999998</v>
      </c>
      <c r="C211" s="7">
        <f>VLOOKUP(C$2,Report!$A$18:$L$34,'Actual-CO2 Calculations'!$AK60,FALSE)</f>
        <v>2.6691435769999998</v>
      </c>
      <c r="D211" s="7">
        <f>VLOOKUP(D$2,Report!$A$18:$L$34,'Actual-CO2 Calculations'!$AK60,FALSE)</f>
        <v>2.9257703749999999</v>
      </c>
      <c r="E211" s="7">
        <f>VLOOKUP(E$2,Report!$A$18:$L$34,'Actual-CO2 Calculations'!$AK60,FALSE)</f>
        <v>2.1913999999999998</v>
      </c>
      <c r="F211" s="7">
        <f>VLOOKUP(F$2,Report!$A$18:$L$34,'Actual-CO2 Calculations'!$AK60,FALSE)</f>
        <v>2.0346000000000001E-3</v>
      </c>
      <c r="G211" s="7">
        <f>VLOOKUP(G$2,Report!$A$18:$L$34,'Actual-CO2 Calculations'!$AK60,FALSE)</f>
        <v>1.502252438</v>
      </c>
      <c r="H211" s="7">
        <f>VLOOKUP(H$2,Report!$A$18:$L$34,'Actual-CO2 Calculations'!$AK60,FALSE)</f>
        <v>5.4000000000000003E-3</v>
      </c>
      <c r="I211" s="7">
        <f>(I$3*VLOOKUP(I$2,Report!$A$18:$L$34,'Actual-CO2 Calculations'!$AK60,FALSE))+((1-I$3)*C211)</f>
        <v>2.6691435769999998</v>
      </c>
      <c r="J211" s="7">
        <f>VLOOKUP(J$2,Report!$A$18:$L$34,'Actual-CO2 Calculations'!$AK60,FALSE)</f>
        <v>6.1000000000000004E-3</v>
      </c>
      <c r="K211" s="7" t="e">
        <f>VLOOKUP(K$2,Report!$A$18:$L$34,'Actual-CO2 Calculations'!$AK60,FALSE)</f>
        <v>#N/A</v>
      </c>
      <c r="L211" s="10" t="e">
        <f>VLOOKUP(L$2,Report!$A$18:$L$34,'Actual-CO2 Calculations'!$AK60,FALSE)</f>
        <v>#N/A</v>
      </c>
    </row>
    <row r="212" spans="1:12">
      <c r="A212" s="743" t="s">
        <v>71</v>
      </c>
      <c r="B212" s="7">
        <f>VLOOKUP(B$2,Report!$A$18:$L$34,'Actual-CO2 Calculations'!$AK61,FALSE)</f>
        <v>2.6023999999999998</v>
      </c>
      <c r="C212" s="7">
        <f>VLOOKUP(C$2,Report!$A$18:$L$34,'Actual-CO2 Calculations'!$AK61,FALSE)</f>
        <v>2.6691435769999998</v>
      </c>
      <c r="D212" s="7">
        <f>VLOOKUP(D$2,Report!$A$18:$L$34,'Actual-CO2 Calculations'!$AK61,FALSE)</f>
        <v>2.9257703749999999</v>
      </c>
      <c r="E212" s="7">
        <f>VLOOKUP(E$2,Report!$A$18:$L$34,'Actual-CO2 Calculations'!$AK61,FALSE)</f>
        <v>2.1913999999999998</v>
      </c>
      <c r="F212" s="7">
        <f>VLOOKUP(F$2,Report!$A$18:$L$34,'Actual-CO2 Calculations'!$AK61,FALSE)</f>
        <v>2.0346000000000001E-3</v>
      </c>
      <c r="G212" s="7">
        <f>VLOOKUP(G$2,Report!$A$18:$L$34,'Actual-CO2 Calculations'!$AK61,FALSE)</f>
        <v>1.502252438</v>
      </c>
      <c r="H212" s="7">
        <f>VLOOKUP(H$2,Report!$A$18:$L$34,'Actual-CO2 Calculations'!$AK61,FALSE)</f>
        <v>5.4000000000000003E-3</v>
      </c>
      <c r="I212" s="7">
        <f>(I$3*VLOOKUP(I$2,Report!$A$18:$L$34,'Actual-CO2 Calculations'!$AK61,FALSE))+((1-I$3)*C212)</f>
        <v>2.6691435769999998</v>
      </c>
      <c r="J212" s="7">
        <f>VLOOKUP(J$2,Report!$A$18:$L$34,'Actual-CO2 Calculations'!$AK61,FALSE)</f>
        <v>6.1000000000000004E-3</v>
      </c>
      <c r="K212" s="7" t="e">
        <f>VLOOKUP(K$2,Report!$A$18:$L$34,'Actual-CO2 Calculations'!$AK61,FALSE)</f>
        <v>#N/A</v>
      </c>
      <c r="L212" s="10" t="e">
        <f>VLOOKUP(L$2,Report!$A$18:$L$34,'Actual-CO2 Calculations'!$AK61,FALSE)</f>
        <v>#N/A</v>
      </c>
    </row>
    <row r="213" spans="1:12">
      <c r="A213" s="743" t="s">
        <v>72</v>
      </c>
      <c r="B213" s="7">
        <f>VLOOKUP(B$2,Report!$A$18:$L$34,'Actual-CO2 Calculations'!$AK62,FALSE)</f>
        <v>2.6023999999999998</v>
      </c>
      <c r="C213" s="7">
        <f>VLOOKUP(C$2,Report!$A$18:$L$34,'Actual-CO2 Calculations'!$AK62,FALSE)</f>
        <v>2.6691435769999998</v>
      </c>
      <c r="D213" s="7">
        <f>VLOOKUP(D$2,Report!$A$18:$L$34,'Actual-CO2 Calculations'!$AK62,FALSE)</f>
        <v>2.9257703749999999</v>
      </c>
      <c r="E213" s="7">
        <f>VLOOKUP(E$2,Report!$A$18:$L$34,'Actual-CO2 Calculations'!$AK62,FALSE)</f>
        <v>2.1913999999999998</v>
      </c>
      <c r="F213" s="7">
        <f>VLOOKUP(F$2,Report!$A$18:$L$34,'Actual-CO2 Calculations'!$AK62,FALSE)</f>
        <v>2.0346000000000001E-3</v>
      </c>
      <c r="G213" s="7">
        <f>VLOOKUP(G$2,Report!$A$18:$L$34,'Actual-CO2 Calculations'!$AK62,FALSE)</f>
        <v>1.502252438</v>
      </c>
      <c r="H213" s="7">
        <f>VLOOKUP(H$2,Report!$A$18:$L$34,'Actual-CO2 Calculations'!$AK62,FALSE)</f>
        <v>5.4000000000000003E-3</v>
      </c>
      <c r="I213" s="7">
        <f>(I$3*VLOOKUP(I$2,Report!$A$18:$L$34,'Actual-CO2 Calculations'!$AK62,FALSE))+((1-I$3)*C213)</f>
        <v>2.6691435769999998</v>
      </c>
      <c r="J213" s="7">
        <f>VLOOKUP(J$2,Report!$A$18:$L$34,'Actual-CO2 Calculations'!$AK62,FALSE)</f>
        <v>6.1000000000000004E-3</v>
      </c>
      <c r="K213" s="7" t="e">
        <f>VLOOKUP(K$2,Report!$A$18:$L$34,'Actual-CO2 Calculations'!$AK62,FALSE)</f>
        <v>#N/A</v>
      </c>
      <c r="L213" s="10" t="e">
        <f>VLOOKUP(L$2,Report!$A$18:$L$34,'Actual-CO2 Calculations'!$AK62,FALSE)</f>
        <v>#N/A</v>
      </c>
    </row>
    <row r="214" spans="1:12">
      <c r="A214" s="743" t="s">
        <v>73</v>
      </c>
      <c r="B214" s="7">
        <f>VLOOKUP(B$2,Report!$A$18:$L$34,'Actual-CO2 Calculations'!$AK63,FALSE)</f>
        <v>2.6023999999999998</v>
      </c>
      <c r="C214" s="7">
        <f>VLOOKUP(C$2,Report!$A$18:$L$34,'Actual-CO2 Calculations'!$AK63,FALSE)</f>
        <v>2.6691435769999998</v>
      </c>
      <c r="D214" s="7">
        <f>VLOOKUP(D$2,Report!$A$18:$L$34,'Actual-CO2 Calculations'!$AK63,FALSE)</f>
        <v>2.9257703749999999</v>
      </c>
      <c r="E214" s="7">
        <f>VLOOKUP(E$2,Report!$A$18:$L$34,'Actual-CO2 Calculations'!$AK63,FALSE)</f>
        <v>2.1913999999999998</v>
      </c>
      <c r="F214" s="7">
        <f>VLOOKUP(F$2,Report!$A$18:$L$34,'Actual-CO2 Calculations'!$AK63,FALSE)</f>
        <v>2.0346000000000001E-3</v>
      </c>
      <c r="G214" s="7">
        <f>VLOOKUP(G$2,Report!$A$18:$L$34,'Actual-CO2 Calculations'!$AK63,FALSE)</f>
        <v>1.502252438</v>
      </c>
      <c r="H214" s="7">
        <f>VLOOKUP(H$2,Report!$A$18:$L$34,'Actual-CO2 Calculations'!$AK63,FALSE)</f>
        <v>5.4000000000000003E-3</v>
      </c>
      <c r="I214" s="7">
        <f>(I$3*VLOOKUP(I$2,Report!$A$18:$L$34,'Actual-CO2 Calculations'!$AK63,FALSE))+((1-I$3)*C214)</f>
        <v>2.6691435769999998</v>
      </c>
      <c r="J214" s="7">
        <f>VLOOKUP(J$2,Report!$A$18:$L$34,'Actual-CO2 Calculations'!$AK63,FALSE)</f>
        <v>6.1000000000000004E-3</v>
      </c>
      <c r="K214" s="7" t="e">
        <f>VLOOKUP(K$2,Report!$A$18:$L$34,'Actual-CO2 Calculations'!$AK63,FALSE)</f>
        <v>#N/A</v>
      </c>
      <c r="L214" s="10" t="e">
        <f>VLOOKUP(L$2,Report!$A$18:$L$34,'Actual-CO2 Calculations'!$AK63,FALSE)</f>
        <v>#N/A</v>
      </c>
    </row>
    <row r="215" spans="1:12">
      <c r="A215" s="743" t="s">
        <v>74</v>
      </c>
      <c r="B215" s="7">
        <f>VLOOKUP(B$2,Report!$A$18:$L$34,'Actual-CO2 Calculations'!$AK64,FALSE)</f>
        <v>2.6023999999999998</v>
      </c>
      <c r="C215" s="7">
        <f>VLOOKUP(C$2,Report!$A$18:$L$34,'Actual-CO2 Calculations'!$AK64,FALSE)</f>
        <v>2.6691435769999998</v>
      </c>
      <c r="D215" s="7">
        <f>VLOOKUP(D$2,Report!$A$18:$L$34,'Actual-CO2 Calculations'!$AK64,FALSE)</f>
        <v>2.9257703749999999</v>
      </c>
      <c r="E215" s="7">
        <f>VLOOKUP(E$2,Report!$A$18:$L$34,'Actual-CO2 Calculations'!$AK64,FALSE)</f>
        <v>2.1913999999999998</v>
      </c>
      <c r="F215" s="7">
        <f>VLOOKUP(F$2,Report!$A$18:$L$34,'Actual-CO2 Calculations'!$AK64,FALSE)</f>
        <v>2.0346000000000001E-3</v>
      </c>
      <c r="G215" s="7">
        <f>VLOOKUP(G$2,Report!$A$18:$L$34,'Actual-CO2 Calculations'!$AK64,FALSE)</f>
        <v>1.502252438</v>
      </c>
      <c r="H215" s="7">
        <f>VLOOKUP(H$2,Report!$A$18:$L$34,'Actual-CO2 Calculations'!$AK64,FALSE)</f>
        <v>5.4000000000000003E-3</v>
      </c>
      <c r="I215" s="7">
        <f>(I$3*VLOOKUP(I$2,Report!$A$18:$L$34,'Actual-CO2 Calculations'!$AK64,FALSE))+((1-I$3)*C215)</f>
        <v>2.6691435769999998</v>
      </c>
      <c r="J215" s="7">
        <f>VLOOKUP(J$2,Report!$A$18:$L$34,'Actual-CO2 Calculations'!$AK64,FALSE)</f>
        <v>6.1000000000000004E-3</v>
      </c>
      <c r="K215" s="7" t="e">
        <f>VLOOKUP(K$2,Report!$A$18:$L$34,'Actual-CO2 Calculations'!$AK64,FALSE)</f>
        <v>#N/A</v>
      </c>
      <c r="L215" s="10" t="e">
        <f>VLOOKUP(L$2,Report!$A$18:$L$34,'Actual-CO2 Calculations'!$AK64,FALSE)</f>
        <v>#N/A</v>
      </c>
    </row>
    <row r="216" spans="1:12">
      <c r="A216" s="743" t="s">
        <v>75</v>
      </c>
      <c r="B216" s="7">
        <f>VLOOKUP(B$2,Report!$A$18:$L$34,'Actual-CO2 Calculations'!$AK65,FALSE)</f>
        <v>2.6023999999999998</v>
      </c>
      <c r="C216" s="7">
        <f>VLOOKUP(C$2,Report!$A$18:$L$34,'Actual-CO2 Calculations'!$AK65,FALSE)</f>
        <v>2.6691435769999998</v>
      </c>
      <c r="D216" s="7">
        <f>VLOOKUP(D$2,Report!$A$18:$L$34,'Actual-CO2 Calculations'!$AK65,FALSE)</f>
        <v>2.9257703749999999</v>
      </c>
      <c r="E216" s="7">
        <f>VLOOKUP(E$2,Report!$A$18:$L$34,'Actual-CO2 Calculations'!$AK65,FALSE)</f>
        <v>2.1913999999999998</v>
      </c>
      <c r="F216" s="7">
        <f>VLOOKUP(F$2,Report!$A$18:$L$34,'Actual-CO2 Calculations'!$AK65,FALSE)</f>
        <v>2.0346000000000001E-3</v>
      </c>
      <c r="G216" s="7">
        <f>VLOOKUP(G$2,Report!$A$18:$L$34,'Actual-CO2 Calculations'!$AK65,FALSE)</f>
        <v>1.502252438</v>
      </c>
      <c r="H216" s="7">
        <f>VLOOKUP(H$2,Report!$A$18:$L$34,'Actual-CO2 Calculations'!$AK65,FALSE)</f>
        <v>5.4000000000000003E-3</v>
      </c>
      <c r="I216" s="7">
        <f>(I$3*VLOOKUP(I$2,Report!$A$18:$L$34,'Actual-CO2 Calculations'!$AK65,FALSE))+((1-I$3)*C216)</f>
        <v>2.6691435769999998</v>
      </c>
      <c r="J216" s="7">
        <f>VLOOKUP(J$2,Report!$A$18:$L$34,'Actual-CO2 Calculations'!$AK65,FALSE)</f>
        <v>6.1000000000000004E-3</v>
      </c>
      <c r="K216" s="7" t="e">
        <f>VLOOKUP(K$2,Report!$A$18:$L$34,'Actual-CO2 Calculations'!$AK65,FALSE)</f>
        <v>#N/A</v>
      </c>
      <c r="L216" s="10" t="e">
        <f>VLOOKUP(L$2,Report!$A$18:$L$34,'Actual-CO2 Calculations'!$AK65,FALSE)</f>
        <v>#N/A</v>
      </c>
    </row>
    <row r="217" spans="1:12">
      <c r="A217" s="743" t="s">
        <v>12</v>
      </c>
      <c r="B217" s="7">
        <f>VLOOKUP(B$2,Report!$A$18:$L$34,'Actual-CO2 Calculations'!$AK66,FALSE)</f>
        <v>2.6023999999999998</v>
      </c>
      <c r="C217" s="7">
        <f>VLOOKUP(C$2,Report!$A$18:$L$34,'Actual-CO2 Calculations'!$AK66,FALSE)</f>
        <v>2.6691435769999998</v>
      </c>
      <c r="D217" s="7">
        <f>VLOOKUP(D$2,Report!$A$18:$L$34,'Actual-CO2 Calculations'!$AK66,FALSE)</f>
        <v>2.9257703749999999</v>
      </c>
      <c r="E217" s="7">
        <f>VLOOKUP(E$2,Report!$A$18:$L$34,'Actual-CO2 Calculations'!$AK66,FALSE)</f>
        <v>2.1913999999999998</v>
      </c>
      <c r="F217" s="7">
        <f>VLOOKUP(F$2,Report!$A$18:$L$34,'Actual-CO2 Calculations'!$AK66,FALSE)</f>
        <v>2.0346000000000001E-3</v>
      </c>
      <c r="G217" s="7">
        <f>VLOOKUP(G$2,Report!$A$18:$L$34,'Actual-CO2 Calculations'!$AK66,FALSE)</f>
        <v>1.502252438</v>
      </c>
      <c r="H217" s="7">
        <f>VLOOKUP(H$2,Report!$A$18:$L$34,'Actual-CO2 Calculations'!$AK66,FALSE)</f>
        <v>5.4000000000000003E-3</v>
      </c>
      <c r="I217" s="7">
        <f>(I$3*VLOOKUP(I$2,Report!$A$18:$L$34,'Actual-CO2 Calculations'!$AK66,FALSE))+((1-I$3)*C217)</f>
        <v>2.6691435769999998</v>
      </c>
      <c r="J217" s="7">
        <f>VLOOKUP(J$2,Report!$A$18:$L$34,'Actual-CO2 Calculations'!$AK66,FALSE)</f>
        <v>6.1000000000000004E-3</v>
      </c>
      <c r="K217" s="7" t="e">
        <f>VLOOKUP(K$2,Report!$A$18:$L$34,'Actual-CO2 Calculations'!$AK66,FALSE)</f>
        <v>#N/A</v>
      </c>
      <c r="L217" s="10" t="e">
        <f>VLOOKUP(L$2,Report!$A$18:$L$34,'Actual-CO2 Calculations'!$AK66,FALSE)</f>
        <v>#N/A</v>
      </c>
    </row>
    <row r="218" spans="1:12">
      <c r="A218" s="743" t="s">
        <v>13</v>
      </c>
      <c r="B218" s="7">
        <f>VLOOKUP(B$2,Report!$A$18:$L$34,'Actual-CO2 Calculations'!$AK67,FALSE)</f>
        <v>2.6023999999999998</v>
      </c>
      <c r="C218" s="7">
        <f>VLOOKUP(C$2,Report!$A$18:$L$34,'Actual-CO2 Calculations'!$AK67,FALSE)</f>
        <v>2.6691435769999998</v>
      </c>
      <c r="D218" s="7">
        <f>VLOOKUP(D$2,Report!$A$18:$L$34,'Actual-CO2 Calculations'!$AK67,FALSE)</f>
        <v>2.9257703749999999</v>
      </c>
      <c r="E218" s="7">
        <f>VLOOKUP(E$2,Report!$A$18:$L$34,'Actual-CO2 Calculations'!$AK67,FALSE)</f>
        <v>2.1913999999999998</v>
      </c>
      <c r="F218" s="7">
        <f>VLOOKUP(F$2,Report!$A$18:$L$34,'Actual-CO2 Calculations'!$AK67,FALSE)</f>
        <v>2.0346000000000001E-3</v>
      </c>
      <c r="G218" s="7">
        <f>VLOOKUP(G$2,Report!$A$18:$L$34,'Actual-CO2 Calculations'!$AK67,FALSE)</f>
        <v>1.502252438</v>
      </c>
      <c r="H218" s="7">
        <f>VLOOKUP(H$2,Report!$A$18:$L$34,'Actual-CO2 Calculations'!$AK67,FALSE)</f>
        <v>5.4000000000000003E-3</v>
      </c>
      <c r="I218" s="7">
        <f>(I$3*VLOOKUP(I$2,Report!$A$18:$L$34,'Actual-CO2 Calculations'!$AK67,FALSE))+((1-I$3)*C218)</f>
        <v>2.6691435769999998</v>
      </c>
      <c r="J218" s="7">
        <f>VLOOKUP(J$2,Report!$A$18:$L$34,'Actual-CO2 Calculations'!$AK67,FALSE)</f>
        <v>6.1000000000000004E-3</v>
      </c>
      <c r="K218" s="7" t="e">
        <f>VLOOKUP(K$2,Report!$A$18:$L$34,'Actual-CO2 Calculations'!$AK67,FALSE)</f>
        <v>#N/A</v>
      </c>
      <c r="L218" s="10" t="e">
        <f>VLOOKUP(L$2,Report!$A$18:$L$34,'Actual-CO2 Calculations'!$AK67,FALSE)</f>
        <v>#N/A</v>
      </c>
    </row>
    <row r="219" spans="1:12">
      <c r="A219" s="743" t="s">
        <v>14</v>
      </c>
      <c r="B219" s="7">
        <f>VLOOKUP(B$2,Report!$A$18:$L$34,'Actual-CO2 Calculations'!$AK68,FALSE)</f>
        <v>2.6023999999999998</v>
      </c>
      <c r="C219" s="7">
        <f>VLOOKUP(C$2,Report!$A$18:$L$34,'Actual-CO2 Calculations'!$AK68,FALSE)</f>
        <v>2.6691435769999998</v>
      </c>
      <c r="D219" s="7">
        <f>VLOOKUP(D$2,Report!$A$18:$L$34,'Actual-CO2 Calculations'!$AK68,FALSE)</f>
        <v>2.9257703749999999</v>
      </c>
      <c r="E219" s="7">
        <f>VLOOKUP(E$2,Report!$A$18:$L$34,'Actual-CO2 Calculations'!$AK68,FALSE)</f>
        <v>2.1913999999999998</v>
      </c>
      <c r="F219" s="7">
        <f>VLOOKUP(F$2,Report!$A$18:$L$34,'Actual-CO2 Calculations'!$AK68,FALSE)</f>
        <v>2.0346000000000001E-3</v>
      </c>
      <c r="G219" s="7">
        <f>VLOOKUP(G$2,Report!$A$18:$L$34,'Actual-CO2 Calculations'!$AK68,FALSE)</f>
        <v>1.502252438</v>
      </c>
      <c r="H219" s="7">
        <f>VLOOKUP(H$2,Report!$A$18:$L$34,'Actual-CO2 Calculations'!$AK68,FALSE)</f>
        <v>5.4000000000000003E-3</v>
      </c>
      <c r="I219" s="7">
        <f>(I$3*VLOOKUP(I$2,Report!$A$18:$L$34,'Actual-CO2 Calculations'!$AK68,FALSE))+((1-I$3)*C219)</f>
        <v>2.6691435769999998</v>
      </c>
      <c r="J219" s="7">
        <f>VLOOKUP(J$2,Report!$A$18:$L$34,'Actual-CO2 Calculations'!$AK68,FALSE)</f>
        <v>6.1000000000000004E-3</v>
      </c>
      <c r="K219" s="7" t="e">
        <f>VLOOKUP(K$2,Report!$A$18:$L$34,'Actual-CO2 Calculations'!$AK68,FALSE)</f>
        <v>#N/A</v>
      </c>
      <c r="L219" s="10" t="e">
        <f>VLOOKUP(L$2,Report!$A$18:$L$34,'Actual-CO2 Calculations'!$AK68,FALSE)</f>
        <v>#N/A</v>
      </c>
    </row>
    <row r="220" spans="1:12">
      <c r="A220" s="743" t="s">
        <v>15</v>
      </c>
      <c r="B220" s="7">
        <f>VLOOKUP(B$2,Report!$A$18:$L$34,'Actual-CO2 Calculations'!$AK69,FALSE)</f>
        <v>2.6023999999999998</v>
      </c>
      <c r="C220" s="7">
        <f>VLOOKUP(C$2,Report!$A$18:$L$34,'Actual-CO2 Calculations'!$AK69,FALSE)</f>
        <v>2.6691435769999998</v>
      </c>
      <c r="D220" s="7">
        <f>VLOOKUP(D$2,Report!$A$18:$L$34,'Actual-CO2 Calculations'!$AK69,FALSE)</f>
        <v>2.9257703749999999</v>
      </c>
      <c r="E220" s="7">
        <f>VLOOKUP(E$2,Report!$A$18:$L$34,'Actual-CO2 Calculations'!$AK69,FALSE)</f>
        <v>2.1913999999999998</v>
      </c>
      <c r="F220" s="7">
        <f>VLOOKUP(F$2,Report!$A$18:$L$34,'Actual-CO2 Calculations'!$AK69,FALSE)</f>
        <v>2.0346000000000001E-3</v>
      </c>
      <c r="G220" s="7">
        <f>VLOOKUP(G$2,Report!$A$18:$L$34,'Actual-CO2 Calculations'!$AK69,FALSE)</f>
        <v>1.502252438</v>
      </c>
      <c r="H220" s="7">
        <f>VLOOKUP(H$2,Report!$A$18:$L$34,'Actual-CO2 Calculations'!$AK69,FALSE)</f>
        <v>5.4000000000000003E-3</v>
      </c>
      <c r="I220" s="7">
        <f>(I$3*VLOOKUP(I$2,Report!$A$18:$L$34,'Actual-CO2 Calculations'!$AK69,FALSE))+((1-I$3)*C220)</f>
        <v>2.6691435769999998</v>
      </c>
      <c r="J220" s="7">
        <f>VLOOKUP(J$2,Report!$A$18:$L$34,'Actual-CO2 Calculations'!$AK69,FALSE)</f>
        <v>6.1000000000000004E-3</v>
      </c>
      <c r="K220" s="7" t="e">
        <f>VLOOKUP(K$2,Report!$A$18:$L$34,'Actual-CO2 Calculations'!$AK69,FALSE)</f>
        <v>#N/A</v>
      </c>
      <c r="L220" s="10" t="e">
        <f>VLOOKUP(L$2,Report!$A$18:$L$34,'Actual-CO2 Calculations'!$AK69,FALSE)</f>
        <v>#N/A</v>
      </c>
    </row>
    <row r="221" spans="1:12">
      <c r="A221" s="743" t="s">
        <v>76</v>
      </c>
      <c r="B221" s="7">
        <f>VLOOKUP(B$2,Report!$A$18:$L$34,'Actual-CO2 Calculations'!$AK70,FALSE)</f>
        <v>2.6023999999999998</v>
      </c>
      <c r="C221" s="7">
        <f>VLOOKUP(C$2,Report!$A$18:$L$34,'Actual-CO2 Calculations'!$AK70,FALSE)</f>
        <v>2.6691435769999998</v>
      </c>
      <c r="D221" s="7">
        <f>VLOOKUP(D$2,Report!$A$18:$L$34,'Actual-CO2 Calculations'!$AK70,FALSE)</f>
        <v>2.9257703749999999</v>
      </c>
      <c r="E221" s="7">
        <f>VLOOKUP(E$2,Report!$A$18:$L$34,'Actual-CO2 Calculations'!$AK70,FALSE)</f>
        <v>2.1913999999999998</v>
      </c>
      <c r="F221" s="7">
        <f>VLOOKUP(F$2,Report!$A$18:$L$34,'Actual-CO2 Calculations'!$AK70,FALSE)</f>
        <v>2.0346000000000001E-3</v>
      </c>
      <c r="G221" s="7">
        <f>VLOOKUP(G$2,Report!$A$18:$L$34,'Actual-CO2 Calculations'!$AK70,FALSE)</f>
        <v>1.502252438</v>
      </c>
      <c r="H221" s="7">
        <f>VLOOKUP(H$2,Report!$A$18:$L$34,'Actual-CO2 Calculations'!$AK70,FALSE)</f>
        <v>5.4000000000000003E-3</v>
      </c>
      <c r="I221" s="7">
        <f>(I$3*VLOOKUP(I$2,Report!$A$18:$L$34,'Actual-CO2 Calculations'!$AK70,FALSE))+((1-I$3)*C221)</f>
        <v>2.6691435769999998</v>
      </c>
      <c r="J221" s="7">
        <f>VLOOKUP(J$2,Report!$A$18:$L$34,'Actual-CO2 Calculations'!$AK70,FALSE)</f>
        <v>6.1000000000000004E-3</v>
      </c>
      <c r="K221" s="7" t="e">
        <f>VLOOKUP(K$2,Report!$A$18:$L$34,'Actual-CO2 Calculations'!$AK70,FALSE)</f>
        <v>#N/A</v>
      </c>
      <c r="L221" s="10" t="e">
        <f>VLOOKUP(L$2,Report!$A$18:$L$34,'Actual-CO2 Calculations'!$AK70,FALSE)</f>
        <v>#N/A</v>
      </c>
    </row>
    <row r="222" spans="1:12">
      <c r="A222" s="743" t="s">
        <v>77</v>
      </c>
      <c r="B222" s="7">
        <f>VLOOKUP(B$2,Report!$A$18:$L$34,'Actual-CO2 Calculations'!$AK71,FALSE)</f>
        <v>2.6023999999999998</v>
      </c>
      <c r="C222" s="7">
        <f>VLOOKUP(C$2,Report!$A$18:$L$34,'Actual-CO2 Calculations'!$AK71,FALSE)</f>
        <v>2.6691435769999998</v>
      </c>
      <c r="D222" s="7">
        <f>VLOOKUP(D$2,Report!$A$18:$L$34,'Actual-CO2 Calculations'!$AK71,FALSE)</f>
        <v>2.9257703749999999</v>
      </c>
      <c r="E222" s="7">
        <f>VLOOKUP(E$2,Report!$A$18:$L$34,'Actual-CO2 Calculations'!$AK71,FALSE)</f>
        <v>2.1913999999999998</v>
      </c>
      <c r="F222" s="7">
        <f>VLOOKUP(F$2,Report!$A$18:$L$34,'Actual-CO2 Calculations'!$AK71,FALSE)</f>
        <v>2.0346000000000001E-3</v>
      </c>
      <c r="G222" s="7">
        <f>VLOOKUP(G$2,Report!$A$18:$L$34,'Actual-CO2 Calculations'!$AK71,FALSE)</f>
        <v>1.502252438</v>
      </c>
      <c r="H222" s="7">
        <f>VLOOKUP(H$2,Report!$A$18:$L$34,'Actual-CO2 Calculations'!$AK71,FALSE)</f>
        <v>5.4000000000000003E-3</v>
      </c>
      <c r="I222" s="7">
        <f>(I$3*VLOOKUP(I$2,Report!$A$18:$L$34,'Actual-CO2 Calculations'!$AK71,FALSE))+((1-I$3)*C222)</f>
        <v>2.6691435769999998</v>
      </c>
      <c r="J222" s="7">
        <f>VLOOKUP(J$2,Report!$A$18:$L$34,'Actual-CO2 Calculations'!$AK71,FALSE)</f>
        <v>6.1000000000000004E-3</v>
      </c>
      <c r="K222" s="7" t="e">
        <f>VLOOKUP(K$2,Report!$A$18:$L$34,'Actual-CO2 Calculations'!$AK71,FALSE)</f>
        <v>#N/A</v>
      </c>
      <c r="L222" s="10" t="e">
        <f>VLOOKUP(L$2,Report!$A$18:$L$34,'Actual-CO2 Calculations'!$AK71,FALSE)</f>
        <v>#N/A</v>
      </c>
    </row>
    <row r="223" spans="1:12">
      <c r="A223" s="743" t="s">
        <v>78</v>
      </c>
      <c r="B223" s="7">
        <f>VLOOKUP(B$2,Report!$A$18:$L$34,'Actual-CO2 Calculations'!$AK72,FALSE)</f>
        <v>2.5838999999999999</v>
      </c>
      <c r="C223" s="7">
        <f>VLOOKUP(C$2,Report!$A$18:$L$34,'Actual-CO2 Calculations'!$AK72,FALSE)</f>
        <v>2.6761400000000002</v>
      </c>
      <c r="D223" s="7">
        <f>VLOOKUP(D$2,Report!$A$18:$L$34,'Actual-CO2 Calculations'!$AK72,FALSE)</f>
        <v>2.9088400000000001</v>
      </c>
      <c r="E223" s="7">
        <f>VLOOKUP(E$2,Report!$A$18:$L$34,'Actual-CO2 Calculations'!$AK72,FALSE)</f>
        <v>2.1943999999999999</v>
      </c>
      <c r="F223" s="7">
        <f>VLOOKUP(F$2,Report!$A$18:$L$34,'Actual-CO2 Calculations'!$AK72,FALSE)</f>
        <v>2.0331999999999998E-3</v>
      </c>
      <c r="G223" s="7">
        <f>VLOOKUP(G$2,Report!$A$18:$L$34,'Actual-CO2 Calculations'!$AK72,FALSE)</f>
        <v>1.5093799999999999</v>
      </c>
      <c r="H223" s="7">
        <f>VLOOKUP(H$2,Report!$A$18:$L$34,'Actual-CO2 Calculations'!$AK72,FALSE)</f>
        <v>5.2100000000000002E-3</v>
      </c>
      <c r="I223" s="7">
        <f>(I$3*VLOOKUP(I$2,Report!$A$18:$L$34,'Actual-CO2 Calculations'!$AK72,FALSE))+((1-I$3)*C223)</f>
        <v>2.6761400000000002</v>
      </c>
      <c r="J223" s="7">
        <f>VLOOKUP(J$2,Report!$A$18:$L$34,'Actual-CO2 Calculations'!$AK72,FALSE)</f>
        <v>5.4900000000000001E-3</v>
      </c>
      <c r="K223" s="7" t="e">
        <f>VLOOKUP(K$2,Report!$A$18:$L$34,'Actual-CO2 Calculations'!$AK72,FALSE)</f>
        <v>#N/A</v>
      </c>
      <c r="L223" s="10" t="e">
        <f>VLOOKUP(L$2,Report!$A$18:$L$34,'Actual-CO2 Calculations'!$AK72,FALSE)</f>
        <v>#N/A</v>
      </c>
    </row>
    <row r="224" spans="1:12">
      <c r="A224" s="743" t="s">
        <v>79</v>
      </c>
      <c r="B224" s="7">
        <f>VLOOKUP(B$2,Report!$A$18:$L$34,'Actual-CO2 Calculations'!$AK73,FALSE)</f>
        <v>2.5838999999999999</v>
      </c>
      <c r="C224" s="7">
        <f>VLOOKUP(C$2,Report!$A$18:$L$34,'Actual-CO2 Calculations'!$AK73,FALSE)</f>
        <v>2.6761400000000002</v>
      </c>
      <c r="D224" s="7">
        <f>VLOOKUP(D$2,Report!$A$18:$L$34,'Actual-CO2 Calculations'!$AK73,FALSE)</f>
        <v>2.9088400000000001</v>
      </c>
      <c r="E224" s="7">
        <f>VLOOKUP(E$2,Report!$A$18:$L$34,'Actual-CO2 Calculations'!$AK73,FALSE)</f>
        <v>2.1943999999999999</v>
      </c>
      <c r="F224" s="7">
        <f>VLOOKUP(F$2,Report!$A$18:$L$34,'Actual-CO2 Calculations'!$AK73,FALSE)</f>
        <v>2.0331999999999998E-3</v>
      </c>
      <c r="G224" s="7">
        <f>VLOOKUP(G$2,Report!$A$18:$L$34,'Actual-CO2 Calculations'!$AK73,FALSE)</f>
        <v>1.5093799999999999</v>
      </c>
      <c r="H224" s="7">
        <f>VLOOKUP(H$2,Report!$A$18:$L$34,'Actual-CO2 Calculations'!$AK73,FALSE)</f>
        <v>5.2100000000000002E-3</v>
      </c>
      <c r="I224" s="7">
        <f>(I$3*VLOOKUP(I$2,Report!$A$18:$L$34,'Actual-CO2 Calculations'!$AK73,FALSE))+((1-I$3)*C224)</f>
        <v>2.6761400000000002</v>
      </c>
      <c r="J224" s="7">
        <f>VLOOKUP(J$2,Report!$A$18:$L$34,'Actual-CO2 Calculations'!$AK73,FALSE)</f>
        <v>5.4900000000000001E-3</v>
      </c>
      <c r="K224" s="7" t="e">
        <f>VLOOKUP(K$2,Report!$A$18:$L$34,'Actual-CO2 Calculations'!$AK73,FALSE)</f>
        <v>#N/A</v>
      </c>
      <c r="L224" s="10" t="e">
        <f>VLOOKUP(L$2,Report!$A$18:$L$34,'Actual-CO2 Calculations'!$AK73,FALSE)</f>
        <v>#N/A</v>
      </c>
    </row>
    <row r="225" spans="1:12">
      <c r="A225" s="743" t="s">
        <v>80</v>
      </c>
      <c r="B225" s="7">
        <f>VLOOKUP(B$2,Report!$A$18:$L$34,'Actual-CO2 Calculations'!$AK74,FALSE)</f>
        <v>2.5838999999999999</v>
      </c>
      <c r="C225" s="7">
        <f>VLOOKUP(C$2,Report!$A$18:$L$34,'Actual-CO2 Calculations'!$AK74,FALSE)</f>
        <v>2.6761400000000002</v>
      </c>
      <c r="D225" s="7">
        <f>VLOOKUP(D$2,Report!$A$18:$L$34,'Actual-CO2 Calculations'!$AK74,FALSE)</f>
        <v>2.9088400000000001</v>
      </c>
      <c r="E225" s="7">
        <f>VLOOKUP(E$2,Report!$A$18:$L$34,'Actual-CO2 Calculations'!$AK74,FALSE)</f>
        <v>2.1943999999999999</v>
      </c>
      <c r="F225" s="7">
        <f>VLOOKUP(F$2,Report!$A$18:$L$34,'Actual-CO2 Calculations'!$AK74,FALSE)</f>
        <v>2.0331999999999998E-3</v>
      </c>
      <c r="G225" s="7">
        <f>VLOOKUP(G$2,Report!$A$18:$L$34,'Actual-CO2 Calculations'!$AK74,FALSE)</f>
        <v>1.5093799999999999</v>
      </c>
      <c r="H225" s="7">
        <f>VLOOKUP(H$2,Report!$A$18:$L$34,'Actual-CO2 Calculations'!$AK74,FALSE)</f>
        <v>5.2100000000000002E-3</v>
      </c>
      <c r="I225" s="7">
        <f>(I$3*VLOOKUP(I$2,Report!$A$18:$L$34,'Actual-CO2 Calculations'!$AK74,FALSE))+((1-I$3)*C225)</f>
        <v>2.6761400000000002</v>
      </c>
      <c r="J225" s="7">
        <f>VLOOKUP(J$2,Report!$A$18:$L$34,'Actual-CO2 Calculations'!$AK74,FALSE)</f>
        <v>5.4900000000000001E-3</v>
      </c>
      <c r="K225" s="7" t="e">
        <f>VLOOKUP(K$2,Report!$A$18:$L$34,'Actual-CO2 Calculations'!$AK74,FALSE)</f>
        <v>#N/A</v>
      </c>
      <c r="L225" s="10" t="e">
        <f>VLOOKUP(L$2,Report!$A$18:$L$34,'Actual-CO2 Calculations'!$AK74,FALSE)</f>
        <v>#N/A</v>
      </c>
    </row>
    <row r="226" spans="1:12">
      <c r="A226" s="743" t="s">
        <v>81</v>
      </c>
      <c r="B226" s="7">
        <f>VLOOKUP(B$2,Report!$A$18:$L$34,'Actual-CO2 Calculations'!$AK75,FALSE)</f>
        <v>2.5838999999999999</v>
      </c>
      <c r="C226" s="7">
        <f>VLOOKUP(C$2,Report!$A$18:$L$34,'Actual-CO2 Calculations'!$AK75,FALSE)</f>
        <v>2.6761400000000002</v>
      </c>
      <c r="D226" s="7">
        <f>VLOOKUP(D$2,Report!$A$18:$L$34,'Actual-CO2 Calculations'!$AK75,FALSE)</f>
        <v>2.9088400000000001</v>
      </c>
      <c r="E226" s="7">
        <f>VLOOKUP(E$2,Report!$A$18:$L$34,'Actual-CO2 Calculations'!$AK75,FALSE)</f>
        <v>2.1943999999999999</v>
      </c>
      <c r="F226" s="7">
        <f>VLOOKUP(F$2,Report!$A$18:$L$34,'Actual-CO2 Calculations'!$AK75,FALSE)</f>
        <v>2.0331999999999998E-3</v>
      </c>
      <c r="G226" s="7">
        <f>VLOOKUP(G$2,Report!$A$18:$L$34,'Actual-CO2 Calculations'!$AK75,FALSE)</f>
        <v>1.5093799999999999</v>
      </c>
      <c r="H226" s="7">
        <f>VLOOKUP(H$2,Report!$A$18:$L$34,'Actual-CO2 Calculations'!$AK75,FALSE)</f>
        <v>5.2100000000000002E-3</v>
      </c>
      <c r="I226" s="7">
        <f>(I$3*VLOOKUP(I$2,Report!$A$18:$L$34,'Actual-CO2 Calculations'!$AK75,FALSE))+((1-I$3)*C226)</f>
        <v>2.6761400000000002</v>
      </c>
      <c r="J226" s="7">
        <f>VLOOKUP(J$2,Report!$A$18:$L$34,'Actual-CO2 Calculations'!$AK75,FALSE)</f>
        <v>5.4900000000000001E-3</v>
      </c>
      <c r="K226" s="7" t="e">
        <f>VLOOKUP(K$2,Report!$A$18:$L$34,'Actual-CO2 Calculations'!$AK75,FALSE)</f>
        <v>#N/A</v>
      </c>
      <c r="L226" s="10" t="e">
        <f>VLOOKUP(L$2,Report!$A$18:$L$34,'Actual-CO2 Calculations'!$AK75,FALSE)</f>
        <v>#N/A</v>
      </c>
    </row>
    <row r="227" spans="1:12">
      <c r="A227" s="743" t="s">
        <v>82</v>
      </c>
      <c r="B227" s="7">
        <f>VLOOKUP(B$2,Report!$A$18:$L$34,'Actual-CO2 Calculations'!$AK76,FALSE)</f>
        <v>2.5838999999999999</v>
      </c>
      <c r="C227" s="7">
        <f>VLOOKUP(C$2,Report!$A$18:$L$34,'Actual-CO2 Calculations'!$AK76,FALSE)</f>
        <v>2.6761400000000002</v>
      </c>
      <c r="D227" s="7">
        <f>VLOOKUP(D$2,Report!$A$18:$L$34,'Actual-CO2 Calculations'!$AK76,FALSE)</f>
        <v>2.9088400000000001</v>
      </c>
      <c r="E227" s="7">
        <f>VLOOKUP(E$2,Report!$A$18:$L$34,'Actual-CO2 Calculations'!$AK76,FALSE)</f>
        <v>2.1943999999999999</v>
      </c>
      <c r="F227" s="7">
        <f>VLOOKUP(F$2,Report!$A$18:$L$34,'Actual-CO2 Calculations'!$AK76,FALSE)</f>
        <v>2.0331999999999998E-3</v>
      </c>
      <c r="G227" s="7">
        <f>VLOOKUP(G$2,Report!$A$18:$L$34,'Actual-CO2 Calculations'!$AK76,FALSE)</f>
        <v>1.5093799999999999</v>
      </c>
      <c r="H227" s="7">
        <f>VLOOKUP(H$2,Report!$A$18:$L$34,'Actual-CO2 Calculations'!$AK76,FALSE)</f>
        <v>5.2100000000000002E-3</v>
      </c>
      <c r="I227" s="7">
        <f>(I$3*VLOOKUP(I$2,Report!$A$18:$L$34,'Actual-CO2 Calculations'!$AK76,FALSE))+((1-I$3)*C227)</f>
        <v>2.6761400000000002</v>
      </c>
      <c r="J227" s="7">
        <f>VLOOKUP(J$2,Report!$A$18:$L$34,'Actual-CO2 Calculations'!$AK76,FALSE)</f>
        <v>5.4900000000000001E-3</v>
      </c>
      <c r="K227" s="7" t="e">
        <f>VLOOKUP(K$2,Report!$A$18:$L$34,'Actual-CO2 Calculations'!$AK76,FALSE)</f>
        <v>#N/A</v>
      </c>
      <c r="L227" s="10" t="e">
        <f>VLOOKUP(L$2,Report!$A$18:$L$34,'Actual-CO2 Calculations'!$AK76,FALSE)</f>
        <v>#N/A</v>
      </c>
    </row>
    <row r="228" spans="1:12">
      <c r="A228" s="743" t="s">
        <v>83</v>
      </c>
      <c r="B228" s="7">
        <f>VLOOKUP(B$2,Report!$A$18:$L$34,'Actual-CO2 Calculations'!$AK77,FALSE)</f>
        <v>2.5838999999999999</v>
      </c>
      <c r="C228" s="7">
        <f>VLOOKUP(C$2,Report!$A$18:$L$34,'Actual-CO2 Calculations'!$AK77,FALSE)</f>
        <v>2.6761400000000002</v>
      </c>
      <c r="D228" s="7">
        <f>VLOOKUP(D$2,Report!$A$18:$L$34,'Actual-CO2 Calculations'!$AK77,FALSE)</f>
        <v>2.9088400000000001</v>
      </c>
      <c r="E228" s="7">
        <f>VLOOKUP(E$2,Report!$A$18:$L$34,'Actual-CO2 Calculations'!$AK77,FALSE)</f>
        <v>2.1943999999999999</v>
      </c>
      <c r="F228" s="7">
        <f>VLOOKUP(F$2,Report!$A$18:$L$34,'Actual-CO2 Calculations'!$AK77,FALSE)</f>
        <v>2.0331999999999998E-3</v>
      </c>
      <c r="G228" s="7">
        <f>VLOOKUP(G$2,Report!$A$18:$L$34,'Actual-CO2 Calculations'!$AK77,FALSE)</f>
        <v>1.5093799999999999</v>
      </c>
      <c r="H228" s="7">
        <f>VLOOKUP(H$2,Report!$A$18:$L$34,'Actual-CO2 Calculations'!$AK77,FALSE)</f>
        <v>5.2100000000000002E-3</v>
      </c>
      <c r="I228" s="7">
        <f>(I$3*VLOOKUP(I$2,Report!$A$18:$L$34,'Actual-CO2 Calculations'!$AK77,FALSE))+((1-I$3)*C228)</f>
        <v>2.6761400000000002</v>
      </c>
      <c r="J228" s="7">
        <f>VLOOKUP(J$2,Report!$A$18:$L$34,'Actual-CO2 Calculations'!$AK77,FALSE)</f>
        <v>5.4900000000000001E-3</v>
      </c>
      <c r="K228" s="7" t="e">
        <f>VLOOKUP(K$2,Report!$A$18:$L$34,'Actual-CO2 Calculations'!$AK77,FALSE)</f>
        <v>#N/A</v>
      </c>
      <c r="L228" s="10" t="e">
        <f>VLOOKUP(L$2,Report!$A$18:$L$34,'Actual-CO2 Calculations'!$AK77,FALSE)</f>
        <v>#N/A</v>
      </c>
    </row>
    <row r="229" spans="1:12">
      <c r="A229" s="743" t="s">
        <v>84</v>
      </c>
      <c r="B229" s="7">
        <f>VLOOKUP(B$2,Report!$A$18:$L$34,'Actual-CO2 Calculations'!$AK78,FALSE)</f>
        <v>2.5838999999999999</v>
      </c>
      <c r="C229" s="7">
        <f>VLOOKUP(C$2,Report!$A$18:$L$34,'Actual-CO2 Calculations'!$AK78,FALSE)</f>
        <v>2.6761400000000002</v>
      </c>
      <c r="D229" s="7">
        <f>VLOOKUP(D$2,Report!$A$18:$L$34,'Actual-CO2 Calculations'!$AK78,FALSE)</f>
        <v>2.9088400000000001</v>
      </c>
      <c r="E229" s="7">
        <f>VLOOKUP(E$2,Report!$A$18:$L$34,'Actual-CO2 Calculations'!$AK78,FALSE)</f>
        <v>2.1943999999999999</v>
      </c>
      <c r="F229" s="7">
        <f>VLOOKUP(F$2,Report!$A$18:$L$34,'Actual-CO2 Calculations'!$AK78,FALSE)</f>
        <v>2.0331999999999998E-3</v>
      </c>
      <c r="G229" s="7">
        <f>VLOOKUP(G$2,Report!$A$18:$L$34,'Actual-CO2 Calculations'!$AK78,FALSE)</f>
        <v>1.5093799999999999</v>
      </c>
      <c r="H229" s="7">
        <f>VLOOKUP(H$2,Report!$A$18:$L$34,'Actual-CO2 Calculations'!$AK78,FALSE)</f>
        <v>5.2100000000000002E-3</v>
      </c>
      <c r="I229" s="7">
        <f>(I$3*VLOOKUP(I$2,Report!$A$18:$L$34,'Actual-CO2 Calculations'!$AK78,FALSE))+((1-I$3)*C229)</f>
        <v>2.6761400000000002</v>
      </c>
      <c r="J229" s="7">
        <f>VLOOKUP(J$2,Report!$A$18:$L$34,'Actual-CO2 Calculations'!$AK78,FALSE)</f>
        <v>5.4900000000000001E-3</v>
      </c>
      <c r="K229" s="7" t="e">
        <f>VLOOKUP(K$2,Report!$A$18:$L$34,'Actual-CO2 Calculations'!$AK78,FALSE)</f>
        <v>#N/A</v>
      </c>
      <c r="L229" s="10" t="e">
        <f>VLOOKUP(L$2,Report!$A$18:$L$34,'Actual-CO2 Calculations'!$AK78,FALSE)</f>
        <v>#N/A</v>
      </c>
    </row>
    <row r="230" spans="1:12">
      <c r="A230" s="743" t="s">
        <v>16</v>
      </c>
      <c r="B230" s="7">
        <f>VLOOKUP(B$2,Report!$A$18:$L$34,'Actual-CO2 Calculations'!$AK79,FALSE)</f>
        <v>2.5838999999999999</v>
      </c>
      <c r="C230" s="7">
        <f>VLOOKUP(C$2,Report!$A$18:$L$34,'Actual-CO2 Calculations'!$AK79,FALSE)</f>
        <v>2.6761400000000002</v>
      </c>
      <c r="D230" s="7">
        <f>VLOOKUP(D$2,Report!$A$18:$L$34,'Actual-CO2 Calculations'!$AK79,FALSE)</f>
        <v>2.9088400000000001</v>
      </c>
      <c r="E230" s="7">
        <f>VLOOKUP(E$2,Report!$A$18:$L$34,'Actual-CO2 Calculations'!$AK79,FALSE)</f>
        <v>2.1943999999999999</v>
      </c>
      <c r="F230" s="7">
        <f>VLOOKUP(F$2,Report!$A$18:$L$34,'Actual-CO2 Calculations'!$AK79,FALSE)</f>
        <v>2.0331999999999998E-3</v>
      </c>
      <c r="G230" s="7">
        <f>VLOOKUP(G$2,Report!$A$18:$L$34,'Actual-CO2 Calculations'!$AK79,FALSE)</f>
        <v>1.5093799999999999</v>
      </c>
      <c r="H230" s="7">
        <f>VLOOKUP(H$2,Report!$A$18:$L$34,'Actual-CO2 Calculations'!$AK79,FALSE)</f>
        <v>5.2100000000000002E-3</v>
      </c>
      <c r="I230" s="7">
        <f>(I$3*VLOOKUP(I$2,Report!$A$18:$L$34,'Actual-CO2 Calculations'!$AK79,FALSE))+((1-I$3)*C230)</f>
        <v>2.6761400000000002</v>
      </c>
      <c r="J230" s="7">
        <f>VLOOKUP(J$2,Report!$A$18:$L$34,'Actual-CO2 Calculations'!$AK79,FALSE)</f>
        <v>5.4900000000000001E-3</v>
      </c>
      <c r="K230" s="7" t="e">
        <f>VLOOKUP(K$2,Report!$A$18:$L$34,'Actual-CO2 Calculations'!$AK79,FALSE)</f>
        <v>#N/A</v>
      </c>
      <c r="L230" s="10" t="e">
        <f>VLOOKUP(L$2,Report!$A$18:$L$34,'Actual-CO2 Calculations'!$AK79,FALSE)</f>
        <v>#N/A</v>
      </c>
    </row>
    <row r="231" spans="1:12">
      <c r="A231" s="743" t="s">
        <v>17</v>
      </c>
      <c r="B231" s="7">
        <f>VLOOKUP(B$2,Report!$A$18:$L$34,'Actual-CO2 Calculations'!$AK80,FALSE)</f>
        <v>2.5838999999999999</v>
      </c>
      <c r="C231" s="7">
        <f>VLOOKUP(C$2,Report!$A$18:$L$34,'Actual-CO2 Calculations'!$AK80,FALSE)</f>
        <v>2.6761400000000002</v>
      </c>
      <c r="D231" s="7">
        <f>VLOOKUP(D$2,Report!$A$18:$L$34,'Actual-CO2 Calculations'!$AK80,FALSE)</f>
        <v>2.9088400000000001</v>
      </c>
      <c r="E231" s="7">
        <f>VLOOKUP(E$2,Report!$A$18:$L$34,'Actual-CO2 Calculations'!$AK80,FALSE)</f>
        <v>2.1943999999999999</v>
      </c>
      <c r="F231" s="7">
        <f>VLOOKUP(F$2,Report!$A$18:$L$34,'Actual-CO2 Calculations'!$AK80,FALSE)</f>
        <v>2.0331999999999998E-3</v>
      </c>
      <c r="G231" s="7">
        <f>VLOOKUP(G$2,Report!$A$18:$L$34,'Actual-CO2 Calculations'!$AK80,FALSE)</f>
        <v>1.5093799999999999</v>
      </c>
      <c r="H231" s="7">
        <f>VLOOKUP(H$2,Report!$A$18:$L$34,'Actual-CO2 Calculations'!$AK80,FALSE)</f>
        <v>5.2100000000000002E-3</v>
      </c>
      <c r="I231" s="7">
        <f>(I$3*VLOOKUP(I$2,Report!$A$18:$L$34,'Actual-CO2 Calculations'!$AK80,FALSE))+((1-I$3)*C231)</f>
        <v>2.6761400000000002</v>
      </c>
      <c r="J231" s="7">
        <f>VLOOKUP(J$2,Report!$A$18:$L$34,'Actual-CO2 Calculations'!$AK80,FALSE)</f>
        <v>5.4900000000000001E-3</v>
      </c>
      <c r="K231" s="7" t="e">
        <f>VLOOKUP(K$2,Report!$A$18:$L$34,'Actual-CO2 Calculations'!$AK80,FALSE)</f>
        <v>#N/A</v>
      </c>
      <c r="L231" s="10" t="e">
        <f>VLOOKUP(L$2,Report!$A$18:$L$34,'Actual-CO2 Calculations'!$AK80,FALSE)</f>
        <v>#N/A</v>
      </c>
    </row>
    <row r="232" spans="1:12">
      <c r="A232" s="743" t="s">
        <v>18</v>
      </c>
      <c r="B232" s="7">
        <f>VLOOKUP(B$2,Report!$A$18:$L$34,'Actual-CO2 Calculations'!$AK81,FALSE)</f>
        <v>2.5838999999999999</v>
      </c>
      <c r="C232" s="7">
        <f>VLOOKUP(C$2,Report!$A$18:$L$34,'Actual-CO2 Calculations'!$AK81,FALSE)</f>
        <v>2.6761400000000002</v>
      </c>
      <c r="D232" s="7">
        <f>VLOOKUP(D$2,Report!$A$18:$L$34,'Actual-CO2 Calculations'!$AK81,FALSE)</f>
        <v>2.9088400000000001</v>
      </c>
      <c r="E232" s="7">
        <f>VLOOKUP(E$2,Report!$A$18:$L$34,'Actual-CO2 Calculations'!$AK81,FALSE)</f>
        <v>2.1943999999999999</v>
      </c>
      <c r="F232" s="7">
        <f>VLOOKUP(F$2,Report!$A$18:$L$34,'Actual-CO2 Calculations'!$AK81,FALSE)</f>
        <v>2.0331999999999998E-3</v>
      </c>
      <c r="G232" s="7">
        <f>VLOOKUP(G$2,Report!$A$18:$L$34,'Actual-CO2 Calculations'!$AK81,FALSE)</f>
        <v>1.5093799999999999</v>
      </c>
      <c r="H232" s="7">
        <f>VLOOKUP(H$2,Report!$A$18:$L$34,'Actual-CO2 Calculations'!$AK81,FALSE)</f>
        <v>5.2100000000000002E-3</v>
      </c>
      <c r="I232" s="7">
        <f>(I$3*VLOOKUP(I$2,Report!$A$18:$L$34,'Actual-CO2 Calculations'!$AK81,FALSE))+((1-I$3)*C232)</f>
        <v>2.6761400000000002</v>
      </c>
      <c r="J232" s="7">
        <f>VLOOKUP(J$2,Report!$A$18:$L$34,'Actual-CO2 Calculations'!$AK81,FALSE)</f>
        <v>5.4900000000000001E-3</v>
      </c>
      <c r="K232" s="7" t="e">
        <f>VLOOKUP(K$2,Report!$A$18:$L$34,'Actual-CO2 Calculations'!$AK81,FALSE)</f>
        <v>#N/A</v>
      </c>
      <c r="L232" s="10" t="e">
        <f>VLOOKUP(L$2,Report!$A$18:$L$34,'Actual-CO2 Calculations'!$AK81,FALSE)</f>
        <v>#N/A</v>
      </c>
    </row>
    <row r="233" spans="1:12">
      <c r="A233" s="743" t="s">
        <v>19</v>
      </c>
      <c r="B233" s="7">
        <f>VLOOKUP(B$2,Report!$A$18:$L$34,'Actual-CO2 Calculations'!$AK82,FALSE)</f>
        <v>2.5838999999999999</v>
      </c>
      <c r="C233" s="7">
        <f>VLOOKUP(C$2,Report!$A$18:$L$34,'Actual-CO2 Calculations'!$AK82,FALSE)</f>
        <v>2.6761400000000002</v>
      </c>
      <c r="D233" s="7">
        <f>VLOOKUP(D$2,Report!$A$18:$L$34,'Actual-CO2 Calculations'!$AK82,FALSE)</f>
        <v>2.9088400000000001</v>
      </c>
      <c r="E233" s="7">
        <f>VLOOKUP(E$2,Report!$A$18:$L$34,'Actual-CO2 Calculations'!$AK82,FALSE)</f>
        <v>2.1943999999999999</v>
      </c>
      <c r="F233" s="7">
        <f>VLOOKUP(F$2,Report!$A$18:$L$34,'Actual-CO2 Calculations'!$AK82,FALSE)</f>
        <v>2.0331999999999998E-3</v>
      </c>
      <c r="G233" s="7">
        <f>VLOOKUP(G$2,Report!$A$18:$L$34,'Actual-CO2 Calculations'!$AK82,FALSE)</f>
        <v>1.5093799999999999</v>
      </c>
      <c r="H233" s="7">
        <f>VLOOKUP(H$2,Report!$A$18:$L$34,'Actual-CO2 Calculations'!$AK82,FALSE)</f>
        <v>5.2100000000000002E-3</v>
      </c>
      <c r="I233" s="7">
        <f>(I$3*VLOOKUP(I$2,Report!$A$18:$L$34,'Actual-CO2 Calculations'!$AK82,FALSE))+((1-I$3)*C233)</f>
        <v>2.6761400000000002</v>
      </c>
      <c r="J233" s="7">
        <f>VLOOKUP(J$2,Report!$A$18:$L$34,'Actual-CO2 Calculations'!$AK82,FALSE)</f>
        <v>5.4900000000000001E-3</v>
      </c>
      <c r="K233" s="7" t="e">
        <f>VLOOKUP(K$2,Report!$A$18:$L$34,'Actual-CO2 Calculations'!$AK82,FALSE)</f>
        <v>#N/A</v>
      </c>
      <c r="L233" s="10" t="e">
        <f>VLOOKUP(L$2,Report!$A$18:$L$34,'Actual-CO2 Calculations'!$AK82,FALSE)</f>
        <v>#N/A</v>
      </c>
    </row>
    <row r="234" spans="1:12">
      <c r="A234" s="743" t="s">
        <v>85</v>
      </c>
      <c r="B234" s="7">
        <f>VLOOKUP(B$2,Report!$A$18:$L$34,'Actual-CO2 Calculations'!$AK83,FALSE)</f>
        <v>2.5838999999999999</v>
      </c>
      <c r="C234" s="7">
        <f>VLOOKUP(C$2,Report!$A$18:$L$34,'Actual-CO2 Calculations'!$AK83,FALSE)</f>
        <v>2.6761400000000002</v>
      </c>
      <c r="D234" s="7">
        <f>VLOOKUP(D$2,Report!$A$18:$L$34,'Actual-CO2 Calculations'!$AK83,FALSE)</f>
        <v>2.9088400000000001</v>
      </c>
      <c r="E234" s="7">
        <f>VLOOKUP(E$2,Report!$A$18:$L$34,'Actual-CO2 Calculations'!$AK83,FALSE)</f>
        <v>2.1943999999999999</v>
      </c>
      <c r="F234" s="7">
        <f>VLOOKUP(F$2,Report!$A$18:$L$34,'Actual-CO2 Calculations'!$AK83,FALSE)</f>
        <v>2.0331999999999998E-3</v>
      </c>
      <c r="G234" s="7">
        <f>VLOOKUP(G$2,Report!$A$18:$L$34,'Actual-CO2 Calculations'!$AK83,FALSE)</f>
        <v>1.5093799999999999</v>
      </c>
      <c r="H234" s="7">
        <f>VLOOKUP(H$2,Report!$A$18:$L$34,'Actual-CO2 Calculations'!$AK83,FALSE)</f>
        <v>5.2100000000000002E-3</v>
      </c>
      <c r="I234" s="7">
        <f>(I$3*VLOOKUP(I$2,Report!$A$18:$L$34,'Actual-CO2 Calculations'!$AK83,FALSE))+((1-I$3)*C234)</f>
        <v>2.6761400000000002</v>
      </c>
      <c r="J234" s="7">
        <f>VLOOKUP(J$2,Report!$A$18:$L$34,'Actual-CO2 Calculations'!$AK83,FALSE)</f>
        <v>5.4900000000000001E-3</v>
      </c>
      <c r="K234" s="7" t="e">
        <f>VLOOKUP(K$2,Report!$A$18:$L$34,'Actual-CO2 Calculations'!$AK83,FALSE)</f>
        <v>#N/A</v>
      </c>
      <c r="L234" s="10" t="e">
        <f>VLOOKUP(L$2,Report!$A$18:$L$34,'Actual-CO2 Calculations'!$AK83,FALSE)</f>
        <v>#N/A</v>
      </c>
    </row>
    <row r="235" spans="1:12">
      <c r="A235" s="743" t="s">
        <v>86</v>
      </c>
      <c r="B235" s="7">
        <f>VLOOKUP(B$2,Report!$A$18:$L$34,'Actual-CO2 Calculations'!$AK84,FALSE)</f>
        <v>2.5838999999999999</v>
      </c>
      <c r="C235" s="7">
        <f>VLOOKUP(C$2,Report!$A$18:$L$34,'Actual-CO2 Calculations'!$AK84,FALSE)</f>
        <v>2.6761400000000002</v>
      </c>
      <c r="D235" s="7">
        <f>VLOOKUP(D$2,Report!$A$18:$L$34,'Actual-CO2 Calculations'!$AK84,FALSE)</f>
        <v>2.9088400000000001</v>
      </c>
      <c r="E235" s="7">
        <f>VLOOKUP(E$2,Report!$A$18:$L$34,'Actual-CO2 Calculations'!$AK84,FALSE)</f>
        <v>2.1943999999999999</v>
      </c>
      <c r="F235" s="7">
        <f>VLOOKUP(F$2,Report!$A$18:$L$34,'Actual-CO2 Calculations'!$AK84,FALSE)</f>
        <v>2.0331999999999998E-3</v>
      </c>
      <c r="G235" s="7">
        <f>VLOOKUP(G$2,Report!$A$18:$L$34,'Actual-CO2 Calculations'!$AK84,FALSE)</f>
        <v>1.5093799999999999</v>
      </c>
      <c r="H235" s="7">
        <f>VLOOKUP(H$2,Report!$A$18:$L$34,'Actual-CO2 Calculations'!$AK84,FALSE)</f>
        <v>5.2100000000000002E-3</v>
      </c>
      <c r="I235" s="7">
        <f>(I$3*VLOOKUP(I$2,Report!$A$18:$L$34,'Actual-CO2 Calculations'!$AK84,FALSE))+((1-I$3)*C235)</f>
        <v>2.6761400000000002</v>
      </c>
      <c r="J235" s="7">
        <f>VLOOKUP(J$2,Report!$A$18:$L$34,'Actual-CO2 Calculations'!$AK84,FALSE)</f>
        <v>5.4900000000000001E-3</v>
      </c>
      <c r="K235" s="7" t="e">
        <f>VLOOKUP(K$2,Report!$A$18:$L$34,'Actual-CO2 Calculations'!$AK84,FALSE)</f>
        <v>#N/A</v>
      </c>
      <c r="L235" s="10" t="e">
        <f>VLOOKUP(L$2,Report!$A$18:$L$34,'Actual-CO2 Calculations'!$AK84,FALSE)</f>
        <v>#N/A</v>
      </c>
    </row>
    <row r="236" spans="1:12">
      <c r="A236" s="743" t="s">
        <v>87</v>
      </c>
      <c r="B236" s="7">
        <f>VLOOKUP(B$2,Report!$A$18:$L$34,'Actual-CO2 Calculations'!$AK85,FALSE)</f>
        <v>2.6194166666666598</v>
      </c>
      <c r="C236" s="7">
        <f>VLOOKUP(C$2,Report!$A$18:$L$34,'Actual-CO2 Calculations'!$AK85,FALSE)</f>
        <v>2.66239332521429</v>
      </c>
      <c r="D236" s="7">
        <f>VLOOKUP(D$2,Report!$A$18:$L$34,'Actual-CO2 Calculations'!$AK85,FALSE)</f>
        <v>2.8399075029761902</v>
      </c>
      <c r="E236" s="7">
        <f>VLOOKUP(E$2,Report!$A$18:$L$34,'Actual-CO2 Calculations'!$AK85,FALSE)</f>
        <v>2.1518023809523799</v>
      </c>
      <c r="F236" s="7">
        <f>VLOOKUP(F$2,Report!$A$18:$L$34,'Actual-CO2 Calculations'!$AK85,FALSE)</f>
        <v>2.0287333333333336E-3</v>
      </c>
      <c r="G236" s="7">
        <f>VLOOKUP(G$2,Report!$A$18:$L$34,'Actual-CO2 Calculations'!$AK85,FALSE)</f>
        <v>1.4709550796666599</v>
      </c>
      <c r="H236" s="7">
        <f>VLOOKUP(H$2,Report!$A$18:$L$34,'Actual-CO2 Calculations'!$AK85,FALSE)</f>
        <v>5.1166666666666704E-3</v>
      </c>
      <c r="I236" s="7">
        <f>(I$3*VLOOKUP(I$2,Report!$A$18:$L$34,'Actual-CO2 Calculations'!$AK85,FALSE))+((1-I$3)*C236)</f>
        <v>2.66239332521429</v>
      </c>
      <c r="J236" s="7">
        <f>VLOOKUP(J$2,Report!$A$18:$L$34,'Actual-CO2 Calculations'!$AK85,FALSE)</f>
        <v>6.9833333333333301E-3</v>
      </c>
      <c r="K236" s="7" t="e">
        <f>VLOOKUP(K$2,Report!$A$18:$L$34,'Actual-CO2 Calculations'!$AK85,FALSE)</f>
        <v>#N/A</v>
      </c>
      <c r="L236" s="10" t="e">
        <f>VLOOKUP(L$2,Report!$A$18:$L$34,'Actual-CO2 Calculations'!$AK85,FALSE)</f>
        <v>#N/A</v>
      </c>
    </row>
    <row r="237" spans="1:12">
      <c r="A237" s="743" t="s">
        <v>88</v>
      </c>
      <c r="B237" s="7">
        <f>VLOOKUP(B$2,Report!$A$18:$L$34,'Actual-CO2 Calculations'!$AK86,FALSE)</f>
        <v>2.6194166666666598</v>
      </c>
      <c r="C237" s="7">
        <f>VLOOKUP(C$2,Report!$A$18:$L$34,'Actual-CO2 Calculations'!$AK86,FALSE)</f>
        <v>2.66239332521429</v>
      </c>
      <c r="D237" s="7">
        <f>VLOOKUP(D$2,Report!$A$18:$L$34,'Actual-CO2 Calculations'!$AK86,FALSE)</f>
        <v>2.8399075029761902</v>
      </c>
      <c r="E237" s="7">
        <f>VLOOKUP(E$2,Report!$A$18:$L$34,'Actual-CO2 Calculations'!$AK86,FALSE)</f>
        <v>2.1518023809523799</v>
      </c>
      <c r="F237" s="7">
        <f>VLOOKUP(F$2,Report!$A$18:$L$34,'Actual-CO2 Calculations'!$AK86,FALSE)</f>
        <v>2.0287333333333336E-3</v>
      </c>
      <c r="G237" s="7">
        <f>VLOOKUP(G$2,Report!$A$18:$L$34,'Actual-CO2 Calculations'!$AK86,FALSE)</f>
        <v>1.4709550796666599</v>
      </c>
      <c r="H237" s="7">
        <f>VLOOKUP(H$2,Report!$A$18:$L$34,'Actual-CO2 Calculations'!$AK86,FALSE)</f>
        <v>5.1166666666666704E-3</v>
      </c>
      <c r="I237" s="7">
        <f>(I$3*VLOOKUP(I$2,Report!$A$18:$L$34,'Actual-CO2 Calculations'!$AK86,FALSE))+((1-I$3)*C237)</f>
        <v>2.66239332521429</v>
      </c>
      <c r="J237" s="7">
        <f>VLOOKUP(J$2,Report!$A$18:$L$34,'Actual-CO2 Calculations'!$AK86,FALSE)</f>
        <v>6.9833333333333301E-3</v>
      </c>
      <c r="K237" s="7" t="e">
        <f>VLOOKUP(K$2,Report!$A$18:$L$34,'Actual-CO2 Calculations'!$AK86,FALSE)</f>
        <v>#N/A</v>
      </c>
      <c r="L237" s="10" t="e">
        <f>VLOOKUP(L$2,Report!$A$18:$L$34,'Actual-CO2 Calculations'!$AK86,FALSE)</f>
        <v>#N/A</v>
      </c>
    </row>
    <row r="238" spans="1:12">
      <c r="A238" s="743" t="s">
        <v>89</v>
      </c>
      <c r="B238" s="7">
        <f>VLOOKUP(B$2,Report!$A$18:$L$34,'Actual-CO2 Calculations'!$AK87,FALSE)</f>
        <v>2.6194166666666598</v>
      </c>
      <c r="C238" s="7">
        <f>VLOOKUP(C$2,Report!$A$18:$L$34,'Actual-CO2 Calculations'!$AK87,FALSE)</f>
        <v>2.66239332521429</v>
      </c>
      <c r="D238" s="7">
        <f>VLOOKUP(D$2,Report!$A$18:$L$34,'Actual-CO2 Calculations'!$AK87,FALSE)</f>
        <v>2.8399075029761902</v>
      </c>
      <c r="E238" s="7">
        <f>VLOOKUP(E$2,Report!$A$18:$L$34,'Actual-CO2 Calculations'!$AK87,FALSE)</f>
        <v>2.1518023809523799</v>
      </c>
      <c r="F238" s="7">
        <f>VLOOKUP(F$2,Report!$A$18:$L$34,'Actual-CO2 Calculations'!$AK87,FALSE)</f>
        <v>2.0287333333333336E-3</v>
      </c>
      <c r="G238" s="7">
        <f>VLOOKUP(G$2,Report!$A$18:$L$34,'Actual-CO2 Calculations'!$AK87,FALSE)</f>
        <v>1.4709550796666599</v>
      </c>
      <c r="H238" s="7">
        <f>VLOOKUP(H$2,Report!$A$18:$L$34,'Actual-CO2 Calculations'!$AK87,FALSE)</f>
        <v>5.1166666666666704E-3</v>
      </c>
      <c r="I238" s="7">
        <f>(I$3*VLOOKUP(I$2,Report!$A$18:$L$34,'Actual-CO2 Calculations'!$AK87,FALSE))+((1-I$3)*C238)</f>
        <v>2.66239332521429</v>
      </c>
      <c r="J238" s="7">
        <f>VLOOKUP(J$2,Report!$A$18:$L$34,'Actual-CO2 Calculations'!$AK87,FALSE)</f>
        <v>6.9833333333333301E-3</v>
      </c>
      <c r="K238" s="7" t="e">
        <f>VLOOKUP(K$2,Report!$A$18:$L$34,'Actual-CO2 Calculations'!$AK87,FALSE)</f>
        <v>#N/A</v>
      </c>
      <c r="L238" s="10" t="e">
        <f>VLOOKUP(L$2,Report!$A$18:$L$34,'Actual-CO2 Calculations'!$AK87,FALSE)</f>
        <v>#N/A</v>
      </c>
    </row>
    <row r="239" spans="1:12">
      <c r="A239" s="743" t="s">
        <v>90</v>
      </c>
      <c r="B239" s="7">
        <f>VLOOKUP(B$2,Report!$A$18:$L$34,'Actual-CO2 Calculations'!$AK88,FALSE)</f>
        <v>2.6194166666666598</v>
      </c>
      <c r="C239" s="7">
        <f>VLOOKUP(C$2,Report!$A$18:$L$34,'Actual-CO2 Calculations'!$AK88,FALSE)</f>
        <v>2.66239332521429</v>
      </c>
      <c r="D239" s="7">
        <f>VLOOKUP(D$2,Report!$A$18:$L$34,'Actual-CO2 Calculations'!$AK88,FALSE)</f>
        <v>2.8399075029761902</v>
      </c>
      <c r="E239" s="7">
        <f>VLOOKUP(E$2,Report!$A$18:$L$34,'Actual-CO2 Calculations'!$AK88,FALSE)</f>
        <v>2.1518023809523799</v>
      </c>
      <c r="F239" s="7">
        <f>VLOOKUP(F$2,Report!$A$18:$L$34,'Actual-CO2 Calculations'!$AK88,FALSE)</f>
        <v>2.0287333333333336E-3</v>
      </c>
      <c r="G239" s="7">
        <f>VLOOKUP(G$2,Report!$A$18:$L$34,'Actual-CO2 Calculations'!$AK88,FALSE)</f>
        <v>1.4709550796666599</v>
      </c>
      <c r="H239" s="7">
        <f>VLOOKUP(H$2,Report!$A$18:$L$34,'Actual-CO2 Calculations'!$AK88,FALSE)</f>
        <v>5.1166666666666704E-3</v>
      </c>
      <c r="I239" s="7">
        <f>(I$3*VLOOKUP(I$2,Report!$A$18:$L$34,'Actual-CO2 Calculations'!$AK88,FALSE))+((1-I$3)*C239)</f>
        <v>2.66239332521429</v>
      </c>
      <c r="J239" s="7">
        <f>VLOOKUP(J$2,Report!$A$18:$L$34,'Actual-CO2 Calculations'!$AK88,FALSE)</f>
        <v>6.9833333333333301E-3</v>
      </c>
      <c r="K239" s="7" t="e">
        <f>VLOOKUP(K$2,Report!$A$18:$L$34,'Actual-CO2 Calculations'!$AK88,FALSE)</f>
        <v>#N/A</v>
      </c>
      <c r="L239" s="10" t="e">
        <f>VLOOKUP(L$2,Report!$A$18:$L$34,'Actual-CO2 Calculations'!$AK88,FALSE)</f>
        <v>#N/A</v>
      </c>
    </row>
    <row r="240" spans="1:12">
      <c r="A240" s="743" t="s">
        <v>91</v>
      </c>
      <c r="B240" s="7">
        <f>VLOOKUP(B$2,Report!$A$18:$L$34,'Actual-CO2 Calculations'!$AK89,FALSE)</f>
        <v>2.6194166666666598</v>
      </c>
      <c r="C240" s="7">
        <f>VLOOKUP(C$2,Report!$A$18:$L$34,'Actual-CO2 Calculations'!$AK89,FALSE)</f>
        <v>2.66239332521429</v>
      </c>
      <c r="D240" s="7">
        <f>VLOOKUP(D$2,Report!$A$18:$L$34,'Actual-CO2 Calculations'!$AK89,FALSE)</f>
        <v>2.8399075029761902</v>
      </c>
      <c r="E240" s="7">
        <f>VLOOKUP(E$2,Report!$A$18:$L$34,'Actual-CO2 Calculations'!$AK89,FALSE)</f>
        <v>2.1518023809523799</v>
      </c>
      <c r="F240" s="7">
        <f>VLOOKUP(F$2,Report!$A$18:$L$34,'Actual-CO2 Calculations'!$AK89,FALSE)</f>
        <v>2.0287333333333336E-3</v>
      </c>
      <c r="G240" s="7">
        <f>VLOOKUP(G$2,Report!$A$18:$L$34,'Actual-CO2 Calculations'!$AK89,FALSE)</f>
        <v>1.4709550796666599</v>
      </c>
      <c r="H240" s="7">
        <f>VLOOKUP(H$2,Report!$A$18:$L$34,'Actual-CO2 Calculations'!$AK89,FALSE)</f>
        <v>5.1166666666666704E-3</v>
      </c>
      <c r="I240" s="7">
        <f>(I$3*VLOOKUP(I$2,Report!$A$18:$L$34,'Actual-CO2 Calculations'!$AK89,FALSE))+((1-I$3)*C240)</f>
        <v>2.66239332521429</v>
      </c>
      <c r="J240" s="7">
        <f>VLOOKUP(J$2,Report!$A$18:$L$34,'Actual-CO2 Calculations'!$AK89,FALSE)</f>
        <v>6.9833333333333301E-3</v>
      </c>
      <c r="K240" s="7" t="e">
        <f>VLOOKUP(K$2,Report!$A$18:$L$34,'Actual-CO2 Calculations'!$AK89,FALSE)</f>
        <v>#N/A</v>
      </c>
      <c r="L240" s="10" t="e">
        <f>VLOOKUP(L$2,Report!$A$18:$L$34,'Actual-CO2 Calculations'!$AK89,FALSE)</f>
        <v>#N/A</v>
      </c>
    </row>
    <row r="241" spans="1:12">
      <c r="A241" s="743" t="s">
        <v>92</v>
      </c>
      <c r="B241" s="7">
        <f>VLOOKUP(B$2,Report!$A$18:$L$34,'Actual-CO2 Calculations'!$AK90,FALSE)</f>
        <v>2.6194166666666598</v>
      </c>
      <c r="C241" s="7">
        <f>VLOOKUP(C$2,Report!$A$18:$L$34,'Actual-CO2 Calculations'!$AK90,FALSE)</f>
        <v>2.66239332521429</v>
      </c>
      <c r="D241" s="7">
        <f>VLOOKUP(D$2,Report!$A$18:$L$34,'Actual-CO2 Calculations'!$AK90,FALSE)</f>
        <v>2.8399075029761902</v>
      </c>
      <c r="E241" s="7">
        <f>VLOOKUP(E$2,Report!$A$18:$L$34,'Actual-CO2 Calculations'!$AK90,FALSE)</f>
        <v>2.1518023809523799</v>
      </c>
      <c r="F241" s="7">
        <f>VLOOKUP(F$2,Report!$A$18:$L$34,'Actual-CO2 Calculations'!$AK90,FALSE)</f>
        <v>2.0287333333333336E-3</v>
      </c>
      <c r="G241" s="7">
        <f>VLOOKUP(G$2,Report!$A$18:$L$34,'Actual-CO2 Calculations'!$AK90,FALSE)</f>
        <v>1.4709550796666599</v>
      </c>
      <c r="H241" s="7">
        <f>VLOOKUP(H$2,Report!$A$18:$L$34,'Actual-CO2 Calculations'!$AK90,FALSE)</f>
        <v>5.1166666666666704E-3</v>
      </c>
      <c r="I241" s="7">
        <f>(I$3*VLOOKUP(I$2,Report!$A$18:$L$34,'Actual-CO2 Calculations'!$AK90,FALSE))+((1-I$3)*C241)</f>
        <v>2.66239332521429</v>
      </c>
      <c r="J241" s="7">
        <f>VLOOKUP(J$2,Report!$A$18:$L$34,'Actual-CO2 Calculations'!$AK90,FALSE)</f>
        <v>6.9833333333333301E-3</v>
      </c>
      <c r="K241" s="7" t="e">
        <f>VLOOKUP(K$2,Report!$A$18:$L$34,'Actual-CO2 Calculations'!$AK90,FALSE)</f>
        <v>#N/A</v>
      </c>
      <c r="L241" s="10" t="e">
        <f>VLOOKUP(L$2,Report!$A$18:$L$34,'Actual-CO2 Calculations'!$AK90,FALSE)</f>
        <v>#N/A</v>
      </c>
    </row>
    <row r="242" spans="1:12">
      <c r="A242" s="743" t="s">
        <v>93</v>
      </c>
      <c r="B242" s="7">
        <f>VLOOKUP(B$2,Report!$A$18:$L$34,'Actual-CO2 Calculations'!$AK91,FALSE)</f>
        <v>2.6194166666666598</v>
      </c>
      <c r="C242" s="7">
        <f>VLOOKUP(C$2,Report!$A$18:$L$34,'Actual-CO2 Calculations'!$AK91,FALSE)</f>
        <v>2.66239332521429</v>
      </c>
      <c r="D242" s="7">
        <f>VLOOKUP(D$2,Report!$A$18:$L$34,'Actual-CO2 Calculations'!$AK91,FALSE)</f>
        <v>2.8399075029761902</v>
      </c>
      <c r="E242" s="7">
        <f>VLOOKUP(E$2,Report!$A$18:$L$34,'Actual-CO2 Calculations'!$AK91,FALSE)</f>
        <v>2.1518023809523799</v>
      </c>
      <c r="F242" s="7">
        <f>VLOOKUP(F$2,Report!$A$18:$L$34,'Actual-CO2 Calculations'!$AK91,FALSE)</f>
        <v>2.0287333333333336E-3</v>
      </c>
      <c r="G242" s="7">
        <f>VLOOKUP(G$2,Report!$A$18:$L$34,'Actual-CO2 Calculations'!$AK91,FALSE)</f>
        <v>1.4709550796666599</v>
      </c>
      <c r="H242" s="7">
        <f>VLOOKUP(H$2,Report!$A$18:$L$34,'Actual-CO2 Calculations'!$AK91,FALSE)</f>
        <v>5.1166666666666704E-3</v>
      </c>
      <c r="I242" s="7">
        <f>(I$3*VLOOKUP(I$2,Report!$A$18:$L$34,'Actual-CO2 Calculations'!$AK91,FALSE))+((1-I$3)*C242)</f>
        <v>2.66239332521429</v>
      </c>
      <c r="J242" s="7">
        <f>VLOOKUP(J$2,Report!$A$18:$L$34,'Actual-CO2 Calculations'!$AK91,FALSE)</f>
        <v>6.9833333333333301E-3</v>
      </c>
      <c r="K242" s="7" t="e">
        <f>VLOOKUP(K$2,Report!$A$18:$L$34,'Actual-CO2 Calculations'!$AK91,FALSE)</f>
        <v>#N/A</v>
      </c>
      <c r="L242" s="10" t="e">
        <f>VLOOKUP(L$2,Report!$A$18:$L$34,'Actual-CO2 Calculations'!$AK91,FALSE)</f>
        <v>#N/A</v>
      </c>
    </row>
    <row r="243" spans="1:12">
      <c r="A243" s="743" t="s">
        <v>20</v>
      </c>
      <c r="B243" s="7">
        <f>VLOOKUP(B$2,Report!$A$18:$L$34,'Actual-CO2 Calculations'!$AK92,FALSE)</f>
        <v>2.6194166666666598</v>
      </c>
      <c r="C243" s="7">
        <f>VLOOKUP(C$2,Report!$A$18:$L$34,'Actual-CO2 Calculations'!$AK92,FALSE)</f>
        <v>2.66239332521429</v>
      </c>
      <c r="D243" s="7">
        <f>VLOOKUP(D$2,Report!$A$18:$L$34,'Actual-CO2 Calculations'!$AK92,FALSE)</f>
        <v>2.8399075029761902</v>
      </c>
      <c r="E243" s="7">
        <f>VLOOKUP(E$2,Report!$A$18:$L$34,'Actual-CO2 Calculations'!$AK92,FALSE)</f>
        <v>2.1518023809523799</v>
      </c>
      <c r="F243" s="7">
        <f>VLOOKUP(F$2,Report!$A$18:$L$34,'Actual-CO2 Calculations'!$AK92,FALSE)</f>
        <v>2.0287333333333336E-3</v>
      </c>
      <c r="G243" s="7">
        <f>VLOOKUP(G$2,Report!$A$18:$L$34,'Actual-CO2 Calculations'!$AK92,FALSE)</f>
        <v>1.4709550796666599</v>
      </c>
      <c r="H243" s="7">
        <f>VLOOKUP(H$2,Report!$A$18:$L$34,'Actual-CO2 Calculations'!$AK92,FALSE)</f>
        <v>5.1166666666666704E-3</v>
      </c>
      <c r="I243" s="7">
        <f>(I$3*VLOOKUP(I$2,Report!$A$18:$L$34,'Actual-CO2 Calculations'!$AK92,FALSE))+((1-I$3)*C243)</f>
        <v>2.66239332521429</v>
      </c>
      <c r="J243" s="7">
        <f>VLOOKUP(J$2,Report!$A$18:$L$34,'Actual-CO2 Calculations'!$AK92,FALSE)</f>
        <v>6.9833333333333301E-3</v>
      </c>
      <c r="K243" s="7" t="e">
        <f>VLOOKUP(K$2,Report!$A$18:$L$34,'Actual-CO2 Calculations'!$AK92,FALSE)</f>
        <v>#N/A</v>
      </c>
      <c r="L243" s="10" t="e">
        <f>VLOOKUP(L$2,Report!$A$18:$L$34,'Actual-CO2 Calculations'!$AK92,FALSE)</f>
        <v>#N/A</v>
      </c>
    </row>
    <row r="244" spans="1:12">
      <c r="A244" s="743" t="s">
        <v>21</v>
      </c>
      <c r="B244" s="7">
        <f>VLOOKUP(B$2,Report!$A$18:$L$34,'Actual-CO2 Calculations'!$AK93,FALSE)</f>
        <v>2.6194166666666598</v>
      </c>
      <c r="C244" s="7">
        <f>VLOOKUP(C$2,Report!$A$18:$L$34,'Actual-CO2 Calculations'!$AK93,FALSE)</f>
        <v>2.66239332521429</v>
      </c>
      <c r="D244" s="7">
        <f>VLOOKUP(D$2,Report!$A$18:$L$34,'Actual-CO2 Calculations'!$AK93,FALSE)</f>
        <v>2.8399075029761902</v>
      </c>
      <c r="E244" s="7">
        <f>VLOOKUP(E$2,Report!$A$18:$L$34,'Actual-CO2 Calculations'!$AK93,FALSE)</f>
        <v>2.1518023809523799</v>
      </c>
      <c r="F244" s="7">
        <f>VLOOKUP(F$2,Report!$A$18:$L$34,'Actual-CO2 Calculations'!$AK93,FALSE)</f>
        <v>2.0287333333333336E-3</v>
      </c>
      <c r="G244" s="7">
        <f>VLOOKUP(G$2,Report!$A$18:$L$34,'Actual-CO2 Calculations'!$AK93,FALSE)</f>
        <v>1.4709550796666599</v>
      </c>
      <c r="H244" s="7">
        <f>VLOOKUP(H$2,Report!$A$18:$L$34,'Actual-CO2 Calculations'!$AK93,FALSE)</f>
        <v>5.1166666666666704E-3</v>
      </c>
      <c r="I244" s="7">
        <f>(I$3*VLOOKUP(I$2,Report!$A$18:$L$34,'Actual-CO2 Calculations'!$AK93,FALSE))+((1-I$3)*C244)</f>
        <v>2.66239332521429</v>
      </c>
      <c r="J244" s="7">
        <f>VLOOKUP(J$2,Report!$A$18:$L$34,'Actual-CO2 Calculations'!$AK93,FALSE)</f>
        <v>6.9833333333333301E-3</v>
      </c>
      <c r="K244" s="7" t="e">
        <f>VLOOKUP(K$2,Report!$A$18:$L$34,'Actual-CO2 Calculations'!$AK93,FALSE)</f>
        <v>#N/A</v>
      </c>
      <c r="L244" s="10" t="e">
        <f>VLOOKUP(L$2,Report!$A$18:$L$34,'Actual-CO2 Calculations'!$AK93,FALSE)</f>
        <v>#N/A</v>
      </c>
    </row>
    <row r="245" spans="1:12">
      <c r="A245" s="743" t="s">
        <v>22</v>
      </c>
      <c r="B245" s="7">
        <f>VLOOKUP(B$2,Report!$A$18:$L$34,'Actual-CO2 Calculations'!$AK94,FALSE)</f>
        <v>2.6194166666666598</v>
      </c>
      <c r="C245" s="7">
        <f>VLOOKUP(C$2,Report!$A$18:$L$34,'Actual-CO2 Calculations'!$AK94,FALSE)</f>
        <v>2.66239332521429</v>
      </c>
      <c r="D245" s="7">
        <f>VLOOKUP(D$2,Report!$A$18:$L$34,'Actual-CO2 Calculations'!$AK94,FALSE)</f>
        <v>2.8399075029761902</v>
      </c>
      <c r="E245" s="7">
        <f>VLOOKUP(E$2,Report!$A$18:$L$34,'Actual-CO2 Calculations'!$AK94,FALSE)</f>
        <v>2.1518023809523799</v>
      </c>
      <c r="F245" s="7">
        <f>VLOOKUP(F$2,Report!$A$18:$L$34,'Actual-CO2 Calculations'!$AK94,FALSE)</f>
        <v>2.0287333333333336E-3</v>
      </c>
      <c r="G245" s="7">
        <f>VLOOKUP(G$2,Report!$A$18:$L$34,'Actual-CO2 Calculations'!$AK94,FALSE)</f>
        <v>1.4709550796666599</v>
      </c>
      <c r="H245" s="7">
        <f>VLOOKUP(H$2,Report!$A$18:$L$34,'Actual-CO2 Calculations'!$AK94,FALSE)</f>
        <v>5.1166666666666704E-3</v>
      </c>
      <c r="I245" s="7">
        <f>(I$3*VLOOKUP(I$2,Report!$A$18:$L$34,'Actual-CO2 Calculations'!$AK94,FALSE))+((1-I$3)*C245)</f>
        <v>2.66239332521429</v>
      </c>
      <c r="J245" s="7">
        <f>VLOOKUP(J$2,Report!$A$18:$L$34,'Actual-CO2 Calculations'!$AK94,FALSE)</f>
        <v>6.9833333333333301E-3</v>
      </c>
      <c r="K245" s="7" t="e">
        <f>VLOOKUP(K$2,Report!$A$18:$L$34,'Actual-CO2 Calculations'!$AK94,FALSE)</f>
        <v>#N/A</v>
      </c>
      <c r="L245" s="10" t="e">
        <f>VLOOKUP(L$2,Report!$A$18:$L$34,'Actual-CO2 Calculations'!$AK94,FALSE)</f>
        <v>#N/A</v>
      </c>
    </row>
    <row r="246" spans="1:12">
      <c r="A246" s="743" t="s">
        <v>23</v>
      </c>
      <c r="B246" s="7">
        <f>VLOOKUP(B$2,Report!$A$18:$L$34,'Actual-CO2 Calculations'!$AK95,FALSE)</f>
        <v>2.6194166666666598</v>
      </c>
      <c r="C246" s="7">
        <f>VLOOKUP(C$2,Report!$A$18:$L$34,'Actual-CO2 Calculations'!$AK95,FALSE)</f>
        <v>2.66239332521429</v>
      </c>
      <c r="D246" s="7">
        <f>VLOOKUP(D$2,Report!$A$18:$L$34,'Actual-CO2 Calculations'!$AK95,FALSE)</f>
        <v>2.8399075029761902</v>
      </c>
      <c r="E246" s="7">
        <f>VLOOKUP(E$2,Report!$A$18:$L$34,'Actual-CO2 Calculations'!$AK95,FALSE)</f>
        <v>2.1518023809523799</v>
      </c>
      <c r="F246" s="7">
        <f>VLOOKUP(F$2,Report!$A$18:$L$34,'Actual-CO2 Calculations'!$AK95,FALSE)</f>
        <v>2.0287333333333336E-3</v>
      </c>
      <c r="G246" s="7">
        <f>VLOOKUP(G$2,Report!$A$18:$L$34,'Actual-CO2 Calculations'!$AK95,FALSE)</f>
        <v>1.4709550796666599</v>
      </c>
      <c r="H246" s="7">
        <f>VLOOKUP(H$2,Report!$A$18:$L$34,'Actual-CO2 Calculations'!$AK95,FALSE)</f>
        <v>5.1166666666666704E-3</v>
      </c>
      <c r="I246" s="7">
        <f>(I$3*VLOOKUP(I$2,Report!$A$18:$L$34,'Actual-CO2 Calculations'!$AK95,FALSE))+((1-I$3)*C246)</f>
        <v>2.66239332521429</v>
      </c>
      <c r="J246" s="7">
        <f>VLOOKUP(J$2,Report!$A$18:$L$34,'Actual-CO2 Calculations'!$AK95,FALSE)</f>
        <v>6.9833333333333301E-3</v>
      </c>
      <c r="K246" s="7" t="e">
        <f>VLOOKUP(K$2,Report!$A$18:$L$34,'Actual-CO2 Calculations'!$AK95,FALSE)</f>
        <v>#N/A</v>
      </c>
      <c r="L246" s="10" t="e">
        <f>VLOOKUP(L$2,Report!$A$18:$L$34,'Actual-CO2 Calculations'!$AK95,FALSE)</f>
        <v>#N/A</v>
      </c>
    </row>
    <row r="247" spans="1:12">
      <c r="A247" s="743" t="s">
        <v>974</v>
      </c>
      <c r="B247" s="7">
        <f>VLOOKUP(B$2,Report!$A$18:$L$34,'Actual-CO2 Calculations'!$AK96,FALSE)</f>
        <v>2.6194166666666598</v>
      </c>
      <c r="C247" s="7">
        <f>VLOOKUP(C$2,Report!$A$18:$L$34,'Actual-CO2 Calculations'!$AK96,FALSE)</f>
        <v>2.66239332521429</v>
      </c>
      <c r="D247" s="7">
        <f>VLOOKUP(D$2,Report!$A$18:$L$34,'Actual-CO2 Calculations'!$AK96,FALSE)</f>
        <v>2.8399075029761902</v>
      </c>
      <c r="E247" s="7">
        <f>VLOOKUP(E$2,Report!$A$18:$L$34,'Actual-CO2 Calculations'!$AK96,FALSE)</f>
        <v>2.1518023809523799</v>
      </c>
      <c r="F247" s="7">
        <f>VLOOKUP(F$2,Report!$A$18:$L$34,'Actual-CO2 Calculations'!$AK96,FALSE)</f>
        <v>2.0287333333333336E-3</v>
      </c>
      <c r="G247" s="7">
        <f>VLOOKUP(G$2,Report!$A$18:$L$34,'Actual-CO2 Calculations'!$AK96,FALSE)</f>
        <v>1.4709550796666599</v>
      </c>
      <c r="H247" s="7">
        <f>VLOOKUP(H$2,Report!$A$18:$L$34,'Actual-CO2 Calculations'!$AK96,FALSE)</f>
        <v>5.1166666666666704E-3</v>
      </c>
      <c r="I247" s="7">
        <f>(I$3*VLOOKUP(I$2,Report!$A$18:$L$34,'Actual-CO2 Calculations'!$AK96,FALSE))+((1-I$3)*C247)</f>
        <v>2.66239332521429</v>
      </c>
      <c r="J247" s="7">
        <f>VLOOKUP(J$2,Report!$A$18:$L$34,'Actual-CO2 Calculations'!$AK96,FALSE)</f>
        <v>6.9833333333333301E-3</v>
      </c>
      <c r="K247" s="7" t="e">
        <f>VLOOKUP(K$2,Report!$A$18:$L$34,'Actual-CO2 Calculations'!$AK96,FALSE)</f>
        <v>#N/A</v>
      </c>
      <c r="L247" s="10" t="e">
        <f>VLOOKUP(L$2,Report!$A$18:$L$34,'Actual-CO2 Calculations'!$AK96,FALSE)</f>
        <v>#N/A</v>
      </c>
    </row>
    <row r="248" spans="1:12">
      <c r="A248" s="743" t="s">
        <v>975</v>
      </c>
      <c r="B248" s="7">
        <f>VLOOKUP(B$2,Report!$A$18:$L$34,'Actual-CO2 Calculations'!$AK97,FALSE)</f>
        <v>2.6194166666666598</v>
      </c>
      <c r="C248" s="7">
        <f>VLOOKUP(C$2,Report!$A$18:$L$34,'Actual-CO2 Calculations'!$AK97,FALSE)</f>
        <v>2.66239332521429</v>
      </c>
      <c r="D248" s="7">
        <f>VLOOKUP(D$2,Report!$A$18:$L$34,'Actual-CO2 Calculations'!$AK97,FALSE)</f>
        <v>2.8399075029761902</v>
      </c>
      <c r="E248" s="7">
        <f>VLOOKUP(E$2,Report!$A$18:$L$34,'Actual-CO2 Calculations'!$AK97,FALSE)</f>
        <v>2.1518023809523799</v>
      </c>
      <c r="F248" s="7">
        <f>VLOOKUP(F$2,Report!$A$18:$L$34,'Actual-CO2 Calculations'!$AK97,FALSE)</f>
        <v>2.0287333333333336E-3</v>
      </c>
      <c r="G248" s="7">
        <f>VLOOKUP(G$2,Report!$A$18:$L$34,'Actual-CO2 Calculations'!$AK97,FALSE)</f>
        <v>1.4709550796666599</v>
      </c>
      <c r="H248" s="7">
        <f>VLOOKUP(H$2,Report!$A$18:$L$34,'Actual-CO2 Calculations'!$AK97,FALSE)</f>
        <v>5.1166666666666704E-3</v>
      </c>
      <c r="I248" s="7">
        <f>(I$3*VLOOKUP(I$2,Report!$A$18:$L$34,'Actual-CO2 Calculations'!$AK97,FALSE))+((1-I$3)*C248)</f>
        <v>2.66239332521429</v>
      </c>
      <c r="J248" s="7">
        <f>VLOOKUP(J$2,Report!$A$18:$L$34,'Actual-CO2 Calculations'!$AK97,FALSE)</f>
        <v>6.9833333333333301E-3</v>
      </c>
      <c r="K248" s="7" t="e">
        <f>VLOOKUP(K$2,Report!$A$18:$L$34,'Actual-CO2 Calculations'!$AK97,FALSE)</f>
        <v>#N/A</v>
      </c>
      <c r="L248" s="10" t="e">
        <f>VLOOKUP(L$2,Report!$A$18:$L$34,'Actual-CO2 Calculations'!$AK97,FALSE)</f>
        <v>#N/A</v>
      </c>
    </row>
    <row r="249" spans="1:12">
      <c r="A249" s="743" t="s">
        <v>976</v>
      </c>
      <c r="B249" s="7">
        <f>VLOOKUP(B$2,Report!$A$18:$L$34,'Actual-CO2 Calculations'!$AK98,FALSE)</f>
        <v>2.6194166666666598</v>
      </c>
      <c r="C249" s="7">
        <f>VLOOKUP(C$2,Report!$A$18:$L$34,'Actual-CO2 Calculations'!$AK98,FALSE)</f>
        <v>2.66239332521429</v>
      </c>
      <c r="D249" s="7">
        <f>VLOOKUP(D$2,Report!$A$18:$L$34,'Actual-CO2 Calculations'!$AK98,FALSE)</f>
        <v>2.8399075029761902</v>
      </c>
      <c r="E249" s="7">
        <f>VLOOKUP(E$2,Report!$A$18:$L$34,'Actual-CO2 Calculations'!$AK98,FALSE)</f>
        <v>2.1518023809523799</v>
      </c>
      <c r="F249" s="7">
        <f>VLOOKUP(F$2,Report!$A$18:$L$34,'Actual-CO2 Calculations'!$AK98,FALSE)</f>
        <v>2.027577777777778E-3</v>
      </c>
      <c r="G249" s="7">
        <f>VLOOKUP(G$2,Report!$A$18:$L$34,'Actual-CO2 Calculations'!$AK98,FALSE)</f>
        <v>2.4709550796666599</v>
      </c>
      <c r="H249" s="7">
        <f>VLOOKUP(H$2,Report!$A$18:$L$34,'Actual-CO2 Calculations'!$AK98,FALSE)</f>
        <v>4.9666666666666696E-3</v>
      </c>
      <c r="I249" s="7">
        <f>(I$3*VLOOKUP(I$2,Report!$A$18:$L$34,'Actual-CO2 Calculations'!$AK98,FALSE))+((1-I$3)*C249)</f>
        <v>2.66239332521429</v>
      </c>
      <c r="J249" s="7">
        <f>VLOOKUP(J$2,Report!$A$18:$L$34,'Actual-CO2 Calculations'!$AK98,FALSE)</f>
        <v>7.43333333333333E-3</v>
      </c>
      <c r="K249" s="7" t="e">
        <f>VLOOKUP(K$2,Report!$A$18:$L$34,'Actual-CO2 Calculations'!$AK98,FALSE)</f>
        <v>#N/A</v>
      </c>
      <c r="L249" s="10" t="e">
        <f>VLOOKUP(L$2,Report!$A$18:$L$34,'Actual-CO2 Calculations'!$AK98,FALSE)</f>
        <v>#N/A</v>
      </c>
    </row>
    <row r="250" spans="1:12">
      <c r="A250" s="743" t="s">
        <v>977</v>
      </c>
      <c r="B250" s="7">
        <f>VLOOKUP(B$2,Report!$A$18:$L$34,'Actual-CO2 Calculations'!$AK99,FALSE)</f>
        <v>2.6194166666666598</v>
      </c>
      <c r="C250" s="7">
        <f>VLOOKUP(C$2,Report!$A$18:$L$34,'Actual-CO2 Calculations'!$AK99,FALSE)</f>
        <v>2.66239332521429</v>
      </c>
      <c r="D250" s="7">
        <f>VLOOKUP(D$2,Report!$A$18:$L$34,'Actual-CO2 Calculations'!$AK99,FALSE)</f>
        <v>2.8399075029761902</v>
      </c>
      <c r="E250" s="7">
        <f>VLOOKUP(E$2,Report!$A$18:$L$34,'Actual-CO2 Calculations'!$AK99,FALSE)</f>
        <v>2.1518023809523799</v>
      </c>
      <c r="F250" s="7">
        <f>VLOOKUP(F$2,Report!$A$18:$L$34,'Actual-CO2 Calculations'!$AK99,FALSE)</f>
        <v>2.027577777777778E-3</v>
      </c>
      <c r="G250" s="7">
        <f>VLOOKUP(G$2,Report!$A$18:$L$34,'Actual-CO2 Calculations'!$AK99,FALSE)</f>
        <v>2.4709550796666599</v>
      </c>
      <c r="H250" s="7">
        <f>VLOOKUP(H$2,Report!$A$18:$L$34,'Actual-CO2 Calculations'!$AK99,FALSE)</f>
        <v>4.9666666666666696E-3</v>
      </c>
      <c r="I250" s="7">
        <f>(I$3*VLOOKUP(I$2,Report!$A$18:$L$34,'Actual-CO2 Calculations'!$AK99,FALSE))+((1-I$3)*C250)</f>
        <v>2.66239332521429</v>
      </c>
      <c r="J250" s="7">
        <f>VLOOKUP(J$2,Report!$A$18:$L$34,'Actual-CO2 Calculations'!$AK99,FALSE)</f>
        <v>7.43333333333333E-3</v>
      </c>
      <c r="K250" s="7" t="e">
        <f>VLOOKUP(K$2,Report!$A$18:$L$34,'Actual-CO2 Calculations'!$AK99,FALSE)</f>
        <v>#N/A</v>
      </c>
      <c r="L250" s="10" t="e">
        <f>VLOOKUP(L$2,Report!$A$18:$L$34,'Actual-CO2 Calculations'!$AK99,FALSE)</f>
        <v>#N/A</v>
      </c>
    </row>
    <row r="251" spans="1:12">
      <c r="A251" s="743" t="s">
        <v>978</v>
      </c>
      <c r="B251" s="7">
        <f>VLOOKUP(B$2,Report!$A$18:$L$34,'Actual-CO2 Calculations'!$AK100,FALSE)</f>
        <v>2.6194166666666598</v>
      </c>
      <c r="C251" s="7">
        <f>VLOOKUP(C$2,Report!$A$18:$L$34,'Actual-CO2 Calculations'!$AK100,FALSE)</f>
        <v>2.66239332521429</v>
      </c>
      <c r="D251" s="7">
        <f>VLOOKUP(D$2,Report!$A$18:$L$34,'Actual-CO2 Calculations'!$AK100,FALSE)</f>
        <v>2.8399075029761902</v>
      </c>
      <c r="E251" s="7">
        <f>VLOOKUP(E$2,Report!$A$18:$L$34,'Actual-CO2 Calculations'!$AK100,FALSE)</f>
        <v>2.1518023809523799</v>
      </c>
      <c r="F251" s="7">
        <f>VLOOKUP(F$2,Report!$A$18:$L$34,'Actual-CO2 Calculations'!$AK100,FALSE)</f>
        <v>2.027577777777778E-3</v>
      </c>
      <c r="G251" s="7">
        <f>VLOOKUP(G$2,Report!$A$18:$L$34,'Actual-CO2 Calculations'!$AK100,FALSE)</f>
        <v>2.4709550796666599</v>
      </c>
      <c r="H251" s="7">
        <f>VLOOKUP(H$2,Report!$A$18:$L$34,'Actual-CO2 Calculations'!$AK100,FALSE)</f>
        <v>4.9666666666666696E-3</v>
      </c>
      <c r="I251" s="7">
        <f>(I$3*VLOOKUP(I$2,Report!$A$18:$L$34,'Actual-CO2 Calculations'!$AK100,FALSE))+((1-I$3)*C251)</f>
        <v>2.66239332521429</v>
      </c>
      <c r="J251" s="7">
        <f>VLOOKUP(J$2,Report!$A$18:$L$34,'Actual-CO2 Calculations'!$AK100,FALSE)</f>
        <v>7.43333333333333E-3</v>
      </c>
      <c r="K251" s="7" t="e">
        <f>VLOOKUP(K$2,Report!$A$18:$L$34,'Actual-CO2 Calculations'!$AK100,FALSE)</f>
        <v>#N/A</v>
      </c>
      <c r="L251" s="10" t="e">
        <f>VLOOKUP(L$2,Report!$A$18:$L$34,'Actual-CO2 Calculations'!$AK100,FALSE)</f>
        <v>#N/A</v>
      </c>
    </row>
    <row r="252" spans="1:12">
      <c r="A252" s="743" t="s">
        <v>979</v>
      </c>
      <c r="B252" s="7">
        <f>VLOOKUP(B$2,Report!$A$18:$L$34,'Actual-CO2 Calculations'!$AK101,FALSE)</f>
        <v>2.6194166666666598</v>
      </c>
      <c r="C252" s="7">
        <f>VLOOKUP(C$2,Report!$A$18:$L$34,'Actual-CO2 Calculations'!$AK101,FALSE)</f>
        <v>2.66239332521429</v>
      </c>
      <c r="D252" s="7">
        <f>VLOOKUP(D$2,Report!$A$18:$L$34,'Actual-CO2 Calculations'!$AK101,FALSE)</f>
        <v>2.8399075029761902</v>
      </c>
      <c r="E252" s="7">
        <f>VLOOKUP(E$2,Report!$A$18:$L$34,'Actual-CO2 Calculations'!$AK101,FALSE)</f>
        <v>2.1518023809523799</v>
      </c>
      <c r="F252" s="7">
        <f>VLOOKUP(F$2,Report!$A$18:$L$34,'Actual-CO2 Calculations'!$AK101,FALSE)</f>
        <v>2.027577777777778E-3</v>
      </c>
      <c r="G252" s="7">
        <f>VLOOKUP(G$2,Report!$A$18:$L$34,'Actual-CO2 Calculations'!$AK101,FALSE)</f>
        <v>2.4709550796666599</v>
      </c>
      <c r="H252" s="7">
        <f>VLOOKUP(H$2,Report!$A$18:$L$34,'Actual-CO2 Calculations'!$AK101,FALSE)</f>
        <v>4.9666666666666696E-3</v>
      </c>
      <c r="I252" s="7">
        <f>(I$3*VLOOKUP(I$2,Report!$A$18:$L$34,'Actual-CO2 Calculations'!$AK101,FALSE))+((1-I$3)*C252)</f>
        <v>2.66239332521429</v>
      </c>
      <c r="J252" s="7">
        <f>VLOOKUP(J$2,Report!$A$18:$L$34,'Actual-CO2 Calculations'!$AK101,FALSE)</f>
        <v>7.43333333333333E-3</v>
      </c>
      <c r="K252" s="7" t="e">
        <f>VLOOKUP(K$2,Report!$A$18:$L$34,'Actual-CO2 Calculations'!$AK101,FALSE)</f>
        <v>#N/A</v>
      </c>
      <c r="L252" s="10" t="e">
        <f>VLOOKUP(L$2,Report!$A$18:$L$34,'Actual-CO2 Calculations'!$AK101,FALSE)</f>
        <v>#N/A</v>
      </c>
    </row>
    <row r="253" spans="1:12">
      <c r="A253" s="743" t="s">
        <v>980</v>
      </c>
      <c r="B253" s="7">
        <f>VLOOKUP(B$2,Report!$A$18:$L$34,'Actual-CO2 Calculations'!$AK102,FALSE)</f>
        <v>2.6194166666666598</v>
      </c>
      <c r="C253" s="7">
        <f>VLOOKUP(C$2,Report!$A$18:$L$34,'Actual-CO2 Calculations'!$AK102,FALSE)</f>
        <v>2.66239332521429</v>
      </c>
      <c r="D253" s="7">
        <f>VLOOKUP(D$2,Report!$A$18:$L$34,'Actual-CO2 Calculations'!$AK102,FALSE)</f>
        <v>2.8399075029761902</v>
      </c>
      <c r="E253" s="7">
        <f>VLOOKUP(E$2,Report!$A$18:$L$34,'Actual-CO2 Calculations'!$AK102,FALSE)</f>
        <v>2.1518023809523799</v>
      </c>
      <c r="F253" s="7">
        <f>VLOOKUP(F$2,Report!$A$18:$L$34,'Actual-CO2 Calculations'!$AK102,FALSE)</f>
        <v>2.027577777777778E-3</v>
      </c>
      <c r="G253" s="7">
        <f>VLOOKUP(G$2,Report!$A$18:$L$34,'Actual-CO2 Calculations'!$AK102,FALSE)</f>
        <v>2.4709550796666599</v>
      </c>
      <c r="H253" s="7">
        <f>VLOOKUP(H$2,Report!$A$18:$L$34,'Actual-CO2 Calculations'!$AK102,FALSE)</f>
        <v>4.9666666666666696E-3</v>
      </c>
      <c r="I253" s="7">
        <f>(I$3*VLOOKUP(I$2,Report!$A$18:$L$34,'Actual-CO2 Calculations'!$AK102,FALSE))+((1-I$3)*C253)</f>
        <v>2.66239332521429</v>
      </c>
      <c r="J253" s="7">
        <f>VLOOKUP(J$2,Report!$A$18:$L$34,'Actual-CO2 Calculations'!$AK102,FALSE)</f>
        <v>7.43333333333333E-3</v>
      </c>
      <c r="K253" s="7" t="e">
        <f>VLOOKUP(K$2,Report!$A$18:$L$34,'Actual-CO2 Calculations'!$AK102,FALSE)</f>
        <v>#N/A</v>
      </c>
      <c r="L253" s="10" t="e">
        <f>VLOOKUP(L$2,Report!$A$18:$L$34,'Actual-CO2 Calculations'!$AK102,FALSE)</f>
        <v>#N/A</v>
      </c>
    </row>
    <row r="254" spans="1:12">
      <c r="A254" s="743" t="s">
        <v>981</v>
      </c>
      <c r="B254" s="7">
        <f>VLOOKUP(B$2,Report!$A$18:$L$34,'Actual-CO2 Calculations'!$AK103,FALSE)</f>
        <v>2.6194166666666598</v>
      </c>
      <c r="C254" s="7">
        <f>VLOOKUP(C$2,Report!$A$18:$L$34,'Actual-CO2 Calculations'!$AK103,FALSE)</f>
        <v>2.66239332521429</v>
      </c>
      <c r="D254" s="7">
        <f>VLOOKUP(D$2,Report!$A$18:$L$34,'Actual-CO2 Calculations'!$AK103,FALSE)</f>
        <v>2.8399075029761902</v>
      </c>
      <c r="E254" s="7">
        <f>VLOOKUP(E$2,Report!$A$18:$L$34,'Actual-CO2 Calculations'!$AK103,FALSE)</f>
        <v>2.1518023809523799</v>
      </c>
      <c r="F254" s="7">
        <f>VLOOKUP(F$2,Report!$A$18:$L$34,'Actual-CO2 Calculations'!$AK103,FALSE)</f>
        <v>2.027577777777778E-3</v>
      </c>
      <c r="G254" s="7">
        <f>VLOOKUP(G$2,Report!$A$18:$L$34,'Actual-CO2 Calculations'!$AK103,FALSE)</f>
        <v>2.4709550796666599</v>
      </c>
      <c r="H254" s="7">
        <f>VLOOKUP(H$2,Report!$A$18:$L$34,'Actual-CO2 Calculations'!$AK103,FALSE)</f>
        <v>4.9666666666666696E-3</v>
      </c>
      <c r="I254" s="7">
        <f>(I$3*VLOOKUP(I$2,Report!$A$18:$L$34,'Actual-CO2 Calculations'!$AK103,FALSE))+((1-I$3)*C254)</f>
        <v>2.66239332521429</v>
      </c>
      <c r="J254" s="7">
        <f>VLOOKUP(J$2,Report!$A$18:$L$34,'Actual-CO2 Calculations'!$AK103,FALSE)</f>
        <v>7.43333333333333E-3</v>
      </c>
      <c r="K254" s="7" t="e">
        <f>VLOOKUP(K$2,Report!$A$18:$L$34,'Actual-CO2 Calculations'!$AK103,FALSE)</f>
        <v>#N/A</v>
      </c>
      <c r="L254" s="10" t="e">
        <f>VLOOKUP(L$2,Report!$A$18:$L$34,'Actual-CO2 Calculations'!$AK103,FALSE)</f>
        <v>#N/A</v>
      </c>
    </row>
    <row r="255" spans="1:12">
      <c r="A255" s="743" t="s">
        <v>982</v>
      </c>
      <c r="B255" s="7">
        <f>VLOOKUP(B$2,Report!$A$18:$L$34,'Actual-CO2 Calculations'!$AK104,FALSE)</f>
        <v>2.6194166666666598</v>
      </c>
      <c r="C255" s="7">
        <f>VLOOKUP(C$2,Report!$A$18:$L$34,'Actual-CO2 Calculations'!$AK104,FALSE)</f>
        <v>2.66239332521429</v>
      </c>
      <c r="D255" s="7">
        <f>VLOOKUP(D$2,Report!$A$18:$L$34,'Actual-CO2 Calculations'!$AK104,FALSE)</f>
        <v>2.8399075029761902</v>
      </c>
      <c r="E255" s="7">
        <f>VLOOKUP(E$2,Report!$A$18:$L$34,'Actual-CO2 Calculations'!$AK104,FALSE)</f>
        <v>2.1518023809523799</v>
      </c>
      <c r="F255" s="7">
        <f>VLOOKUP(F$2,Report!$A$18:$L$34,'Actual-CO2 Calculations'!$AK104,FALSE)</f>
        <v>2.027577777777778E-3</v>
      </c>
      <c r="G255" s="7">
        <f>VLOOKUP(G$2,Report!$A$18:$L$34,'Actual-CO2 Calculations'!$AK104,FALSE)</f>
        <v>2.4709550796666599</v>
      </c>
      <c r="H255" s="7">
        <f>VLOOKUP(H$2,Report!$A$18:$L$34,'Actual-CO2 Calculations'!$AK104,FALSE)</f>
        <v>4.9666666666666696E-3</v>
      </c>
      <c r="I255" s="7">
        <f>(I$3*VLOOKUP(I$2,Report!$A$18:$L$34,'Actual-CO2 Calculations'!$AK104,FALSE))+((1-I$3)*C255)</f>
        <v>2.66239332521429</v>
      </c>
      <c r="J255" s="7">
        <f>VLOOKUP(J$2,Report!$A$18:$L$34,'Actual-CO2 Calculations'!$AK104,FALSE)</f>
        <v>7.43333333333333E-3</v>
      </c>
      <c r="K255" s="7" t="e">
        <f>VLOOKUP(K$2,Report!$A$18:$L$34,'Actual-CO2 Calculations'!$AK104,FALSE)</f>
        <v>#N/A</v>
      </c>
      <c r="L255" s="10" t="e">
        <f>VLOOKUP(L$2,Report!$A$18:$L$34,'Actual-CO2 Calculations'!$AK104,FALSE)</f>
        <v>#N/A</v>
      </c>
    </row>
    <row r="256" spans="1:12">
      <c r="A256" s="743" t="s">
        <v>983</v>
      </c>
      <c r="B256" s="7">
        <f>VLOOKUP(B$2,Report!$A$18:$L$34,'Actual-CO2 Calculations'!$AK105,FALSE)</f>
        <v>2.6194166666666598</v>
      </c>
      <c r="C256" s="7">
        <f>VLOOKUP(C$2,Report!$A$18:$L$34,'Actual-CO2 Calculations'!$AK105,FALSE)</f>
        <v>2.66239332521429</v>
      </c>
      <c r="D256" s="7">
        <f>VLOOKUP(D$2,Report!$A$18:$L$34,'Actual-CO2 Calculations'!$AK105,FALSE)</f>
        <v>2.8399075029761902</v>
      </c>
      <c r="E256" s="7">
        <f>VLOOKUP(E$2,Report!$A$18:$L$34,'Actual-CO2 Calculations'!$AK105,FALSE)</f>
        <v>2.1518023809523799</v>
      </c>
      <c r="F256" s="7">
        <f>VLOOKUP(F$2,Report!$A$18:$L$34,'Actual-CO2 Calculations'!$AK105,FALSE)</f>
        <v>2.027577777777778E-3</v>
      </c>
      <c r="G256" s="7">
        <f>VLOOKUP(G$2,Report!$A$18:$L$34,'Actual-CO2 Calculations'!$AK105,FALSE)</f>
        <v>2.4709550796666599</v>
      </c>
      <c r="H256" s="7">
        <f>VLOOKUP(H$2,Report!$A$18:$L$34,'Actual-CO2 Calculations'!$AK105,FALSE)</f>
        <v>4.9666666666666696E-3</v>
      </c>
      <c r="I256" s="7">
        <f>(I$3*VLOOKUP(I$2,Report!$A$18:$L$34,'Actual-CO2 Calculations'!$AK105,FALSE))+((1-I$3)*C256)</f>
        <v>2.66239332521429</v>
      </c>
      <c r="J256" s="7">
        <f>VLOOKUP(J$2,Report!$A$18:$L$34,'Actual-CO2 Calculations'!$AK105,FALSE)</f>
        <v>7.43333333333333E-3</v>
      </c>
      <c r="K256" s="7" t="e">
        <f>VLOOKUP(K$2,Report!$A$18:$L$34,'Actual-CO2 Calculations'!$AK105,FALSE)</f>
        <v>#N/A</v>
      </c>
      <c r="L256" s="10" t="e">
        <f>VLOOKUP(L$2,Report!$A$18:$L$34,'Actual-CO2 Calculations'!$AK105,FALSE)</f>
        <v>#N/A</v>
      </c>
    </row>
    <row r="257" spans="1:12">
      <c r="A257" s="743" t="s">
        <v>984</v>
      </c>
      <c r="B257" s="7">
        <f>VLOOKUP(B$2,Report!$A$18:$L$34,'Actual-CO2 Calculations'!$AK106,FALSE)</f>
        <v>2.6194166666666598</v>
      </c>
      <c r="C257" s="7">
        <f>VLOOKUP(C$2,Report!$A$18:$L$34,'Actual-CO2 Calculations'!$AK106,FALSE)</f>
        <v>2.66239332521429</v>
      </c>
      <c r="D257" s="7">
        <f>VLOOKUP(D$2,Report!$A$18:$L$34,'Actual-CO2 Calculations'!$AK106,FALSE)</f>
        <v>2.8399075029761902</v>
      </c>
      <c r="E257" s="7">
        <f>VLOOKUP(E$2,Report!$A$18:$L$34,'Actual-CO2 Calculations'!$AK106,FALSE)</f>
        <v>2.1518023809523799</v>
      </c>
      <c r="F257" s="7">
        <f>VLOOKUP(F$2,Report!$A$18:$L$34,'Actual-CO2 Calculations'!$AK106,FALSE)</f>
        <v>2.027577777777778E-3</v>
      </c>
      <c r="G257" s="7">
        <f>VLOOKUP(G$2,Report!$A$18:$L$34,'Actual-CO2 Calculations'!$AK106,FALSE)</f>
        <v>2.4709550796666599</v>
      </c>
      <c r="H257" s="7">
        <f>VLOOKUP(H$2,Report!$A$18:$L$34,'Actual-CO2 Calculations'!$AK106,FALSE)</f>
        <v>4.9666666666666696E-3</v>
      </c>
      <c r="I257" s="7">
        <f>(I$3*VLOOKUP(I$2,Report!$A$18:$L$34,'Actual-CO2 Calculations'!$AK106,FALSE))+((1-I$3)*C257)</f>
        <v>2.66239332521429</v>
      </c>
      <c r="J257" s="7">
        <f>VLOOKUP(J$2,Report!$A$18:$L$34,'Actual-CO2 Calculations'!$AK106,FALSE)</f>
        <v>7.43333333333333E-3</v>
      </c>
      <c r="K257" s="7" t="e">
        <f>VLOOKUP(K$2,Report!$A$18:$L$34,'Actual-CO2 Calculations'!$AK106,FALSE)</f>
        <v>#N/A</v>
      </c>
      <c r="L257" s="10" t="e">
        <f>VLOOKUP(L$2,Report!$A$18:$L$34,'Actual-CO2 Calculations'!$AK106,FALSE)</f>
        <v>#N/A</v>
      </c>
    </row>
    <row r="258" spans="1:12">
      <c r="A258" s="743" t="s">
        <v>985</v>
      </c>
      <c r="B258" s="7">
        <f>VLOOKUP(B$2,Report!$A$18:$L$34,'Actual-CO2 Calculations'!$AK107,FALSE)</f>
        <v>2.6194166666666598</v>
      </c>
      <c r="C258" s="7">
        <f>VLOOKUP(C$2,Report!$A$18:$L$34,'Actual-CO2 Calculations'!$AK107,FALSE)</f>
        <v>2.66239332521429</v>
      </c>
      <c r="D258" s="7">
        <f>VLOOKUP(D$2,Report!$A$18:$L$34,'Actual-CO2 Calculations'!$AK107,FALSE)</f>
        <v>2.8399075029761902</v>
      </c>
      <c r="E258" s="7">
        <f>VLOOKUP(E$2,Report!$A$18:$L$34,'Actual-CO2 Calculations'!$AK107,FALSE)</f>
        <v>2.1518023809523799</v>
      </c>
      <c r="F258" s="7">
        <f>VLOOKUP(F$2,Report!$A$18:$L$34,'Actual-CO2 Calculations'!$AK107,FALSE)</f>
        <v>2.027577777777778E-3</v>
      </c>
      <c r="G258" s="7">
        <f>VLOOKUP(G$2,Report!$A$18:$L$34,'Actual-CO2 Calculations'!$AK107,FALSE)</f>
        <v>2.4709550796666599</v>
      </c>
      <c r="H258" s="7">
        <f>VLOOKUP(H$2,Report!$A$18:$L$34,'Actual-CO2 Calculations'!$AK107,FALSE)</f>
        <v>4.9666666666666696E-3</v>
      </c>
      <c r="I258" s="7">
        <f>(I$3*VLOOKUP(I$2,Report!$A$18:$L$34,'Actual-CO2 Calculations'!$AK107,FALSE))+((1-I$3)*C258)</f>
        <v>2.66239332521429</v>
      </c>
      <c r="J258" s="7">
        <f>VLOOKUP(J$2,Report!$A$18:$L$34,'Actual-CO2 Calculations'!$AK107,FALSE)</f>
        <v>7.43333333333333E-3</v>
      </c>
      <c r="K258" s="7" t="e">
        <f>VLOOKUP(K$2,Report!$A$18:$L$34,'Actual-CO2 Calculations'!$AK107,FALSE)</f>
        <v>#N/A</v>
      </c>
      <c r="L258" s="10" t="e">
        <f>VLOOKUP(L$2,Report!$A$18:$L$34,'Actual-CO2 Calculations'!$AK107,FALSE)</f>
        <v>#N/A</v>
      </c>
    </row>
    <row r="259" spans="1:12">
      <c r="A259" s="743" t="s">
        <v>986</v>
      </c>
      <c r="B259" s="7">
        <f>VLOOKUP(B$2,Report!$A$18:$L$34,'Actual-CO2 Calculations'!$AK108,FALSE)</f>
        <v>2.6194166666666598</v>
      </c>
      <c r="C259" s="7">
        <f>VLOOKUP(C$2,Report!$A$18:$L$34,'Actual-CO2 Calculations'!$AK108,FALSE)</f>
        <v>2.66239332521429</v>
      </c>
      <c r="D259" s="7">
        <f>VLOOKUP(D$2,Report!$A$18:$L$34,'Actual-CO2 Calculations'!$AK108,FALSE)</f>
        <v>2.8399075029761902</v>
      </c>
      <c r="E259" s="7">
        <f>VLOOKUP(E$2,Report!$A$18:$L$34,'Actual-CO2 Calculations'!$AK108,FALSE)</f>
        <v>2.1518023809523799</v>
      </c>
      <c r="F259" s="7">
        <f>VLOOKUP(F$2,Report!$A$18:$L$34,'Actual-CO2 Calculations'!$AK108,FALSE)</f>
        <v>2.027577777777778E-3</v>
      </c>
      <c r="G259" s="7">
        <f>VLOOKUP(G$2,Report!$A$18:$L$34,'Actual-CO2 Calculations'!$AK108,FALSE)</f>
        <v>2.4709550796666599</v>
      </c>
      <c r="H259" s="7">
        <f>VLOOKUP(H$2,Report!$A$18:$L$34,'Actual-CO2 Calculations'!$AK108,FALSE)</f>
        <v>4.9666666666666696E-3</v>
      </c>
      <c r="I259" s="7">
        <f>(I$3*VLOOKUP(I$2,Report!$A$18:$L$34,'Actual-CO2 Calculations'!$AK108,FALSE))+((1-I$3)*C259)</f>
        <v>2.66239332521429</v>
      </c>
      <c r="J259" s="7">
        <f>VLOOKUP(J$2,Report!$A$18:$L$34,'Actual-CO2 Calculations'!$AK108,FALSE)</f>
        <v>7.43333333333333E-3</v>
      </c>
      <c r="K259" s="7" t="e">
        <f>VLOOKUP(K$2,Report!$A$18:$L$34,'Actual-CO2 Calculations'!$AK108,FALSE)</f>
        <v>#N/A</v>
      </c>
      <c r="L259" s="10" t="e">
        <f>VLOOKUP(L$2,Report!$A$18:$L$34,'Actual-CO2 Calculations'!$AK108,FALSE)</f>
        <v>#N/A</v>
      </c>
    </row>
    <row r="260" spans="1:12">
      <c r="A260" s="743" t="s">
        <v>987</v>
      </c>
      <c r="B260" s="7">
        <f>VLOOKUP(B$2,Report!$A$18:$L$34,'Actual-CO2 Calculations'!$AK109,FALSE)</f>
        <v>2.6194166666666598</v>
      </c>
      <c r="C260" s="7">
        <f>VLOOKUP(C$2,Report!$A$18:$L$34,'Actual-CO2 Calculations'!$AK109,FALSE)</f>
        <v>2.66239332521429</v>
      </c>
      <c r="D260" s="7">
        <f>VLOOKUP(D$2,Report!$A$18:$L$34,'Actual-CO2 Calculations'!$AK109,FALSE)</f>
        <v>2.8399075029761902</v>
      </c>
      <c r="E260" s="7">
        <f>VLOOKUP(E$2,Report!$A$18:$L$34,'Actual-CO2 Calculations'!$AK109,FALSE)</f>
        <v>2.1518023809523799</v>
      </c>
      <c r="F260" s="7">
        <f>VLOOKUP(F$2,Report!$A$18:$L$34,'Actual-CO2 Calculations'!$AK109,FALSE)</f>
        <v>2.027577777777778E-3</v>
      </c>
      <c r="G260" s="7">
        <f>VLOOKUP(G$2,Report!$A$18:$L$34,'Actual-CO2 Calculations'!$AK109,FALSE)</f>
        <v>2.4709550796666599</v>
      </c>
      <c r="H260" s="7">
        <f>VLOOKUP(H$2,Report!$A$18:$L$34,'Actual-CO2 Calculations'!$AK109,FALSE)</f>
        <v>4.9666666666666696E-3</v>
      </c>
      <c r="I260" s="7">
        <f>(I$3*VLOOKUP(I$2,Report!$A$18:$L$34,'Actual-CO2 Calculations'!$AK109,FALSE))+((1-I$3)*C260)</f>
        <v>2.66239332521429</v>
      </c>
      <c r="J260" s="7">
        <f>VLOOKUP(J$2,Report!$A$18:$L$34,'Actual-CO2 Calculations'!$AK109,FALSE)</f>
        <v>7.43333333333333E-3</v>
      </c>
      <c r="K260" s="7" t="e">
        <f>VLOOKUP(K$2,Report!$A$18:$L$34,'Actual-CO2 Calculations'!$AK109,FALSE)</f>
        <v>#N/A</v>
      </c>
      <c r="L260" s="10" t="e">
        <f>VLOOKUP(L$2,Report!$A$18:$L$34,'Actual-CO2 Calculations'!$AK109,FALSE)</f>
        <v>#N/A</v>
      </c>
    </row>
    <row r="261" spans="1:12">
      <c r="A261" s="743" t="s">
        <v>988</v>
      </c>
      <c r="B261" s="7">
        <f>VLOOKUP(B$2,Report!$A$18:$L$34,'Actual-CO2 Calculations'!$AK110,FALSE)</f>
        <v>2.6194166666666598</v>
      </c>
      <c r="C261" s="7">
        <f>VLOOKUP(C$2,Report!$A$18:$L$34,'Actual-CO2 Calculations'!$AK110,FALSE)</f>
        <v>2.66239332521429</v>
      </c>
      <c r="D261" s="7">
        <f>VLOOKUP(D$2,Report!$A$18:$L$34,'Actual-CO2 Calculations'!$AK110,FALSE)</f>
        <v>2.8399075029761902</v>
      </c>
      <c r="E261" s="7">
        <f>VLOOKUP(E$2,Report!$A$18:$L$34,'Actual-CO2 Calculations'!$AK110,FALSE)</f>
        <v>2.1518023809523799</v>
      </c>
      <c r="F261" s="7">
        <f>VLOOKUP(F$2,Report!$A$18:$L$34,'Actual-CO2 Calculations'!$AK110,FALSE)</f>
        <v>2.027577777777778E-3</v>
      </c>
      <c r="G261" s="7">
        <f>VLOOKUP(G$2,Report!$A$18:$L$34,'Actual-CO2 Calculations'!$AK110,FALSE)</f>
        <v>2.4709550796666599</v>
      </c>
      <c r="H261" s="7">
        <f>VLOOKUP(H$2,Report!$A$18:$L$34,'Actual-CO2 Calculations'!$AK110,FALSE)</f>
        <v>4.9666666666666696E-3</v>
      </c>
      <c r="I261" s="7">
        <f>(I$3*VLOOKUP(I$2,Report!$A$18:$L$34,'Actual-CO2 Calculations'!$AK110,FALSE))+((1-I$3)*C261)</f>
        <v>2.66239332521429</v>
      </c>
      <c r="J261" s="7">
        <f>VLOOKUP(J$2,Report!$A$18:$L$34,'Actual-CO2 Calculations'!$AK110,FALSE)</f>
        <v>7.43333333333333E-3</v>
      </c>
      <c r="K261" s="7" t="e">
        <f>VLOOKUP(K$2,Report!$A$18:$L$34,'Actual-CO2 Calculations'!$AK110,FALSE)</f>
        <v>#N/A</v>
      </c>
      <c r="L261" s="10" t="e">
        <f>VLOOKUP(L$2,Report!$A$18:$L$34,'Actual-CO2 Calculations'!$AK110,FALSE)</f>
        <v>#N/A</v>
      </c>
    </row>
    <row r="262" spans="1:12">
      <c r="A262" s="743" t="s">
        <v>989</v>
      </c>
      <c r="B262" s="7">
        <f>VLOOKUP(B$2,Report!$A$18:$L$34,'Actual-CO2 Calculations'!$AK111,FALSE)</f>
        <v>2.6194166666666598</v>
      </c>
      <c r="C262" s="7">
        <f>VLOOKUP(C$2,Report!$A$18:$L$34,'Actual-CO2 Calculations'!$AK111,FALSE)</f>
        <v>2.66239332521429</v>
      </c>
      <c r="D262" s="7">
        <f>VLOOKUP(D$2,Report!$A$18:$L$34,'Actual-CO2 Calculations'!$AK111,FALSE)</f>
        <v>2.8399075029761902</v>
      </c>
      <c r="E262" s="7">
        <f>VLOOKUP(E$2,Report!$A$18:$L$34,'Actual-CO2 Calculations'!$AK111,FALSE)</f>
        <v>2.1518023809523799</v>
      </c>
      <c r="F262" s="7">
        <f>VLOOKUP(F$2,Report!$A$18:$L$34,'Actual-CO2 Calculations'!$AK111,FALSE)</f>
        <v>2.0306888888888893E-3</v>
      </c>
      <c r="G262" s="7">
        <f>VLOOKUP(G$2,Report!$A$18:$L$34,'Actual-CO2 Calculations'!$AK111,FALSE)</f>
        <v>3.4709550796666599</v>
      </c>
      <c r="H262" s="7">
        <f>VLOOKUP(H$2,Report!$A$18:$L$34,'Actual-CO2 Calculations'!$AK111,FALSE)</f>
        <v>4.8166666666666696E-3</v>
      </c>
      <c r="I262" s="7">
        <f>(I$3*VLOOKUP(I$2,Report!$A$18:$L$34,'Actual-CO2 Calculations'!$AK111,FALSE))+((1-I$3)*C262)</f>
        <v>2.66239332521429</v>
      </c>
      <c r="J262" s="7">
        <f>VLOOKUP(J$2,Report!$A$18:$L$34,'Actual-CO2 Calculations'!$AK111,FALSE)</f>
        <v>7.8833333333333307E-3</v>
      </c>
      <c r="K262" s="7" t="e">
        <f>VLOOKUP(K$2,Report!$A$18:$L$34,'Actual-CO2 Calculations'!$AK111,FALSE)</f>
        <v>#N/A</v>
      </c>
      <c r="L262" s="10" t="e">
        <f>VLOOKUP(L$2,Report!$A$18:$L$34,'Actual-CO2 Calculations'!$AK111,FALSE)</f>
        <v>#N/A</v>
      </c>
    </row>
    <row r="263" spans="1:12">
      <c r="A263" s="743" t="s">
        <v>990</v>
      </c>
      <c r="B263" s="7">
        <f>VLOOKUP(B$2,Report!$A$18:$L$34,'Actual-CO2 Calculations'!$AK112,FALSE)</f>
        <v>2.6194166666666598</v>
      </c>
      <c r="C263" s="7">
        <f>VLOOKUP(C$2,Report!$A$18:$L$34,'Actual-CO2 Calculations'!$AK112,FALSE)</f>
        <v>2.66239332521429</v>
      </c>
      <c r="D263" s="7">
        <f>VLOOKUP(D$2,Report!$A$18:$L$34,'Actual-CO2 Calculations'!$AK112,FALSE)</f>
        <v>2.8399075029761902</v>
      </c>
      <c r="E263" s="7">
        <f>VLOOKUP(E$2,Report!$A$18:$L$34,'Actual-CO2 Calculations'!$AK112,FALSE)</f>
        <v>2.1518023809523799</v>
      </c>
      <c r="F263" s="7">
        <f>VLOOKUP(F$2,Report!$A$18:$L$34,'Actual-CO2 Calculations'!$AK112,FALSE)</f>
        <v>2.0306888888888893E-3</v>
      </c>
      <c r="G263" s="7">
        <f>VLOOKUP(G$2,Report!$A$18:$L$34,'Actual-CO2 Calculations'!$AK112,FALSE)</f>
        <v>3.4709550796666599</v>
      </c>
      <c r="H263" s="7">
        <f>VLOOKUP(H$2,Report!$A$18:$L$34,'Actual-CO2 Calculations'!$AK112,FALSE)</f>
        <v>4.8166666666666696E-3</v>
      </c>
      <c r="I263" s="7">
        <f>(I$3*VLOOKUP(I$2,Report!$A$18:$L$34,'Actual-CO2 Calculations'!$AK112,FALSE))+((1-I$3)*C263)</f>
        <v>2.66239332521429</v>
      </c>
      <c r="J263" s="7">
        <f>VLOOKUP(J$2,Report!$A$18:$L$34,'Actual-CO2 Calculations'!$AK112,FALSE)</f>
        <v>7.8833333333333307E-3</v>
      </c>
      <c r="K263" s="7" t="e">
        <f>VLOOKUP(K$2,Report!$A$18:$L$34,'Actual-CO2 Calculations'!$AK112,FALSE)</f>
        <v>#N/A</v>
      </c>
      <c r="L263" s="10" t="e">
        <f>VLOOKUP(L$2,Report!$A$18:$L$34,'Actual-CO2 Calculations'!$AK112,FALSE)</f>
        <v>#N/A</v>
      </c>
    </row>
    <row r="264" spans="1:12">
      <c r="A264" s="743" t="s">
        <v>991</v>
      </c>
      <c r="B264" s="7">
        <f>VLOOKUP(B$2,Report!$A$18:$L$34,'Actual-CO2 Calculations'!$AK113,FALSE)</f>
        <v>2.6194166666666598</v>
      </c>
      <c r="C264" s="7">
        <f>VLOOKUP(C$2,Report!$A$18:$L$34,'Actual-CO2 Calculations'!$AK113,FALSE)</f>
        <v>2.66239332521429</v>
      </c>
      <c r="D264" s="7">
        <f>VLOOKUP(D$2,Report!$A$18:$L$34,'Actual-CO2 Calculations'!$AK113,FALSE)</f>
        <v>2.8399075029761902</v>
      </c>
      <c r="E264" s="7">
        <f>VLOOKUP(E$2,Report!$A$18:$L$34,'Actual-CO2 Calculations'!$AK113,FALSE)</f>
        <v>2.1518023809523799</v>
      </c>
      <c r="F264" s="7">
        <f>VLOOKUP(F$2,Report!$A$18:$L$34,'Actual-CO2 Calculations'!$AK113,FALSE)</f>
        <v>2.0306888888888893E-3</v>
      </c>
      <c r="G264" s="7">
        <f>VLOOKUP(G$2,Report!$A$18:$L$34,'Actual-CO2 Calculations'!$AK113,FALSE)</f>
        <v>3.4709550796666599</v>
      </c>
      <c r="H264" s="7">
        <f>VLOOKUP(H$2,Report!$A$18:$L$34,'Actual-CO2 Calculations'!$AK113,FALSE)</f>
        <v>4.8166666666666696E-3</v>
      </c>
      <c r="I264" s="7">
        <f>(I$3*VLOOKUP(I$2,Report!$A$18:$L$34,'Actual-CO2 Calculations'!$AK113,FALSE))+((1-I$3)*C264)</f>
        <v>2.66239332521429</v>
      </c>
      <c r="J264" s="7">
        <f>VLOOKUP(J$2,Report!$A$18:$L$34,'Actual-CO2 Calculations'!$AK113,FALSE)</f>
        <v>7.8833333333333307E-3</v>
      </c>
      <c r="K264" s="7" t="e">
        <f>VLOOKUP(K$2,Report!$A$18:$L$34,'Actual-CO2 Calculations'!$AK113,FALSE)</f>
        <v>#N/A</v>
      </c>
      <c r="L264" s="10" t="e">
        <f>VLOOKUP(L$2,Report!$A$18:$L$34,'Actual-CO2 Calculations'!$AK113,FALSE)</f>
        <v>#N/A</v>
      </c>
    </row>
    <row r="265" spans="1:12">
      <c r="A265" s="743" t="s">
        <v>992</v>
      </c>
      <c r="B265" s="7">
        <f>VLOOKUP(B$2,Report!$A$18:$L$34,'Actual-CO2 Calculations'!$AK114,FALSE)</f>
        <v>2.6194166666666598</v>
      </c>
      <c r="C265" s="7">
        <f>VLOOKUP(C$2,Report!$A$18:$L$34,'Actual-CO2 Calculations'!$AK114,FALSE)</f>
        <v>2.66239332521429</v>
      </c>
      <c r="D265" s="7">
        <f>VLOOKUP(D$2,Report!$A$18:$L$34,'Actual-CO2 Calculations'!$AK114,FALSE)</f>
        <v>2.8399075029761902</v>
      </c>
      <c r="E265" s="7">
        <f>VLOOKUP(E$2,Report!$A$18:$L$34,'Actual-CO2 Calculations'!$AK114,FALSE)</f>
        <v>2.1518023809523799</v>
      </c>
      <c r="F265" s="7">
        <f>VLOOKUP(F$2,Report!$A$18:$L$34,'Actual-CO2 Calculations'!$AK114,FALSE)</f>
        <v>2.0306888888888893E-3</v>
      </c>
      <c r="G265" s="7">
        <f>VLOOKUP(G$2,Report!$A$18:$L$34,'Actual-CO2 Calculations'!$AK114,FALSE)</f>
        <v>3.4709550796666599</v>
      </c>
      <c r="H265" s="7">
        <f>VLOOKUP(H$2,Report!$A$18:$L$34,'Actual-CO2 Calculations'!$AK114,FALSE)</f>
        <v>4.8166666666666696E-3</v>
      </c>
      <c r="I265" s="7">
        <f>(I$3*VLOOKUP(I$2,Report!$A$18:$L$34,'Actual-CO2 Calculations'!$AK114,FALSE))+((1-I$3)*C265)</f>
        <v>2.66239332521429</v>
      </c>
      <c r="J265" s="7">
        <f>VLOOKUP(J$2,Report!$A$18:$L$34,'Actual-CO2 Calculations'!$AK114,FALSE)</f>
        <v>7.8833333333333307E-3</v>
      </c>
      <c r="K265" s="7" t="e">
        <f>VLOOKUP(K$2,Report!$A$18:$L$34,'Actual-CO2 Calculations'!$AK114,FALSE)</f>
        <v>#N/A</v>
      </c>
      <c r="L265" s="10" t="e">
        <f>VLOOKUP(L$2,Report!$A$18:$L$34,'Actual-CO2 Calculations'!$AK114,FALSE)</f>
        <v>#N/A</v>
      </c>
    </row>
    <row r="266" spans="1:12">
      <c r="A266" s="743" t="s">
        <v>993</v>
      </c>
      <c r="B266" s="7">
        <f>VLOOKUP(B$2,Report!$A$18:$L$34,'Actual-CO2 Calculations'!$AK115,FALSE)</f>
        <v>2.6194166666666598</v>
      </c>
      <c r="C266" s="7">
        <f>VLOOKUP(C$2,Report!$A$18:$L$34,'Actual-CO2 Calculations'!$AK115,FALSE)</f>
        <v>2.66239332521429</v>
      </c>
      <c r="D266" s="7">
        <f>VLOOKUP(D$2,Report!$A$18:$L$34,'Actual-CO2 Calculations'!$AK115,FALSE)</f>
        <v>2.8399075029761902</v>
      </c>
      <c r="E266" s="7">
        <f>VLOOKUP(E$2,Report!$A$18:$L$34,'Actual-CO2 Calculations'!$AK115,FALSE)</f>
        <v>2.1518023809523799</v>
      </c>
      <c r="F266" s="7">
        <f>VLOOKUP(F$2,Report!$A$18:$L$34,'Actual-CO2 Calculations'!$AK115,FALSE)</f>
        <v>2.0306888888888893E-3</v>
      </c>
      <c r="G266" s="7">
        <f>VLOOKUP(G$2,Report!$A$18:$L$34,'Actual-CO2 Calculations'!$AK115,FALSE)</f>
        <v>3.4709550796666599</v>
      </c>
      <c r="H266" s="7">
        <f>VLOOKUP(H$2,Report!$A$18:$L$34,'Actual-CO2 Calculations'!$AK115,FALSE)</f>
        <v>4.8166666666666696E-3</v>
      </c>
      <c r="I266" s="7">
        <f>(I$3*VLOOKUP(I$2,Report!$A$18:$L$34,'Actual-CO2 Calculations'!$AK115,FALSE))+((1-I$3)*C266)</f>
        <v>2.66239332521429</v>
      </c>
      <c r="J266" s="7">
        <f>VLOOKUP(J$2,Report!$A$18:$L$34,'Actual-CO2 Calculations'!$AK115,FALSE)</f>
        <v>7.8833333333333307E-3</v>
      </c>
      <c r="K266" s="7" t="e">
        <f>VLOOKUP(K$2,Report!$A$18:$L$34,'Actual-CO2 Calculations'!$AK115,FALSE)</f>
        <v>#N/A</v>
      </c>
      <c r="L266" s="10" t="e">
        <f>VLOOKUP(L$2,Report!$A$18:$L$34,'Actual-CO2 Calculations'!$AK115,FALSE)</f>
        <v>#N/A</v>
      </c>
    </row>
    <row r="267" spans="1:12">
      <c r="A267" s="743" t="s">
        <v>994</v>
      </c>
      <c r="B267" s="7">
        <f>VLOOKUP(B$2,Report!$A$18:$L$34,'Actual-CO2 Calculations'!$AK116,FALSE)</f>
        <v>2.6194166666666598</v>
      </c>
      <c r="C267" s="7">
        <f>VLOOKUP(C$2,Report!$A$18:$L$34,'Actual-CO2 Calculations'!$AK116,FALSE)</f>
        <v>2.66239332521429</v>
      </c>
      <c r="D267" s="7">
        <f>VLOOKUP(D$2,Report!$A$18:$L$34,'Actual-CO2 Calculations'!$AK116,FALSE)</f>
        <v>2.8399075029761902</v>
      </c>
      <c r="E267" s="7">
        <f>VLOOKUP(E$2,Report!$A$18:$L$34,'Actual-CO2 Calculations'!$AK116,FALSE)</f>
        <v>2.1518023809523799</v>
      </c>
      <c r="F267" s="7">
        <f>VLOOKUP(F$2,Report!$A$18:$L$34,'Actual-CO2 Calculations'!$AK116,FALSE)</f>
        <v>2.0306888888888893E-3</v>
      </c>
      <c r="G267" s="7">
        <f>VLOOKUP(G$2,Report!$A$18:$L$34,'Actual-CO2 Calculations'!$AK116,FALSE)</f>
        <v>3.4709550796666599</v>
      </c>
      <c r="H267" s="7">
        <f>VLOOKUP(H$2,Report!$A$18:$L$34,'Actual-CO2 Calculations'!$AK116,FALSE)</f>
        <v>4.8166666666666696E-3</v>
      </c>
      <c r="I267" s="7">
        <f>(I$3*VLOOKUP(I$2,Report!$A$18:$L$34,'Actual-CO2 Calculations'!$AK116,FALSE))+((1-I$3)*C267)</f>
        <v>2.66239332521429</v>
      </c>
      <c r="J267" s="7">
        <f>VLOOKUP(J$2,Report!$A$18:$L$34,'Actual-CO2 Calculations'!$AK116,FALSE)</f>
        <v>7.8833333333333307E-3</v>
      </c>
      <c r="K267" s="7" t="e">
        <f>VLOOKUP(K$2,Report!$A$18:$L$34,'Actual-CO2 Calculations'!$AK116,FALSE)</f>
        <v>#N/A</v>
      </c>
      <c r="L267" s="10" t="e">
        <f>VLOOKUP(L$2,Report!$A$18:$L$34,'Actual-CO2 Calculations'!$AK116,FALSE)</f>
        <v>#N/A</v>
      </c>
    </row>
    <row r="268" spans="1:12">
      <c r="A268" s="743" t="s">
        <v>995</v>
      </c>
      <c r="B268" s="7">
        <f>VLOOKUP(B$2,Report!$A$18:$L$34,'Actual-CO2 Calculations'!$AK117,FALSE)</f>
        <v>2.6194166666666598</v>
      </c>
      <c r="C268" s="7">
        <f>VLOOKUP(C$2,Report!$A$18:$L$34,'Actual-CO2 Calculations'!$AK117,FALSE)</f>
        <v>2.66239332521429</v>
      </c>
      <c r="D268" s="7">
        <f>VLOOKUP(D$2,Report!$A$18:$L$34,'Actual-CO2 Calculations'!$AK117,FALSE)</f>
        <v>2.8399075029761902</v>
      </c>
      <c r="E268" s="7">
        <f>VLOOKUP(E$2,Report!$A$18:$L$34,'Actual-CO2 Calculations'!$AK117,FALSE)</f>
        <v>2.1518023809523799</v>
      </c>
      <c r="F268" s="7">
        <f>VLOOKUP(F$2,Report!$A$18:$L$34,'Actual-CO2 Calculations'!$AK117,FALSE)</f>
        <v>2.0306888888888893E-3</v>
      </c>
      <c r="G268" s="7">
        <f>VLOOKUP(G$2,Report!$A$18:$L$34,'Actual-CO2 Calculations'!$AK117,FALSE)</f>
        <v>3.4709550796666599</v>
      </c>
      <c r="H268" s="7">
        <f>VLOOKUP(H$2,Report!$A$18:$L$34,'Actual-CO2 Calculations'!$AK117,FALSE)</f>
        <v>4.8166666666666696E-3</v>
      </c>
      <c r="I268" s="7">
        <f>(I$3*VLOOKUP(I$2,Report!$A$18:$L$34,'Actual-CO2 Calculations'!$AK117,FALSE))+((1-I$3)*C268)</f>
        <v>2.66239332521429</v>
      </c>
      <c r="J268" s="7">
        <f>VLOOKUP(J$2,Report!$A$18:$L$34,'Actual-CO2 Calculations'!$AK117,FALSE)</f>
        <v>7.8833333333333307E-3</v>
      </c>
      <c r="K268" s="7" t="e">
        <f>VLOOKUP(K$2,Report!$A$18:$L$34,'Actual-CO2 Calculations'!$AK117,FALSE)</f>
        <v>#N/A</v>
      </c>
      <c r="L268" s="10" t="e">
        <f>VLOOKUP(L$2,Report!$A$18:$L$34,'Actual-CO2 Calculations'!$AK117,FALSE)</f>
        <v>#N/A</v>
      </c>
    </row>
    <row r="269" spans="1:12">
      <c r="A269" s="743" t="s">
        <v>996</v>
      </c>
      <c r="B269" s="7">
        <f>VLOOKUP(B$2,Report!$A$18:$L$34,'Actual-CO2 Calculations'!$AK118,FALSE)</f>
        <v>2.6194166666666598</v>
      </c>
      <c r="C269" s="7">
        <f>VLOOKUP(C$2,Report!$A$18:$L$34,'Actual-CO2 Calculations'!$AK118,FALSE)</f>
        <v>2.66239332521429</v>
      </c>
      <c r="D269" s="7">
        <f>VLOOKUP(D$2,Report!$A$18:$L$34,'Actual-CO2 Calculations'!$AK118,FALSE)</f>
        <v>2.8399075029761902</v>
      </c>
      <c r="E269" s="7">
        <f>VLOOKUP(E$2,Report!$A$18:$L$34,'Actual-CO2 Calculations'!$AK118,FALSE)</f>
        <v>2.1518023809523799</v>
      </c>
      <c r="F269" s="7">
        <f>VLOOKUP(F$2,Report!$A$18:$L$34,'Actual-CO2 Calculations'!$AK118,FALSE)</f>
        <v>2.0306888888888893E-3</v>
      </c>
      <c r="G269" s="7">
        <f>VLOOKUP(G$2,Report!$A$18:$L$34,'Actual-CO2 Calculations'!$AK118,FALSE)</f>
        <v>3.4709550796666599</v>
      </c>
      <c r="H269" s="7">
        <f>VLOOKUP(H$2,Report!$A$18:$L$34,'Actual-CO2 Calculations'!$AK118,FALSE)</f>
        <v>4.8166666666666696E-3</v>
      </c>
      <c r="I269" s="7">
        <f>(I$3*VLOOKUP(I$2,Report!$A$18:$L$34,'Actual-CO2 Calculations'!$AK118,FALSE))+((1-I$3)*C269)</f>
        <v>2.66239332521429</v>
      </c>
      <c r="J269" s="7">
        <f>VLOOKUP(J$2,Report!$A$18:$L$34,'Actual-CO2 Calculations'!$AK118,FALSE)</f>
        <v>7.8833333333333307E-3</v>
      </c>
      <c r="K269" s="7" t="e">
        <f>VLOOKUP(K$2,Report!$A$18:$L$34,'Actual-CO2 Calculations'!$AK118,FALSE)</f>
        <v>#N/A</v>
      </c>
      <c r="L269" s="10" t="e">
        <f>VLOOKUP(L$2,Report!$A$18:$L$34,'Actual-CO2 Calculations'!$AK118,FALSE)</f>
        <v>#N/A</v>
      </c>
    </row>
    <row r="270" spans="1:12">
      <c r="A270" s="743" t="s">
        <v>997</v>
      </c>
      <c r="B270" s="7">
        <f>VLOOKUP(B$2,Report!$A$18:$L$34,'Actual-CO2 Calculations'!$AK119,FALSE)</f>
        <v>2.6194166666666598</v>
      </c>
      <c r="C270" s="7">
        <f>VLOOKUP(C$2,Report!$A$18:$L$34,'Actual-CO2 Calculations'!$AK119,FALSE)</f>
        <v>2.66239332521429</v>
      </c>
      <c r="D270" s="7">
        <f>VLOOKUP(D$2,Report!$A$18:$L$34,'Actual-CO2 Calculations'!$AK119,FALSE)</f>
        <v>2.8399075029761902</v>
      </c>
      <c r="E270" s="7">
        <f>VLOOKUP(E$2,Report!$A$18:$L$34,'Actual-CO2 Calculations'!$AK119,FALSE)</f>
        <v>2.1518023809523799</v>
      </c>
      <c r="F270" s="7">
        <f>VLOOKUP(F$2,Report!$A$18:$L$34,'Actual-CO2 Calculations'!$AK119,FALSE)</f>
        <v>2.0306888888888893E-3</v>
      </c>
      <c r="G270" s="7">
        <f>VLOOKUP(G$2,Report!$A$18:$L$34,'Actual-CO2 Calculations'!$AK119,FALSE)</f>
        <v>3.4709550796666599</v>
      </c>
      <c r="H270" s="7">
        <f>VLOOKUP(H$2,Report!$A$18:$L$34,'Actual-CO2 Calculations'!$AK119,FALSE)</f>
        <v>4.8166666666666696E-3</v>
      </c>
      <c r="I270" s="7">
        <f>(I$3*VLOOKUP(I$2,Report!$A$18:$L$34,'Actual-CO2 Calculations'!$AK119,FALSE))+((1-I$3)*C270)</f>
        <v>2.66239332521429</v>
      </c>
      <c r="J270" s="7">
        <f>VLOOKUP(J$2,Report!$A$18:$L$34,'Actual-CO2 Calculations'!$AK119,FALSE)</f>
        <v>7.8833333333333307E-3</v>
      </c>
      <c r="K270" s="7" t="e">
        <f>VLOOKUP(K$2,Report!$A$18:$L$34,'Actual-CO2 Calculations'!$AK119,FALSE)</f>
        <v>#N/A</v>
      </c>
      <c r="L270" s="10" t="e">
        <f>VLOOKUP(L$2,Report!$A$18:$L$34,'Actual-CO2 Calculations'!$AK119,FALSE)</f>
        <v>#N/A</v>
      </c>
    </row>
    <row r="271" spans="1:12">
      <c r="A271" s="743" t="s">
        <v>998</v>
      </c>
      <c r="B271" s="7">
        <f>VLOOKUP(B$2,Report!$A$18:$L$34,'Actual-CO2 Calculations'!$AK120,FALSE)</f>
        <v>2.6194166666666598</v>
      </c>
      <c r="C271" s="7">
        <f>VLOOKUP(C$2,Report!$A$18:$L$34,'Actual-CO2 Calculations'!$AK120,FALSE)</f>
        <v>2.66239332521429</v>
      </c>
      <c r="D271" s="7">
        <f>VLOOKUP(D$2,Report!$A$18:$L$34,'Actual-CO2 Calculations'!$AK120,FALSE)</f>
        <v>2.8399075029761902</v>
      </c>
      <c r="E271" s="7">
        <f>VLOOKUP(E$2,Report!$A$18:$L$34,'Actual-CO2 Calculations'!$AK120,FALSE)</f>
        <v>2.1518023809523799</v>
      </c>
      <c r="F271" s="7">
        <f>VLOOKUP(F$2,Report!$A$18:$L$34,'Actual-CO2 Calculations'!$AK120,FALSE)</f>
        <v>2.0306888888888893E-3</v>
      </c>
      <c r="G271" s="7">
        <f>VLOOKUP(G$2,Report!$A$18:$L$34,'Actual-CO2 Calculations'!$AK120,FALSE)</f>
        <v>3.4709550796666599</v>
      </c>
      <c r="H271" s="7">
        <f>VLOOKUP(H$2,Report!$A$18:$L$34,'Actual-CO2 Calculations'!$AK120,FALSE)</f>
        <v>4.8166666666666696E-3</v>
      </c>
      <c r="I271" s="7">
        <f>(I$3*VLOOKUP(I$2,Report!$A$18:$L$34,'Actual-CO2 Calculations'!$AK120,FALSE))+((1-I$3)*C271)</f>
        <v>2.66239332521429</v>
      </c>
      <c r="J271" s="7">
        <f>VLOOKUP(J$2,Report!$A$18:$L$34,'Actual-CO2 Calculations'!$AK120,FALSE)</f>
        <v>7.8833333333333307E-3</v>
      </c>
      <c r="K271" s="7" t="e">
        <f>VLOOKUP(K$2,Report!$A$18:$L$34,'Actual-CO2 Calculations'!$AK120,FALSE)</f>
        <v>#N/A</v>
      </c>
      <c r="L271" s="10" t="e">
        <f>VLOOKUP(L$2,Report!$A$18:$L$34,'Actual-CO2 Calculations'!$AK120,FALSE)</f>
        <v>#N/A</v>
      </c>
    </row>
    <row r="272" spans="1:12" ht="15" thickBot="1">
      <c r="A272" s="744" t="s">
        <v>999</v>
      </c>
      <c r="B272" s="13">
        <f>VLOOKUP(B$2,Report!$A$18:$L$34,'Actual-CO2 Calculations'!$AK121,FALSE)</f>
        <v>2.6194166666666598</v>
      </c>
      <c r="C272" s="13">
        <f>VLOOKUP(C$2,Report!$A$18:$L$34,'Actual-CO2 Calculations'!$AK121,FALSE)</f>
        <v>2.66239332521429</v>
      </c>
      <c r="D272" s="13">
        <f>VLOOKUP(D$2,Report!$A$18:$L$34,'Actual-CO2 Calculations'!$AK121,FALSE)</f>
        <v>2.8399075029761902</v>
      </c>
      <c r="E272" s="13">
        <f>VLOOKUP(E$2,Report!$A$18:$L$34,'Actual-CO2 Calculations'!$AK121,FALSE)</f>
        <v>2.1518023809523799</v>
      </c>
      <c r="F272" s="13">
        <f>VLOOKUP(F$2,Report!$A$18:$L$34,'Actual-CO2 Calculations'!$AK121,FALSE)</f>
        <v>2.0306888888888893E-3</v>
      </c>
      <c r="G272" s="13">
        <f>VLOOKUP(G$2,Report!$A$18:$L$34,'Actual-CO2 Calculations'!$AK121,FALSE)</f>
        <v>3.4709550796666599</v>
      </c>
      <c r="H272" s="13">
        <f>VLOOKUP(H$2,Report!$A$18:$L$34,'Actual-CO2 Calculations'!$AK121,FALSE)</f>
        <v>4.8166666666666696E-3</v>
      </c>
      <c r="I272" s="9">
        <f>(I$3*VLOOKUP(I$2,Report!$A$18:$L$34,'Actual-CO2 Calculations'!$AK121,FALSE))+((1-I$3)*C272)</f>
        <v>2.66239332521429</v>
      </c>
      <c r="J272" s="13">
        <f>VLOOKUP(J$2,Report!$A$18:$L$34,'Actual-CO2 Calculations'!$AK121,FALSE)</f>
        <v>7.8833333333333307E-3</v>
      </c>
      <c r="K272" s="13" t="e">
        <f>VLOOKUP(K$2,Report!$A$18:$L$34,'Actual-CO2 Calculations'!$AK121,FALSE)</f>
        <v>#N/A</v>
      </c>
      <c r="L272" s="4" t="e">
        <f>VLOOKUP(L$2,Report!$A$18:$L$34,'Actual-CO2 Calculations'!$AK121,FALSE)</f>
        <v>#N/A</v>
      </c>
    </row>
    <row r="273" ht="15" thickTop="1"/>
  </sheetData>
  <protectedRanges>
    <protectedRange password="DCDF" sqref="B113:L120 C4:L39 C40:H55 J40:L66 F56:H66 D56:D112 F67:L112 E85:E112" name="Fuel input"/>
    <protectedRange password="DCDF" sqref="C85:C112 I40:I66 B4:B55 B84:B112" name="Fuel input_1"/>
    <protectedRange password="DCDF" sqref="B65:B83" name="Fuel input_3"/>
    <protectedRange password="DCDF" sqref="B56:B64" name="Fuel input_1_2"/>
  </protectedRanges>
  <mergeCells count="23">
    <mergeCell ref="B2:B3"/>
    <mergeCell ref="C2:C3"/>
    <mergeCell ref="D2:D3"/>
    <mergeCell ref="E2:E3"/>
    <mergeCell ref="F2:F3"/>
    <mergeCell ref="G2:G3"/>
    <mergeCell ref="AC2:AC3"/>
    <mergeCell ref="H2:H3"/>
    <mergeCell ref="J2:J3"/>
    <mergeCell ref="L2:L3"/>
    <mergeCell ref="N2:N3"/>
    <mergeCell ref="S2:S3"/>
    <mergeCell ref="T2:T3"/>
    <mergeCell ref="U2:U3"/>
    <mergeCell ref="K2:K3"/>
    <mergeCell ref="K1:L1"/>
    <mergeCell ref="V2:V3"/>
    <mergeCell ref="W2:W3"/>
    <mergeCell ref="X2:X3"/>
    <mergeCell ref="AB2:AB3"/>
    <mergeCell ref="Y2:Y3"/>
    <mergeCell ref="Z2:Z3"/>
    <mergeCell ref="AA2:AA3"/>
  </mergeCells>
  <conditionalFormatting sqref="I3:I39 I67:I120">
    <cfRule type="expression" dxfId="3" priority="2">
      <formula>AND($I$122&lt;&gt;0,$I$3="")</formula>
    </cfRule>
  </conditionalFormatting>
  <conditionalFormatting sqref="K1:L120">
    <cfRule type="expression" dxfId="2" priority="1">
      <formula>$K$1&lt;&gt;""</formula>
    </cfRule>
  </conditionalFormatting>
  <dataValidations count="1">
    <dataValidation type="whole" errorStyle="information" operator="greaterThan" allowBlank="1" showInputMessage="1" showErrorMessage="1" promptTitle="Fuel Input" prompt="Please ensure this is the correct fuel. This should be used for marine diesel and oil only." sqref="D4:D120">
      <formula1>0</formula1>
    </dataValidation>
  </dataValidations>
  <pageMargins left="0.7" right="0.7" top="0.75" bottom="0.75" header="0.3" footer="0.3"/>
  <pageSetup paperSize="8" scale="66" orientation="portrait" verticalDpi="4"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123"/>
  <sheetViews>
    <sheetView zoomScale="85" zoomScaleNormal="85" workbookViewId="0">
      <pane ySplit="3" topLeftCell="A4" activePane="bottomLeft" state="frozen"/>
      <selection activeCell="B7" sqref="B7"/>
      <selection pane="bottomLeft" activeCell="D92" sqref="D92"/>
    </sheetView>
  </sheetViews>
  <sheetFormatPr defaultColWidth="10.140625" defaultRowHeight="14.25"/>
  <cols>
    <col min="1" max="1" width="50.140625" style="19" customWidth="1"/>
    <col min="2" max="2" width="15.7109375" style="19" customWidth="1"/>
    <col min="3" max="3" width="15.7109375" style="723" customWidth="1"/>
    <col min="4" max="8" width="15.7109375" style="19" customWidth="1"/>
    <col min="9" max="9" width="32.7109375" style="19" customWidth="1"/>
    <col min="10" max="10" width="10.42578125" style="19" bestFit="1" customWidth="1"/>
    <col min="11" max="11" width="10.42578125" style="19" customWidth="1"/>
    <col min="12" max="12" width="13.140625" style="19" bestFit="1" customWidth="1"/>
    <col min="13" max="13" width="11.28515625" style="638" customWidth="1"/>
    <col min="14" max="14" width="12.28515625" style="19" bestFit="1" customWidth="1"/>
    <col min="15" max="15" width="11.5703125" style="19" bestFit="1" customWidth="1"/>
    <col min="16" max="16384" width="10.140625" style="19"/>
  </cols>
  <sheetData>
    <row r="1" spans="1:15" ht="49.5" customHeight="1">
      <c r="A1" s="18" t="s">
        <v>104</v>
      </c>
      <c r="C1" s="975" t="str">
        <f>IF(C122&lt;&gt;0,IF(C3="","PLEASE SELECT YOUR GREEN ENERGY PROVIDER",IF(C3="EDF","","Please provide "&amp;C3&amp;"'s grid mix specific GHG value along with sufficient evidence"&amp; CHAR(10) &amp;"otherwise UK average GHG value is used in calculations")),"")</f>
        <v/>
      </c>
      <c r="D1" s="975"/>
      <c r="E1" s="975"/>
      <c r="F1" s="975"/>
      <c r="G1" s="975"/>
      <c r="H1" s="975"/>
      <c r="I1" s="975"/>
    </row>
    <row r="2" spans="1:15" s="41" customFormat="1" ht="45" customHeight="1">
      <c r="A2" s="976" t="s">
        <v>30</v>
      </c>
      <c r="B2" s="978" t="s">
        <v>836</v>
      </c>
      <c r="C2" s="720" t="s">
        <v>1044</v>
      </c>
      <c r="D2" s="977" t="s">
        <v>837</v>
      </c>
      <c r="E2" s="977" t="s">
        <v>838</v>
      </c>
      <c r="F2" s="978" t="s">
        <v>1016</v>
      </c>
      <c r="G2" s="621"/>
      <c r="H2" s="621"/>
      <c r="I2" s="621"/>
      <c r="J2" s="621"/>
      <c r="K2" s="621"/>
      <c r="L2" s="621"/>
      <c r="M2" s="631"/>
    </row>
    <row r="3" spans="1:15" s="589" customFormat="1" ht="33.75" customHeight="1">
      <c r="A3" s="976"/>
      <c r="B3" s="978"/>
      <c r="C3" s="711"/>
      <c r="D3" s="977"/>
      <c r="E3" s="977"/>
      <c r="F3" s="978"/>
      <c r="I3" s="136"/>
      <c r="J3" s="714" t="s">
        <v>1013</v>
      </c>
      <c r="K3" s="715" t="s">
        <v>1041</v>
      </c>
      <c r="L3" s="714" t="s">
        <v>1014</v>
      </c>
      <c r="M3" s="715" t="str">
        <f>IF(C3="","Other",C3)</f>
        <v>Other</v>
      </c>
      <c r="N3" s="716" t="s">
        <v>837</v>
      </c>
      <c r="O3" s="716" t="s">
        <v>838</v>
      </c>
    </row>
    <row r="4" spans="1:15">
      <c r="A4" s="19" t="s">
        <v>31</v>
      </c>
      <c r="B4" s="613"/>
      <c r="C4" s="721"/>
      <c r="D4" s="35"/>
      <c r="E4" s="35"/>
      <c r="F4" s="19">
        <f t="shared" ref="F4:F35" si="0">SUM(B4:E4)</f>
        <v>0</v>
      </c>
      <c r="I4" s="620" t="s">
        <v>1042</v>
      </c>
      <c r="J4" s="714">
        <f>'Actual-CO2 Calculations'!AJ5</f>
        <v>2009</v>
      </c>
      <c r="K4" s="714">
        <f>'Actual-CO2 Calculations'!AK5</f>
        <v>3</v>
      </c>
      <c r="L4" s="714">
        <f>IF(J4=2009,Report!$C$27,IF(J4=2010,Report!$D$27,IF(J4=2011,Report!$E$27,IF(J4=2012,Report!$F$27,IF(J4=2013,Report!$G$27,IF(J4=2014,Report!$H$27,IF(J4=2015,Report!$I$27,IF(J4=2016,Report!$J$27,IF(J4=2017,Report!$K$27,IF(J4=2018,Report!$L$27,"ERROR"))))))))))</f>
        <v>0.49381000000000003</v>
      </c>
      <c r="M4" s="714">
        <f>IF($M$3="Other",L4,VLOOKUP($I$11,Report!$A$18:$L$34,'Data Entry Electricity'!K4,FALSE))</f>
        <v>0.49381000000000003</v>
      </c>
      <c r="N4" s="714">
        <f t="shared" ref="N4:N22" si="1">L4</f>
        <v>0.49381000000000003</v>
      </c>
      <c r="O4" s="714">
        <f t="shared" ref="O4:O22" si="2">L4</f>
        <v>0.49381000000000003</v>
      </c>
    </row>
    <row r="5" spans="1:15">
      <c r="A5" s="19" t="s">
        <v>32</v>
      </c>
      <c r="B5" s="613"/>
      <c r="C5" s="721"/>
      <c r="D5" s="35"/>
      <c r="E5" s="35"/>
      <c r="F5" s="19">
        <f t="shared" si="0"/>
        <v>0</v>
      </c>
      <c r="I5" s="138" t="s">
        <v>1012</v>
      </c>
      <c r="J5" s="714">
        <f>'Actual-CO2 Calculations'!AJ6</f>
        <v>2009</v>
      </c>
      <c r="K5" s="714">
        <f>'Actual-CO2 Calculations'!AK6</f>
        <v>3</v>
      </c>
      <c r="L5" s="714">
        <f>IF(J5=2009,Report!$C$27,IF(J5=2010,Report!$D$27,IF(J5=2011,Report!$E$27,IF(J5=2012,Report!$F$27,IF(J5=2013,Report!$G$27,IF(J5=2014,Report!$H$27,IF(J5=2015,Report!$I$27,IF(J5=2016,Report!$J$27,IF(J5=2017,Report!$K$27,IF(J5=2018,Report!$L$27,"ERROR"))))))))))</f>
        <v>0.49381000000000003</v>
      </c>
      <c r="M5" s="714">
        <f>IF($M$3="Other",L5,VLOOKUP($I$11,Report!$A$18:$L$34,'Data Entry Electricity'!K5,FALSE))</f>
        <v>0.49381000000000003</v>
      </c>
      <c r="N5" s="714">
        <f t="shared" si="1"/>
        <v>0.49381000000000003</v>
      </c>
      <c r="O5" s="714">
        <f t="shared" si="2"/>
        <v>0.49381000000000003</v>
      </c>
    </row>
    <row r="6" spans="1:15">
      <c r="A6" s="19" t="s">
        <v>33</v>
      </c>
      <c r="B6" s="613"/>
      <c r="C6" s="721"/>
      <c r="D6" s="35"/>
      <c r="E6" s="35"/>
      <c r="F6" s="19">
        <f t="shared" si="0"/>
        <v>0</v>
      </c>
      <c r="I6" s="138" t="s">
        <v>1009</v>
      </c>
      <c r="J6" s="714">
        <f>'Actual-CO2 Calculations'!AJ7</f>
        <v>2010</v>
      </c>
      <c r="K6" s="714">
        <f>'Actual-CO2 Calculations'!AK7</f>
        <v>4</v>
      </c>
      <c r="L6" s="714">
        <f>IF(J6=2009,Report!$C$27,IF(J6=2010,Report!$D$27,IF(J6=2011,Report!$E$27,IF(J6=2012,Report!$F$27,IF(J6=2013,Report!$G$27,IF(J6=2014,Report!$H$27,IF(J6=2015,Report!$I$27,IF(J6=2016,Report!$J$27,IF(J6=2017,Report!$K$27,IF(J6=2018,Report!$L$27,"ERROR"))))))))))</f>
        <v>0.48531000000000002</v>
      </c>
      <c r="M6" s="714">
        <f>IF($M$3="Other",L6,VLOOKUP($I$11,Report!$A$18:$L$34,'Data Entry Electricity'!K6,FALSE))</f>
        <v>0.48531000000000002</v>
      </c>
      <c r="N6" s="714">
        <f t="shared" si="1"/>
        <v>0.48531000000000002</v>
      </c>
      <c r="O6" s="714">
        <f t="shared" si="2"/>
        <v>0.48531000000000002</v>
      </c>
    </row>
    <row r="7" spans="1:15">
      <c r="A7" s="19" t="s">
        <v>34</v>
      </c>
      <c r="B7" s="613"/>
      <c r="C7" s="721"/>
      <c r="D7" s="35"/>
      <c r="E7" s="35"/>
      <c r="F7" s="19">
        <f t="shared" si="0"/>
        <v>0</v>
      </c>
      <c r="I7" s="138" t="s">
        <v>1010</v>
      </c>
      <c r="J7" s="714">
        <f>'Actual-CO2 Calculations'!AJ8</f>
        <v>2010</v>
      </c>
      <c r="K7" s="714">
        <f>'Actual-CO2 Calculations'!AK8</f>
        <v>4</v>
      </c>
      <c r="L7" s="714">
        <f>IF(J7=2009,Report!$C$27,IF(J7=2010,Report!$D$27,IF(J7=2011,Report!$E$27,IF(J7=2012,Report!$F$27,IF(J7=2013,Report!$G$27,IF(J7=2014,Report!$H$27,IF(J7=2015,Report!$I$27,IF(J7=2016,Report!$J$27,IF(J7=2017,Report!$K$27,IF(J7=2018,Report!$L$27,"ERROR"))))))))))</f>
        <v>0.48531000000000002</v>
      </c>
      <c r="M7" s="714">
        <f>IF($M$3="Other",L7,VLOOKUP($I$11,Report!$A$18:$L$34,'Data Entry Electricity'!K7,FALSE))</f>
        <v>0.48531000000000002</v>
      </c>
      <c r="N7" s="714">
        <f t="shared" si="1"/>
        <v>0.48531000000000002</v>
      </c>
      <c r="O7" s="714">
        <f t="shared" si="2"/>
        <v>0.48531000000000002</v>
      </c>
    </row>
    <row r="8" spans="1:15">
      <c r="A8" s="19" t="s">
        <v>35</v>
      </c>
      <c r="B8" s="613"/>
      <c r="C8" s="721"/>
      <c r="D8" s="35"/>
      <c r="E8" s="35"/>
      <c r="F8" s="19">
        <f t="shared" si="0"/>
        <v>0</v>
      </c>
      <c r="I8" s="138" t="s">
        <v>1011</v>
      </c>
      <c r="J8" s="714">
        <f>'Actual-CO2 Calculations'!AJ9</f>
        <v>2010</v>
      </c>
      <c r="K8" s="714">
        <f>'Actual-CO2 Calculations'!AK9</f>
        <v>4</v>
      </c>
      <c r="L8" s="714">
        <f>IF(J8=2009,Report!$C$27,IF(J8=2010,Report!$D$27,IF(J8=2011,Report!$E$27,IF(J8=2012,Report!$F$27,IF(J8=2013,Report!$G$27,IF(J8=2014,Report!$H$27,IF(J8=2015,Report!$I$27,IF(J8=2016,Report!$J$27,IF(J8=2017,Report!$K$27,IF(J8=2018,Report!$L$27,"ERROR"))))))))))</f>
        <v>0.48531000000000002</v>
      </c>
      <c r="M8" s="714">
        <f>IF($M$3="Other",L8,VLOOKUP($I$11,Report!$A$18:$L$34,'Data Entry Electricity'!K8,FALSE))</f>
        <v>0.48531000000000002</v>
      </c>
      <c r="N8" s="714">
        <f t="shared" si="1"/>
        <v>0.48531000000000002</v>
      </c>
      <c r="O8" s="714">
        <f t="shared" si="2"/>
        <v>0.48531000000000002</v>
      </c>
    </row>
    <row r="9" spans="1:15">
      <c r="A9" s="19" t="s">
        <v>36</v>
      </c>
      <c r="B9" s="613"/>
      <c r="C9" s="721"/>
      <c r="D9" s="35"/>
      <c r="E9" s="35"/>
      <c r="F9" s="19">
        <f t="shared" si="0"/>
        <v>0</v>
      </c>
      <c r="I9" s="139" t="s">
        <v>806</v>
      </c>
      <c r="J9" s="714">
        <f>'Actual-CO2 Calculations'!AJ10</f>
        <v>2010</v>
      </c>
      <c r="K9" s="714">
        <f>'Actual-CO2 Calculations'!AK10</f>
        <v>4</v>
      </c>
      <c r="L9" s="714">
        <f>IF(J9=2009,Report!$C$27,IF(J9=2010,Report!$D$27,IF(J9=2011,Report!$E$27,IF(J9=2012,Report!$F$27,IF(J9=2013,Report!$G$27,IF(J9=2014,Report!$H$27,IF(J9=2015,Report!$I$27,IF(J9=2016,Report!$J$27,IF(J9=2017,Report!$K$27,IF(J9=2018,Report!$L$27,"ERROR"))))))))))</f>
        <v>0.48531000000000002</v>
      </c>
      <c r="M9" s="714">
        <f>IF($M$3="Other",L9,VLOOKUP($I$11,Report!$A$18:$L$34,'Data Entry Electricity'!K9,FALSE))</f>
        <v>0.48531000000000002</v>
      </c>
      <c r="N9" s="714">
        <f t="shared" si="1"/>
        <v>0.48531000000000002</v>
      </c>
      <c r="O9" s="714">
        <f t="shared" si="2"/>
        <v>0.48531000000000002</v>
      </c>
    </row>
    <row r="10" spans="1:15" ht="15" thickBot="1">
      <c r="A10" s="19" t="s">
        <v>37</v>
      </c>
      <c r="B10" s="613"/>
      <c r="C10" s="721"/>
      <c r="D10" s="35"/>
      <c r="E10" s="35"/>
      <c r="F10" s="19">
        <f t="shared" si="0"/>
        <v>0</v>
      </c>
      <c r="I10" s="717"/>
      <c r="J10" s="714">
        <f>'Actual-CO2 Calculations'!AJ11</f>
        <v>2010</v>
      </c>
      <c r="K10" s="714">
        <f>'Actual-CO2 Calculations'!AK11</f>
        <v>4</v>
      </c>
      <c r="L10" s="714">
        <f>IF(J10=2009,Report!$C$27,IF(J10=2010,Report!$D$27,IF(J10=2011,Report!$E$27,IF(J10=2012,Report!$F$27,IF(J10=2013,Report!$G$27,IF(J10=2014,Report!$H$27,IF(J10=2015,Report!$I$27,IF(J10=2016,Report!$J$27,IF(J10=2017,Report!$K$27,IF(J10=2018,Report!$L$27,"ERROR"))))))))))</f>
        <v>0.48531000000000002</v>
      </c>
      <c r="M10" s="714">
        <f>IF($M$3="Other",L10,VLOOKUP($I$11,Report!$A$18:$L$34,'Data Entry Electricity'!K10,FALSE))</f>
        <v>0.48531000000000002</v>
      </c>
      <c r="N10" s="714">
        <f t="shared" si="1"/>
        <v>0.48531000000000002</v>
      </c>
      <c r="O10" s="714">
        <f t="shared" si="2"/>
        <v>0.48531000000000002</v>
      </c>
    </row>
    <row r="11" spans="1:15" ht="15.75" thickTop="1" thickBot="1">
      <c r="A11" s="19" t="s">
        <v>38</v>
      </c>
      <c r="B11" s="613"/>
      <c r="C11" s="721"/>
      <c r="D11" s="35"/>
      <c r="E11" s="35"/>
      <c r="F11" s="19">
        <f t="shared" si="0"/>
        <v>0</v>
      </c>
      <c r="I11" s="718" t="str">
        <f>"Green Tariff Electricity - " &amp; TEXT(C3,1)</f>
        <v>Green Tariff Electricity - 1</v>
      </c>
      <c r="J11" s="719">
        <f>'Actual-CO2 Calculations'!AJ12</f>
        <v>2010</v>
      </c>
      <c r="K11" s="714">
        <f>'Actual-CO2 Calculations'!AK12</f>
        <v>4</v>
      </c>
      <c r="L11" s="714">
        <f>IF(J11=2009,Report!$C$27,IF(J11=2010,Report!$D$27,IF(J11=2011,Report!$E$27,IF(J11=2012,Report!$F$27,IF(J11=2013,Report!$G$27,IF(J11=2014,Report!$H$27,IF(J11=2015,Report!$I$27,IF(J11=2016,Report!$J$27,IF(J11=2017,Report!$K$27,IF(J11=2018,Report!$L$27,"ERROR"))))))))))</f>
        <v>0.48531000000000002</v>
      </c>
      <c r="M11" s="714">
        <f>IF($M$3="Other",L11,VLOOKUP($I$11,Report!$A$18:$L$34,'Data Entry Electricity'!K11,FALSE))</f>
        <v>0.48531000000000002</v>
      </c>
      <c r="N11" s="714">
        <f t="shared" si="1"/>
        <v>0.48531000000000002</v>
      </c>
      <c r="O11" s="714">
        <f t="shared" si="2"/>
        <v>0.48531000000000002</v>
      </c>
    </row>
    <row r="12" spans="1:15" ht="15" thickTop="1">
      <c r="A12" s="19" t="s">
        <v>39</v>
      </c>
      <c r="B12" s="613"/>
      <c r="C12" s="721"/>
      <c r="D12" s="35"/>
      <c r="E12" s="35"/>
      <c r="F12" s="19">
        <f t="shared" si="0"/>
        <v>0</v>
      </c>
      <c r="I12" s="717"/>
      <c r="J12" s="714">
        <f>'Actual-CO2 Calculations'!AJ13</f>
        <v>2010</v>
      </c>
      <c r="K12" s="714">
        <f>'Actual-CO2 Calculations'!AK13</f>
        <v>4</v>
      </c>
      <c r="L12" s="714">
        <f>IF(J12=2009,Report!$C$27,IF(J12=2010,Report!$D$27,IF(J12=2011,Report!$E$27,IF(J12=2012,Report!$F$27,IF(J12=2013,Report!$G$27,IF(J12=2014,Report!$H$27,IF(J12=2015,Report!$I$27,IF(J12=2016,Report!$J$27,IF(J12=2017,Report!$K$27,IF(J12=2018,Report!$L$27,"ERROR"))))))))))</f>
        <v>0.48531000000000002</v>
      </c>
      <c r="M12" s="714">
        <f>IF($M$3="Other",L12,VLOOKUP($I$11,Report!$A$18:$L$34,'Data Entry Electricity'!K12,FALSE))</f>
        <v>0.48531000000000002</v>
      </c>
      <c r="N12" s="714">
        <f t="shared" si="1"/>
        <v>0.48531000000000002</v>
      </c>
      <c r="O12" s="714">
        <f t="shared" si="2"/>
        <v>0.48531000000000002</v>
      </c>
    </row>
    <row r="13" spans="1:15">
      <c r="A13" s="19" t="s">
        <v>25</v>
      </c>
      <c r="B13" s="613"/>
      <c r="C13" s="721"/>
      <c r="D13" s="35"/>
      <c r="E13" s="35"/>
      <c r="F13" s="19">
        <f t="shared" si="0"/>
        <v>0</v>
      </c>
      <c r="I13" s="717"/>
      <c r="J13" s="714">
        <f>'Actual-CO2 Calculations'!AJ14</f>
        <v>2010</v>
      </c>
      <c r="K13" s="714">
        <f>'Actual-CO2 Calculations'!AK14</f>
        <v>4</v>
      </c>
      <c r="L13" s="714">
        <f>IF(J13=2009,Report!$C$27,IF(J13=2010,Report!$D$27,IF(J13=2011,Report!$E$27,IF(J13=2012,Report!$F$27,IF(J13=2013,Report!$G$27,IF(J13=2014,Report!$H$27,IF(J13=2015,Report!$I$27,IF(J13=2016,Report!$J$27,IF(J13=2017,Report!$K$27,IF(J13=2018,Report!$L$27,"ERROR"))))))))))</f>
        <v>0.48531000000000002</v>
      </c>
      <c r="M13" s="714">
        <f>IF($M$3="Other",L13,VLOOKUP($I$11,Report!$A$18:$L$34,'Data Entry Electricity'!K13,FALSE))</f>
        <v>0.48531000000000002</v>
      </c>
      <c r="N13" s="714">
        <f t="shared" si="1"/>
        <v>0.48531000000000002</v>
      </c>
      <c r="O13" s="714">
        <f t="shared" si="2"/>
        <v>0.48531000000000002</v>
      </c>
    </row>
    <row r="14" spans="1:15">
      <c r="A14" s="19" t="s">
        <v>26</v>
      </c>
      <c r="B14" s="613"/>
      <c r="C14" s="721"/>
      <c r="D14" s="35"/>
      <c r="E14" s="35"/>
      <c r="F14" s="19">
        <f t="shared" si="0"/>
        <v>0</v>
      </c>
      <c r="I14" s="717"/>
      <c r="J14" s="714">
        <f>'Actual-CO2 Calculations'!AJ15</f>
        <v>2010</v>
      </c>
      <c r="K14" s="714">
        <f>'Actual-CO2 Calculations'!AK15</f>
        <v>4</v>
      </c>
      <c r="L14" s="714">
        <f>IF(J14=2009,Report!$C$27,IF(J14=2010,Report!$D$27,IF(J14=2011,Report!$E$27,IF(J14=2012,Report!$F$27,IF(J14=2013,Report!$G$27,IF(J14=2014,Report!$H$27,IF(J14=2015,Report!$I$27,IF(J14=2016,Report!$J$27,IF(J14=2017,Report!$K$27,IF(J14=2018,Report!$L$27,"ERROR"))))))))))</f>
        <v>0.48531000000000002</v>
      </c>
      <c r="M14" s="714">
        <f>IF($M$3="Other",L14,VLOOKUP($I$11,Report!$A$18:$L$34,'Data Entry Electricity'!K14,FALSE))</f>
        <v>0.48531000000000002</v>
      </c>
      <c r="N14" s="714">
        <f t="shared" si="1"/>
        <v>0.48531000000000002</v>
      </c>
      <c r="O14" s="714">
        <f t="shared" si="2"/>
        <v>0.48531000000000002</v>
      </c>
    </row>
    <row r="15" spans="1:15">
      <c r="A15" s="19" t="s">
        <v>27</v>
      </c>
      <c r="B15" s="613"/>
      <c r="C15" s="721"/>
      <c r="D15" s="35"/>
      <c r="E15" s="35"/>
      <c r="F15" s="19">
        <f t="shared" si="0"/>
        <v>0</v>
      </c>
      <c r="I15" s="717"/>
      <c r="J15" s="714">
        <f>'Actual-CO2 Calculations'!AJ16</f>
        <v>2010</v>
      </c>
      <c r="K15" s="714">
        <f>'Actual-CO2 Calculations'!AK16</f>
        <v>4</v>
      </c>
      <c r="L15" s="714">
        <f>IF(J15=2009,Report!$C$27,IF(J15=2010,Report!$D$27,IF(J15=2011,Report!$E$27,IF(J15=2012,Report!$F$27,IF(J15=2013,Report!$G$27,IF(J15=2014,Report!$H$27,IF(J15=2015,Report!$I$27,IF(J15=2016,Report!$J$27,IF(J15=2017,Report!$K$27,IF(J15=2018,Report!$L$27,"ERROR"))))))))))</f>
        <v>0.48531000000000002</v>
      </c>
      <c r="M15" s="714">
        <f>IF($M$3="Other",L15,VLOOKUP($I$11,Report!$A$18:$L$34,'Data Entry Electricity'!K15,FALSE))</f>
        <v>0.48531000000000002</v>
      </c>
      <c r="N15" s="714">
        <f t="shared" si="1"/>
        <v>0.48531000000000002</v>
      </c>
      <c r="O15" s="714">
        <f t="shared" si="2"/>
        <v>0.48531000000000002</v>
      </c>
    </row>
    <row r="16" spans="1:15">
      <c r="A16" s="19" t="s">
        <v>24</v>
      </c>
      <c r="B16" s="613"/>
      <c r="C16" s="721"/>
      <c r="D16" s="35"/>
      <c r="E16" s="35"/>
      <c r="F16" s="19">
        <f t="shared" si="0"/>
        <v>0</v>
      </c>
      <c r="I16" s="717"/>
      <c r="J16" s="714">
        <f>'Actual-CO2 Calculations'!AJ17</f>
        <v>2010</v>
      </c>
      <c r="K16" s="714">
        <f>'Actual-CO2 Calculations'!AK17</f>
        <v>4</v>
      </c>
      <c r="L16" s="714">
        <f>IF(J16=2009,Report!$C$27,IF(J16=2010,Report!$D$27,IF(J16=2011,Report!$E$27,IF(J16=2012,Report!$F$27,IF(J16=2013,Report!$G$27,IF(J16=2014,Report!$H$27,IF(J16=2015,Report!$I$27,IF(J16=2016,Report!$J$27,IF(J16=2017,Report!$K$27,IF(J16=2018,Report!$L$27,"ERROR"))))))))))</f>
        <v>0.48531000000000002</v>
      </c>
      <c r="M16" s="714">
        <f>IF($M$3="Other",L16,VLOOKUP($I$11,Report!$A$18:$L$34,'Data Entry Electricity'!K16,FALSE))</f>
        <v>0.48531000000000002</v>
      </c>
      <c r="N16" s="714">
        <f t="shared" si="1"/>
        <v>0.48531000000000002</v>
      </c>
      <c r="O16" s="714">
        <f t="shared" si="2"/>
        <v>0.48531000000000002</v>
      </c>
    </row>
    <row r="17" spans="1:15">
      <c r="A17" s="19" t="s">
        <v>40</v>
      </c>
      <c r="B17" s="613"/>
      <c r="C17" s="721"/>
      <c r="D17" s="35"/>
      <c r="E17" s="35"/>
      <c r="F17" s="19">
        <f t="shared" si="0"/>
        <v>0</v>
      </c>
      <c r="I17" s="717"/>
      <c r="J17" s="714">
        <f>'Actual-CO2 Calculations'!AJ18</f>
        <v>2010</v>
      </c>
      <c r="K17" s="714">
        <f>'Actual-CO2 Calculations'!AK18</f>
        <v>4</v>
      </c>
      <c r="L17" s="714">
        <f>IF(J17=2009,Report!$C$27,IF(J17=2010,Report!$D$27,IF(J17=2011,Report!$E$27,IF(J17=2012,Report!$F$27,IF(J17=2013,Report!$G$27,IF(J17=2014,Report!$H$27,IF(J17=2015,Report!$I$27,IF(J17=2016,Report!$J$27,IF(J17=2017,Report!$K$27,IF(J17=2018,Report!$L$27,"ERROR"))))))))))</f>
        <v>0.48531000000000002</v>
      </c>
      <c r="M17" s="714">
        <f>IF($M$3="Other",L17,VLOOKUP($I$11,Report!$A$18:$L$34,'Data Entry Electricity'!K17,FALSE))</f>
        <v>0.48531000000000002</v>
      </c>
      <c r="N17" s="714">
        <f t="shared" si="1"/>
        <v>0.48531000000000002</v>
      </c>
      <c r="O17" s="714">
        <f t="shared" si="2"/>
        <v>0.48531000000000002</v>
      </c>
    </row>
    <row r="18" spans="1:15">
      <c r="A18" s="19" t="s">
        <v>41</v>
      </c>
      <c r="B18" s="613"/>
      <c r="C18" s="721"/>
      <c r="D18" s="35"/>
      <c r="E18" s="35"/>
      <c r="F18" s="19">
        <f t="shared" si="0"/>
        <v>0</v>
      </c>
      <c r="I18" s="717"/>
      <c r="J18" s="714">
        <f>'Actual-CO2 Calculations'!AJ19</f>
        <v>2010</v>
      </c>
      <c r="K18" s="714">
        <f>'Actual-CO2 Calculations'!AK19</f>
        <v>4</v>
      </c>
      <c r="L18" s="714">
        <f>IF(J18=2009,Report!$C$27,IF(J18=2010,Report!$D$27,IF(J18=2011,Report!$E$27,IF(J18=2012,Report!$F$27,IF(J18=2013,Report!$G$27,IF(J18=2014,Report!$H$27,IF(J18=2015,Report!$I$27,IF(J18=2016,Report!$J$27,IF(J18=2017,Report!$K$27,IF(J18=2018,Report!$L$27,"ERROR"))))))))))</f>
        <v>0.48531000000000002</v>
      </c>
      <c r="M18" s="714">
        <f>IF($M$3="Other",L18,VLOOKUP($I$11,Report!$A$18:$L$34,'Data Entry Electricity'!K18,FALSE))</f>
        <v>0.48531000000000002</v>
      </c>
      <c r="N18" s="714">
        <f t="shared" si="1"/>
        <v>0.48531000000000002</v>
      </c>
      <c r="O18" s="714">
        <f t="shared" si="2"/>
        <v>0.48531000000000002</v>
      </c>
    </row>
    <row r="19" spans="1:15">
      <c r="A19" s="19" t="s">
        <v>42</v>
      </c>
      <c r="B19" s="613"/>
      <c r="C19" s="721"/>
      <c r="D19" s="35"/>
      <c r="E19" s="35"/>
      <c r="F19" s="19">
        <f t="shared" si="0"/>
        <v>0</v>
      </c>
      <c r="I19" s="717"/>
      <c r="J19" s="714">
        <f>'Actual-CO2 Calculations'!AJ20</f>
        <v>2011</v>
      </c>
      <c r="K19" s="714">
        <f>'Actual-CO2 Calculations'!AK20</f>
        <v>5</v>
      </c>
      <c r="L19" s="714">
        <f>IF(J19=2009,Report!$C$27,IF(J19=2010,Report!$D$27,IF(J19=2011,Report!$E$27,IF(J19=2012,Report!$F$27,IF(J19=2013,Report!$G$27,IF(J19=2014,Report!$H$27,IF(J19=2015,Report!$I$27,IF(J19=2016,Report!$J$27,IF(J19=2017,Report!$K$27,IF(J19=2018,Report!$L$27,"ERROR"))))))))))</f>
        <v>0.45205000000000001</v>
      </c>
      <c r="M19" s="714">
        <f>IF($M$3="Other",L19,VLOOKUP($I$11,Report!$A$18:$L$34,'Data Entry Electricity'!K19,FALSE))</f>
        <v>0.45205000000000001</v>
      </c>
      <c r="N19" s="714">
        <f t="shared" si="1"/>
        <v>0.45205000000000001</v>
      </c>
      <c r="O19" s="714">
        <f t="shared" si="2"/>
        <v>0.45205000000000001</v>
      </c>
    </row>
    <row r="20" spans="1:15">
      <c r="A20" s="19" t="s">
        <v>43</v>
      </c>
      <c r="B20" s="613"/>
      <c r="C20" s="721"/>
      <c r="D20" s="35"/>
      <c r="E20" s="35"/>
      <c r="F20" s="19">
        <f t="shared" si="0"/>
        <v>0</v>
      </c>
      <c r="I20" s="717"/>
      <c r="J20" s="714">
        <f>'Actual-CO2 Calculations'!AJ21</f>
        <v>2011</v>
      </c>
      <c r="K20" s="714">
        <f>'Actual-CO2 Calculations'!AK21</f>
        <v>5</v>
      </c>
      <c r="L20" s="714">
        <f>IF(J20=2009,Report!$C$27,IF(J20=2010,Report!$D$27,IF(J20=2011,Report!$E$27,IF(J20=2012,Report!$F$27,IF(J20=2013,Report!$G$27,IF(J20=2014,Report!$H$27,IF(J20=2015,Report!$I$27,IF(J20=2016,Report!$J$27,IF(J20=2017,Report!$K$27,IF(J20=2018,Report!$L$27,"ERROR"))))))))))</f>
        <v>0.45205000000000001</v>
      </c>
      <c r="M20" s="714">
        <f>IF($M$3="Other",L20,VLOOKUP($I$11,Report!$A$18:$L$34,'Data Entry Electricity'!K20,FALSE))</f>
        <v>0.45205000000000001</v>
      </c>
      <c r="N20" s="714">
        <f t="shared" si="1"/>
        <v>0.45205000000000001</v>
      </c>
      <c r="O20" s="714">
        <f t="shared" si="2"/>
        <v>0.45205000000000001</v>
      </c>
    </row>
    <row r="21" spans="1:15">
      <c r="A21" s="19" t="s">
        <v>44</v>
      </c>
      <c r="B21" s="613"/>
      <c r="C21" s="721"/>
      <c r="D21" s="35"/>
      <c r="E21" s="35"/>
      <c r="F21" s="19">
        <f t="shared" si="0"/>
        <v>0</v>
      </c>
      <c r="I21" s="717"/>
      <c r="J21" s="714">
        <f>'Actual-CO2 Calculations'!AJ22</f>
        <v>2011</v>
      </c>
      <c r="K21" s="714">
        <f>'Actual-CO2 Calculations'!AK22</f>
        <v>5</v>
      </c>
      <c r="L21" s="714">
        <f>IF(J21=2009,Report!$C$27,IF(J21=2010,Report!$D$27,IF(J21=2011,Report!$E$27,IF(J21=2012,Report!$F$27,IF(J21=2013,Report!$G$27,IF(J21=2014,Report!$H$27,IF(J21=2015,Report!$I$27,IF(J21=2016,Report!$J$27,IF(J21=2017,Report!$K$27,IF(J21=2018,Report!$L$27,"ERROR"))))))))))</f>
        <v>0.45205000000000001</v>
      </c>
      <c r="M21" s="714">
        <f>IF($M$3="Other",L21,VLOOKUP($I$11,Report!$A$18:$L$34,'Data Entry Electricity'!K21,FALSE))</f>
        <v>0.45205000000000001</v>
      </c>
      <c r="N21" s="714">
        <f t="shared" si="1"/>
        <v>0.45205000000000001</v>
      </c>
      <c r="O21" s="714">
        <f t="shared" si="2"/>
        <v>0.45205000000000001</v>
      </c>
    </row>
    <row r="22" spans="1:15">
      <c r="A22" s="19" t="s">
        <v>45</v>
      </c>
      <c r="B22" s="613"/>
      <c r="C22" s="721"/>
      <c r="D22" s="35"/>
      <c r="E22" s="35"/>
      <c r="F22" s="19">
        <f t="shared" si="0"/>
        <v>0</v>
      </c>
      <c r="I22" s="717"/>
      <c r="J22" s="714">
        <f>'Actual-CO2 Calculations'!AJ23</f>
        <v>2011</v>
      </c>
      <c r="K22" s="714">
        <f>'Actual-CO2 Calculations'!AK23</f>
        <v>5</v>
      </c>
      <c r="L22" s="714">
        <f>IF(J22=2009,Report!$C$27,IF(J22=2010,Report!$D$27,IF(J22=2011,Report!$E$27,IF(J22=2012,Report!$F$27,IF(J22=2013,Report!$G$27,IF(J22=2014,Report!$H$27,IF(J22=2015,Report!$I$27,IF(J22=2016,Report!$J$27,IF(J22=2017,Report!$K$27,IF(J22=2018,Report!$L$27,"ERROR"))))))))))</f>
        <v>0.45205000000000001</v>
      </c>
      <c r="M22" s="714">
        <f>IF($M$3="Other",L22,VLOOKUP($I$11,Report!$A$18:$L$34,'Data Entry Electricity'!K22,FALSE))</f>
        <v>0.45205000000000001</v>
      </c>
      <c r="N22" s="714">
        <f t="shared" si="1"/>
        <v>0.45205000000000001</v>
      </c>
      <c r="O22" s="714">
        <f t="shared" si="2"/>
        <v>0.45205000000000001</v>
      </c>
    </row>
    <row r="23" spans="1:15">
      <c r="A23" s="19" t="s">
        <v>46</v>
      </c>
      <c r="B23" s="613"/>
      <c r="C23" s="721"/>
      <c r="D23" s="35"/>
      <c r="E23" s="35"/>
      <c r="F23" s="19">
        <f t="shared" si="0"/>
        <v>0</v>
      </c>
      <c r="I23" s="717"/>
      <c r="J23" s="714">
        <f>'Actual-CO2 Calculations'!AJ24</f>
        <v>2011</v>
      </c>
      <c r="K23" s="714">
        <f>'Actual-CO2 Calculations'!AK24</f>
        <v>5</v>
      </c>
      <c r="L23" s="714">
        <f>IF(J23=2009,Report!$C$27,IF(J23=2010,Report!$D$27,IF(J23=2011,Report!$E$27,IF(J23=2012,Report!$F$27,IF(J23=2013,Report!$G$27,IF(J23=2014,Report!$H$27,IF(J23=2015,Report!$I$27,IF(J23=2016,Report!$J$27,IF(J23=2017,Report!$K$27,IF(J23=2018,Report!$L$27,"ERROR"))))))))))</f>
        <v>0.45205000000000001</v>
      </c>
      <c r="M23" s="714">
        <f>IF($M$3="Other",L23,VLOOKUP($I$11,Report!$A$18:$L$34,'Data Entry Electricity'!K23,FALSE))</f>
        <v>0.45205000000000001</v>
      </c>
      <c r="N23" s="714">
        <f>L23</f>
        <v>0.45205000000000001</v>
      </c>
      <c r="O23" s="714">
        <f>L23</f>
        <v>0.45205000000000001</v>
      </c>
    </row>
    <row r="24" spans="1:15">
      <c r="A24" s="19" t="s">
        <v>47</v>
      </c>
      <c r="B24" s="613"/>
      <c r="C24" s="721"/>
      <c r="D24" s="35"/>
      <c r="E24" s="35"/>
      <c r="F24" s="19">
        <f t="shared" si="0"/>
        <v>0</v>
      </c>
      <c r="I24" s="717"/>
      <c r="J24" s="714">
        <f>'Actual-CO2 Calculations'!AJ25</f>
        <v>2011</v>
      </c>
      <c r="K24" s="714">
        <f>'Actual-CO2 Calculations'!AK25</f>
        <v>5</v>
      </c>
      <c r="L24" s="714">
        <f>IF(J24=2009,Report!$C$27,IF(J24=2010,Report!$D$27,IF(J24=2011,Report!$E$27,IF(J24=2012,Report!$F$27,IF(J24=2013,Report!$G$27,IF(J24=2014,Report!$H$27,IF(J24=2015,Report!$I$27,IF(J24=2016,Report!$J$27,IF(J24=2017,Report!$K$27,IF(J24=2018,Report!$L$27,"ERROR"))))))))))</f>
        <v>0.45205000000000001</v>
      </c>
      <c r="M24" s="714">
        <f>IF($M$3="Other",L24,VLOOKUP($I$11,Report!$A$18:$L$34,'Data Entry Electricity'!K24,FALSE))</f>
        <v>0.45205000000000001</v>
      </c>
      <c r="N24" s="714">
        <f t="shared" ref="N24:N87" si="3">L24</f>
        <v>0.45205000000000001</v>
      </c>
      <c r="O24" s="714">
        <f t="shared" ref="O24:O87" si="4">L24</f>
        <v>0.45205000000000001</v>
      </c>
    </row>
    <row r="25" spans="1:15">
      <c r="A25" s="19" t="s">
        <v>48</v>
      </c>
      <c r="B25" s="613"/>
      <c r="C25" s="721"/>
      <c r="D25" s="35"/>
      <c r="E25" s="35"/>
      <c r="F25" s="19">
        <f t="shared" si="0"/>
        <v>0</v>
      </c>
      <c r="I25" s="717"/>
      <c r="J25" s="714">
        <f>'Actual-CO2 Calculations'!AJ26</f>
        <v>2011</v>
      </c>
      <c r="K25" s="714">
        <f>'Actual-CO2 Calculations'!AK26</f>
        <v>5</v>
      </c>
      <c r="L25" s="714">
        <f>IF(J25=2009,Report!$C$27,IF(J25=2010,Report!$D$27,IF(J25=2011,Report!$E$27,IF(J25=2012,Report!$F$27,IF(J25=2013,Report!$G$27,IF(J25=2014,Report!$H$27,IF(J25=2015,Report!$I$27,IF(J25=2016,Report!$J$27,IF(J25=2017,Report!$K$27,IF(J25=2018,Report!$L$27,"ERROR"))))))))))</f>
        <v>0.45205000000000001</v>
      </c>
      <c r="M25" s="714">
        <f>IF($M$3="Other",L25,VLOOKUP($I$11,Report!$A$18:$L$34,'Data Entry Electricity'!K25,FALSE))</f>
        <v>0.45205000000000001</v>
      </c>
      <c r="N25" s="714">
        <f t="shared" si="3"/>
        <v>0.45205000000000001</v>
      </c>
      <c r="O25" s="714">
        <f t="shared" si="4"/>
        <v>0.45205000000000001</v>
      </c>
    </row>
    <row r="26" spans="1:15">
      <c r="A26" s="19" t="s">
        <v>0</v>
      </c>
      <c r="B26" s="613"/>
      <c r="C26" s="721"/>
      <c r="D26" s="35"/>
      <c r="E26" s="35"/>
      <c r="F26" s="19">
        <f t="shared" si="0"/>
        <v>0</v>
      </c>
      <c r="I26" s="717"/>
      <c r="J26" s="714">
        <f>'Actual-CO2 Calculations'!AJ27</f>
        <v>2011</v>
      </c>
      <c r="K26" s="714">
        <f>'Actual-CO2 Calculations'!AK27</f>
        <v>5</v>
      </c>
      <c r="L26" s="714">
        <f>IF(J26=2009,Report!$C$27,IF(J26=2010,Report!$D$27,IF(J26=2011,Report!$E$27,IF(J26=2012,Report!$F$27,IF(J26=2013,Report!$G$27,IF(J26=2014,Report!$H$27,IF(J26=2015,Report!$I$27,IF(J26=2016,Report!$J$27,IF(J26=2017,Report!$K$27,IF(J26=2018,Report!$L$27,"ERROR"))))))))))</f>
        <v>0.45205000000000001</v>
      </c>
      <c r="M26" s="714">
        <f>IF($M$3="Other",L26,VLOOKUP($I$11,Report!$A$18:$L$34,'Data Entry Electricity'!K26,FALSE))</f>
        <v>0.45205000000000001</v>
      </c>
      <c r="N26" s="714">
        <f t="shared" si="3"/>
        <v>0.45205000000000001</v>
      </c>
      <c r="O26" s="714">
        <f t="shared" si="4"/>
        <v>0.45205000000000001</v>
      </c>
    </row>
    <row r="27" spans="1:15">
      <c r="A27" s="19" t="s">
        <v>1</v>
      </c>
      <c r="B27" s="613"/>
      <c r="C27" s="721"/>
      <c r="D27" s="35"/>
      <c r="E27" s="35"/>
      <c r="F27" s="19">
        <f t="shared" si="0"/>
        <v>0</v>
      </c>
      <c r="I27" s="717"/>
      <c r="J27" s="714">
        <f>'Actual-CO2 Calculations'!AJ28</f>
        <v>2011</v>
      </c>
      <c r="K27" s="714">
        <f>'Actual-CO2 Calculations'!AK28</f>
        <v>5</v>
      </c>
      <c r="L27" s="714">
        <f>IF(J27=2009,Report!$C$27,IF(J27=2010,Report!$D$27,IF(J27=2011,Report!$E$27,IF(J27=2012,Report!$F$27,IF(J27=2013,Report!$G$27,IF(J27=2014,Report!$H$27,IF(J27=2015,Report!$I$27,IF(J27=2016,Report!$J$27,IF(J27=2017,Report!$K$27,IF(J27=2018,Report!$L$27,"ERROR"))))))))))</f>
        <v>0.45205000000000001</v>
      </c>
      <c r="M27" s="714">
        <f>IF($M$3="Other",L27,VLOOKUP($I$11,Report!$A$18:$L$34,'Data Entry Electricity'!K27,FALSE))</f>
        <v>0.45205000000000001</v>
      </c>
      <c r="N27" s="714">
        <f t="shared" si="3"/>
        <v>0.45205000000000001</v>
      </c>
      <c r="O27" s="714">
        <f t="shared" si="4"/>
        <v>0.45205000000000001</v>
      </c>
    </row>
    <row r="28" spans="1:15">
      <c r="A28" s="19" t="s">
        <v>2</v>
      </c>
      <c r="B28" s="613"/>
      <c r="C28" s="721"/>
      <c r="D28" s="35"/>
      <c r="E28" s="35"/>
      <c r="F28" s="19">
        <f t="shared" si="0"/>
        <v>0</v>
      </c>
      <c r="I28" s="717"/>
      <c r="J28" s="714">
        <f>'Actual-CO2 Calculations'!AJ29</f>
        <v>2011</v>
      </c>
      <c r="K28" s="714">
        <f>'Actual-CO2 Calculations'!AK29</f>
        <v>5</v>
      </c>
      <c r="L28" s="714">
        <f>IF(J28=2009,Report!$C$27,IF(J28=2010,Report!$D$27,IF(J28=2011,Report!$E$27,IF(J28=2012,Report!$F$27,IF(J28=2013,Report!$G$27,IF(J28=2014,Report!$H$27,IF(J28=2015,Report!$I$27,IF(J28=2016,Report!$J$27,IF(J28=2017,Report!$K$27,IF(J28=2018,Report!$L$27,"ERROR"))))))))))</f>
        <v>0.45205000000000001</v>
      </c>
      <c r="M28" s="714">
        <f>IF($M$3="Other",L28,VLOOKUP($I$11,Report!$A$18:$L$34,'Data Entry Electricity'!K28,FALSE))</f>
        <v>0.45205000000000001</v>
      </c>
      <c r="N28" s="714">
        <f t="shared" si="3"/>
        <v>0.45205000000000001</v>
      </c>
      <c r="O28" s="714">
        <f t="shared" si="4"/>
        <v>0.45205000000000001</v>
      </c>
    </row>
    <row r="29" spans="1:15">
      <c r="A29" s="19" t="s">
        <v>3</v>
      </c>
      <c r="B29" s="613"/>
      <c r="C29" s="721"/>
      <c r="D29" s="35"/>
      <c r="E29" s="35"/>
      <c r="F29" s="19">
        <f t="shared" si="0"/>
        <v>0</v>
      </c>
      <c r="I29" s="717"/>
      <c r="J29" s="714">
        <f>'Actual-CO2 Calculations'!AJ30</f>
        <v>2011</v>
      </c>
      <c r="K29" s="714">
        <f>'Actual-CO2 Calculations'!AK30</f>
        <v>5</v>
      </c>
      <c r="L29" s="714">
        <f>IF(J29=2009,Report!$C$27,IF(J29=2010,Report!$D$27,IF(J29=2011,Report!$E$27,IF(J29=2012,Report!$F$27,IF(J29=2013,Report!$G$27,IF(J29=2014,Report!$H$27,IF(J29=2015,Report!$I$27,IF(J29=2016,Report!$J$27,IF(J29=2017,Report!$K$27,IF(J29=2018,Report!$L$27,"ERROR"))))))))))</f>
        <v>0.45205000000000001</v>
      </c>
      <c r="M29" s="714">
        <f>IF($M$3="Other",L29,VLOOKUP($I$11,Report!$A$18:$L$34,'Data Entry Electricity'!K29,FALSE))</f>
        <v>0.45205000000000001</v>
      </c>
      <c r="N29" s="714">
        <f t="shared" si="3"/>
        <v>0.45205000000000001</v>
      </c>
      <c r="O29" s="714">
        <f t="shared" si="4"/>
        <v>0.45205000000000001</v>
      </c>
    </row>
    <row r="30" spans="1:15">
      <c r="A30" s="19" t="s">
        <v>49</v>
      </c>
      <c r="B30" s="613"/>
      <c r="C30" s="721"/>
      <c r="D30" s="35"/>
      <c r="E30" s="35"/>
      <c r="F30" s="19">
        <f t="shared" si="0"/>
        <v>0</v>
      </c>
      <c r="I30" s="717"/>
      <c r="J30" s="714">
        <f>'Actual-CO2 Calculations'!AJ31</f>
        <v>2011</v>
      </c>
      <c r="K30" s="714">
        <f>'Actual-CO2 Calculations'!AK31</f>
        <v>5</v>
      </c>
      <c r="L30" s="714">
        <f>IF(J30=2009,Report!$C$27,IF(J30=2010,Report!$D$27,IF(J30=2011,Report!$E$27,IF(J30=2012,Report!$F$27,IF(J30=2013,Report!$G$27,IF(J30=2014,Report!$H$27,IF(J30=2015,Report!$I$27,IF(J30=2016,Report!$J$27,IF(J30=2017,Report!$K$27,IF(J30=2018,Report!$L$27,"ERROR"))))))))))</f>
        <v>0.45205000000000001</v>
      </c>
      <c r="M30" s="714">
        <f>IF($M$3="Other",L30,VLOOKUP($I$11,Report!$A$18:$L$34,'Data Entry Electricity'!K30,FALSE))</f>
        <v>0.45205000000000001</v>
      </c>
      <c r="N30" s="714">
        <f t="shared" si="3"/>
        <v>0.45205000000000001</v>
      </c>
      <c r="O30" s="714">
        <f t="shared" si="4"/>
        <v>0.45205000000000001</v>
      </c>
    </row>
    <row r="31" spans="1:15">
      <c r="A31" s="19" t="s">
        <v>50</v>
      </c>
      <c r="B31" s="613"/>
      <c r="C31" s="721"/>
      <c r="D31" s="35"/>
      <c r="E31" s="35"/>
      <c r="F31" s="19">
        <f t="shared" si="0"/>
        <v>0</v>
      </c>
      <c r="I31" s="717"/>
      <c r="J31" s="714">
        <f>'Actual-CO2 Calculations'!AJ32</f>
        <v>2011</v>
      </c>
      <c r="K31" s="714">
        <f>'Actual-CO2 Calculations'!AK32</f>
        <v>5</v>
      </c>
      <c r="L31" s="714">
        <f>IF(J31=2009,Report!$C$27,IF(J31=2010,Report!$D$27,IF(J31=2011,Report!$E$27,IF(J31=2012,Report!$F$27,IF(J31=2013,Report!$G$27,IF(J31=2014,Report!$H$27,IF(J31=2015,Report!$I$27,IF(J31=2016,Report!$J$27,IF(J31=2017,Report!$K$27,IF(J31=2018,Report!$L$27,"ERROR"))))))))))</f>
        <v>0.45205000000000001</v>
      </c>
      <c r="M31" s="714">
        <f>IF($M$3="Other",L31,VLOOKUP($I$11,Report!$A$18:$L$34,'Data Entry Electricity'!K31,FALSE))</f>
        <v>0.45205000000000001</v>
      </c>
      <c r="N31" s="714">
        <f t="shared" si="3"/>
        <v>0.45205000000000001</v>
      </c>
      <c r="O31" s="714">
        <f t="shared" si="4"/>
        <v>0.45205000000000001</v>
      </c>
    </row>
    <row r="32" spans="1:15">
      <c r="A32" s="19" t="s">
        <v>51</v>
      </c>
      <c r="B32" s="613"/>
      <c r="C32" s="721"/>
      <c r="D32" s="35"/>
      <c r="E32" s="35"/>
      <c r="F32" s="19">
        <f t="shared" si="0"/>
        <v>0</v>
      </c>
      <c r="I32" s="717"/>
      <c r="J32" s="714">
        <f>'Actual-CO2 Calculations'!AJ33</f>
        <v>2012</v>
      </c>
      <c r="K32" s="714">
        <f>'Actual-CO2 Calculations'!AK33</f>
        <v>6</v>
      </c>
      <c r="L32" s="714">
        <f>IF(J32=2009,Report!$C$27,IF(J32=2010,Report!$D$27,IF(J32=2011,Report!$E$27,IF(J32=2012,Report!$F$27,IF(J32=2013,Report!$G$27,IF(J32=2014,Report!$H$27,IF(J32=2015,Report!$I$27,IF(J32=2016,Report!$J$27,IF(J32=2017,Report!$K$27,IF(J32=2018,Report!$L$27,"ERROR"))))))))))</f>
        <v>0.46001999999999998</v>
      </c>
      <c r="M32" s="714">
        <f>IF($M$3="Other",L32,VLOOKUP($I$11,Report!$A$18:$L$34,'Data Entry Electricity'!K32,FALSE))</f>
        <v>0.46001999999999998</v>
      </c>
      <c r="N32" s="714">
        <f t="shared" si="3"/>
        <v>0.46001999999999998</v>
      </c>
      <c r="O32" s="714">
        <f t="shared" si="4"/>
        <v>0.46001999999999998</v>
      </c>
    </row>
    <row r="33" spans="1:15">
      <c r="A33" s="19" t="s">
        <v>52</v>
      </c>
      <c r="B33" s="613"/>
      <c r="C33" s="721"/>
      <c r="D33" s="35"/>
      <c r="E33" s="35"/>
      <c r="F33" s="19">
        <f t="shared" si="0"/>
        <v>0</v>
      </c>
      <c r="I33" s="717"/>
      <c r="J33" s="714">
        <f>'Actual-CO2 Calculations'!AJ34</f>
        <v>2012</v>
      </c>
      <c r="K33" s="714">
        <f>'Actual-CO2 Calculations'!AK34</f>
        <v>6</v>
      </c>
      <c r="L33" s="714">
        <f>IF(J33=2009,Report!$C$27,IF(J33=2010,Report!$D$27,IF(J33=2011,Report!$E$27,IF(J33=2012,Report!$F$27,IF(J33=2013,Report!$G$27,IF(J33=2014,Report!$H$27,IF(J33=2015,Report!$I$27,IF(J33=2016,Report!$J$27,IF(J33=2017,Report!$K$27,IF(J33=2018,Report!$L$27,"ERROR"))))))))))</f>
        <v>0.46001999999999998</v>
      </c>
      <c r="M33" s="714">
        <f>IF($M$3="Other",L33,VLOOKUP($I$11,Report!$A$18:$L$34,'Data Entry Electricity'!K33,FALSE))</f>
        <v>0.46001999999999998</v>
      </c>
      <c r="N33" s="714">
        <f t="shared" si="3"/>
        <v>0.46001999999999998</v>
      </c>
      <c r="O33" s="714">
        <f t="shared" si="4"/>
        <v>0.46001999999999998</v>
      </c>
    </row>
    <row r="34" spans="1:15">
      <c r="A34" s="19" t="s">
        <v>53</v>
      </c>
      <c r="B34" s="613"/>
      <c r="C34" s="721"/>
      <c r="D34" s="35"/>
      <c r="E34" s="35"/>
      <c r="F34" s="19">
        <f t="shared" si="0"/>
        <v>0</v>
      </c>
      <c r="I34" s="717"/>
      <c r="J34" s="714">
        <f>'Actual-CO2 Calculations'!AJ35</f>
        <v>2012</v>
      </c>
      <c r="K34" s="714">
        <f>'Actual-CO2 Calculations'!AK35</f>
        <v>6</v>
      </c>
      <c r="L34" s="714">
        <f>IF(J34=2009,Report!$C$27,IF(J34=2010,Report!$D$27,IF(J34=2011,Report!$E$27,IF(J34=2012,Report!$F$27,IF(J34=2013,Report!$G$27,IF(J34=2014,Report!$H$27,IF(J34=2015,Report!$I$27,IF(J34=2016,Report!$J$27,IF(J34=2017,Report!$K$27,IF(J34=2018,Report!$L$27,"ERROR"))))))))))</f>
        <v>0.46001999999999998</v>
      </c>
      <c r="M34" s="714">
        <f>IF($M$3="Other",L34,VLOOKUP($I$11,Report!$A$18:$L$34,'Data Entry Electricity'!K34,FALSE))</f>
        <v>0.46001999999999998</v>
      </c>
      <c r="N34" s="714">
        <f t="shared" si="3"/>
        <v>0.46001999999999998</v>
      </c>
      <c r="O34" s="714">
        <f t="shared" si="4"/>
        <v>0.46001999999999998</v>
      </c>
    </row>
    <row r="35" spans="1:15">
      <c r="A35" s="19" t="s">
        <v>54</v>
      </c>
      <c r="B35" s="613"/>
      <c r="C35" s="721"/>
      <c r="D35" s="35"/>
      <c r="E35" s="35"/>
      <c r="F35" s="19">
        <f t="shared" si="0"/>
        <v>0</v>
      </c>
      <c r="I35" s="717"/>
      <c r="J35" s="714">
        <f>'Actual-CO2 Calculations'!AJ36</f>
        <v>2012</v>
      </c>
      <c r="K35" s="714">
        <f>'Actual-CO2 Calculations'!AK36</f>
        <v>6</v>
      </c>
      <c r="L35" s="714">
        <f>IF(J35=2009,Report!$C$27,IF(J35=2010,Report!$D$27,IF(J35=2011,Report!$E$27,IF(J35=2012,Report!$F$27,IF(J35=2013,Report!$G$27,IF(J35=2014,Report!$H$27,IF(J35=2015,Report!$I$27,IF(J35=2016,Report!$J$27,IF(J35=2017,Report!$K$27,IF(J35=2018,Report!$L$27,"ERROR"))))))))))</f>
        <v>0.46001999999999998</v>
      </c>
      <c r="M35" s="714">
        <f>IF($M$3="Other",L35,VLOOKUP($I$11,Report!$A$18:$L$34,'Data Entry Electricity'!K35,FALSE))</f>
        <v>0.46001999999999998</v>
      </c>
      <c r="N35" s="714">
        <f t="shared" si="3"/>
        <v>0.46001999999999998</v>
      </c>
      <c r="O35" s="714">
        <f t="shared" si="4"/>
        <v>0.46001999999999998</v>
      </c>
    </row>
    <row r="36" spans="1:15">
      <c r="A36" s="19" t="s">
        <v>55</v>
      </c>
      <c r="B36" s="613"/>
      <c r="C36" s="721"/>
      <c r="D36" s="35"/>
      <c r="E36" s="35"/>
      <c r="F36" s="19">
        <f t="shared" ref="F36:F67" si="5">SUM(B36:E36)</f>
        <v>0</v>
      </c>
      <c r="I36" s="717"/>
      <c r="J36" s="714">
        <f>'Actual-CO2 Calculations'!AJ37</f>
        <v>2012</v>
      </c>
      <c r="K36" s="714">
        <f>'Actual-CO2 Calculations'!AK37</f>
        <v>6</v>
      </c>
      <c r="L36" s="714">
        <f>IF(J36=2009,Report!$C$27,IF(J36=2010,Report!$D$27,IF(J36=2011,Report!$E$27,IF(J36=2012,Report!$F$27,IF(J36=2013,Report!$G$27,IF(J36=2014,Report!$H$27,IF(J36=2015,Report!$I$27,IF(J36=2016,Report!$J$27,IF(J36=2017,Report!$K$27,IF(J36=2018,Report!$L$27,"ERROR"))))))))))</f>
        <v>0.46001999999999998</v>
      </c>
      <c r="M36" s="714">
        <f>IF($M$3="Other",L36,VLOOKUP($I$11,Report!$A$18:$L$34,'Data Entry Electricity'!K36,FALSE))</f>
        <v>0.46001999999999998</v>
      </c>
      <c r="N36" s="714">
        <f t="shared" si="3"/>
        <v>0.46001999999999998</v>
      </c>
      <c r="O36" s="714">
        <f t="shared" si="4"/>
        <v>0.46001999999999998</v>
      </c>
    </row>
    <row r="37" spans="1:15">
      <c r="A37" s="19" t="s">
        <v>56</v>
      </c>
      <c r="B37" s="613"/>
      <c r="C37" s="721"/>
      <c r="D37" s="35"/>
      <c r="E37" s="35"/>
      <c r="F37" s="19">
        <f t="shared" si="5"/>
        <v>0</v>
      </c>
      <c r="I37" s="717"/>
      <c r="J37" s="714">
        <f>'Actual-CO2 Calculations'!AJ38</f>
        <v>2012</v>
      </c>
      <c r="K37" s="714">
        <f>'Actual-CO2 Calculations'!AK38</f>
        <v>6</v>
      </c>
      <c r="L37" s="714">
        <f>IF(J37=2009,Report!$C$27,IF(J37=2010,Report!$D$27,IF(J37=2011,Report!$E$27,IF(J37=2012,Report!$F$27,IF(J37=2013,Report!$G$27,IF(J37=2014,Report!$H$27,IF(J37=2015,Report!$I$27,IF(J37=2016,Report!$J$27,IF(J37=2017,Report!$K$27,IF(J37=2018,Report!$L$27,"ERROR"))))))))))</f>
        <v>0.46001999999999998</v>
      </c>
      <c r="M37" s="714">
        <f>IF($M$3="Other",L37,VLOOKUP($I$11,Report!$A$18:$L$34,'Data Entry Electricity'!K37,FALSE))</f>
        <v>0.46001999999999998</v>
      </c>
      <c r="N37" s="714">
        <f t="shared" si="3"/>
        <v>0.46001999999999998</v>
      </c>
      <c r="O37" s="714">
        <f t="shared" si="4"/>
        <v>0.46001999999999998</v>
      </c>
    </row>
    <row r="38" spans="1:15">
      <c r="A38" s="19" t="s">
        <v>57</v>
      </c>
      <c r="B38" s="613"/>
      <c r="C38" s="721"/>
      <c r="D38" s="35"/>
      <c r="E38" s="35"/>
      <c r="F38" s="19">
        <f t="shared" si="5"/>
        <v>0</v>
      </c>
      <c r="I38" s="717"/>
      <c r="J38" s="714">
        <f>'Actual-CO2 Calculations'!AJ39</f>
        <v>2012</v>
      </c>
      <c r="K38" s="714">
        <f>'Actual-CO2 Calculations'!AK39</f>
        <v>6</v>
      </c>
      <c r="L38" s="714">
        <f>IF(J38=2009,Report!$C$27,IF(J38=2010,Report!$D$27,IF(J38=2011,Report!$E$27,IF(J38=2012,Report!$F$27,IF(J38=2013,Report!$G$27,IF(J38=2014,Report!$H$27,IF(J38=2015,Report!$I$27,IF(J38=2016,Report!$J$27,IF(J38=2017,Report!$K$27,IF(J38=2018,Report!$L$27,"ERROR"))))))))))</f>
        <v>0.46001999999999998</v>
      </c>
      <c r="M38" s="714">
        <f>IF($M$3="Other",L38,VLOOKUP($I$11,Report!$A$18:$L$34,'Data Entry Electricity'!K38,FALSE))</f>
        <v>0.46001999999999998</v>
      </c>
      <c r="N38" s="714">
        <f t="shared" si="3"/>
        <v>0.46001999999999998</v>
      </c>
      <c r="O38" s="714">
        <f t="shared" si="4"/>
        <v>0.46001999999999998</v>
      </c>
    </row>
    <row r="39" spans="1:15">
      <c r="A39" s="19" t="s">
        <v>4</v>
      </c>
      <c r="B39" s="614"/>
      <c r="C39" s="721"/>
      <c r="D39" s="35"/>
      <c r="E39" s="35"/>
      <c r="F39" s="19">
        <f t="shared" si="5"/>
        <v>0</v>
      </c>
      <c r="I39" s="717"/>
      <c r="J39" s="714">
        <f>'Actual-CO2 Calculations'!AJ40</f>
        <v>2012</v>
      </c>
      <c r="K39" s="714">
        <f>'Actual-CO2 Calculations'!AK40</f>
        <v>6</v>
      </c>
      <c r="L39" s="714">
        <f>IF(J39=2009,Report!$C$27,IF(J39=2010,Report!$D$27,IF(J39=2011,Report!$E$27,IF(J39=2012,Report!$F$27,IF(J39=2013,Report!$G$27,IF(J39=2014,Report!$H$27,IF(J39=2015,Report!$I$27,IF(J39=2016,Report!$J$27,IF(J39=2017,Report!$K$27,IF(J39=2018,Report!$L$27,"ERROR"))))))))))</f>
        <v>0.46001999999999998</v>
      </c>
      <c r="M39" s="714">
        <f>IF($M$3="Other",L39,VLOOKUP($I$11,Report!$A$18:$L$34,'Data Entry Electricity'!K39,FALSE))</f>
        <v>0.46001999999999998</v>
      </c>
      <c r="N39" s="714">
        <f t="shared" si="3"/>
        <v>0.46001999999999998</v>
      </c>
      <c r="O39" s="714">
        <f t="shared" si="4"/>
        <v>0.46001999999999998</v>
      </c>
    </row>
    <row r="40" spans="1:15">
      <c r="A40" s="19" t="s">
        <v>5</v>
      </c>
      <c r="B40" s="35"/>
      <c r="C40" s="721"/>
      <c r="D40" s="35"/>
      <c r="E40" s="35"/>
      <c r="F40" s="19">
        <f t="shared" si="5"/>
        <v>0</v>
      </c>
      <c r="I40" s="717"/>
      <c r="J40" s="714">
        <f>'Actual-CO2 Calculations'!AJ41</f>
        <v>2012</v>
      </c>
      <c r="K40" s="714">
        <f>'Actual-CO2 Calculations'!AK41</f>
        <v>6</v>
      </c>
      <c r="L40" s="714">
        <f>IF(J40=2009,Report!$C$27,IF(J40=2010,Report!$D$27,IF(J40=2011,Report!$E$27,IF(J40=2012,Report!$F$27,IF(J40=2013,Report!$G$27,IF(J40=2014,Report!$H$27,IF(J40=2015,Report!$I$27,IF(J40=2016,Report!$J$27,IF(J40=2017,Report!$K$27,IF(J40=2018,Report!$L$27,"ERROR"))))))))))</f>
        <v>0.46001999999999998</v>
      </c>
      <c r="M40" s="714">
        <f>IF($M$3="Other",L40,VLOOKUP($I$11,Report!$A$18:$L$34,'Data Entry Electricity'!K40,FALSE))</f>
        <v>0.46001999999999998</v>
      </c>
      <c r="N40" s="714">
        <f t="shared" si="3"/>
        <v>0.46001999999999998</v>
      </c>
      <c r="O40" s="714">
        <f t="shared" si="4"/>
        <v>0.46001999999999998</v>
      </c>
    </row>
    <row r="41" spans="1:15">
      <c r="A41" s="19" t="s">
        <v>6</v>
      </c>
      <c r="B41" s="35"/>
      <c r="C41" s="721"/>
      <c r="D41" s="35"/>
      <c r="E41" s="35"/>
      <c r="F41" s="19">
        <f t="shared" si="5"/>
        <v>0</v>
      </c>
      <c r="I41" s="717"/>
      <c r="J41" s="714">
        <f>'Actual-CO2 Calculations'!AJ42</f>
        <v>2012</v>
      </c>
      <c r="K41" s="714">
        <f>'Actual-CO2 Calculations'!AK42</f>
        <v>6</v>
      </c>
      <c r="L41" s="714">
        <f>IF(J41=2009,Report!$C$27,IF(J41=2010,Report!$D$27,IF(J41=2011,Report!$E$27,IF(J41=2012,Report!$F$27,IF(J41=2013,Report!$G$27,IF(J41=2014,Report!$H$27,IF(J41=2015,Report!$I$27,IF(J41=2016,Report!$J$27,IF(J41=2017,Report!$K$27,IF(J41=2018,Report!$L$27,"ERROR"))))))))))</f>
        <v>0.46001999999999998</v>
      </c>
      <c r="M41" s="714">
        <f>IF($M$3="Other",L41,VLOOKUP($I$11,Report!$A$18:$L$34,'Data Entry Electricity'!K41,FALSE))</f>
        <v>0.46001999999999998</v>
      </c>
      <c r="N41" s="714">
        <f t="shared" si="3"/>
        <v>0.46001999999999998</v>
      </c>
      <c r="O41" s="714">
        <f t="shared" si="4"/>
        <v>0.46001999999999998</v>
      </c>
    </row>
    <row r="42" spans="1:15">
      <c r="A42" s="19" t="s">
        <v>7</v>
      </c>
      <c r="B42" s="35"/>
      <c r="C42" s="721"/>
      <c r="D42" s="35"/>
      <c r="E42" s="35"/>
      <c r="F42" s="19">
        <f t="shared" si="5"/>
        <v>0</v>
      </c>
      <c r="I42" s="717"/>
      <c r="J42" s="714">
        <f>'Actual-CO2 Calculations'!AJ43</f>
        <v>2012</v>
      </c>
      <c r="K42" s="714">
        <f>'Actual-CO2 Calculations'!AK43</f>
        <v>6</v>
      </c>
      <c r="L42" s="714">
        <f>IF(J42=2009,Report!$C$27,IF(J42=2010,Report!$D$27,IF(J42=2011,Report!$E$27,IF(J42=2012,Report!$F$27,IF(J42=2013,Report!$G$27,IF(J42=2014,Report!$H$27,IF(J42=2015,Report!$I$27,IF(J42=2016,Report!$J$27,IF(J42=2017,Report!$K$27,IF(J42=2018,Report!$L$27,"ERROR"))))))))))</f>
        <v>0.46001999999999998</v>
      </c>
      <c r="M42" s="714">
        <f>IF($M$3="Other",L42,VLOOKUP($I$11,Report!$A$18:$L$34,'Data Entry Electricity'!K42,FALSE))</f>
        <v>0.46001999999999998</v>
      </c>
      <c r="N42" s="714">
        <f t="shared" si="3"/>
        <v>0.46001999999999998</v>
      </c>
      <c r="O42" s="714">
        <f t="shared" si="4"/>
        <v>0.46001999999999998</v>
      </c>
    </row>
    <row r="43" spans="1:15">
      <c r="A43" s="19" t="s">
        <v>58</v>
      </c>
      <c r="B43" s="35"/>
      <c r="C43" s="721"/>
      <c r="D43" s="35"/>
      <c r="E43" s="35"/>
      <c r="F43" s="19">
        <f t="shared" si="5"/>
        <v>0</v>
      </c>
      <c r="I43" s="717"/>
      <c r="J43" s="714">
        <f>'Actual-CO2 Calculations'!AJ44</f>
        <v>2012</v>
      </c>
      <c r="K43" s="714">
        <f>'Actual-CO2 Calculations'!AK44</f>
        <v>6</v>
      </c>
      <c r="L43" s="714">
        <f>IF(J43=2009,Report!$C$27,IF(J43=2010,Report!$D$27,IF(J43=2011,Report!$E$27,IF(J43=2012,Report!$F$27,IF(J43=2013,Report!$G$27,IF(J43=2014,Report!$H$27,IF(J43=2015,Report!$I$27,IF(J43=2016,Report!$J$27,IF(J43=2017,Report!$K$27,IF(J43=2018,Report!$L$27,"ERROR"))))))))))</f>
        <v>0.46001999999999998</v>
      </c>
      <c r="M43" s="714">
        <f>IF($M$3="Other",L43,VLOOKUP($I$11,Report!$A$18:$L$34,'Data Entry Electricity'!K43,FALSE))</f>
        <v>0.46001999999999998</v>
      </c>
      <c r="N43" s="714">
        <f t="shared" si="3"/>
        <v>0.46001999999999998</v>
      </c>
      <c r="O43" s="714">
        <f t="shared" si="4"/>
        <v>0.46001999999999998</v>
      </c>
    </row>
    <row r="44" spans="1:15">
      <c r="A44" s="19" t="s">
        <v>59</v>
      </c>
      <c r="B44" s="35"/>
      <c r="C44" s="721"/>
      <c r="D44" s="35"/>
      <c r="E44" s="35"/>
      <c r="F44" s="19">
        <f t="shared" si="5"/>
        <v>0</v>
      </c>
      <c r="I44" s="717"/>
      <c r="J44" s="714">
        <f>'Actual-CO2 Calculations'!AJ45</f>
        <v>2012</v>
      </c>
      <c r="K44" s="714">
        <f>'Actual-CO2 Calculations'!AK45</f>
        <v>6</v>
      </c>
      <c r="L44" s="714">
        <f>IF(J44=2009,Report!$C$27,IF(J44=2010,Report!$D$27,IF(J44=2011,Report!$E$27,IF(J44=2012,Report!$F$27,IF(J44=2013,Report!$G$27,IF(J44=2014,Report!$H$27,IF(J44=2015,Report!$I$27,IF(J44=2016,Report!$J$27,IF(J44=2017,Report!$K$27,IF(J44=2018,Report!$L$27,"ERROR"))))))))))</f>
        <v>0.46001999999999998</v>
      </c>
      <c r="M44" s="714">
        <f>IF($M$3="Other",L44,VLOOKUP($I$11,Report!$A$18:$L$34,'Data Entry Electricity'!K44,FALSE))</f>
        <v>0.46001999999999998</v>
      </c>
      <c r="N44" s="714">
        <f t="shared" si="3"/>
        <v>0.46001999999999998</v>
      </c>
      <c r="O44" s="714">
        <f t="shared" si="4"/>
        <v>0.46001999999999998</v>
      </c>
    </row>
    <row r="45" spans="1:15">
      <c r="A45" s="19" t="s">
        <v>60</v>
      </c>
      <c r="B45" s="35"/>
      <c r="C45" s="721"/>
      <c r="D45" s="35"/>
      <c r="E45" s="35"/>
      <c r="F45" s="19">
        <f t="shared" si="5"/>
        <v>0</v>
      </c>
      <c r="I45" s="717"/>
      <c r="J45" s="714">
        <f>'Actual-CO2 Calculations'!AJ46</f>
        <v>2013</v>
      </c>
      <c r="K45" s="714">
        <f>'Actual-CO2 Calculations'!AK46</f>
        <v>7</v>
      </c>
      <c r="L45" s="714">
        <f>IF(J45=2009,Report!$C$27,IF(J45=2010,Report!$D$27,IF(J45=2011,Report!$E$27,IF(J45=2012,Report!$F$27,IF(J45=2013,Report!$G$27,IF(J45=2014,Report!$H$27,IF(J45=2015,Report!$I$27,IF(J45=2016,Report!$J$27,IF(J45=2017,Report!$K$27,IF(J45=2018,Report!$L$27,"ERROR"))))))))))</f>
        <v>0.44547999999999999</v>
      </c>
      <c r="M45" s="714">
        <f>IF($M$3="Other",L45,VLOOKUP($I$11,Report!$A$18:$L$34,'Data Entry Electricity'!K45,FALSE))</f>
        <v>0.44547999999999999</v>
      </c>
      <c r="N45" s="714">
        <f t="shared" si="3"/>
        <v>0.44547999999999999</v>
      </c>
      <c r="O45" s="714">
        <f t="shared" si="4"/>
        <v>0.44547999999999999</v>
      </c>
    </row>
    <row r="46" spans="1:15">
      <c r="A46" s="19" t="s">
        <v>61</v>
      </c>
      <c r="B46" s="35"/>
      <c r="C46" s="721"/>
      <c r="D46" s="35"/>
      <c r="E46" s="35"/>
      <c r="F46" s="19">
        <f t="shared" si="5"/>
        <v>0</v>
      </c>
      <c r="I46" s="717"/>
      <c r="J46" s="714">
        <f>'Actual-CO2 Calculations'!AJ47</f>
        <v>2013</v>
      </c>
      <c r="K46" s="714">
        <f>'Actual-CO2 Calculations'!AK47</f>
        <v>7</v>
      </c>
      <c r="L46" s="714">
        <f>IF(J46=2009,Report!$C$27,IF(J46=2010,Report!$D$27,IF(J46=2011,Report!$E$27,IF(J46=2012,Report!$F$27,IF(J46=2013,Report!$G$27,IF(J46=2014,Report!$H$27,IF(J46=2015,Report!$I$27,IF(J46=2016,Report!$J$27,IF(J46=2017,Report!$K$27,IF(J46=2018,Report!$L$27,"ERROR"))))))))))</f>
        <v>0.44547999999999999</v>
      </c>
      <c r="M46" s="714">
        <f>IF($M$3="Other",L46,VLOOKUP($I$11,Report!$A$18:$L$34,'Data Entry Electricity'!K46,FALSE))</f>
        <v>0.44547999999999999</v>
      </c>
      <c r="N46" s="714">
        <f t="shared" si="3"/>
        <v>0.44547999999999999</v>
      </c>
      <c r="O46" s="714">
        <f t="shared" si="4"/>
        <v>0.44547999999999999</v>
      </c>
    </row>
    <row r="47" spans="1:15">
      <c r="A47" s="19" t="s">
        <v>62</v>
      </c>
      <c r="B47" s="35"/>
      <c r="C47" s="721"/>
      <c r="D47" s="35"/>
      <c r="E47" s="35"/>
      <c r="F47" s="19">
        <f t="shared" si="5"/>
        <v>0</v>
      </c>
      <c r="I47" s="717"/>
      <c r="J47" s="714">
        <f>'Actual-CO2 Calculations'!AJ48</f>
        <v>2013</v>
      </c>
      <c r="K47" s="714">
        <f>'Actual-CO2 Calculations'!AK48</f>
        <v>7</v>
      </c>
      <c r="L47" s="714">
        <f>IF(J47=2009,Report!$C$27,IF(J47=2010,Report!$D$27,IF(J47=2011,Report!$E$27,IF(J47=2012,Report!$F$27,IF(J47=2013,Report!$G$27,IF(J47=2014,Report!$H$27,IF(J47=2015,Report!$I$27,IF(J47=2016,Report!$J$27,IF(J47=2017,Report!$K$27,IF(J47=2018,Report!$L$27,"ERROR"))))))))))</f>
        <v>0.44547999999999999</v>
      </c>
      <c r="M47" s="714">
        <f>IF($M$3="Other",L47,VLOOKUP($I$11,Report!$A$18:$L$34,'Data Entry Electricity'!K47,FALSE))</f>
        <v>0.44547999999999999</v>
      </c>
      <c r="N47" s="714">
        <f t="shared" si="3"/>
        <v>0.44547999999999999</v>
      </c>
      <c r="O47" s="714">
        <f t="shared" si="4"/>
        <v>0.44547999999999999</v>
      </c>
    </row>
    <row r="48" spans="1:15">
      <c r="A48" s="19" t="s">
        <v>63</v>
      </c>
      <c r="B48" s="35"/>
      <c r="C48" s="721"/>
      <c r="D48" s="35"/>
      <c r="E48" s="35"/>
      <c r="F48" s="19">
        <f t="shared" si="5"/>
        <v>0</v>
      </c>
      <c r="I48" s="717"/>
      <c r="J48" s="714">
        <f>'Actual-CO2 Calculations'!AJ49</f>
        <v>2013</v>
      </c>
      <c r="K48" s="714">
        <f>'Actual-CO2 Calculations'!AK49</f>
        <v>7</v>
      </c>
      <c r="L48" s="714">
        <f>IF(J48=2009,Report!$C$27,IF(J48=2010,Report!$D$27,IF(J48=2011,Report!$E$27,IF(J48=2012,Report!$F$27,IF(J48=2013,Report!$G$27,IF(J48=2014,Report!$H$27,IF(J48=2015,Report!$I$27,IF(J48=2016,Report!$J$27,IF(J48=2017,Report!$K$27,IF(J48=2018,Report!$L$27,"ERROR"))))))))))</f>
        <v>0.44547999999999999</v>
      </c>
      <c r="M48" s="714">
        <f>IF($M$3="Other",L48,VLOOKUP($I$11,Report!$A$18:$L$34,'Data Entry Electricity'!K48,FALSE))</f>
        <v>0.44547999999999999</v>
      </c>
      <c r="N48" s="714">
        <f t="shared" si="3"/>
        <v>0.44547999999999999</v>
      </c>
      <c r="O48" s="714">
        <f t="shared" si="4"/>
        <v>0.44547999999999999</v>
      </c>
    </row>
    <row r="49" spans="1:15">
      <c r="A49" s="19" t="s">
        <v>64</v>
      </c>
      <c r="B49" s="35"/>
      <c r="C49" s="721"/>
      <c r="D49" s="35"/>
      <c r="E49" s="35"/>
      <c r="F49" s="19">
        <f t="shared" si="5"/>
        <v>0</v>
      </c>
      <c r="I49" s="717"/>
      <c r="J49" s="714">
        <f>'Actual-CO2 Calculations'!AJ50</f>
        <v>2013</v>
      </c>
      <c r="K49" s="714">
        <f>'Actual-CO2 Calculations'!AK50</f>
        <v>7</v>
      </c>
      <c r="L49" s="714">
        <f>IF(J49=2009,Report!$C$27,IF(J49=2010,Report!$D$27,IF(J49=2011,Report!$E$27,IF(J49=2012,Report!$F$27,IF(J49=2013,Report!$G$27,IF(J49=2014,Report!$H$27,IF(J49=2015,Report!$I$27,IF(J49=2016,Report!$J$27,IF(J49=2017,Report!$K$27,IF(J49=2018,Report!$L$27,"ERROR"))))))))))</f>
        <v>0.44547999999999999</v>
      </c>
      <c r="M49" s="714">
        <f>IF($M$3="Other",L49,VLOOKUP($I$11,Report!$A$18:$L$34,'Data Entry Electricity'!K49,FALSE))</f>
        <v>0.44547999999999999</v>
      </c>
      <c r="N49" s="714">
        <f t="shared" si="3"/>
        <v>0.44547999999999999</v>
      </c>
      <c r="O49" s="714">
        <f t="shared" si="4"/>
        <v>0.44547999999999999</v>
      </c>
    </row>
    <row r="50" spans="1:15">
      <c r="A50" s="19" t="s">
        <v>65</v>
      </c>
      <c r="B50" s="35"/>
      <c r="C50" s="721"/>
      <c r="D50" s="35"/>
      <c r="E50" s="35"/>
      <c r="F50" s="19">
        <f t="shared" si="5"/>
        <v>0</v>
      </c>
      <c r="I50" s="717"/>
      <c r="J50" s="714">
        <f>'Actual-CO2 Calculations'!AJ51</f>
        <v>2013</v>
      </c>
      <c r="K50" s="714">
        <f>'Actual-CO2 Calculations'!AK51</f>
        <v>7</v>
      </c>
      <c r="L50" s="714">
        <f>IF(J50=2009,Report!$C$27,IF(J50=2010,Report!$D$27,IF(J50=2011,Report!$E$27,IF(J50=2012,Report!$F$27,IF(J50=2013,Report!$G$27,IF(J50=2014,Report!$H$27,IF(J50=2015,Report!$I$27,IF(J50=2016,Report!$J$27,IF(J50=2017,Report!$K$27,IF(J50=2018,Report!$L$27,"ERROR"))))))))))</f>
        <v>0.44547999999999999</v>
      </c>
      <c r="M50" s="714">
        <f>IF($M$3="Other",L50,VLOOKUP($I$11,Report!$A$18:$L$34,'Data Entry Electricity'!K50,FALSE))</f>
        <v>0.44547999999999999</v>
      </c>
      <c r="N50" s="714">
        <f t="shared" si="3"/>
        <v>0.44547999999999999</v>
      </c>
      <c r="O50" s="714">
        <f t="shared" si="4"/>
        <v>0.44547999999999999</v>
      </c>
    </row>
    <row r="51" spans="1:15">
      <c r="A51" s="19" t="s">
        <v>66</v>
      </c>
      <c r="B51" s="35"/>
      <c r="C51" s="721"/>
      <c r="D51" s="35"/>
      <c r="E51" s="35"/>
      <c r="F51" s="19">
        <f t="shared" si="5"/>
        <v>0</v>
      </c>
      <c r="I51" s="717"/>
      <c r="J51" s="714">
        <f>'Actual-CO2 Calculations'!AJ52</f>
        <v>2013</v>
      </c>
      <c r="K51" s="714">
        <f>'Actual-CO2 Calculations'!AK52</f>
        <v>7</v>
      </c>
      <c r="L51" s="714">
        <f>IF(J51=2009,Report!$C$27,IF(J51=2010,Report!$D$27,IF(J51=2011,Report!$E$27,IF(J51=2012,Report!$F$27,IF(J51=2013,Report!$G$27,IF(J51=2014,Report!$H$27,IF(J51=2015,Report!$I$27,IF(J51=2016,Report!$J$27,IF(J51=2017,Report!$K$27,IF(J51=2018,Report!$L$27,"ERROR"))))))))))</f>
        <v>0.44547999999999999</v>
      </c>
      <c r="M51" s="714">
        <f>IF($M$3="Other",L51,VLOOKUP($I$11,Report!$A$18:$L$34,'Data Entry Electricity'!K51,FALSE))</f>
        <v>0.44547999999999999</v>
      </c>
      <c r="N51" s="714">
        <f t="shared" si="3"/>
        <v>0.44547999999999999</v>
      </c>
      <c r="O51" s="714">
        <f t="shared" si="4"/>
        <v>0.44547999999999999</v>
      </c>
    </row>
    <row r="52" spans="1:15">
      <c r="A52" s="19" t="s">
        <v>8</v>
      </c>
      <c r="B52" s="35"/>
      <c r="C52" s="721"/>
      <c r="D52" s="35"/>
      <c r="E52" s="35"/>
      <c r="F52" s="19">
        <f t="shared" si="5"/>
        <v>0</v>
      </c>
      <c r="I52" s="717"/>
      <c r="J52" s="714">
        <f>'Actual-CO2 Calculations'!AJ53</f>
        <v>2013</v>
      </c>
      <c r="K52" s="714">
        <f>'Actual-CO2 Calculations'!AK53</f>
        <v>7</v>
      </c>
      <c r="L52" s="714">
        <f>IF(J52=2009,Report!$C$27,IF(J52=2010,Report!$D$27,IF(J52=2011,Report!$E$27,IF(J52=2012,Report!$F$27,IF(J52=2013,Report!$G$27,IF(J52=2014,Report!$H$27,IF(J52=2015,Report!$I$27,IF(J52=2016,Report!$J$27,IF(J52=2017,Report!$K$27,IF(J52=2018,Report!$L$27,"ERROR"))))))))))</f>
        <v>0.44547999999999999</v>
      </c>
      <c r="M52" s="714">
        <f>IF($M$3="Other",L52,VLOOKUP($I$11,Report!$A$18:$L$34,'Data Entry Electricity'!K52,FALSE))</f>
        <v>0.44547999999999999</v>
      </c>
      <c r="N52" s="714">
        <f t="shared" si="3"/>
        <v>0.44547999999999999</v>
      </c>
      <c r="O52" s="714">
        <f t="shared" si="4"/>
        <v>0.44547999999999999</v>
      </c>
    </row>
    <row r="53" spans="1:15">
      <c r="A53" s="19" t="s">
        <v>9</v>
      </c>
      <c r="B53" s="35"/>
      <c r="C53" s="721"/>
      <c r="D53" s="35"/>
      <c r="E53" s="35"/>
      <c r="F53" s="19">
        <f t="shared" si="5"/>
        <v>0</v>
      </c>
      <c r="I53" s="717"/>
      <c r="J53" s="714">
        <f>'Actual-CO2 Calculations'!AJ54</f>
        <v>2013</v>
      </c>
      <c r="K53" s="714">
        <f>'Actual-CO2 Calculations'!AK54</f>
        <v>7</v>
      </c>
      <c r="L53" s="714">
        <f>IF(J53=2009,Report!$C$27,IF(J53=2010,Report!$D$27,IF(J53=2011,Report!$E$27,IF(J53=2012,Report!$F$27,IF(J53=2013,Report!$G$27,IF(J53=2014,Report!$H$27,IF(J53=2015,Report!$I$27,IF(J53=2016,Report!$J$27,IF(J53=2017,Report!$K$27,IF(J53=2018,Report!$L$27,"ERROR"))))))))))</f>
        <v>0.44547999999999999</v>
      </c>
      <c r="M53" s="714">
        <f>IF($M$3="Other",L53,VLOOKUP($I$11,Report!$A$18:$L$34,'Data Entry Electricity'!K53,FALSE))</f>
        <v>0.44547999999999999</v>
      </c>
      <c r="N53" s="714">
        <f t="shared" si="3"/>
        <v>0.44547999999999999</v>
      </c>
      <c r="O53" s="714">
        <f t="shared" si="4"/>
        <v>0.44547999999999999</v>
      </c>
    </row>
    <row r="54" spans="1:15">
      <c r="A54" s="19" t="s">
        <v>10</v>
      </c>
      <c r="B54" s="35"/>
      <c r="C54" s="721"/>
      <c r="D54" s="35"/>
      <c r="E54" s="35"/>
      <c r="F54" s="19">
        <f t="shared" si="5"/>
        <v>0</v>
      </c>
      <c r="I54" s="717"/>
      <c r="J54" s="714">
        <f>'Actual-CO2 Calculations'!AJ55</f>
        <v>2013</v>
      </c>
      <c r="K54" s="714">
        <f>'Actual-CO2 Calculations'!AK55</f>
        <v>7</v>
      </c>
      <c r="L54" s="714">
        <f>IF(J54=2009,Report!$C$27,IF(J54=2010,Report!$D$27,IF(J54=2011,Report!$E$27,IF(J54=2012,Report!$F$27,IF(J54=2013,Report!$G$27,IF(J54=2014,Report!$H$27,IF(J54=2015,Report!$I$27,IF(J54=2016,Report!$J$27,IF(J54=2017,Report!$K$27,IF(J54=2018,Report!$L$27,"ERROR"))))))))))</f>
        <v>0.44547999999999999</v>
      </c>
      <c r="M54" s="714">
        <f>IF($M$3="Other",L54,VLOOKUP($I$11,Report!$A$18:$L$34,'Data Entry Electricity'!K54,FALSE))</f>
        <v>0.44547999999999999</v>
      </c>
      <c r="N54" s="714">
        <f t="shared" si="3"/>
        <v>0.44547999999999999</v>
      </c>
      <c r="O54" s="714">
        <f t="shared" si="4"/>
        <v>0.44547999999999999</v>
      </c>
    </row>
    <row r="55" spans="1:15">
      <c r="A55" s="19" t="s">
        <v>11</v>
      </c>
      <c r="B55" s="35"/>
      <c r="C55" s="721"/>
      <c r="D55" s="35"/>
      <c r="E55" s="35"/>
      <c r="F55" s="19">
        <f t="shared" si="5"/>
        <v>0</v>
      </c>
      <c r="I55" s="717"/>
      <c r="J55" s="714">
        <f>'Actual-CO2 Calculations'!AJ56</f>
        <v>2013</v>
      </c>
      <c r="K55" s="714">
        <f>'Actual-CO2 Calculations'!AK56</f>
        <v>7</v>
      </c>
      <c r="L55" s="714">
        <f>IF(J55=2009,Report!$C$27,IF(J55=2010,Report!$D$27,IF(J55=2011,Report!$E$27,IF(J55=2012,Report!$F$27,IF(J55=2013,Report!$G$27,IF(J55=2014,Report!$H$27,IF(J55=2015,Report!$I$27,IF(J55=2016,Report!$J$27,IF(J55=2017,Report!$K$27,IF(J55=2018,Report!$L$27,"ERROR"))))))))))</f>
        <v>0.44547999999999999</v>
      </c>
      <c r="M55" s="714">
        <f>IF($M$3="Other",L55,VLOOKUP($I$11,Report!$A$18:$L$34,'Data Entry Electricity'!K55,FALSE))</f>
        <v>0.44547999999999999</v>
      </c>
      <c r="N55" s="714">
        <f t="shared" si="3"/>
        <v>0.44547999999999999</v>
      </c>
      <c r="O55" s="714">
        <f t="shared" si="4"/>
        <v>0.44547999999999999</v>
      </c>
    </row>
    <row r="56" spans="1:15">
      <c r="A56" s="19" t="s">
        <v>67</v>
      </c>
      <c r="B56" s="837">
        <v>5542</v>
      </c>
      <c r="C56" s="721"/>
      <c r="D56" s="35"/>
      <c r="E56" s="35"/>
      <c r="F56" s="19">
        <f t="shared" si="5"/>
        <v>5542</v>
      </c>
      <c r="I56" s="717"/>
      <c r="J56" s="714">
        <f>'Actual-CO2 Calculations'!AJ57</f>
        <v>2013</v>
      </c>
      <c r="K56" s="714">
        <f>'Actual-CO2 Calculations'!AK57</f>
        <v>7</v>
      </c>
      <c r="L56" s="714">
        <f>IF(J56=2009,Report!$C$27,IF(J56=2010,Report!$D$27,IF(J56=2011,Report!$E$27,IF(J56=2012,Report!$F$27,IF(J56=2013,Report!$G$27,IF(J56=2014,Report!$H$27,IF(J56=2015,Report!$I$27,IF(J56=2016,Report!$J$27,IF(J56=2017,Report!$K$27,IF(J56=2018,Report!$L$27,"ERROR"))))))))))</f>
        <v>0.44547999999999999</v>
      </c>
      <c r="M56" s="714">
        <f>IF($M$3="Other",L56,VLOOKUP($I$11,Report!$A$18:$L$34,'Data Entry Electricity'!K56,FALSE))</f>
        <v>0.44547999999999999</v>
      </c>
      <c r="N56" s="714">
        <f t="shared" si="3"/>
        <v>0.44547999999999999</v>
      </c>
      <c r="O56" s="714">
        <f t="shared" si="4"/>
        <v>0.44547999999999999</v>
      </c>
    </row>
    <row r="57" spans="1:15">
      <c r="A57" s="19" t="s">
        <v>68</v>
      </c>
      <c r="B57" s="837">
        <v>8009</v>
      </c>
      <c r="C57" s="721"/>
      <c r="D57" s="35"/>
      <c r="E57" s="35"/>
      <c r="F57" s="19">
        <f t="shared" si="5"/>
        <v>8009</v>
      </c>
      <c r="I57" s="717"/>
      <c r="J57" s="714">
        <f>'Actual-CO2 Calculations'!AJ58</f>
        <v>2013</v>
      </c>
      <c r="K57" s="714">
        <f>'Actual-CO2 Calculations'!AK58</f>
        <v>7</v>
      </c>
      <c r="L57" s="714">
        <f>IF(J57=2009,Report!$C$27,IF(J57=2010,Report!$D$27,IF(J57=2011,Report!$E$27,IF(J57=2012,Report!$F$27,IF(J57=2013,Report!$G$27,IF(J57=2014,Report!$H$27,IF(J57=2015,Report!$I$27,IF(J57=2016,Report!$J$27,IF(J57=2017,Report!$K$27,IF(J57=2018,Report!$L$27,"ERROR"))))))))))</f>
        <v>0.44547999999999999</v>
      </c>
      <c r="M57" s="714">
        <f>IF($M$3="Other",L57,VLOOKUP($I$11,Report!$A$18:$L$34,'Data Entry Electricity'!K57,FALSE))</f>
        <v>0.44547999999999999</v>
      </c>
      <c r="N57" s="714">
        <f t="shared" si="3"/>
        <v>0.44547999999999999</v>
      </c>
      <c r="O57" s="714">
        <f t="shared" si="4"/>
        <v>0.44547999999999999</v>
      </c>
    </row>
    <row r="58" spans="1:15">
      <c r="A58" s="19" t="s">
        <v>69</v>
      </c>
      <c r="B58" s="837">
        <v>8953</v>
      </c>
      <c r="C58" s="721"/>
      <c r="D58" s="35"/>
      <c r="E58" s="35"/>
      <c r="F58" s="19">
        <f t="shared" si="5"/>
        <v>8953</v>
      </c>
      <c r="I58" s="717"/>
      <c r="J58" s="714">
        <f>'Actual-CO2 Calculations'!AJ59</f>
        <v>2014</v>
      </c>
      <c r="K58" s="714">
        <f>'Actual-CO2 Calculations'!AK59</f>
        <v>8</v>
      </c>
      <c r="L58" s="714">
        <f>IF(J58=2009,Report!$C$27,IF(J58=2010,Report!$D$27,IF(J58=2011,Report!$E$27,IF(J58=2012,Report!$F$27,IF(J58=2013,Report!$G$27,IF(J58=2014,Report!$H$27,IF(J58=2015,Report!$I$27,IF(J58=2016,Report!$J$27,IF(J58=2017,Report!$K$27,IF(J58=2018,Report!$L$27,"ERROR"))))))))))</f>
        <v>0.49425999999999998</v>
      </c>
      <c r="M58" s="714">
        <f>IF($M$3="Other",L58,VLOOKUP($I$11,Report!$A$18:$L$34,'Data Entry Electricity'!K58,FALSE))</f>
        <v>0.49425999999999998</v>
      </c>
      <c r="N58" s="714">
        <f t="shared" si="3"/>
        <v>0.49425999999999998</v>
      </c>
      <c r="O58" s="714">
        <f t="shared" si="4"/>
        <v>0.49425999999999998</v>
      </c>
    </row>
    <row r="59" spans="1:15">
      <c r="A59" s="19" t="s">
        <v>70</v>
      </c>
      <c r="B59" s="837">
        <v>7031</v>
      </c>
      <c r="C59" s="721"/>
      <c r="D59" s="35"/>
      <c r="E59" s="35"/>
      <c r="F59" s="19">
        <f t="shared" si="5"/>
        <v>7031</v>
      </c>
      <c r="I59" s="717"/>
      <c r="J59" s="714">
        <f>'Actual-CO2 Calculations'!AJ60</f>
        <v>2014</v>
      </c>
      <c r="K59" s="714">
        <f>'Actual-CO2 Calculations'!AK60</f>
        <v>8</v>
      </c>
      <c r="L59" s="714">
        <f>IF(J59=2009,Report!$C$27,IF(J59=2010,Report!$D$27,IF(J59=2011,Report!$E$27,IF(J59=2012,Report!$F$27,IF(J59=2013,Report!$G$27,IF(J59=2014,Report!$H$27,IF(J59=2015,Report!$I$27,IF(J59=2016,Report!$J$27,IF(J59=2017,Report!$K$27,IF(J59=2018,Report!$L$27,"ERROR"))))))))))</f>
        <v>0.49425999999999998</v>
      </c>
      <c r="M59" s="714">
        <f>IF($M$3="Other",L59,VLOOKUP($I$11,Report!$A$18:$L$34,'Data Entry Electricity'!K59,FALSE))</f>
        <v>0.49425999999999998</v>
      </c>
      <c r="N59" s="714">
        <f t="shared" si="3"/>
        <v>0.49425999999999998</v>
      </c>
      <c r="O59" s="714">
        <f t="shared" si="4"/>
        <v>0.49425999999999998</v>
      </c>
    </row>
    <row r="60" spans="1:15">
      <c r="A60" s="19" t="s">
        <v>71</v>
      </c>
      <c r="B60" s="837">
        <v>13796</v>
      </c>
      <c r="C60" s="721"/>
      <c r="D60" s="35"/>
      <c r="E60" s="35"/>
      <c r="F60" s="19">
        <f t="shared" si="5"/>
        <v>13796</v>
      </c>
      <c r="I60" s="717"/>
      <c r="J60" s="714">
        <f>'Actual-CO2 Calculations'!AJ61</f>
        <v>2014</v>
      </c>
      <c r="K60" s="714">
        <f>'Actual-CO2 Calculations'!AK61</f>
        <v>8</v>
      </c>
      <c r="L60" s="714">
        <f>IF(J60=2009,Report!$C$27,IF(J60=2010,Report!$D$27,IF(J60=2011,Report!$E$27,IF(J60=2012,Report!$F$27,IF(J60=2013,Report!$G$27,IF(J60=2014,Report!$H$27,IF(J60=2015,Report!$I$27,IF(J60=2016,Report!$J$27,IF(J60=2017,Report!$K$27,IF(J60=2018,Report!$L$27,"ERROR"))))))))))</f>
        <v>0.49425999999999998</v>
      </c>
      <c r="M60" s="714">
        <f>IF($M$3="Other",L60,VLOOKUP($I$11,Report!$A$18:$L$34,'Data Entry Electricity'!K60,FALSE))</f>
        <v>0.49425999999999998</v>
      </c>
      <c r="N60" s="714">
        <f t="shared" si="3"/>
        <v>0.49425999999999998</v>
      </c>
      <c r="O60" s="714">
        <f t="shared" si="4"/>
        <v>0.49425999999999998</v>
      </c>
    </row>
    <row r="61" spans="1:15">
      <c r="A61" s="19" t="s">
        <v>72</v>
      </c>
      <c r="B61" s="837">
        <v>13702</v>
      </c>
      <c r="C61" s="721"/>
      <c r="D61" s="35"/>
      <c r="E61" s="35"/>
      <c r="F61" s="19">
        <f t="shared" si="5"/>
        <v>13702</v>
      </c>
      <c r="I61" s="717"/>
      <c r="J61" s="714">
        <f>'Actual-CO2 Calculations'!AJ62</f>
        <v>2014</v>
      </c>
      <c r="K61" s="714">
        <f>'Actual-CO2 Calculations'!AK62</f>
        <v>8</v>
      </c>
      <c r="L61" s="714">
        <f>IF(J61=2009,Report!$C$27,IF(J61=2010,Report!$D$27,IF(J61=2011,Report!$E$27,IF(J61=2012,Report!$F$27,IF(J61=2013,Report!$G$27,IF(J61=2014,Report!$H$27,IF(J61=2015,Report!$I$27,IF(J61=2016,Report!$J$27,IF(J61=2017,Report!$K$27,IF(J61=2018,Report!$L$27,"ERROR"))))))))))</f>
        <v>0.49425999999999998</v>
      </c>
      <c r="M61" s="714">
        <f>IF($M$3="Other",L61,VLOOKUP($I$11,Report!$A$18:$L$34,'Data Entry Electricity'!K61,FALSE))</f>
        <v>0.49425999999999998</v>
      </c>
      <c r="N61" s="714">
        <f t="shared" si="3"/>
        <v>0.49425999999999998</v>
      </c>
      <c r="O61" s="714">
        <f t="shared" si="4"/>
        <v>0.49425999999999998</v>
      </c>
    </row>
    <row r="62" spans="1:15">
      <c r="A62" s="19" t="s">
        <v>73</v>
      </c>
      <c r="B62" s="837">
        <v>12579</v>
      </c>
      <c r="C62" s="721"/>
      <c r="D62" s="35"/>
      <c r="E62" s="35"/>
      <c r="F62" s="19">
        <f t="shared" si="5"/>
        <v>12579</v>
      </c>
      <c r="I62" s="717"/>
      <c r="J62" s="714">
        <f>'Actual-CO2 Calculations'!AJ63</f>
        <v>2014</v>
      </c>
      <c r="K62" s="714">
        <f>'Actual-CO2 Calculations'!AK63</f>
        <v>8</v>
      </c>
      <c r="L62" s="714">
        <f>IF(J62=2009,Report!$C$27,IF(J62=2010,Report!$D$27,IF(J62=2011,Report!$E$27,IF(J62=2012,Report!$F$27,IF(J62=2013,Report!$G$27,IF(J62=2014,Report!$H$27,IF(J62=2015,Report!$I$27,IF(J62=2016,Report!$J$27,IF(J62=2017,Report!$K$27,IF(J62=2018,Report!$L$27,"ERROR"))))))))))</f>
        <v>0.49425999999999998</v>
      </c>
      <c r="M62" s="714">
        <f>IF($M$3="Other",L62,VLOOKUP($I$11,Report!$A$18:$L$34,'Data Entry Electricity'!K62,FALSE))</f>
        <v>0.49425999999999998</v>
      </c>
      <c r="N62" s="714">
        <f t="shared" si="3"/>
        <v>0.49425999999999998</v>
      </c>
      <c r="O62" s="714">
        <f t="shared" si="4"/>
        <v>0.49425999999999998</v>
      </c>
    </row>
    <row r="63" spans="1:15">
      <c r="A63" s="19" t="s">
        <v>74</v>
      </c>
      <c r="B63" s="837">
        <v>22208</v>
      </c>
      <c r="C63" s="721"/>
      <c r="D63" s="35"/>
      <c r="E63" s="35"/>
      <c r="F63" s="19">
        <f t="shared" si="5"/>
        <v>22208</v>
      </c>
      <c r="I63" s="717"/>
      <c r="J63" s="714">
        <f>'Actual-CO2 Calculations'!AJ64</f>
        <v>2014</v>
      </c>
      <c r="K63" s="714">
        <f>'Actual-CO2 Calculations'!AK64</f>
        <v>8</v>
      </c>
      <c r="L63" s="714">
        <f>IF(J63=2009,Report!$C$27,IF(J63=2010,Report!$D$27,IF(J63=2011,Report!$E$27,IF(J63=2012,Report!$F$27,IF(J63=2013,Report!$G$27,IF(J63=2014,Report!$H$27,IF(J63=2015,Report!$I$27,IF(J63=2016,Report!$J$27,IF(J63=2017,Report!$K$27,IF(J63=2018,Report!$L$27,"ERROR"))))))))))</f>
        <v>0.49425999999999998</v>
      </c>
      <c r="M63" s="714">
        <f>IF($M$3="Other",L63,VLOOKUP($I$11,Report!$A$18:$L$34,'Data Entry Electricity'!K63,FALSE))</f>
        <v>0.49425999999999998</v>
      </c>
      <c r="N63" s="714">
        <f t="shared" si="3"/>
        <v>0.49425999999999998</v>
      </c>
      <c r="O63" s="714">
        <f t="shared" si="4"/>
        <v>0.49425999999999998</v>
      </c>
    </row>
    <row r="64" spans="1:15">
      <c r="A64" s="19" t="s">
        <v>75</v>
      </c>
      <c r="B64" s="837">
        <v>10442</v>
      </c>
      <c r="C64" s="721"/>
      <c r="D64" s="35"/>
      <c r="E64" s="35"/>
      <c r="F64" s="19">
        <f t="shared" si="5"/>
        <v>10442</v>
      </c>
      <c r="I64" s="717"/>
      <c r="J64" s="714">
        <f>'Actual-CO2 Calculations'!AJ65</f>
        <v>2014</v>
      </c>
      <c r="K64" s="714">
        <f>'Actual-CO2 Calculations'!AK65</f>
        <v>8</v>
      </c>
      <c r="L64" s="714">
        <f>IF(J64=2009,Report!$C$27,IF(J64=2010,Report!$D$27,IF(J64=2011,Report!$E$27,IF(J64=2012,Report!$F$27,IF(J64=2013,Report!$G$27,IF(J64=2014,Report!$H$27,IF(J64=2015,Report!$I$27,IF(J64=2016,Report!$J$27,IF(J64=2017,Report!$K$27,IF(J64=2018,Report!$L$27,"ERROR"))))))))))</f>
        <v>0.49425999999999998</v>
      </c>
      <c r="M64" s="714">
        <f>IF($M$3="Other",L64,VLOOKUP($I$11,Report!$A$18:$L$34,'Data Entry Electricity'!K64,FALSE))</f>
        <v>0.49425999999999998</v>
      </c>
      <c r="N64" s="714">
        <f t="shared" si="3"/>
        <v>0.49425999999999998</v>
      </c>
      <c r="O64" s="714">
        <f t="shared" si="4"/>
        <v>0.49425999999999998</v>
      </c>
    </row>
    <row r="65" spans="1:15">
      <c r="A65" s="19" t="s">
        <v>12</v>
      </c>
      <c r="B65" s="838">
        <v>10671</v>
      </c>
      <c r="C65" s="721"/>
      <c r="D65" s="35"/>
      <c r="E65" s="35"/>
      <c r="F65" s="19">
        <f t="shared" si="5"/>
        <v>10671</v>
      </c>
      <c r="I65" s="717"/>
      <c r="J65" s="714">
        <f>'Actual-CO2 Calculations'!AJ66</f>
        <v>2014</v>
      </c>
      <c r="K65" s="714">
        <f>'Actual-CO2 Calculations'!AK66</f>
        <v>8</v>
      </c>
      <c r="L65" s="714">
        <f>IF(J65=2009,Report!$C$27,IF(J65=2010,Report!$D$27,IF(J65=2011,Report!$E$27,IF(J65=2012,Report!$F$27,IF(J65=2013,Report!$G$27,IF(J65=2014,Report!$H$27,IF(J65=2015,Report!$I$27,IF(J65=2016,Report!$J$27,IF(J65=2017,Report!$K$27,IF(J65=2018,Report!$L$27,"ERROR"))))))))))</f>
        <v>0.49425999999999998</v>
      </c>
      <c r="M65" s="714">
        <f>IF($M$3="Other",L65,VLOOKUP($I$11,Report!$A$18:$L$34,'Data Entry Electricity'!K65,FALSE))</f>
        <v>0.49425999999999998</v>
      </c>
      <c r="N65" s="714">
        <f t="shared" si="3"/>
        <v>0.49425999999999998</v>
      </c>
      <c r="O65" s="714">
        <f t="shared" si="4"/>
        <v>0.49425999999999998</v>
      </c>
    </row>
    <row r="66" spans="1:15">
      <c r="A66" s="19" t="s">
        <v>13</v>
      </c>
      <c r="B66" s="838">
        <v>10231</v>
      </c>
      <c r="C66" s="721"/>
      <c r="D66" s="35"/>
      <c r="E66" s="35"/>
      <c r="F66" s="19">
        <f t="shared" si="5"/>
        <v>10231</v>
      </c>
      <c r="I66" s="717"/>
      <c r="J66" s="714">
        <f>'Actual-CO2 Calculations'!AJ67</f>
        <v>2014</v>
      </c>
      <c r="K66" s="714">
        <f>'Actual-CO2 Calculations'!AK67</f>
        <v>8</v>
      </c>
      <c r="L66" s="714">
        <f>IF(J66=2009,Report!$C$27,IF(J66=2010,Report!$D$27,IF(J66=2011,Report!$E$27,IF(J66=2012,Report!$F$27,IF(J66=2013,Report!$G$27,IF(J66=2014,Report!$H$27,IF(J66=2015,Report!$I$27,IF(J66=2016,Report!$J$27,IF(J66=2017,Report!$K$27,IF(J66=2018,Report!$L$27,"ERROR"))))))))))</f>
        <v>0.49425999999999998</v>
      </c>
      <c r="M66" s="714">
        <f>IF($M$3="Other",L66,VLOOKUP($I$11,Report!$A$18:$L$34,'Data Entry Electricity'!K66,FALSE))</f>
        <v>0.49425999999999998</v>
      </c>
      <c r="N66" s="714">
        <f t="shared" si="3"/>
        <v>0.49425999999999998</v>
      </c>
      <c r="O66" s="714">
        <f t="shared" si="4"/>
        <v>0.49425999999999998</v>
      </c>
    </row>
    <row r="67" spans="1:15">
      <c r="A67" s="19" t="s">
        <v>14</v>
      </c>
      <c r="B67" s="838">
        <v>9989</v>
      </c>
      <c r="C67" s="721"/>
      <c r="D67" s="35"/>
      <c r="E67" s="35"/>
      <c r="F67" s="19">
        <f t="shared" si="5"/>
        <v>9989</v>
      </c>
      <c r="I67" s="717"/>
      <c r="J67" s="714">
        <f>'Actual-CO2 Calculations'!AJ68</f>
        <v>2014</v>
      </c>
      <c r="K67" s="714">
        <f>'Actual-CO2 Calculations'!AK68</f>
        <v>8</v>
      </c>
      <c r="L67" s="714">
        <f>IF(J67=2009,Report!$C$27,IF(J67=2010,Report!$D$27,IF(J67=2011,Report!$E$27,IF(J67=2012,Report!$F$27,IF(J67=2013,Report!$G$27,IF(J67=2014,Report!$H$27,IF(J67=2015,Report!$I$27,IF(J67=2016,Report!$J$27,IF(J67=2017,Report!$K$27,IF(J67=2018,Report!$L$27,"ERROR"))))))))))</f>
        <v>0.49425999999999998</v>
      </c>
      <c r="M67" s="714">
        <f>IF($M$3="Other",L67,VLOOKUP($I$11,Report!$A$18:$L$34,'Data Entry Electricity'!K67,FALSE))</f>
        <v>0.49425999999999998</v>
      </c>
      <c r="N67" s="714">
        <f t="shared" si="3"/>
        <v>0.49425999999999998</v>
      </c>
      <c r="O67" s="714">
        <f t="shared" si="4"/>
        <v>0.49425999999999998</v>
      </c>
    </row>
    <row r="68" spans="1:15">
      <c r="A68" s="19" t="s">
        <v>15</v>
      </c>
      <c r="B68" s="838">
        <v>9761</v>
      </c>
      <c r="C68" s="721"/>
      <c r="D68" s="35"/>
      <c r="E68" s="35"/>
      <c r="F68" s="19">
        <f t="shared" ref="F68:F99" si="6">SUM(B68:E68)</f>
        <v>9761</v>
      </c>
      <c r="I68" s="717"/>
      <c r="J68" s="714">
        <f>'Actual-CO2 Calculations'!AJ69</f>
        <v>2014</v>
      </c>
      <c r="K68" s="714">
        <f>'Actual-CO2 Calculations'!AK69</f>
        <v>8</v>
      </c>
      <c r="L68" s="714">
        <f>IF(J68=2009,Report!$C$27,IF(J68=2010,Report!$D$27,IF(J68=2011,Report!$E$27,IF(J68=2012,Report!$F$27,IF(J68=2013,Report!$G$27,IF(J68=2014,Report!$H$27,IF(J68=2015,Report!$I$27,IF(J68=2016,Report!$J$27,IF(J68=2017,Report!$K$27,IF(J68=2018,Report!$L$27,"ERROR"))))))))))</f>
        <v>0.49425999999999998</v>
      </c>
      <c r="M68" s="714">
        <f>IF($M$3="Other",L68,VLOOKUP($I$11,Report!$A$18:$L$34,'Data Entry Electricity'!K68,FALSE))</f>
        <v>0.49425999999999998</v>
      </c>
      <c r="N68" s="714">
        <f t="shared" si="3"/>
        <v>0.49425999999999998</v>
      </c>
      <c r="O68" s="714">
        <f t="shared" si="4"/>
        <v>0.49425999999999998</v>
      </c>
    </row>
    <row r="69" spans="1:15">
      <c r="A69" s="19" t="s">
        <v>76</v>
      </c>
      <c r="B69" s="838">
        <v>9517</v>
      </c>
      <c r="C69" s="721"/>
      <c r="D69" s="35"/>
      <c r="E69" s="35"/>
      <c r="F69" s="19">
        <f t="shared" si="6"/>
        <v>9517</v>
      </c>
      <c r="I69" s="717"/>
      <c r="J69" s="714">
        <f>'Actual-CO2 Calculations'!AJ70</f>
        <v>2014</v>
      </c>
      <c r="K69" s="714">
        <f>'Actual-CO2 Calculations'!AK70</f>
        <v>8</v>
      </c>
      <c r="L69" s="714">
        <f>IF(J69=2009,Report!$C$27,IF(J69=2010,Report!$D$27,IF(J69=2011,Report!$E$27,IF(J69=2012,Report!$F$27,IF(J69=2013,Report!$G$27,IF(J69=2014,Report!$H$27,IF(J69=2015,Report!$I$27,IF(J69=2016,Report!$J$27,IF(J69=2017,Report!$K$27,IF(J69=2018,Report!$L$27,"ERROR"))))))))))</f>
        <v>0.49425999999999998</v>
      </c>
      <c r="M69" s="714">
        <f>IF($M$3="Other",L69,VLOOKUP($I$11,Report!$A$18:$L$34,'Data Entry Electricity'!K69,FALSE))</f>
        <v>0.49425999999999998</v>
      </c>
      <c r="N69" s="714">
        <f t="shared" si="3"/>
        <v>0.49425999999999998</v>
      </c>
      <c r="O69" s="714">
        <f t="shared" si="4"/>
        <v>0.49425999999999998</v>
      </c>
    </row>
    <row r="70" spans="1:15">
      <c r="A70" s="19" t="s">
        <v>77</v>
      </c>
      <c r="B70" s="838">
        <v>9306</v>
      </c>
      <c r="C70" s="721"/>
      <c r="D70" s="35"/>
      <c r="E70" s="35"/>
      <c r="F70" s="19">
        <f t="shared" si="6"/>
        <v>9306</v>
      </c>
      <c r="I70" s="717"/>
      <c r="J70" s="714">
        <f>'Actual-CO2 Calculations'!AJ71</f>
        <v>2014</v>
      </c>
      <c r="K70" s="714">
        <f>'Actual-CO2 Calculations'!AK71</f>
        <v>8</v>
      </c>
      <c r="L70" s="714">
        <f>IF(J70=2009,Report!$C$27,IF(J70=2010,Report!$D$27,IF(J70=2011,Report!$E$27,IF(J70=2012,Report!$F$27,IF(J70=2013,Report!$G$27,IF(J70=2014,Report!$H$27,IF(J70=2015,Report!$I$27,IF(J70=2016,Report!$J$27,IF(J70=2017,Report!$K$27,IF(J70=2018,Report!$L$27,"ERROR"))))))))))</f>
        <v>0.49425999999999998</v>
      </c>
      <c r="M70" s="714">
        <f>IF($M$3="Other",L70,VLOOKUP($I$11,Report!$A$18:$L$34,'Data Entry Electricity'!K70,FALSE))</f>
        <v>0.49425999999999998</v>
      </c>
      <c r="N70" s="714">
        <f t="shared" si="3"/>
        <v>0.49425999999999998</v>
      </c>
      <c r="O70" s="714">
        <f t="shared" si="4"/>
        <v>0.49425999999999998</v>
      </c>
    </row>
    <row r="71" spans="1:15">
      <c r="A71" s="19" t="s">
        <v>78</v>
      </c>
      <c r="B71" s="838">
        <v>9089</v>
      </c>
      <c r="C71" s="721"/>
      <c r="D71" s="35"/>
      <c r="E71" s="35"/>
      <c r="F71" s="19">
        <f t="shared" si="6"/>
        <v>9089</v>
      </c>
      <c r="I71" s="717"/>
      <c r="J71" s="714">
        <f>'Actual-CO2 Calculations'!AJ72</f>
        <v>2015</v>
      </c>
      <c r="K71" s="714">
        <f>'Actual-CO2 Calculations'!AK72</f>
        <v>9</v>
      </c>
      <c r="L71" s="714">
        <f>IF(J71=2009,Report!$C$27,IF(J71=2010,Report!$D$27,IF(J71=2011,Report!$E$27,IF(J71=2012,Report!$F$27,IF(J71=2013,Report!$G$27,IF(J71=2014,Report!$H$27,IF(J71=2015,Report!$I$27,IF(J71=2016,Report!$J$27,IF(J71=2017,Report!$K$27,IF(J71=2018,Report!$L$27,"ERROR"))))))))))</f>
        <v>0.4621981</v>
      </c>
      <c r="M71" s="714">
        <f>IF($M$3="Other",L71,VLOOKUP($I$11,Report!$A$18:$L$34,'Data Entry Electricity'!K71,FALSE))</f>
        <v>0.4621981</v>
      </c>
      <c r="N71" s="714">
        <f t="shared" si="3"/>
        <v>0.4621981</v>
      </c>
      <c r="O71" s="714">
        <f t="shared" si="4"/>
        <v>0.4621981</v>
      </c>
    </row>
    <row r="72" spans="1:15">
      <c r="A72" s="19" t="s">
        <v>79</v>
      </c>
      <c r="B72" s="838">
        <v>9000</v>
      </c>
      <c r="C72" s="721"/>
      <c r="D72" s="35"/>
      <c r="E72" s="35"/>
      <c r="F72" s="19">
        <f t="shared" si="6"/>
        <v>9000</v>
      </c>
      <c r="I72" s="717"/>
      <c r="J72" s="714">
        <f>'Actual-CO2 Calculations'!AJ73</f>
        <v>2015</v>
      </c>
      <c r="K72" s="714">
        <f>'Actual-CO2 Calculations'!AK73</f>
        <v>9</v>
      </c>
      <c r="L72" s="714">
        <f>IF(J72=2009,Report!$C$27,IF(J72=2010,Report!$D$27,IF(J72=2011,Report!$E$27,IF(J72=2012,Report!$F$27,IF(J72=2013,Report!$G$27,IF(J72=2014,Report!$H$27,IF(J72=2015,Report!$I$27,IF(J72=2016,Report!$J$27,IF(J72=2017,Report!$K$27,IF(J72=2018,Report!$L$27,"ERROR"))))))))))</f>
        <v>0.4621981</v>
      </c>
      <c r="M72" s="714">
        <f>IF($M$3="Other",L72,VLOOKUP($I$11,Report!$A$18:$L$34,'Data Entry Electricity'!K72,FALSE))</f>
        <v>0.4621981</v>
      </c>
      <c r="N72" s="714">
        <f t="shared" si="3"/>
        <v>0.4621981</v>
      </c>
      <c r="O72" s="714">
        <f t="shared" si="4"/>
        <v>0.4621981</v>
      </c>
    </row>
    <row r="73" spans="1:15">
      <c r="A73" s="19" t="s">
        <v>80</v>
      </c>
      <c r="B73" s="838">
        <v>9000</v>
      </c>
      <c r="C73" s="721"/>
      <c r="D73" s="35"/>
      <c r="E73" s="35"/>
      <c r="F73" s="19">
        <f t="shared" si="6"/>
        <v>9000</v>
      </c>
      <c r="I73" s="717"/>
      <c r="J73" s="714">
        <f>'Actual-CO2 Calculations'!AJ74</f>
        <v>2015</v>
      </c>
      <c r="K73" s="714">
        <f>'Actual-CO2 Calculations'!AK74</f>
        <v>9</v>
      </c>
      <c r="L73" s="714">
        <f>IF(J73=2009,Report!$C$27,IF(J73=2010,Report!$D$27,IF(J73=2011,Report!$E$27,IF(J73=2012,Report!$F$27,IF(J73=2013,Report!$G$27,IF(J73=2014,Report!$H$27,IF(J73=2015,Report!$I$27,IF(J73=2016,Report!$J$27,IF(J73=2017,Report!$K$27,IF(J73=2018,Report!$L$27,"ERROR"))))))))))</f>
        <v>0.4621981</v>
      </c>
      <c r="M73" s="714">
        <f>IF($M$3="Other",L73,VLOOKUP($I$11,Report!$A$18:$L$34,'Data Entry Electricity'!K73,FALSE))</f>
        <v>0.4621981</v>
      </c>
      <c r="N73" s="714">
        <f t="shared" si="3"/>
        <v>0.4621981</v>
      </c>
      <c r="O73" s="714">
        <f t="shared" si="4"/>
        <v>0.4621981</v>
      </c>
    </row>
    <row r="74" spans="1:15">
      <c r="A74" s="19" t="s">
        <v>81</v>
      </c>
      <c r="B74" s="838">
        <v>9000</v>
      </c>
      <c r="C74" s="721"/>
      <c r="D74" s="35"/>
      <c r="E74" s="35"/>
      <c r="F74" s="19">
        <f t="shared" si="6"/>
        <v>9000</v>
      </c>
      <c r="I74" s="717"/>
      <c r="J74" s="714">
        <f>'Actual-CO2 Calculations'!AJ75</f>
        <v>2015</v>
      </c>
      <c r="K74" s="714">
        <f>'Actual-CO2 Calculations'!AK75</f>
        <v>9</v>
      </c>
      <c r="L74" s="714">
        <f>IF(J74=2009,Report!$C$27,IF(J74=2010,Report!$D$27,IF(J74=2011,Report!$E$27,IF(J74=2012,Report!$F$27,IF(J74=2013,Report!$G$27,IF(J74=2014,Report!$H$27,IF(J74=2015,Report!$I$27,IF(J74=2016,Report!$J$27,IF(J74=2017,Report!$K$27,IF(J74=2018,Report!$L$27,"ERROR"))))))))))</f>
        <v>0.4621981</v>
      </c>
      <c r="M74" s="714">
        <f>IF($M$3="Other",L74,VLOOKUP($I$11,Report!$A$18:$L$34,'Data Entry Electricity'!K74,FALSE))</f>
        <v>0.4621981</v>
      </c>
      <c r="N74" s="714">
        <f t="shared" si="3"/>
        <v>0.4621981</v>
      </c>
      <c r="O74" s="714">
        <f t="shared" si="4"/>
        <v>0.4621981</v>
      </c>
    </row>
    <row r="75" spans="1:15">
      <c r="A75" s="19" t="s">
        <v>82</v>
      </c>
      <c r="B75" s="838">
        <v>9000</v>
      </c>
      <c r="C75" s="721"/>
      <c r="D75" s="35"/>
      <c r="E75" s="35"/>
      <c r="F75" s="19">
        <f t="shared" si="6"/>
        <v>9000</v>
      </c>
      <c r="I75" s="717"/>
      <c r="J75" s="714">
        <f>'Actual-CO2 Calculations'!AJ76</f>
        <v>2015</v>
      </c>
      <c r="K75" s="714">
        <f>'Actual-CO2 Calculations'!AK76</f>
        <v>9</v>
      </c>
      <c r="L75" s="714">
        <f>IF(J75=2009,Report!$C$27,IF(J75=2010,Report!$D$27,IF(J75=2011,Report!$E$27,IF(J75=2012,Report!$F$27,IF(J75=2013,Report!$G$27,IF(J75=2014,Report!$H$27,IF(J75=2015,Report!$I$27,IF(J75=2016,Report!$J$27,IF(J75=2017,Report!$K$27,IF(J75=2018,Report!$L$27,"ERROR"))))))))))</f>
        <v>0.4621981</v>
      </c>
      <c r="M75" s="714">
        <f>IF($M$3="Other",L75,VLOOKUP($I$11,Report!$A$18:$L$34,'Data Entry Electricity'!K75,FALSE))</f>
        <v>0.4621981</v>
      </c>
      <c r="N75" s="714">
        <f t="shared" si="3"/>
        <v>0.4621981</v>
      </c>
      <c r="O75" s="714">
        <f t="shared" si="4"/>
        <v>0.4621981</v>
      </c>
    </row>
    <row r="76" spans="1:15">
      <c r="A76" s="19" t="s">
        <v>83</v>
      </c>
      <c r="B76" s="838">
        <v>7000</v>
      </c>
      <c r="C76" s="721"/>
      <c r="D76" s="35"/>
      <c r="E76" s="35"/>
      <c r="F76" s="19">
        <f t="shared" si="6"/>
        <v>7000</v>
      </c>
      <c r="I76" s="717"/>
      <c r="J76" s="714">
        <f>'Actual-CO2 Calculations'!AJ77</f>
        <v>2015</v>
      </c>
      <c r="K76" s="714">
        <f>'Actual-CO2 Calculations'!AK77</f>
        <v>9</v>
      </c>
      <c r="L76" s="714">
        <f>IF(J76=2009,Report!$C$27,IF(J76=2010,Report!$D$27,IF(J76=2011,Report!$E$27,IF(J76=2012,Report!$F$27,IF(J76=2013,Report!$G$27,IF(J76=2014,Report!$H$27,IF(J76=2015,Report!$I$27,IF(J76=2016,Report!$J$27,IF(J76=2017,Report!$K$27,IF(J76=2018,Report!$L$27,"ERROR"))))))))))</f>
        <v>0.4621981</v>
      </c>
      <c r="M76" s="714">
        <f>IF($M$3="Other",L76,VLOOKUP($I$11,Report!$A$18:$L$34,'Data Entry Electricity'!K76,FALSE))</f>
        <v>0.4621981</v>
      </c>
      <c r="N76" s="714">
        <f t="shared" si="3"/>
        <v>0.4621981</v>
      </c>
      <c r="O76" s="714">
        <f t="shared" si="4"/>
        <v>0.4621981</v>
      </c>
    </row>
    <row r="77" spans="1:15">
      <c r="A77" s="19" t="s">
        <v>84</v>
      </c>
      <c r="B77" s="838">
        <v>7000</v>
      </c>
      <c r="C77" s="721"/>
      <c r="D77" s="35"/>
      <c r="E77" s="35"/>
      <c r="F77" s="19">
        <f t="shared" si="6"/>
        <v>7000</v>
      </c>
      <c r="I77" s="717"/>
      <c r="J77" s="714">
        <f>'Actual-CO2 Calculations'!AJ78</f>
        <v>2015</v>
      </c>
      <c r="K77" s="714">
        <f>'Actual-CO2 Calculations'!AK78</f>
        <v>9</v>
      </c>
      <c r="L77" s="714">
        <f>IF(J77=2009,Report!$C$27,IF(J77=2010,Report!$D$27,IF(J77=2011,Report!$E$27,IF(J77=2012,Report!$F$27,IF(J77=2013,Report!$G$27,IF(J77=2014,Report!$H$27,IF(J77=2015,Report!$I$27,IF(J77=2016,Report!$J$27,IF(J77=2017,Report!$K$27,IF(J77=2018,Report!$L$27,"ERROR"))))))))))</f>
        <v>0.4621981</v>
      </c>
      <c r="M77" s="714">
        <f>IF($M$3="Other",L77,VLOOKUP($I$11,Report!$A$18:$L$34,'Data Entry Electricity'!K77,FALSE))</f>
        <v>0.4621981</v>
      </c>
      <c r="N77" s="714">
        <f t="shared" si="3"/>
        <v>0.4621981</v>
      </c>
      <c r="O77" s="714">
        <f t="shared" si="4"/>
        <v>0.4621981</v>
      </c>
    </row>
    <row r="78" spans="1:15">
      <c r="A78" s="19" t="s">
        <v>16</v>
      </c>
      <c r="B78" s="838">
        <v>7000</v>
      </c>
      <c r="C78" s="721"/>
      <c r="D78" s="35"/>
      <c r="E78" s="35"/>
      <c r="F78" s="19">
        <f t="shared" si="6"/>
        <v>7000</v>
      </c>
      <c r="I78" s="717"/>
      <c r="J78" s="714">
        <f>'Actual-CO2 Calculations'!AJ79</f>
        <v>2015</v>
      </c>
      <c r="K78" s="714">
        <f>'Actual-CO2 Calculations'!AK79</f>
        <v>9</v>
      </c>
      <c r="L78" s="714">
        <f>IF(J78=2009,Report!$C$27,IF(J78=2010,Report!$D$27,IF(J78=2011,Report!$E$27,IF(J78=2012,Report!$F$27,IF(J78=2013,Report!$G$27,IF(J78=2014,Report!$H$27,IF(J78=2015,Report!$I$27,IF(J78=2016,Report!$J$27,IF(J78=2017,Report!$K$27,IF(J78=2018,Report!$L$27,"ERROR"))))))))))</f>
        <v>0.4621981</v>
      </c>
      <c r="M78" s="714">
        <f>IF($M$3="Other",L78,VLOOKUP($I$11,Report!$A$18:$L$34,'Data Entry Electricity'!K78,FALSE))</f>
        <v>0.4621981</v>
      </c>
      <c r="N78" s="714">
        <f t="shared" si="3"/>
        <v>0.4621981</v>
      </c>
      <c r="O78" s="714">
        <f t="shared" si="4"/>
        <v>0.4621981</v>
      </c>
    </row>
    <row r="79" spans="1:15">
      <c r="A79" s="19" t="s">
        <v>17</v>
      </c>
      <c r="B79" s="35">
        <v>5000</v>
      </c>
      <c r="C79" s="721"/>
      <c r="D79" s="35"/>
      <c r="E79" s="35"/>
      <c r="F79" s="19">
        <f t="shared" si="6"/>
        <v>5000</v>
      </c>
      <c r="I79" s="717"/>
      <c r="J79" s="714">
        <f>'Actual-CO2 Calculations'!AJ80</f>
        <v>2015</v>
      </c>
      <c r="K79" s="714">
        <f>'Actual-CO2 Calculations'!AK80</f>
        <v>9</v>
      </c>
      <c r="L79" s="714">
        <f>IF(J79=2009,Report!$C$27,IF(J79=2010,Report!$D$27,IF(J79=2011,Report!$E$27,IF(J79=2012,Report!$F$27,IF(J79=2013,Report!$G$27,IF(J79=2014,Report!$H$27,IF(J79=2015,Report!$I$27,IF(J79=2016,Report!$J$27,IF(J79=2017,Report!$K$27,IF(J79=2018,Report!$L$27,"ERROR"))))))))))</f>
        <v>0.4621981</v>
      </c>
      <c r="M79" s="714">
        <f>IF($M$3="Other",L79,VLOOKUP($I$11,Report!$A$18:$L$34,'Data Entry Electricity'!K79,FALSE))</f>
        <v>0.4621981</v>
      </c>
      <c r="N79" s="714">
        <f t="shared" si="3"/>
        <v>0.4621981</v>
      </c>
      <c r="O79" s="714">
        <f t="shared" si="4"/>
        <v>0.4621981</v>
      </c>
    </row>
    <row r="80" spans="1:15">
      <c r="A80" s="19" t="s">
        <v>18</v>
      </c>
      <c r="B80" s="35">
        <v>5000</v>
      </c>
      <c r="C80" s="721"/>
      <c r="D80" s="35"/>
      <c r="E80" s="35"/>
      <c r="F80" s="19">
        <f t="shared" si="6"/>
        <v>5000</v>
      </c>
      <c r="I80" s="717"/>
      <c r="J80" s="714">
        <f>'Actual-CO2 Calculations'!AJ81</f>
        <v>2015</v>
      </c>
      <c r="K80" s="714">
        <f>'Actual-CO2 Calculations'!AK81</f>
        <v>9</v>
      </c>
      <c r="L80" s="714">
        <f>IF(J80=2009,Report!$C$27,IF(J80=2010,Report!$D$27,IF(J80=2011,Report!$E$27,IF(J80=2012,Report!$F$27,IF(J80=2013,Report!$G$27,IF(J80=2014,Report!$H$27,IF(J80=2015,Report!$I$27,IF(J80=2016,Report!$J$27,IF(J80=2017,Report!$K$27,IF(J80=2018,Report!$L$27,"ERROR"))))))))))</f>
        <v>0.4621981</v>
      </c>
      <c r="M80" s="714">
        <f>IF($M$3="Other",L80,VLOOKUP($I$11,Report!$A$18:$L$34,'Data Entry Electricity'!K80,FALSE))</f>
        <v>0.4621981</v>
      </c>
      <c r="N80" s="714">
        <f t="shared" si="3"/>
        <v>0.4621981</v>
      </c>
      <c r="O80" s="714">
        <f t="shared" si="4"/>
        <v>0.4621981</v>
      </c>
    </row>
    <row r="81" spans="1:15">
      <c r="A81" s="19" t="s">
        <v>19</v>
      </c>
      <c r="B81" s="35">
        <v>5000</v>
      </c>
      <c r="C81" s="721"/>
      <c r="D81" s="35"/>
      <c r="E81" s="35"/>
      <c r="F81" s="19">
        <f t="shared" si="6"/>
        <v>5000</v>
      </c>
      <c r="I81" s="717"/>
      <c r="J81" s="714">
        <f>'Actual-CO2 Calculations'!AJ82</f>
        <v>2015</v>
      </c>
      <c r="K81" s="714">
        <f>'Actual-CO2 Calculations'!AK82</f>
        <v>9</v>
      </c>
      <c r="L81" s="714">
        <f>IF(J81=2009,Report!$C$27,IF(J81=2010,Report!$D$27,IF(J81=2011,Report!$E$27,IF(J81=2012,Report!$F$27,IF(J81=2013,Report!$G$27,IF(J81=2014,Report!$H$27,IF(J81=2015,Report!$I$27,IF(J81=2016,Report!$J$27,IF(J81=2017,Report!$K$27,IF(J81=2018,Report!$L$27,"ERROR"))))))))))</f>
        <v>0.4621981</v>
      </c>
      <c r="M81" s="714">
        <f>IF($M$3="Other",L81,VLOOKUP($I$11,Report!$A$18:$L$34,'Data Entry Electricity'!K81,FALSE))</f>
        <v>0.4621981</v>
      </c>
      <c r="N81" s="714">
        <f t="shared" si="3"/>
        <v>0.4621981</v>
      </c>
      <c r="O81" s="714">
        <f t="shared" si="4"/>
        <v>0.4621981</v>
      </c>
    </row>
    <row r="82" spans="1:15">
      <c r="A82" s="19" t="s">
        <v>85</v>
      </c>
      <c r="B82" s="35">
        <v>4000</v>
      </c>
      <c r="C82" s="721"/>
      <c r="D82" s="35"/>
      <c r="E82" s="35"/>
      <c r="F82" s="19">
        <f t="shared" si="6"/>
        <v>4000</v>
      </c>
      <c r="I82" s="717"/>
      <c r="J82" s="714">
        <f>'Actual-CO2 Calculations'!AJ83</f>
        <v>2015</v>
      </c>
      <c r="K82" s="714">
        <f>'Actual-CO2 Calculations'!AK83</f>
        <v>9</v>
      </c>
      <c r="L82" s="714">
        <f>IF(J82=2009,Report!$C$27,IF(J82=2010,Report!$D$27,IF(J82=2011,Report!$E$27,IF(J82=2012,Report!$F$27,IF(J82=2013,Report!$G$27,IF(J82=2014,Report!$H$27,IF(J82=2015,Report!$I$27,IF(J82=2016,Report!$J$27,IF(J82=2017,Report!$K$27,IF(J82=2018,Report!$L$27,"ERROR"))))))))))</f>
        <v>0.4621981</v>
      </c>
      <c r="M82" s="714">
        <f>IF($M$3="Other",L82,VLOOKUP($I$11,Report!$A$18:$L$34,'Data Entry Electricity'!K82,FALSE))</f>
        <v>0.4621981</v>
      </c>
      <c r="N82" s="714">
        <f t="shared" si="3"/>
        <v>0.4621981</v>
      </c>
      <c r="O82" s="714">
        <f t="shared" si="4"/>
        <v>0.4621981</v>
      </c>
    </row>
    <row r="83" spans="1:15">
      <c r="A83" s="19" t="s">
        <v>86</v>
      </c>
      <c r="B83" s="35">
        <v>4000</v>
      </c>
      <c r="C83" s="721"/>
      <c r="D83" s="35"/>
      <c r="E83" s="35"/>
      <c r="F83" s="19">
        <f t="shared" si="6"/>
        <v>4000</v>
      </c>
      <c r="I83" s="717"/>
      <c r="J83" s="714">
        <f>'Actual-CO2 Calculations'!AJ84</f>
        <v>2015</v>
      </c>
      <c r="K83" s="714">
        <f>'Actual-CO2 Calculations'!AK84</f>
        <v>9</v>
      </c>
      <c r="L83" s="714">
        <f>IF(J83=2009,Report!$C$27,IF(J83=2010,Report!$D$27,IF(J83=2011,Report!$E$27,IF(J83=2012,Report!$F$27,IF(J83=2013,Report!$G$27,IF(J83=2014,Report!$H$27,IF(J83=2015,Report!$I$27,IF(J83=2016,Report!$J$27,IF(J83=2017,Report!$K$27,IF(J83=2018,Report!$L$27,"ERROR"))))))))))</f>
        <v>0.4621981</v>
      </c>
      <c r="M83" s="714">
        <f>IF($M$3="Other",L83,VLOOKUP($I$11,Report!$A$18:$L$34,'Data Entry Electricity'!K83,FALSE))</f>
        <v>0.4621981</v>
      </c>
      <c r="N83" s="714">
        <f t="shared" si="3"/>
        <v>0.4621981</v>
      </c>
      <c r="O83" s="714">
        <f t="shared" si="4"/>
        <v>0.4621981</v>
      </c>
    </row>
    <row r="84" spans="1:15">
      <c r="A84" s="19" t="s">
        <v>87</v>
      </c>
      <c r="B84" s="35">
        <v>3000</v>
      </c>
      <c r="C84" s="721"/>
      <c r="D84" s="35"/>
      <c r="E84" s="35"/>
      <c r="F84" s="19">
        <f t="shared" si="6"/>
        <v>3000</v>
      </c>
      <c r="I84" s="717"/>
      <c r="J84" s="714">
        <f>'Actual-CO2 Calculations'!AJ85</f>
        <v>2016</v>
      </c>
      <c r="K84" s="714">
        <f>'Actual-CO2 Calculations'!AK85</f>
        <v>10</v>
      </c>
      <c r="L84" s="714">
        <f>IF(J84=2009,Report!$C$27,IF(J84=2010,Report!$D$27,IF(J84=2011,Report!$E$27,IF(J84=2012,Report!$F$27,IF(J84=2013,Report!$G$27,IF(J84=2014,Report!$H$27,IF(J84=2015,Report!$I$27,IF(J84=2016,Report!$J$27,IF(J84=2017,Report!$K$27,IF(J84=2018,Report!$L$27,"ERROR"))))))))))</f>
        <v>0.48531000000000002</v>
      </c>
      <c r="M84" s="714">
        <f>IF($M$3="Other",L84,VLOOKUP($I$11,Report!$A$18:$L$34,'Data Entry Electricity'!K84,FALSE))</f>
        <v>0.48531000000000002</v>
      </c>
      <c r="N84" s="714">
        <f t="shared" si="3"/>
        <v>0.48531000000000002</v>
      </c>
      <c r="O84" s="714">
        <f t="shared" si="4"/>
        <v>0.48531000000000002</v>
      </c>
    </row>
    <row r="85" spans="1:15">
      <c r="A85" s="19" t="s">
        <v>88</v>
      </c>
      <c r="B85" s="35"/>
      <c r="C85" s="721"/>
      <c r="D85" s="35"/>
      <c r="E85" s="35"/>
      <c r="F85" s="19">
        <f t="shared" si="6"/>
        <v>0</v>
      </c>
      <c r="I85" s="717"/>
      <c r="J85" s="714">
        <f>'Actual-CO2 Calculations'!AJ86</f>
        <v>2016</v>
      </c>
      <c r="K85" s="714">
        <f>'Actual-CO2 Calculations'!AK86</f>
        <v>10</v>
      </c>
      <c r="L85" s="714">
        <f>IF(J85=2009,Report!$C$27,IF(J85=2010,Report!$D$27,IF(J85=2011,Report!$E$27,IF(J85=2012,Report!$F$27,IF(J85=2013,Report!$G$27,IF(J85=2014,Report!$H$27,IF(J85=2015,Report!$I$27,IF(J85=2016,Report!$J$27,IF(J85=2017,Report!$K$27,IF(J85=2018,Report!$L$27,"ERROR"))))))))))</f>
        <v>0.48531000000000002</v>
      </c>
      <c r="M85" s="714">
        <f>IF($M$3="Other",L85,VLOOKUP($I$11,Report!$A$18:$L$34,'Data Entry Electricity'!K85,FALSE))</f>
        <v>0.48531000000000002</v>
      </c>
      <c r="N85" s="714">
        <f t="shared" si="3"/>
        <v>0.48531000000000002</v>
      </c>
      <c r="O85" s="714">
        <f t="shared" si="4"/>
        <v>0.48531000000000002</v>
      </c>
    </row>
    <row r="86" spans="1:15">
      <c r="A86" s="19" t="s">
        <v>89</v>
      </c>
      <c r="B86" s="35"/>
      <c r="C86" s="721"/>
      <c r="D86" s="35"/>
      <c r="E86" s="35"/>
      <c r="F86" s="19">
        <f t="shared" si="6"/>
        <v>0</v>
      </c>
      <c r="I86" s="717"/>
      <c r="J86" s="714">
        <f>'Actual-CO2 Calculations'!AJ87</f>
        <v>2016</v>
      </c>
      <c r="K86" s="714">
        <f>'Actual-CO2 Calculations'!AK87</f>
        <v>10</v>
      </c>
      <c r="L86" s="714">
        <f>IF(J86=2009,Report!$C$27,IF(J86=2010,Report!$D$27,IF(J86=2011,Report!$E$27,IF(J86=2012,Report!$F$27,IF(J86=2013,Report!$G$27,IF(J86=2014,Report!$H$27,IF(J86=2015,Report!$I$27,IF(J86=2016,Report!$J$27,IF(J86=2017,Report!$K$27,IF(J86=2018,Report!$L$27,"ERROR"))))))))))</f>
        <v>0.48531000000000002</v>
      </c>
      <c r="M86" s="714">
        <f>IF($M$3="Other",L86,VLOOKUP($I$11,Report!$A$18:$L$34,'Data Entry Electricity'!K86,FALSE))</f>
        <v>0.48531000000000002</v>
      </c>
      <c r="N86" s="714">
        <f t="shared" si="3"/>
        <v>0.48531000000000002</v>
      </c>
      <c r="O86" s="714">
        <f t="shared" si="4"/>
        <v>0.48531000000000002</v>
      </c>
    </row>
    <row r="87" spans="1:15">
      <c r="A87" s="19" t="s">
        <v>90</v>
      </c>
      <c r="B87" s="35"/>
      <c r="C87" s="721"/>
      <c r="D87" s="35"/>
      <c r="E87" s="35"/>
      <c r="F87" s="19">
        <f t="shared" si="6"/>
        <v>0</v>
      </c>
      <c r="I87" s="717"/>
      <c r="J87" s="714">
        <f>'Actual-CO2 Calculations'!AJ88</f>
        <v>2016</v>
      </c>
      <c r="K87" s="714">
        <f>'Actual-CO2 Calculations'!AK88</f>
        <v>10</v>
      </c>
      <c r="L87" s="714">
        <f>IF(J87=2009,Report!$C$27,IF(J87=2010,Report!$D$27,IF(J87=2011,Report!$E$27,IF(J87=2012,Report!$F$27,IF(J87=2013,Report!$G$27,IF(J87=2014,Report!$H$27,IF(J87=2015,Report!$I$27,IF(J87=2016,Report!$J$27,IF(J87=2017,Report!$K$27,IF(J87=2018,Report!$L$27,"ERROR"))))))))))</f>
        <v>0.48531000000000002</v>
      </c>
      <c r="M87" s="714">
        <f>IF($M$3="Other",L87,VLOOKUP($I$11,Report!$A$18:$L$34,'Data Entry Electricity'!K87,FALSE))</f>
        <v>0.48531000000000002</v>
      </c>
      <c r="N87" s="714">
        <f t="shared" si="3"/>
        <v>0.48531000000000002</v>
      </c>
      <c r="O87" s="714">
        <f t="shared" si="4"/>
        <v>0.48531000000000002</v>
      </c>
    </row>
    <row r="88" spans="1:15">
      <c r="A88" s="19" t="s">
        <v>91</v>
      </c>
      <c r="B88" s="35"/>
      <c r="C88" s="721"/>
      <c r="D88" s="35"/>
      <c r="E88" s="35"/>
      <c r="F88" s="19">
        <f t="shared" si="6"/>
        <v>0</v>
      </c>
      <c r="I88" s="717"/>
      <c r="J88" s="714">
        <f>'Actual-CO2 Calculations'!AJ89</f>
        <v>2016</v>
      </c>
      <c r="K88" s="714">
        <f>'Actual-CO2 Calculations'!AK89</f>
        <v>10</v>
      </c>
      <c r="L88" s="714">
        <f>IF(J88=2009,Report!$C$27,IF(J88=2010,Report!$D$27,IF(J88=2011,Report!$E$27,IF(J88=2012,Report!$F$27,IF(J88=2013,Report!$G$27,IF(J88=2014,Report!$H$27,IF(J88=2015,Report!$I$27,IF(J88=2016,Report!$J$27,IF(J88=2017,Report!$K$27,IF(J88=2018,Report!$L$27,"ERROR"))))))))))</f>
        <v>0.48531000000000002</v>
      </c>
      <c r="M88" s="714">
        <f>IF($M$3="Other",L88,VLOOKUP($I$11,Report!$A$18:$L$34,'Data Entry Electricity'!K88,FALSE))</f>
        <v>0.48531000000000002</v>
      </c>
      <c r="N88" s="714">
        <f t="shared" ref="N88:N120" si="7">L88</f>
        <v>0.48531000000000002</v>
      </c>
      <c r="O88" s="714">
        <f t="shared" ref="O88:O120" si="8">L88</f>
        <v>0.48531000000000002</v>
      </c>
    </row>
    <row r="89" spans="1:15">
      <c r="A89" s="19" t="s">
        <v>92</v>
      </c>
      <c r="B89" s="35"/>
      <c r="C89" s="721"/>
      <c r="D89" s="35"/>
      <c r="E89" s="35"/>
      <c r="F89" s="19">
        <f t="shared" si="6"/>
        <v>0</v>
      </c>
      <c r="I89" s="717"/>
      <c r="J89" s="714">
        <f>'Actual-CO2 Calculations'!AJ90</f>
        <v>2016</v>
      </c>
      <c r="K89" s="714">
        <f>'Actual-CO2 Calculations'!AK90</f>
        <v>10</v>
      </c>
      <c r="L89" s="714">
        <f>IF(J89=2009,Report!$C$27,IF(J89=2010,Report!$D$27,IF(J89=2011,Report!$E$27,IF(J89=2012,Report!$F$27,IF(J89=2013,Report!$G$27,IF(J89=2014,Report!$H$27,IF(J89=2015,Report!$I$27,IF(J89=2016,Report!$J$27,IF(J89=2017,Report!$K$27,IF(J89=2018,Report!$L$27,"ERROR"))))))))))</f>
        <v>0.48531000000000002</v>
      </c>
      <c r="M89" s="714">
        <f>IF($M$3="Other",L89,VLOOKUP($I$11,Report!$A$18:$L$34,'Data Entry Electricity'!K89,FALSE))</f>
        <v>0.48531000000000002</v>
      </c>
      <c r="N89" s="714">
        <f t="shared" si="7"/>
        <v>0.48531000000000002</v>
      </c>
      <c r="O89" s="714">
        <f t="shared" si="8"/>
        <v>0.48531000000000002</v>
      </c>
    </row>
    <row r="90" spans="1:15">
      <c r="A90" s="19" t="s">
        <v>93</v>
      </c>
      <c r="B90" s="35"/>
      <c r="C90" s="721"/>
      <c r="D90" s="35"/>
      <c r="E90" s="35"/>
      <c r="F90" s="19">
        <f t="shared" si="6"/>
        <v>0</v>
      </c>
      <c r="I90" s="717"/>
      <c r="J90" s="714">
        <f>'Actual-CO2 Calculations'!AJ91</f>
        <v>2016</v>
      </c>
      <c r="K90" s="714">
        <f>'Actual-CO2 Calculations'!AK91</f>
        <v>10</v>
      </c>
      <c r="L90" s="714">
        <f>IF(J90=2009,Report!$C$27,IF(J90=2010,Report!$D$27,IF(J90=2011,Report!$E$27,IF(J90=2012,Report!$F$27,IF(J90=2013,Report!$G$27,IF(J90=2014,Report!$H$27,IF(J90=2015,Report!$I$27,IF(J90=2016,Report!$J$27,IF(J90=2017,Report!$K$27,IF(J90=2018,Report!$L$27,"ERROR"))))))))))</f>
        <v>0.48531000000000002</v>
      </c>
      <c r="M90" s="714">
        <f>IF($M$3="Other",L90,VLOOKUP($I$11,Report!$A$18:$L$34,'Data Entry Electricity'!K90,FALSE))</f>
        <v>0.48531000000000002</v>
      </c>
      <c r="N90" s="714">
        <f t="shared" si="7"/>
        <v>0.48531000000000002</v>
      </c>
      <c r="O90" s="714">
        <f t="shared" si="8"/>
        <v>0.48531000000000002</v>
      </c>
    </row>
    <row r="91" spans="1:15">
      <c r="A91" s="19" t="s">
        <v>20</v>
      </c>
      <c r="B91" s="35"/>
      <c r="C91" s="721"/>
      <c r="D91" s="35"/>
      <c r="E91" s="35"/>
      <c r="F91" s="19">
        <f t="shared" si="6"/>
        <v>0</v>
      </c>
      <c r="I91" s="717"/>
      <c r="J91" s="714">
        <f>'Actual-CO2 Calculations'!AJ92</f>
        <v>2016</v>
      </c>
      <c r="K91" s="714">
        <f>'Actual-CO2 Calculations'!AK92</f>
        <v>10</v>
      </c>
      <c r="L91" s="714">
        <f>IF(J91=2009,Report!$C$27,IF(J91=2010,Report!$D$27,IF(J91=2011,Report!$E$27,IF(J91=2012,Report!$F$27,IF(J91=2013,Report!$G$27,IF(J91=2014,Report!$H$27,IF(J91=2015,Report!$I$27,IF(J91=2016,Report!$J$27,IF(J91=2017,Report!$K$27,IF(J91=2018,Report!$L$27,"ERROR"))))))))))</f>
        <v>0.48531000000000002</v>
      </c>
      <c r="M91" s="714">
        <f>IF($M$3="Other",L91,VLOOKUP($I$11,Report!$A$18:$L$34,'Data Entry Electricity'!K91,FALSE))</f>
        <v>0.48531000000000002</v>
      </c>
      <c r="N91" s="714">
        <f t="shared" si="7"/>
        <v>0.48531000000000002</v>
      </c>
      <c r="O91" s="714">
        <f t="shared" si="8"/>
        <v>0.48531000000000002</v>
      </c>
    </row>
    <row r="92" spans="1:15">
      <c r="A92" s="19" t="s">
        <v>21</v>
      </c>
      <c r="B92" s="35"/>
      <c r="C92" s="721"/>
      <c r="D92" s="35"/>
      <c r="E92" s="35"/>
      <c r="F92" s="19">
        <f t="shared" si="6"/>
        <v>0</v>
      </c>
      <c r="I92" s="717"/>
      <c r="J92" s="714">
        <f>'Actual-CO2 Calculations'!AJ93</f>
        <v>2016</v>
      </c>
      <c r="K92" s="714">
        <f>'Actual-CO2 Calculations'!AK93</f>
        <v>10</v>
      </c>
      <c r="L92" s="714">
        <f>IF(J92=2009,Report!$C$27,IF(J92=2010,Report!$D$27,IF(J92=2011,Report!$E$27,IF(J92=2012,Report!$F$27,IF(J92=2013,Report!$G$27,IF(J92=2014,Report!$H$27,IF(J92=2015,Report!$I$27,IF(J92=2016,Report!$J$27,IF(J92=2017,Report!$K$27,IF(J92=2018,Report!$L$27,"ERROR"))))))))))</f>
        <v>0.48531000000000002</v>
      </c>
      <c r="M92" s="714">
        <f>IF($M$3="Other",L92,VLOOKUP($I$11,Report!$A$18:$L$34,'Data Entry Electricity'!K92,FALSE))</f>
        <v>0.48531000000000002</v>
      </c>
      <c r="N92" s="714">
        <f t="shared" si="7"/>
        <v>0.48531000000000002</v>
      </c>
      <c r="O92" s="714">
        <f t="shared" si="8"/>
        <v>0.48531000000000002</v>
      </c>
    </row>
    <row r="93" spans="1:15">
      <c r="A93" s="19" t="s">
        <v>22</v>
      </c>
      <c r="B93" s="35"/>
      <c r="C93" s="721"/>
      <c r="D93" s="35"/>
      <c r="E93" s="35"/>
      <c r="F93" s="19">
        <f t="shared" si="6"/>
        <v>0</v>
      </c>
      <c r="I93" s="717"/>
      <c r="J93" s="714">
        <f>'Actual-CO2 Calculations'!AJ94</f>
        <v>2016</v>
      </c>
      <c r="K93" s="714">
        <f>'Actual-CO2 Calculations'!AK94</f>
        <v>10</v>
      </c>
      <c r="L93" s="714">
        <f>IF(J93=2009,Report!$C$27,IF(J93=2010,Report!$D$27,IF(J93=2011,Report!$E$27,IF(J93=2012,Report!$F$27,IF(J93=2013,Report!$G$27,IF(J93=2014,Report!$H$27,IF(J93=2015,Report!$I$27,IF(J93=2016,Report!$J$27,IF(J93=2017,Report!$K$27,IF(J93=2018,Report!$L$27,"ERROR"))))))))))</f>
        <v>0.48531000000000002</v>
      </c>
      <c r="M93" s="714">
        <f>IF($M$3="Other",L93,VLOOKUP($I$11,Report!$A$18:$L$34,'Data Entry Electricity'!K93,FALSE))</f>
        <v>0.48531000000000002</v>
      </c>
      <c r="N93" s="714">
        <f t="shared" si="7"/>
        <v>0.48531000000000002</v>
      </c>
      <c r="O93" s="714">
        <f t="shared" si="8"/>
        <v>0.48531000000000002</v>
      </c>
    </row>
    <row r="94" spans="1:15">
      <c r="A94" s="19" t="s">
        <v>23</v>
      </c>
      <c r="B94" s="35"/>
      <c r="C94" s="721"/>
      <c r="D94" s="35"/>
      <c r="E94" s="35"/>
      <c r="F94" s="19">
        <f t="shared" si="6"/>
        <v>0</v>
      </c>
      <c r="I94" s="717"/>
      <c r="J94" s="714">
        <f>'Actual-CO2 Calculations'!AJ95</f>
        <v>2016</v>
      </c>
      <c r="K94" s="714">
        <f>'Actual-CO2 Calculations'!AK95</f>
        <v>10</v>
      </c>
      <c r="L94" s="714">
        <f>IF(J94=2009,Report!$C$27,IF(J94=2010,Report!$D$27,IF(J94=2011,Report!$E$27,IF(J94=2012,Report!$F$27,IF(J94=2013,Report!$G$27,IF(J94=2014,Report!$H$27,IF(J94=2015,Report!$I$27,IF(J94=2016,Report!$J$27,IF(J94=2017,Report!$K$27,IF(J94=2018,Report!$L$27,"ERROR"))))))))))</f>
        <v>0.48531000000000002</v>
      </c>
      <c r="M94" s="714">
        <f>IF($M$3="Other",L94,VLOOKUP($I$11,Report!$A$18:$L$34,'Data Entry Electricity'!K94,FALSE))</f>
        <v>0.48531000000000002</v>
      </c>
      <c r="N94" s="714">
        <f t="shared" si="7"/>
        <v>0.48531000000000002</v>
      </c>
      <c r="O94" s="714">
        <f t="shared" si="8"/>
        <v>0.48531000000000002</v>
      </c>
    </row>
    <row r="95" spans="1:15">
      <c r="A95" s="19" t="s">
        <v>974</v>
      </c>
      <c r="B95" s="35"/>
      <c r="C95" s="721"/>
      <c r="D95" s="35"/>
      <c r="E95" s="35"/>
      <c r="F95" s="19">
        <f t="shared" si="6"/>
        <v>0</v>
      </c>
      <c r="I95" s="717"/>
      <c r="J95" s="714">
        <f>'Actual-CO2 Calculations'!AJ96</f>
        <v>2016</v>
      </c>
      <c r="K95" s="714">
        <f>'Actual-CO2 Calculations'!AK96</f>
        <v>10</v>
      </c>
      <c r="L95" s="714">
        <f>IF(J95=2009,Report!$C$27,IF(J95=2010,Report!$D$27,IF(J95=2011,Report!$E$27,IF(J95=2012,Report!$F$27,IF(J95=2013,Report!$G$27,IF(J95=2014,Report!$H$27,IF(J95=2015,Report!$I$27,IF(J95=2016,Report!$J$27,IF(J95=2017,Report!$K$27,IF(J95=2018,Report!$L$27,"ERROR"))))))))))</f>
        <v>0.48531000000000002</v>
      </c>
      <c r="M95" s="714">
        <f>IF($M$3="Other",L95,VLOOKUP($I$11,Report!$A$18:$L$34,'Data Entry Electricity'!K95,FALSE))</f>
        <v>0.48531000000000002</v>
      </c>
      <c r="N95" s="714">
        <f t="shared" si="7"/>
        <v>0.48531000000000002</v>
      </c>
      <c r="O95" s="714">
        <f t="shared" si="8"/>
        <v>0.48531000000000002</v>
      </c>
    </row>
    <row r="96" spans="1:15">
      <c r="A96" s="19" t="s">
        <v>975</v>
      </c>
      <c r="B96" s="35"/>
      <c r="C96" s="721"/>
      <c r="D96" s="35"/>
      <c r="E96" s="35"/>
      <c r="F96" s="19">
        <f t="shared" si="6"/>
        <v>0</v>
      </c>
      <c r="I96" s="717"/>
      <c r="J96" s="714">
        <f>'Actual-CO2 Calculations'!AJ97</f>
        <v>2016</v>
      </c>
      <c r="K96" s="714">
        <f>'Actual-CO2 Calculations'!AK97</f>
        <v>10</v>
      </c>
      <c r="L96" s="714">
        <f>IF(J96=2009,Report!$C$27,IF(J96=2010,Report!$D$27,IF(J96=2011,Report!$E$27,IF(J96=2012,Report!$F$27,IF(J96=2013,Report!$G$27,IF(J96=2014,Report!$H$27,IF(J96=2015,Report!$I$27,IF(J96=2016,Report!$J$27,IF(J96=2017,Report!$K$27,IF(J96=2018,Report!$L$27,"ERROR"))))))))))</f>
        <v>0.48531000000000002</v>
      </c>
      <c r="M96" s="714">
        <f>IF($M$3="Other",L96,VLOOKUP($I$11,Report!$A$18:$L$34,'Data Entry Electricity'!K96,FALSE))</f>
        <v>0.48531000000000002</v>
      </c>
      <c r="N96" s="714">
        <f t="shared" si="7"/>
        <v>0.48531000000000002</v>
      </c>
      <c r="O96" s="714">
        <f t="shared" si="8"/>
        <v>0.48531000000000002</v>
      </c>
    </row>
    <row r="97" spans="1:15">
      <c r="A97" s="19" t="s">
        <v>976</v>
      </c>
      <c r="B97" s="35"/>
      <c r="C97" s="721"/>
      <c r="D97" s="35"/>
      <c r="E97" s="35"/>
      <c r="F97" s="19">
        <f t="shared" si="6"/>
        <v>0</v>
      </c>
      <c r="I97" s="717"/>
      <c r="J97" s="714">
        <f>'Actual-CO2 Calculations'!AJ98</f>
        <v>2017</v>
      </c>
      <c r="K97" s="714">
        <f>'Actual-CO2 Calculations'!AK98</f>
        <v>11</v>
      </c>
      <c r="L97" s="714">
        <f>IF(J97=2009,Report!$C$27,IF(J97=2010,Report!$D$27,IF(J97=2011,Report!$E$27,IF(J97=2012,Report!$F$27,IF(J97=2013,Report!$G$27,IF(J97=2014,Report!$H$27,IF(J97=2015,Report!$I$27,IF(J97=2016,Report!$J$27,IF(J97=2017,Report!$K$27,IF(J97=2018,Report!$L$27,"ERROR"))))))))))</f>
        <v>0.48531000000000002</v>
      </c>
      <c r="M97" s="714">
        <f>IF($M$3="Other",L97,VLOOKUP($I$11,Report!$A$18:$L$34,'Data Entry Electricity'!K97,FALSE))</f>
        <v>0.48531000000000002</v>
      </c>
      <c r="N97" s="714">
        <f t="shared" si="7"/>
        <v>0.48531000000000002</v>
      </c>
      <c r="O97" s="714">
        <f t="shared" si="8"/>
        <v>0.48531000000000002</v>
      </c>
    </row>
    <row r="98" spans="1:15">
      <c r="A98" s="19" t="s">
        <v>977</v>
      </c>
      <c r="B98" s="35"/>
      <c r="C98" s="721"/>
      <c r="D98" s="35"/>
      <c r="E98" s="35"/>
      <c r="F98" s="19">
        <f t="shared" si="6"/>
        <v>0</v>
      </c>
      <c r="I98" s="717"/>
      <c r="J98" s="714">
        <f>'Actual-CO2 Calculations'!AJ99</f>
        <v>2017</v>
      </c>
      <c r="K98" s="714">
        <f>'Actual-CO2 Calculations'!AK99</f>
        <v>11</v>
      </c>
      <c r="L98" s="714">
        <f>IF(J98=2009,Report!$C$27,IF(J98=2010,Report!$D$27,IF(J98=2011,Report!$E$27,IF(J98=2012,Report!$F$27,IF(J98=2013,Report!$G$27,IF(J98=2014,Report!$H$27,IF(J98=2015,Report!$I$27,IF(J98=2016,Report!$J$27,IF(J98=2017,Report!$K$27,IF(J98=2018,Report!$L$27,"ERROR"))))))))))</f>
        <v>0.48531000000000002</v>
      </c>
      <c r="M98" s="714">
        <f>IF($M$3="Other",L98,VLOOKUP($I$11,Report!$A$18:$L$34,'Data Entry Electricity'!K98,FALSE))</f>
        <v>0.48531000000000002</v>
      </c>
      <c r="N98" s="714">
        <f t="shared" si="7"/>
        <v>0.48531000000000002</v>
      </c>
      <c r="O98" s="714">
        <f t="shared" si="8"/>
        <v>0.48531000000000002</v>
      </c>
    </row>
    <row r="99" spans="1:15">
      <c r="A99" s="19" t="s">
        <v>978</v>
      </c>
      <c r="B99" s="35"/>
      <c r="C99" s="721"/>
      <c r="D99" s="35"/>
      <c r="E99" s="35"/>
      <c r="F99" s="19">
        <f t="shared" si="6"/>
        <v>0</v>
      </c>
      <c r="I99" s="717"/>
      <c r="J99" s="714">
        <f>'Actual-CO2 Calculations'!AJ100</f>
        <v>2017</v>
      </c>
      <c r="K99" s="714">
        <f>'Actual-CO2 Calculations'!AK100</f>
        <v>11</v>
      </c>
      <c r="L99" s="714">
        <f>IF(J99=2009,Report!$C$27,IF(J99=2010,Report!$D$27,IF(J99=2011,Report!$E$27,IF(J99=2012,Report!$F$27,IF(J99=2013,Report!$G$27,IF(J99=2014,Report!$H$27,IF(J99=2015,Report!$I$27,IF(J99=2016,Report!$J$27,IF(J99=2017,Report!$K$27,IF(J99=2018,Report!$L$27,"ERROR"))))))))))</f>
        <v>0.48531000000000002</v>
      </c>
      <c r="M99" s="714">
        <f>IF($M$3="Other",L99,VLOOKUP($I$11,Report!$A$18:$L$34,'Data Entry Electricity'!K99,FALSE))</f>
        <v>0.48531000000000002</v>
      </c>
      <c r="N99" s="714">
        <f t="shared" si="7"/>
        <v>0.48531000000000002</v>
      </c>
      <c r="O99" s="714">
        <f t="shared" si="8"/>
        <v>0.48531000000000002</v>
      </c>
    </row>
    <row r="100" spans="1:15">
      <c r="A100" s="19" t="s">
        <v>979</v>
      </c>
      <c r="B100" s="35"/>
      <c r="C100" s="721"/>
      <c r="D100" s="35"/>
      <c r="E100" s="35"/>
      <c r="F100" s="19">
        <f t="shared" ref="F100:F120" si="9">SUM(B100:E100)</f>
        <v>0</v>
      </c>
      <c r="I100" s="717"/>
      <c r="J100" s="714">
        <f>'Actual-CO2 Calculations'!AJ101</f>
        <v>2017</v>
      </c>
      <c r="K100" s="714">
        <f>'Actual-CO2 Calculations'!AK101</f>
        <v>11</v>
      </c>
      <c r="L100" s="714">
        <f>IF(J100=2009,Report!$C$27,IF(J100=2010,Report!$D$27,IF(J100=2011,Report!$E$27,IF(J100=2012,Report!$F$27,IF(J100=2013,Report!$G$27,IF(J100=2014,Report!$H$27,IF(J100=2015,Report!$I$27,IF(J100=2016,Report!$J$27,IF(J100=2017,Report!$K$27,IF(J100=2018,Report!$L$27,"ERROR"))))))))))</f>
        <v>0.48531000000000002</v>
      </c>
      <c r="M100" s="714">
        <f>IF($M$3="Other",L100,VLOOKUP($I$11,Report!$A$18:$L$34,'Data Entry Electricity'!K100,FALSE))</f>
        <v>0.48531000000000002</v>
      </c>
      <c r="N100" s="714">
        <f t="shared" si="7"/>
        <v>0.48531000000000002</v>
      </c>
      <c r="O100" s="714">
        <f t="shared" si="8"/>
        <v>0.48531000000000002</v>
      </c>
    </row>
    <row r="101" spans="1:15">
      <c r="A101" s="19" t="s">
        <v>980</v>
      </c>
      <c r="B101" s="35"/>
      <c r="C101" s="721"/>
      <c r="D101" s="35"/>
      <c r="E101" s="35"/>
      <c r="F101" s="19">
        <f t="shared" si="9"/>
        <v>0</v>
      </c>
      <c r="I101" s="717"/>
      <c r="J101" s="714">
        <f>'Actual-CO2 Calculations'!AJ102</f>
        <v>2017</v>
      </c>
      <c r="K101" s="714">
        <f>'Actual-CO2 Calculations'!AK102</f>
        <v>11</v>
      </c>
      <c r="L101" s="714">
        <f>IF(J101=2009,Report!$C$27,IF(J101=2010,Report!$D$27,IF(J101=2011,Report!$E$27,IF(J101=2012,Report!$F$27,IF(J101=2013,Report!$G$27,IF(J101=2014,Report!$H$27,IF(J101=2015,Report!$I$27,IF(J101=2016,Report!$J$27,IF(J101=2017,Report!$K$27,IF(J101=2018,Report!$L$27,"ERROR"))))))))))</f>
        <v>0.48531000000000002</v>
      </c>
      <c r="M101" s="714">
        <f>IF($M$3="Other",L101,VLOOKUP($I$11,Report!$A$18:$L$34,'Data Entry Electricity'!K101,FALSE))</f>
        <v>0.48531000000000002</v>
      </c>
      <c r="N101" s="714">
        <f t="shared" si="7"/>
        <v>0.48531000000000002</v>
      </c>
      <c r="O101" s="714">
        <f t="shared" si="8"/>
        <v>0.48531000000000002</v>
      </c>
    </row>
    <row r="102" spans="1:15">
      <c r="A102" s="19" t="s">
        <v>981</v>
      </c>
      <c r="B102" s="35"/>
      <c r="C102" s="721"/>
      <c r="D102" s="35"/>
      <c r="E102" s="35"/>
      <c r="F102" s="19">
        <f t="shared" si="9"/>
        <v>0</v>
      </c>
      <c r="I102" s="717"/>
      <c r="J102" s="714">
        <f>'Actual-CO2 Calculations'!AJ103</f>
        <v>2017</v>
      </c>
      <c r="K102" s="714">
        <f>'Actual-CO2 Calculations'!AK103</f>
        <v>11</v>
      </c>
      <c r="L102" s="714">
        <f>IF(J102=2009,Report!$C$27,IF(J102=2010,Report!$D$27,IF(J102=2011,Report!$E$27,IF(J102=2012,Report!$F$27,IF(J102=2013,Report!$G$27,IF(J102=2014,Report!$H$27,IF(J102=2015,Report!$I$27,IF(J102=2016,Report!$J$27,IF(J102=2017,Report!$K$27,IF(J102=2018,Report!$L$27,"ERROR"))))))))))</f>
        <v>0.48531000000000002</v>
      </c>
      <c r="M102" s="714">
        <f>IF($M$3="Other",L102,VLOOKUP($I$11,Report!$A$18:$L$34,'Data Entry Electricity'!K102,FALSE))</f>
        <v>0.48531000000000002</v>
      </c>
      <c r="N102" s="714">
        <f t="shared" si="7"/>
        <v>0.48531000000000002</v>
      </c>
      <c r="O102" s="714">
        <f t="shared" si="8"/>
        <v>0.48531000000000002</v>
      </c>
    </row>
    <row r="103" spans="1:15">
      <c r="A103" s="19" t="s">
        <v>982</v>
      </c>
      <c r="B103" s="35"/>
      <c r="C103" s="721"/>
      <c r="D103" s="35"/>
      <c r="E103" s="35"/>
      <c r="F103" s="19">
        <f t="shared" si="9"/>
        <v>0</v>
      </c>
      <c r="I103" s="717"/>
      <c r="J103" s="714">
        <f>'Actual-CO2 Calculations'!AJ104</f>
        <v>2017</v>
      </c>
      <c r="K103" s="714">
        <f>'Actual-CO2 Calculations'!AK104</f>
        <v>11</v>
      </c>
      <c r="L103" s="714">
        <f>IF(J103=2009,Report!$C$27,IF(J103=2010,Report!$D$27,IF(J103=2011,Report!$E$27,IF(J103=2012,Report!$F$27,IF(J103=2013,Report!$G$27,IF(J103=2014,Report!$H$27,IF(J103=2015,Report!$I$27,IF(J103=2016,Report!$J$27,IF(J103=2017,Report!$K$27,IF(J103=2018,Report!$L$27,"ERROR"))))))))))</f>
        <v>0.48531000000000002</v>
      </c>
      <c r="M103" s="714">
        <f>IF($M$3="Other",L103,VLOOKUP($I$11,Report!$A$18:$L$34,'Data Entry Electricity'!K103,FALSE))</f>
        <v>0.48531000000000002</v>
      </c>
      <c r="N103" s="714">
        <f t="shared" si="7"/>
        <v>0.48531000000000002</v>
      </c>
      <c r="O103" s="714">
        <f t="shared" si="8"/>
        <v>0.48531000000000002</v>
      </c>
    </row>
    <row r="104" spans="1:15">
      <c r="A104" s="19" t="s">
        <v>983</v>
      </c>
      <c r="B104" s="35"/>
      <c r="C104" s="721"/>
      <c r="D104" s="35"/>
      <c r="E104" s="35"/>
      <c r="F104" s="19">
        <f t="shared" si="9"/>
        <v>0</v>
      </c>
      <c r="I104" s="717"/>
      <c r="J104" s="714">
        <f>'Actual-CO2 Calculations'!AJ105</f>
        <v>2017</v>
      </c>
      <c r="K104" s="714">
        <f>'Actual-CO2 Calculations'!AK105</f>
        <v>11</v>
      </c>
      <c r="L104" s="714">
        <f>IF(J104=2009,Report!$C$27,IF(J104=2010,Report!$D$27,IF(J104=2011,Report!$E$27,IF(J104=2012,Report!$F$27,IF(J104=2013,Report!$G$27,IF(J104=2014,Report!$H$27,IF(J104=2015,Report!$I$27,IF(J104=2016,Report!$J$27,IF(J104=2017,Report!$K$27,IF(J104=2018,Report!$L$27,"ERROR"))))))))))</f>
        <v>0.48531000000000002</v>
      </c>
      <c r="M104" s="714">
        <f>IF($M$3="Other",L104,VLOOKUP($I$11,Report!$A$18:$L$34,'Data Entry Electricity'!K104,FALSE))</f>
        <v>0.48531000000000002</v>
      </c>
      <c r="N104" s="714">
        <f t="shared" si="7"/>
        <v>0.48531000000000002</v>
      </c>
      <c r="O104" s="714">
        <f t="shared" si="8"/>
        <v>0.48531000000000002</v>
      </c>
    </row>
    <row r="105" spans="1:15">
      <c r="A105" s="19" t="s">
        <v>984</v>
      </c>
      <c r="B105" s="35"/>
      <c r="C105" s="721"/>
      <c r="D105" s="35"/>
      <c r="E105" s="35"/>
      <c r="F105" s="19">
        <f t="shared" si="9"/>
        <v>0</v>
      </c>
      <c r="I105" s="717"/>
      <c r="J105" s="714">
        <f>'Actual-CO2 Calculations'!AJ106</f>
        <v>2017</v>
      </c>
      <c r="K105" s="714">
        <f>'Actual-CO2 Calculations'!AK106</f>
        <v>11</v>
      </c>
      <c r="L105" s="714">
        <f>IF(J105=2009,Report!$C$27,IF(J105=2010,Report!$D$27,IF(J105=2011,Report!$E$27,IF(J105=2012,Report!$F$27,IF(J105=2013,Report!$G$27,IF(J105=2014,Report!$H$27,IF(J105=2015,Report!$I$27,IF(J105=2016,Report!$J$27,IF(J105=2017,Report!$K$27,IF(J105=2018,Report!$L$27,"ERROR"))))))))))</f>
        <v>0.48531000000000002</v>
      </c>
      <c r="M105" s="714">
        <f>IF($M$3="Other",L105,VLOOKUP($I$11,Report!$A$18:$L$34,'Data Entry Electricity'!K105,FALSE))</f>
        <v>0.48531000000000002</v>
      </c>
      <c r="N105" s="714">
        <f t="shared" si="7"/>
        <v>0.48531000000000002</v>
      </c>
      <c r="O105" s="714">
        <f t="shared" si="8"/>
        <v>0.48531000000000002</v>
      </c>
    </row>
    <row r="106" spans="1:15">
      <c r="A106" s="19" t="s">
        <v>985</v>
      </c>
      <c r="B106" s="35"/>
      <c r="C106" s="721"/>
      <c r="D106" s="35"/>
      <c r="E106" s="35"/>
      <c r="F106" s="19">
        <f t="shared" si="9"/>
        <v>0</v>
      </c>
      <c r="I106" s="717"/>
      <c r="J106" s="714">
        <f>'Actual-CO2 Calculations'!AJ107</f>
        <v>2017</v>
      </c>
      <c r="K106" s="714">
        <f>'Actual-CO2 Calculations'!AK107</f>
        <v>11</v>
      </c>
      <c r="L106" s="714">
        <f>IF(J106=2009,Report!$C$27,IF(J106=2010,Report!$D$27,IF(J106=2011,Report!$E$27,IF(J106=2012,Report!$F$27,IF(J106=2013,Report!$G$27,IF(J106=2014,Report!$H$27,IF(J106=2015,Report!$I$27,IF(J106=2016,Report!$J$27,IF(J106=2017,Report!$K$27,IF(J106=2018,Report!$L$27,"ERROR"))))))))))</f>
        <v>0.48531000000000002</v>
      </c>
      <c r="M106" s="714">
        <f>IF($M$3="Other",L106,VLOOKUP($I$11,Report!$A$18:$L$34,'Data Entry Electricity'!K106,FALSE))</f>
        <v>0.48531000000000002</v>
      </c>
      <c r="N106" s="714">
        <f t="shared" si="7"/>
        <v>0.48531000000000002</v>
      </c>
      <c r="O106" s="714">
        <f t="shared" si="8"/>
        <v>0.48531000000000002</v>
      </c>
    </row>
    <row r="107" spans="1:15">
      <c r="A107" s="19" t="s">
        <v>986</v>
      </c>
      <c r="B107" s="35"/>
      <c r="C107" s="721"/>
      <c r="D107" s="35"/>
      <c r="E107" s="35"/>
      <c r="F107" s="19">
        <f t="shared" si="9"/>
        <v>0</v>
      </c>
      <c r="I107" s="717"/>
      <c r="J107" s="714">
        <f>'Actual-CO2 Calculations'!AJ108</f>
        <v>2017</v>
      </c>
      <c r="K107" s="714">
        <f>'Actual-CO2 Calculations'!AK108</f>
        <v>11</v>
      </c>
      <c r="L107" s="714">
        <f>IF(J107=2009,Report!$C$27,IF(J107=2010,Report!$D$27,IF(J107=2011,Report!$E$27,IF(J107=2012,Report!$F$27,IF(J107=2013,Report!$G$27,IF(J107=2014,Report!$H$27,IF(J107=2015,Report!$I$27,IF(J107=2016,Report!$J$27,IF(J107=2017,Report!$K$27,IF(J107=2018,Report!$L$27,"ERROR"))))))))))</f>
        <v>0.48531000000000002</v>
      </c>
      <c r="M107" s="714">
        <f>IF($M$3="Other",L107,VLOOKUP($I$11,Report!$A$18:$L$34,'Data Entry Electricity'!K107,FALSE))</f>
        <v>0.48531000000000002</v>
      </c>
      <c r="N107" s="714">
        <f t="shared" si="7"/>
        <v>0.48531000000000002</v>
      </c>
      <c r="O107" s="714">
        <f t="shared" si="8"/>
        <v>0.48531000000000002</v>
      </c>
    </row>
    <row r="108" spans="1:15">
      <c r="A108" s="19" t="s">
        <v>987</v>
      </c>
      <c r="B108" s="35"/>
      <c r="C108" s="721"/>
      <c r="D108" s="35"/>
      <c r="E108" s="35"/>
      <c r="F108" s="19">
        <f t="shared" si="9"/>
        <v>0</v>
      </c>
      <c r="I108" s="717"/>
      <c r="J108" s="714">
        <f>'Actual-CO2 Calculations'!AJ109</f>
        <v>2017</v>
      </c>
      <c r="K108" s="714">
        <f>'Actual-CO2 Calculations'!AK109</f>
        <v>11</v>
      </c>
      <c r="L108" s="714">
        <f>IF(J108=2009,Report!$C$27,IF(J108=2010,Report!$D$27,IF(J108=2011,Report!$E$27,IF(J108=2012,Report!$F$27,IF(J108=2013,Report!$G$27,IF(J108=2014,Report!$H$27,IF(J108=2015,Report!$I$27,IF(J108=2016,Report!$J$27,IF(J108=2017,Report!$K$27,IF(J108=2018,Report!$L$27,"ERROR"))))))))))</f>
        <v>0.48531000000000002</v>
      </c>
      <c r="M108" s="714">
        <f>IF($M$3="Other",L108,VLOOKUP($I$11,Report!$A$18:$L$34,'Data Entry Electricity'!K108,FALSE))</f>
        <v>0.48531000000000002</v>
      </c>
      <c r="N108" s="714">
        <f t="shared" si="7"/>
        <v>0.48531000000000002</v>
      </c>
      <c r="O108" s="714">
        <f t="shared" si="8"/>
        <v>0.48531000000000002</v>
      </c>
    </row>
    <row r="109" spans="1:15">
      <c r="A109" s="19" t="s">
        <v>988</v>
      </c>
      <c r="B109" s="35"/>
      <c r="C109" s="721"/>
      <c r="D109" s="35"/>
      <c r="E109" s="35"/>
      <c r="F109" s="19">
        <f t="shared" si="9"/>
        <v>0</v>
      </c>
      <c r="I109" s="717"/>
      <c r="J109" s="714">
        <f>'Actual-CO2 Calculations'!AJ110</f>
        <v>2017</v>
      </c>
      <c r="K109" s="714">
        <f>'Actual-CO2 Calculations'!AK110</f>
        <v>11</v>
      </c>
      <c r="L109" s="714">
        <f>IF(J109=2009,Report!$C$27,IF(J109=2010,Report!$D$27,IF(J109=2011,Report!$E$27,IF(J109=2012,Report!$F$27,IF(J109=2013,Report!$G$27,IF(J109=2014,Report!$H$27,IF(J109=2015,Report!$I$27,IF(J109=2016,Report!$J$27,IF(J109=2017,Report!$K$27,IF(J109=2018,Report!$L$27,"ERROR"))))))))))</f>
        <v>0.48531000000000002</v>
      </c>
      <c r="M109" s="714">
        <f>IF($M$3="Other",L109,VLOOKUP($I$11,Report!$A$18:$L$34,'Data Entry Electricity'!K109,FALSE))</f>
        <v>0.48531000000000002</v>
      </c>
      <c r="N109" s="714">
        <f t="shared" si="7"/>
        <v>0.48531000000000002</v>
      </c>
      <c r="O109" s="714">
        <f t="shared" si="8"/>
        <v>0.48531000000000002</v>
      </c>
    </row>
    <row r="110" spans="1:15">
      <c r="A110" s="19" t="s">
        <v>989</v>
      </c>
      <c r="B110" s="35"/>
      <c r="C110" s="721"/>
      <c r="D110" s="35"/>
      <c r="E110" s="35"/>
      <c r="F110" s="19">
        <f t="shared" si="9"/>
        <v>0</v>
      </c>
      <c r="I110" s="717"/>
      <c r="J110" s="714">
        <f>'Actual-CO2 Calculations'!AJ111</f>
        <v>2018</v>
      </c>
      <c r="K110" s="714">
        <f>'Actual-CO2 Calculations'!AK111</f>
        <v>12</v>
      </c>
      <c r="L110" s="714">
        <f>IF(J110=2009,Report!$C$27,IF(J110=2010,Report!$D$27,IF(J110=2011,Report!$E$27,IF(J110=2012,Report!$F$27,IF(J110=2013,Report!$G$27,IF(J110=2014,Report!$H$27,IF(J110=2015,Report!$I$27,IF(J110=2016,Report!$J$27,IF(J110=2017,Report!$K$27,IF(J110=2018,Report!$L$27,"ERROR"))))))))))</f>
        <v>0.48531000000000002</v>
      </c>
      <c r="M110" s="714">
        <f>IF($M$3="Other",L110,VLOOKUP($I$11,Report!$A$18:$L$34,'Data Entry Electricity'!K110,FALSE))</f>
        <v>0.48531000000000002</v>
      </c>
      <c r="N110" s="714">
        <f t="shared" si="7"/>
        <v>0.48531000000000002</v>
      </c>
      <c r="O110" s="714">
        <f t="shared" si="8"/>
        <v>0.48531000000000002</v>
      </c>
    </row>
    <row r="111" spans="1:15">
      <c r="A111" s="19" t="s">
        <v>990</v>
      </c>
      <c r="B111" s="35"/>
      <c r="C111" s="721"/>
      <c r="D111" s="35"/>
      <c r="E111" s="35"/>
      <c r="F111" s="19">
        <f t="shared" si="9"/>
        <v>0</v>
      </c>
      <c r="I111" s="717"/>
      <c r="J111" s="714">
        <f>'Actual-CO2 Calculations'!AJ112</f>
        <v>2018</v>
      </c>
      <c r="K111" s="714">
        <f>'Actual-CO2 Calculations'!AK112</f>
        <v>12</v>
      </c>
      <c r="L111" s="714">
        <f>IF(J111=2009,Report!$C$27,IF(J111=2010,Report!$D$27,IF(J111=2011,Report!$E$27,IF(J111=2012,Report!$F$27,IF(J111=2013,Report!$G$27,IF(J111=2014,Report!$H$27,IF(J111=2015,Report!$I$27,IF(J111=2016,Report!$J$27,IF(J111=2017,Report!$K$27,IF(J111=2018,Report!$L$27,"ERROR"))))))))))</f>
        <v>0.48531000000000002</v>
      </c>
      <c r="M111" s="714">
        <f>IF($M$3="Other",L111,VLOOKUP($I$11,Report!$A$18:$L$34,'Data Entry Electricity'!K111,FALSE))</f>
        <v>0.48531000000000002</v>
      </c>
      <c r="N111" s="714">
        <f t="shared" si="7"/>
        <v>0.48531000000000002</v>
      </c>
      <c r="O111" s="714">
        <f t="shared" si="8"/>
        <v>0.48531000000000002</v>
      </c>
    </row>
    <row r="112" spans="1:15">
      <c r="A112" s="19" t="s">
        <v>991</v>
      </c>
      <c r="B112" s="35"/>
      <c r="C112" s="721"/>
      <c r="D112" s="35"/>
      <c r="E112" s="35"/>
      <c r="F112" s="19">
        <f t="shared" si="9"/>
        <v>0</v>
      </c>
      <c r="I112" s="717"/>
      <c r="J112" s="714">
        <f>'Actual-CO2 Calculations'!AJ113</f>
        <v>2018</v>
      </c>
      <c r="K112" s="714">
        <f>'Actual-CO2 Calculations'!AK113</f>
        <v>12</v>
      </c>
      <c r="L112" s="714">
        <f>IF(J112=2009,Report!$C$27,IF(J112=2010,Report!$D$27,IF(J112=2011,Report!$E$27,IF(J112=2012,Report!$F$27,IF(J112=2013,Report!$G$27,IF(J112=2014,Report!$H$27,IF(J112=2015,Report!$I$27,IF(J112=2016,Report!$J$27,IF(J112=2017,Report!$K$27,IF(J112=2018,Report!$L$27,"ERROR"))))))))))</f>
        <v>0.48531000000000002</v>
      </c>
      <c r="M112" s="714">
        <f>IF($M$3="Other",L112,VLOOKUP($I$11,Report!$A$18:$L$34,'Data Entry Electricity'!K112,FALSE))</f>
        <v>0.48531000000000002</v>
      </c>
      <c r="N112" s="714">
        <f t="shared" si="7"/>
        <v>0.48531000000000002</v>
      </c>
      <c r="O112" s="714">
        <f t="shared" si="8"/>
        <v>0.48531000000000002</v>
      </c>
    </row>
    <row r="113" spans="1:15">
      <c r="A113" s="19" t="s">
        <v>992</v>
      </c>
      <c r="B113" s="35"/>
      <c r="C113" s="721"/>
      <c r="D113" s="35"/>
      <c r="E113" s="35"/>
      <c r="F113" s="19">
        <f t="shared" si="9"/>
        <v>0</v>
      </c>
      <c r="I113" s="717"/>
      <c r="J113" s="714">
        <f>'Actual-CO2 Calculations'!AJ114</f>
        <v>2018</v>
      </c>
      <c r="K113" s="714">
        <f>'Actual-CO2 Calculations'!AK114</f>
        <v>12</v>
      </c>
      <c r="L113" s="714">
        <f>IF(J113=2009,Report!$C$27,IF(J113=2010,Report!$D$27,IF(J113=2011,Report!$E$27,IF(J113=2012,Report!$F$27,IF(J113=2013,Report!$G$27,IF(J113=2014,Report!$H$27,IF(J113=2015,Report!$I$27,IF(J113=2016,Report!$J$27,IF(J113=2017,Report!$K$27,IF(J113=2018,Report!$L$27,"ERROR"))))))))))</f>
        <v>0.48531000000000002</v>
      </c>
      <c r="M113" s="714">
        <f>IF($M$3="Other",L113,VLOOKUP($I$11,Report!$A$18:$L$34,'Data Entry Electricity'!K113,FALSE))</f>
        <v>0.48531000000000002</v>
      </c>
      <c r="N113" s="714">
        <f t="shared" si="7"/>
        <v>0.48531000000000002</v>
      </c>
      <c r="O113" s="714">
        <f t="shared" si="8"/>
        <v>0.48531000000000002</v>
      </c>
    </row>
    <row r="114" spans="1:15">
      <c r="A114" s="19" t="s">
        <v>993</v>
      </c>
      <c r="B114" s="35"/>
      <c r="C114" s="721"/>
      <c r="D114" s="35"/>
      <c r="E114" s="35"/>
      <c r="F114" s="19">
        <f t="shared" si="9"/>
        <v>0</v>
      </c>
      <c r="I114" s="717"/>
      <c r="J114" s="714">
        <f>'Actual-CO2 Calculations'!AJ115</f>
        <v>2018</v>
      </c>
      <c r="K114" s="714">
        <f>'Actual-CO2 Calculations'!AK115</f>
        <v>12</v>
      </c>
      <c r="L114" s="714">
        <f>IF(J114=2009,Report!$C$27,IF(J114=2010,Report!$D$27,IF(J114=2011,Report!$E$27,IF(J114=2012,Report!$F$27,IF(J114=2013,Report!$G$27,IF(J114=2014,Report!$H$27,IF(J114=2015,Report!$I$27,IF(J114=2016,Report!$J$27,IF(J114=2017,Report!$K$27,IF(J114=2018,Report!$L$27,"ERROR"))))))))))</f>
        <v>0.48531000000000002</v>
      </c>
      <c r="M114" s="714">
        <f>IF($M$3="Other",L114,VLOOKUP($I$11,Report!$A$18:$L$34,'Data Entry Electricity'!K114,FALSE))</f>
        <v>0.48531000000000002</v>
      </c>
      <c r="N114" s="714">
        <f t="shared" si="7"/>
        <v>0.48531000000000002</v>
      </c>
      <c r="O114" s="714">
        <f t="shared" si="8"/>
        <v>0.48531000000000002</v>
      </c>
    </row>
    <row r="115" spans="1:15">
      <c r="A115" s="19" t="s">
        <v>994</v>
      </c>
      <c r="B115" s="35"/>
      <c r="C115" s="721"/>
      <c r="D115" s="35"/>
      <c r="E115" s="35"/>
      <c r="F115" s="19">
        <f t="shared" si="9"/>
        <v>0</v>
      </c>
      <c r="I115" s="717"/>
      <c r="J115" s="714">
        <f>'Actual-CO2 Calculations'!AJ116</f>
        <v>2018</v>
      </c>
      <c r="K115" s="714">
        <f>'Actual-CO2 Calculations'!AK116</f>
        <v>12</v>
      </c>
      <c r="L115" s="714">
        <f>IF(J115=2009,Report!$C$27,IF(J115=2010,Report!$D$27,IF(J115=2011,Report!$E$27,IF(J115=2012,Report!$F$27,IF(J115=2013,Report!$G$27,IF(J115=2014,Report!$H$27,IF(J115=2015,Report!$I$27,IF(J115=2016,Report!$J$27,IF(J115=2017,Report!$K$27,IF(J115=2018,Report!$L$27,"ERROR"))))))))))</f>
        <v>0.48531000000000002</v>
      </c>
      <c r="M115" s="714">
        <f>IF($M$3="Other",L115,VLOOKUP($I$11,Report!$A$18:$L$34,'Data Entry Electricity'!K115,FALSE))</f>
        <v>0.48531000000000002</v>
      </c>
      <c r="N115" s="714">
        <f t="shared" si="7"/>
        <v>0.48531000000000002</v>
      </c>
      <c r="O115" s="714">
        <f t="shared" si="8"/>
        <v>0.48531000000000002</v>
      </c>
    </row>
    <row r="116" spans="1:15">
      <c r="A116" s="19" t="s">
        <v>995</v>
      </c>
      <c r="B116" s="35"/>
      <c r="C116" s="721"/>
      <c r="D116" s="35"/>
      <c r="E116" s="35"/>
      <c r="F116" s="19">
        <f t="shared" si="9"/>
        <v>0</v>
      </c>
      <c r="I116" s="717"/>
      <c r="J116" s="714">
        <f>'Actual-CO2 Calculations'!AJ117</f>
        <v>2018</v>
      </c>
      <c r="K116" s="714">
        <f>'Actual-CO2 Calculations'!AK117</f>
        <v>12</v>
      </c>
      <c r="L116" s="714">
        <f>IF(J116=2009,Report!$C$27,IF(J116=2010,Report!$D$27,IF(J116=2011,Report!$E$27,IF(J116=2012,Report!$F$27,IF(J116=2013,Report!$G$27,IF(J116=2014,Report!$H$27,IF(J116=2015,Report!$I$27,IF(J116=2016,Report!$J$27,IF(J116=2017,Report!$K$27,IF(J116=2018,Report!$L$27,"ERROR"))))))))))</f>
        <v>0.48531000000000002</v>
      </c>
      <c r="M116" s="714">
        <f>IF($M$3="Other",L116,VLOOKUP($I$11,Report!$A$18:$L$34,'Data Entry Electricity'!K116,FALSE))</f>
        <v>0.48531000000000002</v>
      </c>
      <c r="N116" s="714">
        <f t="shared" si="7"/>
        <v>0.48531000000000002</v>
      </c>
      <c r="O116" s="714">
        <f t="shared" si="8"/>
        <v>0.48531000000000002</v>
      </c>
    </row>
    <row r="117" spans="1:15">
      <c r="A117" s="19" t="s">
        <v>996</v>
      </c>
      <c r="B117" s="35"/>
      <c r="C117" s="721"/>
      <c r="D117" s="35"/>
      <c r="E117" s="35"/>
      <c r="F117" s="19">
        <f t="shared" si="9"/>
        <v>0</v>
      </c>
      <c r="I117" s="717"/>
      <c r="J117" s="714">
        <f>'Actual-CO2 Calculations'!AJ118</f>
        <v>2018</v>
      </c>
      <c r="K117" s="714">
        <f>'Actual-CO2 Calculations'!AK118</f>
        <v>12</v>
      </c>
      <c r="L117" s="714">
        <f>IF(J117=2009,Report!$C$27,IF(J117=2010,Report!$D$27,IF(J117=2011,Report!$E$27,IF(J117=2012,Report!$F$27,IF(J117=2013,Report!$G$27,IF(J117=2014,Report!$H$27,IF(J117=2015,Report!$I$27,IF(J117=2016,Report!$J$27,IF(J117=2017,Report!$K$27,IF(J117=2018,Report!$L$27,"ERROR"))))))))))</f>
        <v>0.48531000000000002</v>
      </c>
      <c r="M117" s="714">
        <f>IF($M$3="Other",L117,VLOOKUP($I$11,Report!$A$18:$L$34,'Data Entry Electricity'!K117,FALSE))</f>
        <v>0.48531000000000002</v>
      </c>
      <c r="N117" s="714">
        <f t="shared" si="7"/>
        <v>0.48531000000000002</v>
      </c>
      <c r="O117" s="714">
        <f t="shared" si="8"/>
        <v>0.48531000000000002</v>
      </c>
    </row>
    <row r="118" spans="1:15">
      <c r="A118" s="19" t="s">
        <v>997</v>
      </c>
      <c r="B118" s="35"/>
      <c r="C118" s="721"/>
      <c r="D118" s="35"/>
      <c r="E118" s="35"/>
      <c r="F118" s="19">
        <f t="shared" si="9"/>
        <v>0</v>
      </c>
      <c r="I118" s="717"/>
      <c r="J118" s="714">
        <f>'Actual-CO2 Calculations'!AJ119</f>
        <v>2018</v>
      </c>
      <c r="K118" s="714">
        <f>'Actual-CO2 Calculations'!AK119</f>
        <v>12</v>
      </c>
      <c r="L118" s="714">
        <f>IF(J118=2009,Report!$C$27,IF(J118=2010,Report!$D$27,IF(J118=2011,Report!$E$27,IF(J118=2012,Report!$F$27,IF(J118=2013,Report!$G$27,IF(J118=2014,Report!$H$27,IF(J118=2015,Report!$I$27,IF(J118=2016,Report!$J$27,IF(J118=2017,Report!$K$27,IF(J118=2018,Report!$L$27,"ERROR"))))))))))</f>
        <v>0.48531000000000002</v>
      </c>
      <c r="M118" s="714">
        <f>IF($M$3="Other",L118,VLOOKUP($I$11,Report!$A$18:$L$34,'Data Entry Electricity'!K118,FALSE))</f>
        <v>0.48531000000000002</v>
      </c>
      <c r="N118" s="714">
        <f t="shared" si="7"/>
        <v>0.48531000000000002</v>
      </c>
      <c r="O118" s="714">
        <f t="shared" si="8"/>
        <v>0.48531000000000002</v>
      </c>
    </row>
    <row r="119" spans="1:15">
      <c r="A119" s="19" t="s">
        <v>998</v>
      </c>
      <c r="B119" s="35"/>
      <c r="C119" s="721"/>
      <c r="D119" s="35"/>
      <c r="E119" s="35"/>
      <c r="F119" s="19">
        <f t="shared" si="9"/>
        <v>0</v>
      </c>
      <c r="I119" s="717"/>
      <c r="J119" s="714">
        <f>'Actual-CO2 Calculations'!AJ120</f>
        <v>2018</v>
      </c>
      <c r="K119" s="714">
        <f>'Actual-CO2 Calculations'!AK120</f>
        <v>12</v>
      </c>
      <c r="L119" s="714">
        <f>IF(J119=2009,Report!$C$27,IF(J119=2010,Report!$D$27,IF(J119=2011,Report!$E$27,IF(J119=2012,Report!$F$27,IF(J119=2013,Report!$G$27,IF(J119=2014,Report!$H$27,IF(J119=2015,Report!$I$27,IF(J119=2016,Report!$J$27,IF(J119=2017,Report!$K$27,IF(J119=2018,Report!$L$27,"ERROR"))))))))))</f>
        <v>0.48531000000000002</v>
      </c>
      <c r="M119" s="714">
        <f>IF($M$3="Other",L119,VLOOKUP($I$11,Report!$A$18:$L$34,'Data Entry Electricity'!K119,FALSE))</f>
        <v>0.48531000000000002</v>
      </c>
      <c r="N119" s="714">
        <f t="shared" si="7"/>
        <v>0.48531000000000002</v>
      </c>
      <c r="O119" s="714">
        <f t="shared" si="8"/>
        <v>0.48531000000000002</v>
      </c>
    </row>
    <row r="120" spans="1:15">
      <c r="A120" s="19" t="s">
        <v>999</v>
      </c>
      <c r="B120" s="35"/>
      <c r="C120" s="721"/>
      <c r="D120" s="35"/>
      <c r="E120" s="35"/>
      <c r="F120" s="19">
        <f t="shared" si="9"/>
        <v>0</v>
      </c>
      <c r="I120" s="717"/>
      <c r="J120" s="714">
        <f>'Actual-CO2 Calculations'!AJ121</f>
        <v>2018</v>
      </c>
      <c r="K120" s="714">
        <f>'Actual-CO2 Calculations'!AK121</f>
        <v>12</v>
      </c>
      <c r="L120" s="714">
        <f>IF(J120=2009,Report!$C$27,IF(J120=2010,Report!$D$27,IF(J120=2011,Report!$E$27,IF(J120=2012,Report!$F$27,IF(J120=2013,Report!$G$27,IF(J120=2014,Report!$H$27,IF(J120=2015,Report!$I$27,IF(J120=2016,Report!$J$27,IF(J120=2017,Report!$K$27,IF(J120=2018,Report!$L$27,"ERROR"))))))))))</f>
        <v>0.48531000000000002</v>
      </c>
      <c r="M120" s="714">
        <f>IF($M$3="Other",L120,VLOOKUP($I$11,Report!$A$18:$L$34,'Data Entry Electricity'!K120,FALSE))</f>
        <v>0.48531000000000002</v>
      </c>
      <c r="N120" s="714">
        <f t="shared" si="7"/>
        <v>0.48531000000000002</v>
      </c>
      <c r="O120" s="714">
        <f t="shared" si="8"/>
        <v>0.48531000000000002</v>
      </c>
    </row>
    <row r="121" spans="1:15">
      <c r="B121" s="21"/>
      <c r="C121" s="722"/>
      <c r="D121" s="21"/>
      <c r="E121" s="21"/>
      <c r="G121" s="503" t="s">
        <v>842</v>
      </c>
    </row>
    <row r="122" spans="1:15">
      <c r="A122" s="21" t="s">
        <v>112</v>
      </c>
      <c r="B122" s="21">
        <f>SUM(B4:B120)</f>
        <v>253826</v>
      </c>
      <c r="C122" s="722">
        <f t="shared" ref="C122:E122" si="10">SUM(C4:C120)</f>
        <v>0</v>
      </c>
      <c r="D122" s="21">
        <f t="shared" si="10"/>
        <v>0</v>
      </c>
      <c r="E122" s="21">
        <f t="shared" si="10"/>
        <v>0</v>
      </c>
      <c r="G122" s="19">
        <f>SUM(B122:E122)</f>
        <v>253826</v>
      </c>
    </row>
    <row r="123" spans="1:15">
      <c r="B123" s="21"/>
      <c r="C123" s="722"/>
      <c r="D123" s="21"/>
      <c r="E123" s="21"/>
    </row>
  </sheetData>
  <protectedRanges>
    <protectedRange password="DCDF" sqref="C4:E120 B40:B55 B79:B120" name="Electricity input"/>
    <protectedRange password="DCDF" sqref="B4:B39" name="Electricity input_1_1"/>
    <protectedRange password="DCDF" sqref="B65:B78" name="Electricity input_1"/>
    <protectedRange password="DCDF" sqref="B56:B64" name="Electricity input_1_2"/>
  </protectedRanges>
  <mergeCells count="6">
    <mergeCell ref="C1:I1"/>
    <mergeCell ref="A2:A3"/>
    <mergeCell ref="D2:D3"/>
    <mergeCell ref="E2:E3"/>
    <mergeCell ref="F2:F3"/>
    <mergeCell ref="B2:B3"/>
  </mergeCells>
  <conditionalFormatting sqref="C3">
    <cfRule type="expression" dxfId="1" priority="2">
      <formula>AND($C$122&lt;&gt;0,$C$3="")</formula>
    </cfRule>
  </conditionalFormatting>
  <conditionalFormatting sqref="C1:I1 C3:C120">
    <cfRule type="expression" dxfId="0" priority="1">
      <formula>$C$1&lt;&gt;""</formula>
    </cfRule>
  </conditionalFormatting>
  <dataValidations count="1">
    <dataValidation type="list" allowBlank="1" showInputMessage="1" showErrorMessage="1" sqref="C3">
      <formula1>$I$4:$I$9</formula1>
    </dataValidation>
  </dataValidations>
  <pageMargins left="0.7" right="0.7" top="0.75" bottom="0.75" header="0.3" footer="0.3"/>
  <pageSetup paperSize="8" scale="66" orientation="portrait" verticalDpi="4"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abSelected="1" zoomScale="115" zoomScaleNormal="115" workbookViewId="0">
      <selection activeCell="N20" sqref="N20"/>
    </sheetView>
  </sheetViews>
  <sheetFormatPr defaultRowHeight="15"/>
  <cols>
    <col min="1" max="16384" width="9.140625" style="179"/>
  </cols>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zoomScale="85" zoomScaleNormal="85" workbookViewId="0">
      <selection activeCell="Z43" sqref="Z43"/>
    </sheetView>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
  <sheetViews>
    <sheetView workbookViewId="0">
      <selection activeCell="C1" sqref="C1"/>
    </sheetView>
  </sheetViews>
  <sheetFormatPr defaultRowHeight="15"/>
  <cols>
    <col min="1" max="1" width="15.5703125" customWidth="1"/>
    <col min="2" max="2" width="17.140625" customWidth="1"/>
    <col min="3" max="3" width="53.140625" customWidth="1"/>
  </cols>
  <sheetData>
    <row r="1" spans="1:3">
      <c r="A1" t="s">
        <v>137</v>
      </c>
      <c r="B1" t="s">
        <v>138</v>
      </c>
      <c r="C1" t="s">
        <v>141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T162"/>
  <sheetViews>
    <sheetView topLeftCell="C1" workbookViewId="0">
      <selection activeCell="C1" sqref="C1"/>
    </sheetView>
  </sheetViews>
  <sheetFormatPr defaultRowHeight="15"/>
  <cols>
    <col min="1" max="2" width="0" style="179" hidden="1" customWidth="1"/>
    <col min="3" max="3" width="30.42578125" style="179" customWidth="1"/>
    <col min="4" max="6" width="9.140625" style="179"/>
    <col min="7" max="7" width="13.5703125" style="179" customWidth="1"/>
    <col min="8" max="8" width="9.140625" style="179"/>
    <col min="9" max="9" width="13.85546875" style="179" customWidth="1"/>
    <col min="10" max="10" width="13" style="179" customWidth="1"/>
    <col min="11" max="12" width="9.140625" style="179"/>
    <col min="13" max="13" width="13.7109375" style="179" bestFit="1" customWidth="1"/>
    <col min="14" max="15" width="13.28515625" style="179" bestFit="1" customWidth="1"/>
    <col min="16" max="16" width="16.140625" style="179" customWidth="1"/>
    <col min="17" max="17" width="26.140625" style="179" bestFit="1" customWidth="1"/>
    <col min="18" max="16384" width="9.140625" style="179"/>
  </cols>
  <sheetData>
    <row r="1" spans="1:20" ht="45">
      <c r="C1" s="179" t="s">
        <v>302</v>
      </c>
      <c r="D1" s="179" t="s">
        <v>303</v>
      </c>
      <c r="E1" s="179" t="s">
        <v>289</v>
      </c>
      <c r="F1" s="179" t="s">
        <v>306</v>
      </c>
      <c r="G1" s="179" t="s">
        <v>307</v>
      </c>
      <c r="H1" s="179" t="s">
        <v>308</v>
      </c>
      <c r="I1" s="179" t="s">
        <v>309</v>
      </c>
      <c r="K1" s="179" t="s">
        <v>310</v>
      </c>
      <c r="M1" s="418" t="s">
        <v>737</v>
      </c>
      <c r="P1" s="418" t="s">
        <v>737</v>
      </c>
      <c r="Q1" s="179" t="s">
        <v>738</v>
      </c>
      <c r="R1" s="179" t="s">
        <v>312</v>
      </c>
      <c r="S1" s="179" t="s">
        <v>315</v>
      </c>
      <c r="T1" s="179" t="s">
        <v>320</v>
      </c>
    </row>
    <row r="2" spans="1:20">
      <c r="I2" s="179" t="s">
        <v>739</v>
      </c>
      <c r="J2" s="179" t="s">
        <v>740</v>
      </c>
      <c r="K2" s="179" t="s">
        <v>739</v>
      </c>
      <c r="L2" s="179" t="s">
        <v>740</v>
      </c>
      <c r="M2" s="179" t="s">
        <v>741</v>
      </c>
      <c r="N2" s="179" t="s">
        <v>742</v>
      </c>
      <c r="O2" s="179" t="s">
        <v>743</v>
      </c>
    </row>
    <row r="3" spans="1:20">
      <c r="C3" s="179" t="s">
        <v>769</v>
      </c>
      <c r="M3" s="179">
        <f>MAX(M4:M7)</f>
        <v>0</v>
      </c>
      <c r="N3" s="179">
        <f>MAX(N4:N7)</f>
        <v>0</v>
      </c>
      <c r="O3" s="179">
        <f>MAX(O4:O7)</f>
        <v>0</v>
      </c>
    </row>
    <row r="4" spans="1:20">
      <c r="A4" s="179">
        <v>1</v>
      </c>
      <c r="B4" s="179" t="str">
        <f>C3</f>
        <v>55T</v>
      </c>
      <c r="C4" s="179" t="s">
        <v>744</v>
      </c>
      <c r="D4" s="179" t="s">
        <v>745</v>
      </c>
      <c r="I4" s="926">
        <v>270</v>
      </c>
      <c r="J4" s="926"/>
      <c r="K4" s="926">
        <v>350</v>
      </c>
      <c r="L4" s="926"/>
    </row>
    <row r="5" spans="1:20">
      <c r="A5" s="179">
        <f t="shared" ref="A5:A16" si="0">IF(B5&gt;0,IF(A4&gt;0,A4+1,A3+1),0)</f>
        <v>2</v>
      </c>
      <c r="B5" s="179" t="str">
        <f>C3</f>
        <v>55T</v>
      </c>
      <c r="C5" s="179" t="s">
        <v>746</v>
      </c>
      <c r="D5" s="179" t="s">
        <v>747</v>
      </c>
      <c r="I5" s="926">
        <v>270</v>
      </c>
      <c r="J5" s="926"/>
      <c r="K5" s="926" t="s">
        <v>748</v>
      </c>
      <c r="L5" s="926"/>
    </row>
    <row r="6" spans="1:20">
      <c r="A6" s="179">
        <f t="shared" si="0"/>
        <v>3</v>
      </c>
      <c r="B6" s="179" t="str">
        <f>C3</f>
        <v>55T</v>
      </c>
      <c r="C6" s="179" t="s">
        <v>749</v>
      </c>
      <c r="D6" s="179" t="s">
        <v>750</v>
      </c>
      <c r="E6" s="179" t="s">
        <v>751</v>
      </c>
      <c r="I6" s="926">
        <v>270</v>
      </c>
      <c r="J6" s="926"/>
    </row>
    <row r="7" spans="1:20">
      <c r="A7" s="179">
        <f t="shared" si="0"/>
        <v>4</v>
      </c>
      <c r="B7" s="179" t="str">
        <f>C3</f>
        <v>55T</v>
      </c>
      <c r="C7" s="179" t="s">
        <v>752</v>
      </c>
      <c r="D7" s="179" t="s">
        <v>753</v>
      </c>
      <c r="I7" s="926">
        <v>240</v>
      </c>
      <c r="J7" s="926"/>
      <c r="K7" s="926">
        <v>320</v>
      </c>
      <c r="L7" s="926"/>
    </row>
    <row r="8" spans="1:20">
      <c r="A8" s="179">
        <f t="shared" si="0"/>
        <v>0</v>
      </c>
      <c r="C8" s="179" t="s">
        <v>770</v>
      </c>
      <c r="I8" s="182"/>
      <c r="J8" s="182"/>
      <c r="K8" s="182"/>
      <c r="L8" s="182"/>
      <c r="M8" s="179">
        <f>MAX(M9:M11)</f>
        <v>0</v>
      </c>
      <c r="N8" s="179">
        <f>MAX(N9:N11)</f>
        <v>0</v>
      </c>
      <c r="O8" s="179">
        <f>MAX(O9:O11)</f>
        <v>0</v>
      </c>
    </row>
    <row r="9" spans="1:20">
      <c r="A9" s="179">
        <f t="shared" si="0"/>
        <v>5</v>
      </c>
      <c r="B9" s="179" t="str">
        <f>C8</f>
        <v>60T</v>
      </c>
      <c r="C9" s="179" t="s">
        <v>754</v>
      </c>
      <c r="D9" s="179" t="s">
        <v>755</v>
      </c>
      <c r="I9" s="926">
        <v>240</v>
      </c>
      <c r="J9" s="926"/>
      <c r="K9" s="179" t="s">
        <v>756</v>
      </c>
    </row>
    <row r="10" spans="1:20">
      <c r="A10" s="179">
        <f t="shared" si="0"/>
        <v>6</v>
      </c>
      <c r="B10" s="179" t="str">
        <f>C8</f>
        <v>60T</v>
      </c>
      <c r="C10" s="179" t="s">
        <v>757</v>
      </c>
      <c r="D10" s="179" t="s">
        <v>758</v>
      </c>
      <c r="G10" s="179" t="s">
        <v>759</v>
      </c>
      <c r="I10" s="926">
        <v>260</v>
      </c>
      <c r="J10" s="926"/>
      <c r="K10" s="926">
        <v>400</v>
      </c>
      <c r="L10" s="926"/>
    </row>
    <row r="11" spans="1:20">
      <c r="A11" s="179">
        <f t="shared" si="0"/>
        <v>7</v>
      </c>
      <c r="B11" s="179" t="str">
        <f>C8</f>
        <v>60T</v>
      </c>
      <c r="C11" s="179" t="s">
        <v>760</v>
      </c>
      <c r="D11" s="179" t="s">
        <v>761</v>
      </c>
      <c r="G11" s="179" t="s">
        <v>759</v>
      </c>
      <c r="I11" s="926">
        <v>260</v>
      </c>
      <c r="J11" s="926"/>
      <c r="K11" s="926">
        <v>400</v>
      </c>
      <c r="L11" s="926"/>
    </row>
    <row r="12" spans="1:20">
      <c r="A12" s="179">
        <f t="shared" si="0"/>
        <v>0</v>
      </c>
      <c r="C12" s="179" t="s">
        <v>771</v>
      </c>
      <c r="I12" s="182"/>
      <c r="J12" s="182"/>
      <c r="K12" s="182"/>
      <c r="L12" s="182"/>
      <c r="M12" s="179">
        <f>MAX(M13:M14)</f>
        <v>0</v>
      </c>
      <c r="N12" s="179">
        <f>MAX(N13:N14)</f>
        <v>0</v>
      </c>
      <c r="O12" s="179">
        <f>MAX(O13:O14)</f>
        <v>0</v>
      </c>
    </row>
    <row r="13" spans="1:20">
      <c r="A13" s="179">
        <f t="shared" si="0"/>
        <v>8</v>
      </c>
      <c r="B13" s="179" t="str">
        <f>C12</f>
        <v>100T</v>
      </c>
      <c r="C13" s="179" t="s">
        <v>762</v>
      </c>
      <c r="D13" s="179" t="s">
        <v>763</v>
      </c>
      <c r="I13" s="182"/>
      <c r="J13" s="182"/>
      <c r="K13" s="182"/>
      <c r="L13" s="182"/>
    </row>
    <row r="14" spans="1:20">
      <c r="A14" s="179">
        <f t="shared" si="0"/>
        <v>9</v>
      </c>
      <c r="B14" s="179" t="str">
        <f>C12</f>
        <v>100T</v>
      </c>
      <c r="C14" s="179" t="s">
        <v>764</v>
      </c>
      <c r="D14" s="179" t="s">
        <v>765</v>
      </c>
      <c r="G14" s="179" t="s">
        <v>766</v>
      </c>
      <c r="I14" s="179">
        <v>350</v>
      </c>
      <c r="J14" s="179">
        <v>129</v>
      </c>
      <c r="K14" s="179">
        <v>520</v>
      </c>
      <c r="L14" s="179">
        <v>230</v>
      </c>
    </row>
    <row r="15" spans="1:20">
      <c r="A15" s="179">
        <f t="shared" si="0"/>
        <v>0</v>
      </c>
      <c r="C15" s="179" t="s">
        <v>772</v>
      </c>
      <c r="M15" s="179">
        <f>MAX(M16)</f>
        <v>0</v>
      </c>
      <c r="N15" s="179">
        <f>MAX(N16)</f>
        <v>0</v>
      </c>
      <c r="O15" s="179">
        <f>MAX(O16)</f>
        <v>0</v>
      </c>
    </row>
    <row r="16" spans="1:20">
      <c r="A16" s="179">
        <f t="shared" si="0"/>
        <v>10</v>
      </c>
      <c r="B16" s="179" t="str">
        <f>C15</f>
        <v>350T</v>
      </c>
      <c r="C16" s="179" t="s">
        <v>767</v>
      </c>
      <c r="D16" s="179" t="s">
        <v>768</v>
      </c>
      <c r="I16" s="179">
        <v>450</v>
      </c>
      <c r="J16" s="179">
        <v>250</v>
      </c>
      <c r="K16" s="926">
        <v>630</v>
      </c>
      <c r="L16" s="926"/>
    </row>
    <row r="17" spans="3:9">
      <c r="C17" s="179" t="str">
        <f>" "</f>
        <v xml:space="preserve"> </v>
      </c>
    </row>
    <row r="18" spans="3:9">
      <c r="C18" s="179" t="str">
        <f t="shared" ref="C18:C81" si="1">" "</f>
        <v xml:space="preserve"> </v>
      </c>
    </row>
    <row r="19" spans="3:9">
      <c r="C19" s="179" t="str">
        <f t="shared" si="1"/>
        <v xml:space="preserve"> </v>
      </c>
    </row>
    <row r="20" spans="3:9">
      <c r="C20" s="179" t="str">
        <f t="shared" si="1"/>
        <v xml:space="preserve"> </v>
      </c>
      <c r="G20" s="179" t="s">
        <v>773</v>
      </c>
    </row>
    <row r="21" spans="3:9">
      <c r="C21" s="179" t="str">
        <f t="shared" si="1"/>
        <v xml:space="preserve"> </v>
      </c>
      <c r="F21" s="179">
        <v>1</v>
      </c>
      <c r="G21" s="179" t="str">
        <f>C3</f>
        <v>55T</v>
      </c>
      <c r="H21" s="179">
        <f>A4</f>
        <v>1</v>
      </c>
      <c r="I21" s="179">
        <f>H22-H21</f>
        <v>4</v>
      </c>
    </row>
    <row r="22" spans="3:9">
      <c r="C22" s="179" t="str">
        <f t="shared" si="1"/>
        <v xml:space="preserve"> </v>
      </c>
      <c r="F22" s="179">
        <v>2</v>
      </c>
      <c r="G22" s="179" t="str">
        <f>C8</f>
        <v>60T</v>
      </c>
      <c r="H22" s="179">
        <f>A9</f>
        <v>5</v>
      </c>
      <c r="I22" s="179">
        <f t="shared" ref="I22:I23" si="2">H23-H22</f>
        <v>3</v>
      </c>
    </row>
    <row r="23" spans="3:9">
      <c r="C23" s="179" t="str">
        <f t="shared" si="1"/>
        <v xml:space="preserve"> </v>
      </c>
      <c r="F23" s="179">
        <v>3</v>
      </c>
      <c r="G23" s="179" t="str">
        <f>C12</f>
        <v>100T</v>
      </c>
      <c r="H23" s="179">
        <f>A13</f>
        <v>8</v>
      </c>
      <c r="I23" s="179">
        <f t="shared" si="2"/>
        <v>2</v>
      </c>
    </row>
    <row r="24" spans="3:9">
      <c r="C24" s="179" t="str">
        <f t="shared" si="1"/>
        <v xml:space="preserve"> </v>
      </c>
      <c r="F24" s="179">
        <v>4</v>
      </c>
      <c r="G24" s="179" t="str">
        <f>C15</f>
        <v>350T</v>
      </c>
      <c r="H24" s="179">
        <f>A16</f>
        <v>10</v>
      </c>
      <c r="I24" s="179">
        <v>1</v>
      </c>
    </row>
    <row r="25" spans="3:9">
      <c r="C25" s="179" t="str">
        <f t="shared" si="1"/>
        <v xml:space="preserve"> </v>
      </c>
    </row>
    <row r="26" spans="3:9">
      <c r="C26" s="179" t="str">
        <f t="shared" si="1"/>
        <v xml:space="preserve"> </v>
      </c>
    </row>
    <row r="27" spans="3:9">
      <c r="C27" s="179" t="str">
        <f t="shared" si="1"/>
        <v xml:space="preserve"> </v>
      </c>
    </row>
    <row r="28" spans="3:9">
      <c r="C28" s="179" t="str">
        <f t="shared" si="1"/>
        <v xml:space="preserve"> </v>
      </c>
    </row>
    <row r="29" spans="3:9">
      <c r="C29" s="179" t="str">
        <f t="shared" si="1"/>
        <v xml:space="preserve"> </v>
      </c>
    </row>
    <row r="30" spans="3:9">
      <c r="C30" s="179" t="str">
        <f t="shared" si="1"/>
        <v xml:space="preserve"> </v>
      </c>
    </row>
    <row r="31" spans="3:9">
      <c r="C31" s="179" t="str">
        <f t="shared" si="1"/>
        <v xml:space="preserve"> </v>
      </c>
    </row>
    <row r="32" spans="3:9">
      <c r="C32" s="179" t="str">
        <f t="shared" si="1"/>
        <v xml:space="preserve"> </v>
      </c>
    </row>
    <row r="33" spans="3:3">
      <c r="C33" s="179" t="str">
        <f t="shared" si="1"/>
        <v xml:space="preserve"> </v>
      </c>
    </row>
    <row r="34" spans="3:3">
      <c r="C34" s="179" t="str">
        <f t="shared" si="1"/>
        <v xml:space="preserve"> </v>
      </c>
    </row>
    <row r="35" spans="3:3">
      <c r="C35" s="179" t="str">
        <f t="shared" si="1"/>
        <v xml:space="preserve"> </v>
      </c>
    </row>
    <row r="36" spans="3:3">
      <c r="C36" s="179" t="str">
        <f t="shared" si="1"/>
        <v xml:space="preserve"> </v>
      </c>
    </row>
    <row r="37" spans="3:3">
      <c r="C37" s="179" t="str">
        <f t="shared" si="1"/>
        <v xml:space="preserve"> </v>
      </c>
    </row>
    <row r="38" spans="3:3">
      <c r="C38" s="179" t="str">
        <f t="shared" si="1"/>
        <v xml:space="preserve"> </v>
      </c>
    </row>
    <row r="39" spans="3:3">
      <c r="C39" s="179" t="str">
        <f t="shared" si="1"/>
        <v xml:space="preserve"> </v>
      </c>
    </row>
    <row r="40" spans="3:3">
      <c r="C40" s="179" t="str">
        <f t="shared" si="1"/>
        <v xml:space="preserve"> </v>
      </c>
    </row>
    <row r="41" spans="3:3">
      <c r="C41" s="179" t="str">
        <f t="shared" si="1"/>
        <v xml:space="preserve"> </v>
      </c>
    </row>
    <row r="42" spans="3:3">
      <c r="C42" s="179" t="str">
        <f t="shared" si="1"/>
        <v xml:space="preserve"> </v>
      </c>
    </row>
    <row r="43" spans="3:3">
      <c r="C43" s="179" t="str">
        <f t="shared" si="1"/>
        <v xml:space="preserve"> </v>
      </c>
    </row>
    <row r="44" spans="3:3">
      <c r="C44" s="179" t="str">
        <f t="shared" si="1"/>
        <v xml:space="preserve"> </v>
      </c>
    </row>
    <row r="45" spans="3:3">
      <c r="C45" s="179" t="str">
        <f t="shared" si="1"/>
        <v xml:space="preserve"> </v>
      </c>
    </row>
    <row r="46" spans="3:3">
      <c r="C46" s="179" t="str">
        <f t="shared" si="1"/>
        <v xml:space="preserve"> </v>
      </c>
    </row>
    <row r="47" spans="3:3">
      <c r="C47" s="179" t="str">
        <f t="shared" si="1"/>
        <v xml:space="preserve"> </v>
      </c>
    </row>
    <row r="48" spans="3:3">
      <c r="C48" s="179" t="str">
        <f t="shared" si="1"/>
        <v xml:space="preserve"> </v>
      </c>
    </row>
    <row r="49" spans="3:3">
      <c r="C49" s="179" t="str">
        <f t="shared" si="1"/>
        <v xml:space="preserve"> </v>
      </c>
    </row>
    <row r="50" spans="3:3">
      <c r="C50" s="179" t="str">
        <f t="shared" si="1"/>
        <v xml:space="preserve"> </v>
      </c>
    </row>
    <row r="51" spans="3:3">
      <c r="C51" s="179" t="str">
        <f t="shared" si="1"/>
        <v xml:space="preserve"> </v>
      </c>
    </row>
    <row r="52" spans="3:3">
      <c r="C52" s="179" t="str">
        <f t="shared" si="1"/>
        <v xml:space="preserve"> </v>
      </c>
    </row>
    <row r="53" spans="3:3">
      <c r="C53" s="179" t="str">
        <f t="shared" si="1"/>
        <v xml:space="preserve"> </v>
      </c>
    </row>
    <row r="54" spans="3:3">
      <c r="C54" s="179" t="str">
        <f t="shared" si="1"/>
        <v xml:space="preserve"> </v>
      </c>
    </row>
    <row r="55" spans="3:3">
      <c r="C55" s="179" t="str">
        <f t="shared" si="1"/>
        <v xml:space="preserve"> </v>
      </c>
    </row>
    <row r="56" spans="3:3">
      <c r="C56" s="179" t="str">
        <f t="shared" si="1"/>
        <v xml:space="preserve"> </v>
      </c>
    </row>
    <row r="57" spans="3:3">
      <c r="C57" s="179" t="str">
        <f t="shared" si="1"/>
        <v xml:space="preserve"> </v>
      </c>
    </row>
    <row r="58" spans="3:3">
      <c r="C58" s="179" t="str">
        <f t="shared" si="1"/>
        <v xml:space="preserve"> </v>
      </c>
    </row>
    <row r="59" spans="3:3">
      <c r="C59" s="179" t="str">
        <f t="shared" si="1"/>
        <v xml:space="preserve"> </v>
      </c>
    </row>
    <row r="60" spans="3:3">
      <c r="C60" s="179" t="str">
        <f t="shared" si="1"/>
        <v xml:space="preserve"> </v>
      </c>
    </row>
    <row r="61" spans="3:3">
      <c r="C61" s="179" t="str">
        <f t="shared" si="1"/>
        <v xml:space="preserve"> </v>
      </c>
    </row>
    <row r="62" spans="3:3">
      <c r="C62" s="179" t="str">
        <f t="shared" si="1"/>
        <v xml:space="preserve"> </v>
      </c>
    </row>
    <row r="63" spans="3:3">
      <c r="C63" s="179" t="str">
        <f t="shared" si="1"/>
        <v xml:space="preserve"> </v>
      </c>
    </row>
    <row r="64" spans="3:3">
      <c r="C64" s="179" t="str">
        <f t="shared" si="1"/>
        <v xml:space="preserve"> </v>
      </c>
    </row>
    <row r="65" spans="3:3">
      <c r="C65" s="179" t="str">
        <f t="shared" si="1"/>
        <v xml:space="preserve"> </v>
      </c>
    </row>
    <row r="66" spans="3:3">
      <c r="C66" s="179" t="str">
        <f t="shared" si="1"/>
        <v xml:space="preserve"> </v>
      </c>
    </row>
    <row r="67" spans="3:3">
      <c r="C67" s="179" t="str">
        <f t="shared" si="1"/>
        <v xml:space="preserve"> </v>
      </c>
    </row>
    <row r="68" spans="3:3">
      <c r="C68" s="179" t="str">
        <f t="shared" si="1"/>
        <v xml:space="preserve"> </v>
      </c>
    </row>
    <row r="69" spans="3:3">
      <c r="C69" s="179" t="str">
        <f t="shared" si="1"/>
        <v xml:space="preserve"> </v>
      </c>
    </row>
    <row r="70" spans="3:3">
      <c r="C70" s="179" t="str">
        <f t="shared" si="1"/>
        <v xml:space="preserve"> </v>
      </c>
    </row>
    <row r="71" spans="3:3">
      <c r="C71" s="179" t="str">
        <f t="shared" si="1"/>
        <v xml:space="preserve"> </v>
      </c>
    </row>
    <row r="72" spans="3:3">
      <c r="C72" s="179" t="str">
        <f t="shared" si="1"/>
        <v xml:space="preserve"> </v>
      </c>
    </row>
    <row r="73" spans="3:3">
      <c r="C73" s="179" t="str">
        <f t="shared" si="1"/>
        <v xml:space="preserve"> </v>
      </c>
    </row>
    <row r="74" spans="3:3">
      <c r="C74" s="179" t="str">
        <f t="shared" si="1"/>
        <v xml:space="preserve"> </v>
      </c>
    </row>
    <row r="75" spans="3:3">
      <c r="C75" s="179" t="str">
        <f t="shared" si="1"/>
        <v xml:space="preserve"> </v>
      </c>
    </row>
    <row r="76" spans="3:3">
      <c r="C76" s="179" t="str">
        <f t="shared" si="1"/>
        <v xml:space="preserve"> </v>
      </c>
    </row>
    <row r="77" spans="3:3">
      <c r="C77" s="179" t="str">
        <f t="shared" si="1"/>
        <v xml:space="preserve"> </v>
      </c>
    </row>
    <row r="78" spans="3:3">
      <c r="C78" s="179" t="str">
        <f t="shared" si="1"/>
        <v xml:space="preserve"> </v>
      </c>
    </row>
    <row r="79" spans="3:3">
      <c r="C79" s="179" t="str">
        <f t="shared" si="1"/>
        <v xml:space="preserve"> </v>
      </c>
    </row>
    <row r="80" spans="3:3">
      <c r="C80" s="179" t="str">
        <f t="shared" si="1"/>
        <v xml:space="preserve"> </v>
      </c>
    </row>
    <row r="81" spans="3:3">
      <c r="C81" s="179" t="str">
        <f t="shared" si="1"/>
        <v xml:space="preserve"> </v>
      </c>
    </row>
    <row r="82" spans="3:3">
      <c r="C82" s="179" t="str">
        <f t="shared" ref="C82:C145" si="3">" "</f>
        <v xml:space="preserve"> </v>
      </c>
    </row>
    <row r="83" spans="3:3">
      <c r="C83" s="179" t="str">
        <f t="shared" si="3"/>
        <v xml:space="preserve"> </v>
      </c>
    </row>
    <row r="84" spans="3:3">
      <c r="C84" s="179" t="str">
        <f t="shared" si="3"/>
        <v xml:space="preserve"> </v>
      </c>
    </row>
    <row r="85" spans="3:3">
      <c r="C85" s="179" t="str">
        <f t="shared" si="3"/>
        <v xml:space="preserve"> </v>
      </c>
    </row>
    <row r="86" spans="3:3">
      <c r="C86" s="179" t="str">
        <f t="shared" si="3"/>
        <v xml:space="preserve"> </v>
      </c>
    </row>
    <row r="87" spans="3:3">
      <c r="C87" s="179" t="str">
        <f t="shared" si="3"/>
        <v xml:space="preserve"> </v>
      </c>
    </row>
    <row r="88" spans="3:3">
      <c r="C88" s="179" t="str">
        <f t="shared" si="3"/>
        <v xml:space="preserve"> </v>
      </c>
    </row>
    <row r="89" spans="3:3">
      <c r="C89" s="179" t="str">
        <f t="shared" si="3"/>
        <v xml:space="preserve"> </v>
      </c>
    </row>
    <row r="90" spans="3:3">
      <c r="C90" s="179" t="str">
        <f t="shared" si="3"/>
        <v xml:space="preserve"> </v>
      </c>
    </row>
    <row r="91" spans="3:3">
      <c r="C91" s="179" t="str">
        <f t="shared" si="3"/>
        <v xml:space="preserve"> </v>
      </c>
    </row>
    <row r="92" spans="3:3">
      <c r="C92" s="179" t="str">
        <f t="shared" si="3"/>
        <v xml:space="preserve"> </v>
      </c>
    </row>
    <row r="93" spans="3:3">
      <c r="C93" s="179" t="str">
        <f t="shared" si="3"/>
        <v xml:space="preserve"> </v>
      </c>
    </row>
    <row r="94" spans="3:3">
      <c r="C94" s="179" t="str">
        <f t="shared" si="3"/>
        <v xml:space="preserve"> </v>
      </c>
    </row>
    <row r="95" spans="3:3">
      <c r="C95" s="179" t="str">
        <f t="shared" si="3"/>
        <v xml:space="preserve"> </v>
      </c>
    </row>
    <row r="96" spans="3:3">
      <c r="C96" s="179" t="str">
        <f t="shared" si="3"/>
        <v xml:space="preserve"> </v>
      </c>
    </row>
    <row r="97" spans="3:3">
      <c r="C97" s="179" t="str">
        <f t="shared" si="3"/>
        <v xml:space="preserve"> </v>
      </c>
    </row>
    <row r="98" spans="3:3">
      <c r="C98" s="179" t="str">
        <f t="shared" si="3"/>
        <v xml:space="preserve"> </v>
      </c>
    </row>
    <row r="99" spans="3:3">
      <c r="C99" s="179" t="str">
        <f t="shared" si="3"/>
        <v xml:space="preserve"> </v>
      </c>
    </row>
    <row r="100" spans="3:3">
      <c r="C100" s="179" t="str">
        <f t="shared" si="3"/>
        <v xml:space="preserve"> </v>
      </c>
    </row>
    <row r="101" spans="3:3">
      <c r="C101" s="179" t="str">
        <f t="shared" si="3"/>
        <v xml:space="preserve"> </v>
      </c>
    </row>
    <row r="102" spans="3:3">
      <c r="C102" s="179" t="str">
        <f t="shared" si="3"/>
        <v xml:space="preserve"> </v>
      </c>
    </row>
    <row r="103" spans="3:3">
      <c r="C103" s="179" t="str">
        <f t="shared" si="3"/>
        <v xml:space="preserve"> </v>
      </c>
    </row>
    <row r="104" spans="3:3">
      <c r="C104" s="179" t="str">
        <f t="shared" si="3"/>
        <v xml:space="preserve"> </v>
      </c>
    </row>
    <row r="105" spans="3:3">
      <c r="C105" s="179" t="str">
        <f t="shared" si="3"/>
        <v xml:space="preserve"> </v>
      </c>
    </row>
    <row r="106" spans="3:3">
      <c r="C106" s="179" t="str">
        <f t="shared" si="3"/>
        <v xml:space="preserve"> </v>
      </c>
    </row>
    <row r="107" spans="3:3">
      <c r="C107" s="179" t="str">
        <f t="shared" si="3"/>
        <v xml:space="preserve"> </v>
      </c>
    </row>
    <row r="108" spans="3:3">
      <c r="C108" s="179" t="str">
        <f t="shared" si="3"/>
        <v xml:space="preserve"> </v>
      </c>
    </row>
    <row r="109" spans="3:3">
      <c r="C109" s="179" t="str">
        <f t="shared" si="3"/>
        <v xml:space="preserve"> </v>
      </c>
    </row>
    <row r="110" spans="3:3">
      <c r="C110" s="179" t="str">
        <f t="shared" si="3"/>
        <v xml:space="preserve"> </v>
      </c>
    </row>
    <row r="111" spans="3:3">
      <c r="C111" s="179" t="str">
        <f t="shared" si="3"/>
        <v xml:space="preserve"> </v>
      </c>
    </row>
    <row r="112" spans="3:3">
      <c r="C112" s="179" t="str">
        <f t="shared" si="3"/>
        <v xml:space="preserve"> </v>
      </c>
    </row>
    <row r="113" spans="3:3">
      <c r="C113" s="179" t="str">
        <f t="shared" si="3"/>
        <v xml:space="preserve"> </v>
      </c>
    </row>
    <row r="114" spans="3:3">
      <c r="C114" s="179" t="str">
        <f t="shared" si="3"/>
        <v xml:space="preserve"> </v>
      </c>
    </row>
    <row r="115" spans="3:3">
      <c r="C115" s="179" t="str">
        <f t="shared" si="3"/>
        <v xml:space="preserve"> </v>
      </c>
    </row>
    <row r="116" spans="3:3">
      <c r="C116" s="179" t="str">
        <f t="shared" si="3"/>
        <v xml:space="preserve"> </v>
      </c>
    </row>
    <row r="117" spans="3:3">
      <c r="C117" s="179" t="str">
        <f t="shared" si="3"/>
        <v xml:space="preserve"> </v>
      </c>
    </row>
    <row r="118" spans="3:3">
      <c r="C118" s="179" t="str">
        <f t="shared" si="3"/>
        <v xml:space="preserve"> </v>
      </c>
    </row>
    <row r="119" spans="3:3">
      <c r="C119" s="179" t="str">
        <f t="shared" si="3"/>
        <v xml:space="preserve"> </v>
      </c>
    </row>
    <row r="120" spans="3:3">
      <c r="C120" s="179" t="str">
        <f t="shared" si="3"/>
        <v xml:space="preserve"> </v>
      </c>
    </row>
    <row r="121" spans="3:3">
      <c r="C121" s="179" t="str">
        <f t="shared" si="3"/>
        <v xml:space="preserve"> </v>
      </c>
    </row>
    <row r="122" spans="3:3">
      <c r="C122" s="179" t="str">
        <f t="shared" si="3"/>
        <v xml:space="preserve"> </v>
      </c>
    </row>
    <row r="123" spans="3:3">
      <c r="C123" s="179" t="str">
        <f t="shared" si="3"/>
        <v xml:space="preserve"> </v>
      </c>
    </row>
    <row r="124" spans="3:3">
      <c r="C124" s="179" t="str">
        <f t="shared" si="3"/>
        <v xml:space="preserve"> </v>
      </c>
    </row>
    <row r="125" spans="3:3">
      <c r="C125" s="179" t="str">
        <f t="shared" si="3"/>
        <v xml:space="preserve"> </v>
      </c>
    </row>
    <row r="126" spans="3:3">
      <c r="C126" s="179" t="str">
        <f t="shared" si="3"/>
        <v xml:space="preserve"> </v>
      </c>
    </row>
    <row r="127" spans="3:3">
      <c r="C127" s="179" t="str">
        <f t="shared" si="3"/>
        <v xml:space="preserve"> </v>
      </c>
    </row>
    <row r="128" spans="3:3">
      <c r="C128" s="179" t="str">
        <f t="shared" si="3"/>
        <v xml:space="preserve"> </v>
      </c>
    </row>
    <row r="129" spans="3:3">
      <c r="C129" s="179" t="str">
        <f t="shared" si="3"/>
        <v xml:space="preserve"> </v>
      </c>
    </row>
    <row r="130" spans="3:3">
      <c r="C130" s="179" t="str">
        <f t="shared" si="3"/>
        <v xml:space="preserve"> </v>
      </c>
    </row>
    <row r="131" spans="3:3">
      <c r="C131" s="179" t="str">
        <f t="shared" si="3"/>
        <v xml:space="preserve"> </v>
      </c>
    </row>
    <row r="132" spans="3:3">
      <c r="C132" s="179" t="str">
        <f t="shared" si="3"/>
        <v xml:space="preserve"> </v>
      </c>
    </row>
    <row r="133" spans="3:3">
      <c r="C133" s="179" t="str">
        <f t="shared" si="3"/>
        <v xml:space="preserve"> </v>
      </c>
    </row>
    <row r="134" spans="3:3">
      <c r="C134" s="179" t="str">
        <f t="shared" si="3"/>
        <v xml:space="preserve"> </v>
      </c>
    </row>
    <row r="135" spans="3:3">
      <c r="C135" s="179" t="str">
        <f t="shared" si="3"/>
        <v xml:space="preserve"> </v>
      </c>
    </row>
    <row r="136" spans="3:3">
      <c r="C136" s="179" t="str">
        <f t="shared" si="3"/>
        <v xml:space="preserve"> </v>
      </c>
    </row>
    <row r="137" spans="3:3">
      <c r="C137" s="179" t="str">
        <f t="shared" si="3"/>
        <v xml:space="preserve"> </v>
      </c>
    </row>
    <row r="138" spans="3:3">
      <c r="C138" s="179" t="str">
        <f t="shared" si="3"/>
        <v xml:space="preserve"> </v>
      </c>
    </row>
    <row r="139" spans="3:3">
      <c r="C139" s="179" t="str">
        <f t="shared" si="3"/>
        <v xml:space="preserve"> </v>
      </c>
    </row>
    <row r="140" spans="3:3">
      <c r="C140" s="179" t="str">
        <f t="shared" si="3"/>
        <v xml:space="preserve"> </v>
      </c>
    </row>
    <row r="141" spans="3:3">
      <c r="C141" s="179" t="str">
        <f t="shared" si="3"/>
        <v xml:space="preserve"> </v>
      </c>
    </row>
    <row r="142" spans="3:3">
      <c r="C142" s="179" t="str">
        <f t="shared" si="3"/>
        <v xml:space="preserve"> </v>
      </c>
    </row>
    <row r="143" spans="3:3">
      <c r="C143" s="179" t="str">
        <f t="shared" si="3"/>
        <v xml:space="preserve"> </v>
      </c>
    </row>
    <row r="144" spans="3:3">
      <c r="C144" s="179" t="str">
        <f t="shared" si="3"/>
        <v xml:space="preserve"> </v>
      </c>
    </row>
    <row r="145" spans="3:3">
      <c r="C145" s="179" t="str">
        <f t="shared" si="3"/>
        <v xml:space="preserve"> </v>
      </c>
    </row>
    <row r="146" spans="3:3">
      <c r="C146" s="179" t="str">
        <f t="shared" ref="C146:C162" si="4">" "</f>
        <v xml:space="preserve"> </v>
      </c>
    </row>
    <row r="147" spans="3:3">
      <c r="C147" s="179" t="str">
        <f t="shared" si="4"/>
        <v xml:space="preserve"> </v>
      </c>
    </row>
    <row r="148" spans="3:3">
      <c r="C148" s="179" t="str">
        <f t="shared" si="4"/>
        <v xml:space="preserve"> </v>
      </c>
    </row>
    <row r="149" spans="3:3">
      <c r="C149" s="179" t="str">
        <f t="shared" si="4"/>
        <v xml:space="preserve"> </v>
      </c>
    </row>
    <row r="150" spans="3:3">
      <c r="C150" s="179" t="str">
        <f t="shared" si="4"/>
        <v xml:space="preserve"> </v>
      </c>
    </row>
    <row r="151" spans="3:3">
      <c r="C151" s="179" t="str">
        <f t="shared" si="4"/>
        <v xml:space="preserve"> </v>
      </c>
    </row>
    <row r="152" spans="3:3">
      <c r="C152" s="179" t="str">
        <f t="shared" si="4"/>
        <v xml:space="preserve"> </v>
      </c>
    </row>
    <row r="153" spans="3:3">
      <c r="C153" s="179" t="str">
        <f t="shared" si="4"/>
        <v xml:space="preserve"> </v>
      </c>
    </row>
    <row r="154" spans="3:3">
      <c r="C154" s="179" t="str">
        <f t="shared" si="4"/>
        <v xml:space="preserve"> </v>
      </c>
    </row>
    <row r="155" spans="3:3">
      <c r="C155" s="179" t="str">
        <f t="shared" si="4"/>
        <v xml:space="preserve"> </v>
      </c>
    </row>
    <row r="156" spans="3:3">
      <c r="C156" s="179" t="str">
        <f t="shared" si="4"/>
        <v xml:space="preserve"> </v>
      </c>
    </row>
    <row r="157" spans="3:3">
      <c r="C157" s="179" t="str">
        <f t="shared" si="4"/>
        <v xml:space="preserve"> </v>
      </c>
    </row>
    <row r="158" spans="3:3">
      <c r="C158" s="179" t="str">
        <f t="shared" si="4"/>
        <v xml:space="preserve"> </v>
      </c>
    </row>
    <row r="159" spans="3:3">
      <c r="C159" s="179" t="str">
        <f t="shared" si="4"/>
        <v xml:space="preserve"> </v>
      </c>
    </row>
    <row r="160" spans="3:3">
      <c r="C160" s="179" t="str">
        <f t="shared" si="4"/>
        <v xml:space="preserve"> </v>
      </c>
    </row>
    <row r="161" spans="3:3">
      <c r="C161" s="179" t="str">
        <f t="shared" si="4"/>
        <v xml:space="preserve"> </v>
      </c>
    </row>
    <row r="162" spans="3:3">
      <c r="C162" s="179" t="str">
        <f t="shared" si="4"/>
        <v xml:space="preserve"> </v>
      </c>
    </row>
  </sheetData>
  <mergeCells count="13">
    <mergeCell ref="K16:L16"/>
    <mergeCell ref="I4:J4"/>
    <mergeCell ref="K4:L4"/>
    <mergeCell ref="I5:J5"/>
    <mergeCell ref="K5:L5"/>
    <mergeCell ref="I6:J6"/>
    <mergeCell ref="I7:J7"/>
    <mergeCell ref="K7:L7"/>
    <mergeCell ref="I9:J9"/>
    <mergeCell ref="I10:J10"/>
    <mergeCell ref="K10:L10"/>
    <mergeCell ref="I11:J11"/>
    <mergeCell ref="K11:L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B125"/>
  <sheetViews>
    <sheetView topLeftCell="C1" zoomScale="70" zoomScaleNormal="70" workbookViewId="0">
      <selection sqref="A1:B1048576"/>
    </sheetView>
  </sheetViews>
  <sheetFormatPr defaultRowHeight="14.25"/>
  <cols>
    <col min="1" max="2" width="0" style="311" hidden="1" customWidth="1"/>
    <col min="3" max="3" width="22.28515625" style="311" customWidth="1"/>
    <col min="4" max="4" width="17.5703125" style="311" customWidth="1"/>
    <col min="5" max="5" width="9.140625" style="311"/>
    <col min="6" max="6" width="5.7109375" style="311" bestFit="1" customWidth="1"/>
    <col min="7" max="7" width="3.85546875" style="311" bestFit="1" customWidth="1"/>
    <col min="8" max="8" width="7.42578125" style="311" customWidth="1"/>
    <col min="9" max="9" width="9.140625" style="311"/>
    <col min="10" max="10" width="9.140625" style="311" customWidth="1"/>
    <col min="11" max="11" width="5.42578125" style="311" customWidth="1"/>
    <col min="12" max="12" width="9.140625" style="311" customWidth="1"/>
    <col min="13" max="13" width="1" style="311" customWidth="1"/>
    <col min="14" max="16" width="9.140625" style="311" customWidth="1"/>
    <col min="17" max="17" width="0.85546875" style="311" customWidth="1"/>
    <col min="18" max="19" width="10.85546875" style="311" customWidth="1"/>
    <col min="20" max="20" width="9.140625" style="311"/>
    <col min="21" max="22" width="16.5703125" style="311" customWidth="1"/>
    <col min="23" max="16384" width="9.140625" style="311"/>
  </cols>
  <sheetData>
    <row r="1" spans="1:28" ht="105">
      <c r="C1" s="334" t="s">
        <v>302</v>
      </c>
      <c r="D1" s="334" t="s">
        <v>303</v>
      </c>
      <c r="E1" s="334" t="s">
        <v>289</v>
      </c>
      <c r="F1" s="310" t="s">
        <v>304</v>
      </c>
      <c r="G1" s="310" t="s">
        <v>305</v>
      </c>
      <c r="H1" s="310" t="s">
        <v>306</v>
      </c>
      <c r="I1" s="334" t="s">
        <v>307</v>
      </c>
      <c r="J1" s="310" t="s">
        <v>308</v>
      </c>
      <c r="K1" s="310" t="s">
        <v>309</v>
      </c>
      <c r="L1" s="310" t="s">
        <v>310</v>
      </c>
      <c r="M1" s="287"/>
      <c r="N1" s="331" t="s">
        <v>311</v>
      </c>
      <c r="O1" s="331" t="s">
        <v>311</v>
      </c>
      <c r="P1" s="331" t="s">
        <v>311</v>
      </c>
      <c r="Q1" s="319"/>
      <c r="R1" s="331" t="s">
        <v>642</v>
      </c>
      <c r="S1" s="331" t="s">
        <v>314</v>
      </c>
      <c r="T1" s="334" t="s">
        <v>315</v>
      </c>
      <c r="U1" s="310" t="s">
        <v>641</v>
      </c>
      <c r="V1" s="310" t="s">
        <v>640</v>
      </c>
      <c r="W1" s="334" t="s">
        <v>320</v>
      </c>
      <c r="X1" s="334"/>
      <c r="Y1" s="334"/>
      <c r="Z1" s="334"/>
      <c r="AA1" s="334"/>
      <c r="AB1" s="334"/>
    </row>
    <row r="2" spans="1:28">
      <c r="C2" s="325" t="s">
        <v>321</v>
      </c>
      <c r="D2" s="325"/>
      <c r="E2" s="325"/>
      <c r="F2" s="325"/>
      <c r="G2" s="325"/>
      <c r="H2" s="325"/>
      <c r="I2" s="325"/>
      <c r="J2" s="325"/>
      <c r="K2" s="325"/>
      <c r="L2" s="325"/>
      <c r="M2" s="320"/>
      <c r="N2" s="325" t="s">
        <v>639</v>
      </c>
      <c r="O2" s="325" t="s">
        <v>638</v>
      </c>
      <c r="P2" s="325" t="s">
        <v>637</v>
      </c>
      <c r="Q2" s="320"/>
      <c r="R2" s="325"/>
      <c r="S2" s="325"/>
      <c r="T2" s="325"/>
      <c r="U2" s="325"/>
      <c r="V2" s="325"/>
      <c r="W2" s="325"/>
      <c r="X2" s="325"/>
      <c r="Y2" s="325"/>
      <c r="Z2" s="325"/>
      <c r="AA2" s="325"/>
      <c r="AB2" s="325"/>
    </row>
    <row r="3" spans="1:28" ht="15">
      <c r="C3" s="431" t="s">
        <v>592</v>
      </c>
      <c r="D3" s="301"/>
      <c r="E3" s="301"/>
      <c r="F3" s="301"/>
      <c r="G3" s="301"/>
      <c r="H3" s="301"/>
      <c r="I3" s="301"/>
      <c r="J3" s="301"/>
      <c r="K3" s="301"/>
      <c r="L3" s="301"/>
      <c r="M3" s="320"/>
      <c r="N3" s="301">
        <f>MAX(N4)</f>
        <v>0</v>
      </c>
      <c r="O3" s="301">
        <f>MAX(O4)</f>
        <v>8.5</v>
      </c>
      <c r="P3" s="301">
        <f>MAX(P4)</f>
        <v>0</v>
      </c>
      <c r="Q3" s="320"/>
      <c r="R3" s="307"/>
      <c r="S3" s="328"/>
      <c r="T3" s="301"/>
      <c r="U3" s="301"/>
      <c r="V3" s="301"/>
      <c r="W3" s="301"/>
      <c r="X3" s="301"/>
      <c r="Y3" s="301"/>
      <c r="Z3" s="301"/>
      <c r="AA3" s="301"/>
      <c r="AB3" s="301"/>
    </row>
    <row r="4" spans="1:28" ht="15">
      <c r="A4" s="311">
        <v>1</v>
      </c>
      <c r="B4" s="311" t="str">
        <f>C3</f>
        <v>12T</v>
      </c>
      <c r="C4" s="420" t="s">
        <v>636</v>
      </c>
      <c r="D4" s="325" t="s">
        <v>635</v>
      </c>
      <c r="E4" s="325"/>
      <c r="F4" s="325"/>
      <c r="G4" s="325"/>
      <c r="H4" s="325"/>
      <c r="I4" s="325" t="s">
        <v>634</v>
      </c>
      <c r="J4" s="325"/>
      <c r="K4" s="325">
        <v>105</v>
      </c>
      <c r="L4" s="325"/>
      <c r="M4" s="320"/>
      <c r="N4" s="325"/>
      <c r="O4" s="325">
        <v>8.5</v>
      </c>
      <c r="P4" s="325"/>
      <c r="Q4" s="320"/>
      <c r="R4" s="307">
        <f>O4</f>
        <v>8.5</v>
      </c>
      <c r="S4" s="328">
        <f>1-(R4/R4)</f>
        <v>0</v>
      </c>
      <c r="T4" s="325"/>
      <c r="U4" s="429" t="s">
        <v>345</v>
      </c>
      <c r="V4" s="269" t="s">
        <v>631</v>
      </c>
      <c r="W4" s="325"/>
      <c r="X4" s="325"/>
      <c r="Y4" s="325"/>
      <c r="Z4" s="325"/>
      <c r="AA4" s="325"/>
      <c r="AB4" s="325"/>
    </row>
    <row r="5" spans="1:28" ht="15">
      <c r="C5" s="454" t="s">
        <v>643</v>
      </c>
      <c r="D5" s="325"/>
      <c r="E5" s="325"/>
      <c r="F5" s="325"/>
      <c r="G5" s="325"/>
      <c r="H5" s="325"/>
      <c r="I5" s="325"/>
      <c r="J5" s="325"/>
      <c r="K5" s="325"/>
      <c r="L5" s="325"/>
      <c r="M5" s="320"/>
      <c r="N5" s="325">
        <f>MAX(N6)</f>
        <v>0</v>
      </c>
      <c r="O5" s="325">
        <f>MAX(O6)</f>
        <v>13.5</v>
      </c>
      <c r="P5" s="325">
        <f>MAX(P6)</f>
        <v>0</v>
      </c>
      <c r="Q5" s="320"/>
      <c r="R5" s="307"/>
      <c r="S5" s="328"/>
      <c r="T5" s="325"/>
      <c r="U5" s="429"/>
      <c r="V5" s="269"/>
      <c r="W5" s="325"/>
      <c r="X5" s="325"/>
      <c r="Y5" s="325"/>
      <c r="Z5" s="325"/>
      <c r="AA5" s="325"/>
      <c r="AB5" s="325"/>
    </row>
    <row r="6" spans="1:28" ht="15">
      <c r="A6" s="311">
        <f>IF(B6&gt;0,IF(A5&gt;0,A5+1,A4+1),0)</f>
        <v>2</v>
      </c>
      <c r="B6" s="311" t="str">
        <f>C5</f>
        <v>22T</v>
      </c>
      <c r="C6" s="420" t="s">
        <v>633</v>
      </c>
      <c r="D6" s="325" t="s">
        <v>632</v>
      </c>
      <c r="E6" s="325"/>
      <c r="F6" s="325"/>
      <c r="G6" s="325"/>
      <c r="H6" s="325"/>
      <c r="I6" s="325"/>
      <c r="J6" s="325"/>
      <c r="K6" s="325"/>
      <c r="L6" s="325"/>
      <c r="M6" s="320"/>
      <c r="N6" s="325"/>
      <c r="O6" s="325">
        <v>13.5</v>
      </c>
      <c r="P6" s="325"/>
      <c r="Q6" s="320"/>
      <c r="R6" s="307">
        <f>O6</f>
        <v>13.5</v>
      </c>
      <c r="S6" s="328">
        <f>1-(R6/R6)</f>
        <v>0</v>
      </c>
      <c r="T6" s="325"/>
      <c r="U6" s="429" t="s">
        <v>345</v>
      </c>
      <c r="V6" s="269" t="s">
        <v>631</v>
      </c>
      <c r="W6" s="325"/>
      <c r="X6" s="325"/>
      <c r="Y6" s="325"/>
      <c r="Z6" s="325"/>
      <c r="AA6" s="325"/>
      <c r="AB6" s="325"/>
    </row>
    <row r="7" spans="1:28" ht="15">
      <c r="A7" s="311">
        <f t="shared" ref="A7:A16" si="0">IF(B7&gt;0,IF(A6&gt;0,A6+1,A5+1),0)</f>
        <v>0</v>
      </c>
      <c r="C7" s="431" t="s">
        <v>480</v>
      </c>
      <c r="D7" s="325"/>
      <c r="E7" s="325"/>
      <c r="F7" s="325"/>
      <c r="G7" s="325"/>
      <c r="H7" s="325"/>
      <c r="I7" s="325"/>
      <c r="J7" s="325"/>
      <c r="K7" s="325"/>
      <c r="L7" s="325"/>
      <c r="M7" s="320"/>
      <c r="N7" s="325">
        <f>MAX(N8:N8)</f>
        <v>15</v>
      </c>
      <c r="O7" s="325">
        <f>MAX(O8:O8)</f>
        <v>20</v>
      </c>
      <c r="P7" s="325">
        <f>MAX(P8:P8)</f>
        <v>26.5</v>
      </c>
      <c r="Q7" s="320"/>
      <c r="R7" s="307"/>
      <c r="S7" s="328"/>
      <c r="T7" s="325"/>
      <c r="U7" s="325"/>
      <c r="V7" s="325"/>
      <c r="W7" s="325"/>
      <c r="X7" s="325"/>
      <c r="Y7" s="325"/>
      <c r="Z7" s="325"/>
      <c r="AA7" s="325"/>
      <c r="AB7" s="325"/>
    </row>
    <row r="8" spans="1:28" ht="15">
      <c r="A8" s="311">
        <f t="shared" si="0"/>
        <v>3</v>
      </c>
      <c r="B8" s="311" t="str">
        <f>C7</f>
        <v>25T</v>
      </c>
      <c r="C8" s="419" t="s">
        <v>630</v>
      </c>
      <c r="D8" s="354" t="s">
        <v>629</v>
      </c>
      <c r="E8" s="354" t="s">
        <v>607</v>
      </c>
      <c r="F8" s="354"/>
      <c r="G8" s="354"/>
      <c r="H8" s="354">
        <v>24000</v>
      </c>
      <c r="I8" s="354" t="s">
        <v>627</v>
      </c>
      <c r="J8" s="354" t="s">
        <v>626</v>
      </c>
      <c r="K8" s="354">
        <v>234</v>
      </c>
      <c r="L8" s="354">
        <v>400</v>
      </c>
      <c r="M8" s="320"/>
      <c r="N8" s="354">
        <v>15</v>
      </c>
      <c r="O8" s="354">
        <v>20</v>
      </c>
      <c r="P8" s="354">
        <v>26.5</v>
      </c>
      <c r="Q8" s="320"/>
      <c r="R8" s="307">
        <f>(N8+O8+P8)/3</f>
        <v>20.5</v>
      </c>
      <c r="S8" s="328">
        <f>1-(R8/R8)</f>
        <v>0</v>
      </c>
      <c r="T8" s="354"/>
      <c r="U8" s="429" t="s">
        <v>345</v>
      </c>
      <c r="V8" s="269" t="s">
        <v>379</v>
      </c>
      <c r="W8" s="354"/>
      <c r="X8" s="354"/>
      <c r="Y8" s="354"/>
      <c r="Z8" s="354"/>
      <c r="AA8" s="354"/>
      <c r="AB8" s="354"/>
    </row>
    <row r="9" spans="1:28" ht="15">
      <c r="A9" s="311">
        <f t="shared" si="0"/>
        <v>0</v>
      </c>
      <c r="C9" s="431" t="s">
        <v>644</v>
      </c>
      <c r="D9" s="354"/>
      <c r="E9" s="354"/>
      <c r="F9" s="354"/>
      <c r="G9" s="354"/>
      <c r="H9" s="354"/>
      <c r="I9" s="354"/>
      <c r="J9" s="354"/>
      <c r="K9" s="354"/>
      <c r="L9" s="354"/>
      <c r="M9" s="320"/>
      <c r="N9" s="354">
        <f>MAX(N10:N13)</f>
        <v>17.5</v>
      </c>
      <c r="O9" s="354">
        <f>MAX(O10:O13)</f>
        <v>23</v>
      </c>
      <c r="P9" s="354">
        <f>MAX(P10:P13)</f>
        <v>31.2</v>
      </c>
      <c r="Q9" s="320"/>
      <c r="R9" s="307">
        <f>AVERAGE(R8:R8)</f>
        <v>20.5</v>
      </c>
      <c r="S9" s="328">
        <f>1-(R9/R9)</f>
        <v>0</v>
      </c>
      <c r="T9" s="354"/>
      <c r="U9" s="354"/>
      <c r="V9" s="354"/>
      <c r="W9" s="354"/>
      <c r="X9" s="354"/>
      <c r="Y9" s="354"/>
      <c r="Z9" s="354"/>
      <c r="AA9" s="354"/>
      <c r="AB9" s="354"/>
    </row>
    <row r="10" spans="1:28" ht="15">
      <c r="A10" s="311">
        <f t="shared" si="0"/>
        <v>4</v>
      </c>
      <c r="B10" s="311" t="str">
        <f>C9</f>
        <v>30T</v>
      </c>
      <c r="C10" s="421" t="str">
        <f>"Volvo A30F"</f>
        <v>Volvo A30F</v>
      </c>
      <c r="D10" s="266" t="s">
        <v>628</v>
      </c>
      <c r="E10" s="266" t="s">
        <v>607</v>
      </c>
      <c r="F10" s="266"/>
      <c r="G10" s="266"/>
      <c r="H10" s="266">
        <v>28000</v>
      </c>
      <c r="I10" s="266" t="s">
        <v>627</v>
      </c>
      <c r="J10" s="266" t="s">
        <v>626</v>
      </c>
      <c r="K10" s="266">
        <v>265</v>
      </c>
      <c r="L10" s="266">
        <v>400</v>
      </c>
      <c r="M10" s="320"/>
      <c r="N10" s="266">
        <v>17.5</v>
      </c>
      <c r="O10" s="266">
        <v>22.5</v>
      </c>
      <c r="P10" s="266">
        <v>29.5</v>
      </c>
      <c r="Q10" s="296"/>
      <c r="R10" s="307">
        <f>(N10+O10+P10)/3</f>
        <v>23.166666666666668</v>
      </c>
      <c r="S10" s="271">
        <f>1-(R10/R$12)</f>
        <v>1.5580736543909235E-2</v>
      </c>
      <c r="T10" s="266"/>
      <c r="U10" s="429" t="s">
        <v>345</v>
      </c>
      <c r="V10" s="269" t="s">
        <v>379</v>
      </c>
      <c r="W10" s="266" t="s">
        <v>625</v>
      </c>
      <c r="X10" s="266"/>
      <c r="Y10" s="266"/>
      <c r="Z10" s="266"/>
      <c r="AA10" s="266"/>
      <c r="AB10" s="266"/>
    </row>
    <row r="11" spans="1:28" ht="15">
      <c r="A11" s="311">
        <f>IF(B11&gt;0,IF(A10&gt;0,A10+1,A9+1),0)</f>
        <v>5</v>
      </c>
      <c r="B11" s="311" t="str">
        <f>C9</f>
        <v>30T</v>
      </c>
      <c r="C11" s="421" t="s">
        <v>624</v>
      </c>
      <c r="D11" s="266" t="s">
        <v>623</v>
      </c>
      <c r="E11" s="266" t="s">
        <v>607</v>
      </c>
      <c r="F11" s="266"/>
      <c r="G11" s="266"/>
      <c r="H11" s="266"/>
      <c r="I11" s="266" t="s">
        <v>622</v>
      </c>
      <c r="J11" s="266"/>
      <c r="K11" s="266">
        <v>222</v>
      </c>
      <c r="L11" s="266">
        <v>382</v>
      </c>
      <c r="M11" s="320"/>
      <c r="N11" s="266">
        <v>16.100000000000001</v>
      </c>
      <c r="O11" s="266">
        <v>22.5</v>
      </c>
      <c r="P11" s="266">
        <v>30.5</v>
      </c>
      <c r="Q11" s="296"/>
      <c r="R11" s="307">
        <f>(N11+O11+P11)/3</f>
        <v>23.033333333333331</v>
      </c>
      <c r="S11" s="271">
        <f>1-(R11/R$12)</f>
        <v>2.1246458923512734E-2</v>
      </c>
      <c r="T11" s="266"/>
      <c r="U11" s="266" t="s">
        <v>606</v>
      </c>
      <c r="V11" s="266"/>
      <c r="W11" s="266" t="s">
        <v>621</v>
      </c>
      <c r="X11" s="266"/>
      <c r="Y11" s="266"/>
      <c r="Z11" s="266"/>
      <c r="AA11" s="266"/>
      <c r="AB11" s="266"/>
    </row>
    <row r="12" spans="1:28" ht="15">
      <c r="A12" s="311">
        <f>IF(B12&gt;0,IF(A11&gt;0,A11+1,A10+1),0)</f>
        <v>6</v>
      </c>
      <c r="B12" s="311" t="str">
        <f>C9</f>
        <v>30T</v>
      </c>
      <c r="C12" s="421" t="s">
        <v>620</v>
      </c>
      <c r="D12" s="266" t="s">
        <v>619</v>
      </c>
      <c r="E12" s="266" t="s">
        <v>607</v>
      </c>
      <c r="F12" s="266"/>
      <c r="G12" s="266"/>
      <c r="H12" s="266"/>
      <c r="I12" s="266" t="s">
        <v>618</v>
      </c>
      <c r="J12" s="266"/>
      <c r="K12" s="266">
        <v>246</v>
      </c>
      <c r="L12" s="266">
        <v>384</v>
      </c>
      <c r="M12" s="320"/>
      <c r="N12" s="266">
        <v>16.399999999999999</v>
      </c>
      <c r="O12" s="266">
        <v>23</v>
      </c>
      <c r="P12" s="266">
        <v>31.2</v>
      </c>
      <c r="Q12" s="296"/>
      <c r="R12" s="307">
        <f>(N12+O12+P12)/3</f>
        <v>23.533333333333331</v>
      </c>
      <c r="S12" s="304">
        <f>1-(R12/R$12)</f>
        <v>0</v>
      </c>
      <c r="T12" s="266"/>
      <c r="U12" s="266" t="s">
        <v>606</v>
      </c>
      <c r="V12" s="266"/>
      <c r="W12" s="266" t="s">
        <v>617</v>
      </c>
      <c r="X12" s="266"/>
      <c r="Y12" s="266"/>
      <c r="Z12" s="266"/>
      <c r="AA12" s="266"/>
      <c r="AB12" s="266"/>
    </row>
    <row r="13" spans="1:28" ht="15">
      <c r="A13" s="311">
        <f t="shared" si="0"/>
        <v>7</v>
      </c>
      <c r="B13" s="311" t="str">
        <f>C9</f>
        <v>30T</v>
      </c>
      <c r="C13" s="421" t="s">
        <v>616</v>
      </c>
      <c r="D13" s="266" t="s">
        <v>615</v>
      </c>
      <c r="E13" s="266" t="s">
        <v>614</v>
      </c>
      <c r="F13" s="266"/>
      <c r="G13" s="266"/>
      <c r="H13" s="266"/>
      <c r="I13" s="266" t="s">
        <v>613</v>
      </c>
      <c r="J13" s="266"/>
      <c r="K13" s="266">
        <v>242</v>
      </c>
      <c r="L13" s="266">
        <v>388</v>
      </c>
      <c r="M13" s="320"/>
      <c r="N13" s="266">
        <v>13.7</v>
      </c>
      <c r="O13" s="266">
        <v>19.100000000000001</v>
      </c>
      <c r="P13" s="266">
        <v>27.5</v>
      </c>
      <c r="Q13" s="296"/>
      <c r="R13" s="307">
        <f>(N13+O13+P13)/3</f>
        <v>20.099999999999998</v>
      </c>
      <c r="S13" s="271">
        <f>1-(R13/R$12)</f>
        <v>0.1458923512747875</v>
      </c>
      <c r="T13" s="266"/>
      <c r="U13" s="266" t="s">
        <v>606</v>
      </c>
      <c r="V13" s="266"/>
      <c r="W13" s="266" t="s">
        <v>612</v>
      </c>
      <c r="X13" s="266"/>
      <c r="Y13" s="266"/>
      <c r="Z13" s="266"/>
      <c r="AA13" s="266"/>
      <c r="AB13" s="266"/>
    </row>
    <row r="14" spans="1:28" ht="15">
      <c r="A14" s="311">
        <f t="shared" si="0"/>
        <v>0</v>
      </c>
      <c r="C14" s="431" t="s">
        <v>482</v>
      </c>
      <c r="D14" s="266"/>
      <c r="E14" s="266"/>
      <c r="F14" s="266"/>
      <c r="G14" s="266"/>
      <c r="H14" s="266"/>
      <c r="I14" s="266"/>
      <c r="J14" s="266"/>
      <c r="K14" s="266"/>
      <c r="L14" s="266"/>
      <c r="M14" s="320"/>
      <c r="N14" s="266">
        <f>MAX(N15:N16)</f>
        <v>20.7</v>
      </c>
      <c r="O14" s="266">
        <f>MAX(O15:O16)</f>
        <v>29</v>
      </c>
      <c r="P14" s="266">
        <f>MAX(P15:P16)</f>
        <v>39.4</v>
      </c>
      <c r="Q14" s="296"/>
      <c r="R14" s="307">
        <f>AVERAGE(R10:R13)</f>
        <v>22.458333333333332</v>
      </c>
      <c r="S14" s="328"/>
      <c r="T14" s="266"/>
      <c r="U14" s="266"/>
      <c r="V14" s="266"/>
      <c r="W14" s="266"/>
      <c r="X14" s="266"/>
      <c r="Y14" s="266"/>
      <c r="Z14" s="266"/>
      <c r="AA14" s="266"/>
      <c r="AB14" s="266"/>
    </row>
    <row r="15" spans="1:28" ht="15">
      <c r="A15" s="311">
        <f t="shared" si="0"/>
        <v>8</v>
      </c>
      <c r="B15" s="311" t="str">
        <f>C14</f>
        <v>35T</v>
      </c>
      <c r="C15" s="422" t="s">
        <v>611</v>
      </c>
      <c r="D15" s="313" t="s">
        <v>610</v>
      </c>
      <c r="E15" s="313" t="s">
        <v>607</v>
      </c>
      <c r="F15" s="313"/>
      <c r="G15" s="313"/>
      <c r="H15" s="313"/>
      <c r="I15" s="313"/>
      <c r="J15" s="313"/>
      <c r="K15" s="313">
        <v>290</v>
      </c>
      <c r="L15" s="313">
        <v>495</v>
      </c>
      <c r="M15" s="320"/>
      <c r="N15" s="313">
        <v>19.3</v>
      </c>
      <c r="O15" s="313">
        <v>27</v>
      </c>
      <c r="P15" s="313">
        <v>36.6</v>
      </c>
      <c r="Q15" s="296"/>
      <c r="R15" s="307">
        <f>(N15+O15+P15)/3</f>
        <v>27.633333333333336</v>
      </c>
      <c r="S15" s="328">
        <f>1-(R15/R$16)</f>
        <v>6.9584736251402823E-2</v>
      </c>
      <c r="T15" s="313"/>
      <c r="U15" s="313" t="s">
        <v>606</v>
      </c>
      <c r="V15" s="313"/>
      <c r="W15" s="313"/>
      <c r="X15" s="313"/>
      <c r="Y15" s="313"/>
      <c r="Z15" s="313"/>
      <c r="AA15" s="313"/>
      <c r="AB15" s="325"/>
    </row>
    <row r="16" spans="1:28" ht="15">
      <c r="A16" s="311">
        <f t="shared" si="0"/>
        <v>9</v>
      </c>
      <c r="B16" s="311" t="str">
        <f>C14</f>
        <v>35T</v>
      </c>
      <c r="C16" s="422" t="s">
        <v>609</v>
      </c>
      <c r="D16" s="313" t="s">
        <v>608</v>
      </c>
      <c r="E16" s="313" t="s">
        <v>607</v>
      </c>
      <c r="F16" s="313"/>
      <c r="G16" s="313"/>
      <c r="H16" s="313"/>
      <c r="I16" s="313"/>
      <c r="J16" s="313"/>
      <c r="K16" s="313">
        <v>294</v>
      </c>
      <c r="L16" s="313">
        <v>493</v>
      </c>
      <c r="M16" s="320"/>
      <c r="N16" s="313">
        <v>20.7</v>
      </c>
      <c r="O16" s="313">
        <v>29</v>
      </c>
      <c r="P16" s="313">
        <v>39.4</v>
      </c>
      <c r="Q16" s="296"/>
      <c r="R16" s="307">
        <f>(N16+O16+P16)/3</f>
        <v>29.7</v>
      </c>
      <c r="S16" s="304">
        <f>1-(R16/R$16)</f>
        <v>0</v>
      </c>
      <c r="T16" s="313"/>
      <c r="U16" s="313" t="s">
        <v>606</v>
      </c>
      <c r="V16" s="313"/>
      <c r="W16" s="313"/>
      <c r="X16" s="313"/>
      <c r="Y16" s="313"/>
      <c r="Z16" s="313"/>
      <c r="AA16" s="313"/>
      <c r="AB16" s="325"/>
    </row>
    <row r="17" spans="3:28" ht="15">
      <c r="C17" s="419" t="str">
        <f>" "</f>
        <v xml:space="preserve"> </v>
      </c>
      <c r="D17" s="313"/>
      <c r="E17" s="313"/>
      <c r="F17" s="313"/>
      <c r="G17" s="313"/>
      <c r="H17" s="313"/>
      <c r="I17" s="313"/>
      <c r="J17" s="313"/>
      <c r="K17" s="313"/>
      <c r="L17" s="313"/>
      <c r="M17" s="320"/>
      <c r="N17" s="313"/>
      <c r="O17" s="313"/>
      <c r="P17" s="313"/>
      <c r="Q17" s="296"/>
      <c r="R17" s="307">
        <f>AVERAGE(R10:R16)</f>
        <v>24.232142857142854</v>
      </c>
      <c r="S17" s="328">
        <f>1-(R17/R$16)</f>
        <v>0.18410293410293421</v>
      </c>
      <c r="T17" s="313"/>
      <c r="U17" s="313"/>
      <c r="V17" s="313"/>
      <c r="W17" s="313"/>
      <c r="X17" s="313"/>
      <c r="Y17" s="313"/>
      <c r="Z17" s="313"/>
      <c r="AA17" s="313"/>
      <c r="AB17" s="325"/>
    </row>
    <row r="18" spans="3:28" ht="15">
      <c r="C18" s="419" t="str">
        <f t="shared" ref="C18:C81" si="1">" "</f>
        <v xml:space="preserve"> </v>
      </c>
      <c r="D18" s="420" t="s">
        <v>605</v>
      </c>
      <c r="E18" s="325"/>
      <c r="F18" s="325" t="s">
        <v>332</v>
      </c>
      <c r="G18" s="325"/>
      <c r="H18" s="325" t="s">
        <v>602</v>
      </c>
      <c r="I18" s="325"/>
      <c r="J18" s="325"/>
      <c r="K18" s="325"/>
      <c r="L18" s="325"/>
      <c r="M18" s="320"/>
      <c r="N18" s="325"/>
      <c r="O18" s="325"/>
      <c r="P18" s="325"/>
      <c r="Q18" s="320"/>
      <c r="R18" s="307">
        <f t="shared" ref="R18:R25" si="2">(N18+O18+P18)/3</f>
        <v>0</v>
      </c>
      <c r="S18" s="328" t="e">
        <f t="shared" ref="S18:S25" si="3">1-(R18/R18)</f>
        <v>#DIV/0!</v>
      </c>
      <c r="T18" s="325"/>
      <c r="U18" s="325"/>
      <c r="V18" s="325"/>
      <c r="W18" s="325"/>
      <c r="X18" s="325"/>
      <c r="Y18" s="325"/>
      <c r="Z18" s="325"/>
      <c r="AA18" s="325"/>
      <c r="AB18" s="325"/>
    </row>
    <row r="19" spans="3:28" ht="15">
      <c r="C19" s="419" t="str">
        <f t="shared" si="1"/>
        <v xml:space="preserve"> </v>
      </c>
      <c r="D19" s="420" t="s">
        <v>604</v>
      </c>
      <c r="E19" s="325"/>
      <c r="F19" s="325" t="s">
        <v>332</v>
      </c>
      <c r="G19" s="325"/>
      <c r="H19" s="325" t="s">
        <v>602</v>
      </c>
      <c r="I19" s="325"/>
      <c r="J19" s="325"/>
      <c r="K19" s="325"/>
      <c r="L19" s="325"/>
      <c r="M19" s="320"/>
      <c r="N19" s="325"/>
      <c r="O19" s="325"/>
      <c r="P19" s="325"/>
      <c r="Q19" s="320"/>
      <c r="R19" s="307">
        <f t="shared" si="2"/>
        <v>0</v>
      </c>
      <c r="S19" s="328" t="e">
        <f t="shared" si="3"/>
        <v>#DIV/0!</v>
      </c>
      <c r="T19" s="325"/>
      <c r="U19" s="325"/>
      <c r="V19" s="325"/>
      <c r="W19" s="325"/>
      <c r="X19" s="325"/>
      <c r="Y19" s="325"/>
      <c r="Z19" s="325"/>
      <c r="AA19" s="325"/>
      <c r="AB19" s="325"/>
    </row>
    <row r="20" spans="3:28" ht="15">
      <c r="C20" s="419" t="str">
        <f t="shared" si="1"/>
        <v xml:space="preserve"> </v>
      </c>
      <c r="D20" s="420" t="s">
        <v>603</v>
      </c>
      <c r="E20" s="325"/>
      <c r="F20" s="325" t="s">
        <v>332</v>
      </c>
      <c r="G20" s="325"/>
      <c r="H20" s="325" t="s">
        <v>602</v>
      </c>
      <c r="I20" s="325"/>
      <c r="J20" s="325"/>
      <c r="K20" s="325"/>
      <c r="L20" s="325"/>
      <c r="M20" s="320"/>
      <c r="N20" s="325"/>
      <c r="O20" s="325"/>
      <c r="P20" s="325"/>
      <c r="Q20" s="320"/>
      <c r="R20" s="307">
        <f t="shared" si="2"/>
        <v>0</v>
      </c>
      <c r="S20" s="328" t="e">
        <f t="shared" si="3"/>
        <v>#DIV/0!</v>
      </c>
      <c r="T20" s="325"/>
      <c r="U20" s="325"/>
      <c r="V20" s="325"/>
      <c r="W20" s="325"/>
      <c r="X20" s="325"/>
      <c r="Y20" s="325"/>
      <c r="Z20" s="325"/>
      <c r="AA20" s="325"/>
      <c r="AB20" s="325"/>
    </row>
    <row r="21" spans="3:28" ht="15">
      <c r="C21" s="419" t="str">
        <f t="shared" si="1"/>
        <v xml:space="preserve"> </v>
      </c>
      <c r="D21" s="325"/>
      <c r="E21" s="325"/>
      <c r="F21" s="325"/>
      <c r="G21" s="325"/>
      <c r="H21" s="325"/>
      <c r="I21" s="325"/>
      <c r="J21" s="325"/>
      <c r="K21" s="325"/>
      <c r="L21" s="325"/>
      <c r="M21" s="320"/>
      <c r="N21" s="325"/>
      <c r="O21" s="325"/>
      <c r="P21" s="325"/>
      <c r="Q21" s="320"/>
      <c r="R21" s="307">
        <f t="shared" si="2"/>
        <v>0</v>
      </c>
      <c r="S21" s="328" t="e">
        <f t="shared" si="3"/>
        <v>#DIV/0!</v>
      </c>
      <c r="T21" s="325"/>
      <c r="U21" s="325"/>
      <c r="V21" s="325"/>
      <c r="W21" s="325"/>
      <c r="X21" s="325"/>
      <c r="Y21" s="325"/>
      <c r="Z21" s="325"/>
      <c r="AA21" s="325"/>
      <c r="AB21" s="325"/>
    </row>
    <row r="22" spans="3:28" ht="15">
      <c r="C22" s="419" t="str">
        <f t="shared" si="1"/>
        <v xml:space="preserve"> </v>
      </c>
      <c r="D22" s="325"/>
      <c r="E22" s="325"/>
      <c r="F22" s="325"/>
      <c r="G22" s="325"/>
      <c r="H22" s="325"/>
      <c r="I22" s="325"/>
      <c r="J22" s="325"/>
      <c r="K22" s="325"/>
      <c r="L22" s="325"/>
      <c r="M22" s="320"/>
      <c r="N22" s="325"/>
      <c r="O22" s="325"/>
      <c r="P22" s="325"/>
      <c r="Q22" s="320"/>
      <c r="R22" s="307">
        <f t="shared" si="2"/>
        <v>0</v>
      </c>
      <c r="S22" s="328" t="e">
        <f t="shared" si="3"/>
        <v>#DIV/0!</v>
      </c>
      <c r="T22" s="325"/>
      <c r="U22" s="325"/>
      <c r="V22" s="325"/>
      <c r="W22" s="325"/>
      <c r="X22" s="325"/>
      <c r="Y22" s="325"/>
      <c r="Z22" s="325"/>
      <c r="AA22" s="325"/>
      <c r="AB22" s="325"/>
    </row>
    <row r="23" spans="3:28" ht="15">
      <c r="C23" s="419" t="str">
        <f t="shared" si="1"/>
        <v xml:space="preserve"> </v>
      </c>
      <c r="D23" s="325"/>
      <c r="E23" s="325"/>
      <c r="F23" s="325"/>
      <c r="G23" s="325"/>
      <c r="H23" s="325"/>
      <c r="I23" s="325"/>
      <c r="J23" s="325"/>
      <c r="K23" s="325"/>
      <c r="L23" s="325"/>
      <c r="M23" s="320"/>
      <c r="N23" s="325"/>
      <c r="O23" s="325"/>
      <c r="P23" s="325"/>
      <c r="Q23" s="320"/>
      <c r="R23" s="307">
        <f t="shared" si="2"/>
        <v>0</v>
      </c>
      <c r="S23" s="328" t="e">
        <f t="shared" si="3"/>
        <v>#DIV/0!</v>
      </c>
      <c r="T23" s="325"/>
      <c r="U23" s="325"/>
      <c r="V23" s="325"/>
      <c r="W23" s="325"/>
      <c r="X23" s="325"/>
      <c r="Y23" s="325"/>
      <c r="Z23" s="325"/>
      <c r="AA23" s="325"/>
      <c r="AB23" s="325"/>
    </row>
    <row r="24" spans="3:28" ht="15">
      <c r="C24" s="419" t="str">
        <f t="shared" si="1"/>
        <v xml:space="preserve"> </v>
      </c>
      <c r="D24" s="325"/>
      <c r="E24" s="325"/>
      <c r="F24" s="325"/>
      <c r="G24" s="325"/>
      <c r="H24" s="325"/>
      <c r="I24" s="325"/>
      <c r="J24" s="325"/>
      <c r="K24" s="325"/>
      <c r="L24" s="325"/>
      <c r="M24" s="320"/>
      <c r="N24" s="325"/>
      <c r="O24" s="325"/>
      <c r="P24" s="325"/>
      <c r="Q24" s="320"/>
      <c r="R24" s="307">
        <f t="shared" si="2"/>
        <v>0</v>
      </c>
      <c r="S24" s="328" t="e">
        <f t="shared" si="3"/>
        <v>#DIV/0!</v>
      </c>
      <c r="T24" s="325"/>
      <c r="U24" s="325"/>
      <c r="V24" s="325"/>
      <c r="W24" s="325"/>
      <c r="X24" s="325"/>
      <c r="Y24" s="325"/>
      <c r="Z24" s="325"/>
      <c r="AA24" s="325"/>
      <c r="AB24" s="325"/>
    </row>
    <row r="25" spans="3:28" ht="15">
      <c r="C25" s="444" t="str">
        <f t="shared" si="1"/>
        <v xml:space="preserve"> </v>
      </c>
      <c r="D25" s="325"/>
      <c r="E25" s="325"/>
      <c r="F25" s="325"/>
      <c r="G25" s="325"/>
      <c r="H25" s="325"/>
      <c r="I25" s="325"/>
      <c r="J25" s="325"/>
      <c r="K25" s="325"/>
      <c r="L25" s="325"/>
      <c r="M25" s="320"/>
      <c r="N25" s="325"/>
      <c r="O25" s="325"/>
      <c r="P25" s="325"/>
      <c r="Q25" s="320"/>
      <c r="R25" s="307">
        <f t="shared" si="2"/>
        <v>0</v>
      </c>
      <c r="S25" s="328" t="e">
        <f t="shared" si="3"/>
        <v>#DIV/0!</v>
      </c>
      <c r="T25" s="325"/>
      <c r="U25" s="325"/>
      <c r="V25" s="325"/>
      <c r="W25" s="325"/>
      <c r="X25" s="325"/>
      <c r="Y25" s="325"/>
      <c r="Z25" s="325"/>
      <c r="AA25" s="325"/>
      <c r="AB25" s="325"/>
    </row>
    <row r="26" spans="3:28">
      <c r="C26" s="447" t="str">
        <f t="shared" si="1"/>
        <v xml:space="preserve"> </v>
      </c>
    </row>
    <row r="27" spans="3:28">
      <c r="C27" s="445" t="str">
        <f t="shared" si="1"/>
        <v xml:space="preserve"> </v>
      </c>
    </row>
    <row r="28" spans="3:28">
      <c r="C28" s="445" t="str">
        <f t="shared" si="1"/>
        <v xml:space="preserve"> </v>
      </c>
      <c r="D28" s="311" t="s">
        <v>601</v>
      </c>
    </row>
    <row r="29" spans="3:28">
      <c r="C29" s="445" t="str">
        <f t="shared" si="1"/>
        <v xml:space="preserve"> </v>
      </c>
      <c r="V29" s="311" t="s">
        <v>209</v>
      </c>
    </row>
    <row r="30" spans="3:28">
      <c r="C30" s="445" t="str">
        <f t="shared" si="1"/>
        <v xml:space="preserve"> </v>
      </c>
      <c r="D30" s="311" t="s">
        <v>600</v>
      </c>
      <c r="V30" s="311" t="str">
        <f>C3</f>
        <v>12T</v>
      </c>
      <c r="W30" s="311">
        <f>A4</f>
        <v>1</v>
      </c>
      <c r="X30" s="311">
        <f>W31-1</f>
        <v>1</v>
      </c>
    </row>
    <row r="31" spans="3:28">
      <c r="C31" s="445" t="str">
        <f t="shared" si="1"/>
        <v xml:space="preserve"> </v>
      </c>
      <c r="V31" s="311" t="str">
        <f>C5</f>
        <v>22T</v>
      </c>
      <c r="W31" s="311">
        <f>A6</f>
        <v>2</v>
      </c>
      <c r="X31" s="311">
        <f>W32-W31</f>
        <v>1</v>
      </c>
    </row>
    <row r="32" spans="3:28">
      <c r="C32" s="445" t="str">
        <f t="shared" si="1"/>
        <v xml:space="preserve"> </v>
      </c>
      <c r="V32" s="311" t="str">
        <f>C7</f>
        <v>25T</v>
      </c>
      <c r="W32" s="311">
        <f>A8</f>
        <v>3</v>
      </c>
      <c r="X32" s="311">
        <f t="shared" ref="X32:X33" si="4">W33-W32</f>
        <v>1</v>
      </c>
    </row>
    <row r="33" spans="3:24">
      <c r="C33" s="445" t="str">
        <f t="shared" si="1"/>
        <v xml:space="preserve"> </v>
      </c>
      <c r="V33" s="311" t="str">
        <f>C9</f>
        <v>30T</v>
      </c>
      <c r="W33" s="311">
        <f>A10</f>
        <v>4</v>
      </c>
      <c r="X33" s="311">
        <f t="shared" si="4"/>
        <v>4</v>
      </c>
    </row>
    <row r="34" spans="3:24">
      <c r="C34" s="445" t="str">
        <f t="shared" si="1"/>
        <v xml:space="preserve"> </v>
      </c>
      <c r="D34" s="311" t="s">
        <v>599</v>
      </c>
      <c r="V34" s="311" t="str">
        <f>C14</f>
        <v>35T</v>
      </c>
      <c r="W34" s="311">
        <f>A15</f>
        <v>8</v>
      </c>
      <c r="X34" s="311">
        <v>2</v>
      </c>
    </row>
    <row r="35" spans="3:24">
      <c r="C35" s="445" t="str">
        <f t="shared" si="1"/>
        <v xml:space="preserve"> </v>
      </c>
      <c r="D35" s="311" t="s">
        <v>598</v>
      </c>
    </row>
    <row r="36" spans="3:24">
      <c r="C36" s="445" t="str">
        <f t="shared" si="1"/>
        <v xml:space="preserve"> </v>
      </c>
      <c r="D36" s="311" t="s">
        <v>597</v>
      </c>
    </row>
    <row r="37" spans="3:24">
      <c r="C37" s="445" t="str">
        <f t="shared" si="1"/>
        <v xml:space="preserve"> </v>
      </c>
    </row>
    <row r="38" spans="3:24">
      <c r="C38" s="445" t="str">
        <f t="shared" si="1"/>
        <v xml:space="preserve"> </v>
      </c>
      <c r="D38" s="311" t="s">
        <v>596</v>
      </c>
    </row>
    <row r="39" spans="3:24">
      <c r="C39" s="445" t="str">
        <f t="shared" si="1"/>
        <v xml:space="preserve"> </v>
      </c>
      <c r="D39" s="311" t="s">
        <v>595</v>
      </c>
    </row>
    <row r="40" spans="3:24">
      <c r="C40" s="445" t="str">
        <f t="shared" si="1"/>
        <v xml:space="preserve"> </v>
      </c>
      <c r="D40" s="311" t="s">
        <v>594</v>
      </c>
    </row>
    <row r="41" spans="3:24">
      <c r="C41" s="445" t="str">
        <f t="shared" si="1"/>
        <v xml:space="preserve"> </v>
      </c>
      <c r="D41" s="311" t="s">
        <v>593</v>
      </c>
    </row>
    <row r="42" spans="3:24">
      <c r="C42" s="445" t="str">
        <f t="shared" si="1"/>
        <v xml:space="preserve"> </v>
      </c>
    </row>
    <row r="43" spans="3:24">
      <c r="C43" s="445" t="str">
        <f t="shared" si="1"/>
        <v xml:space="preserve"> </v>
      </c>
    </row>
    <row r="44" spans="3:24">
      <c r="C44" s="445" t="str">
        <f t="shared" si="1"/>
        <v xml:space="preserve"> </v>
      </c>
    </row>
    <row r="45" spans="3:24">
      <c r="C45" s="445" t="str">
        <f t="shared" si="1"/>
        <v xml:space="preserve"> </v>
      </c>
    </row>
    <row r="46" spans="3:24">
      <c r="C46" s="445" t="str">
        <f t="shared" si="1"/>
        <v xml:space="preserve"> </v>
      </c>
    </row>
    <row r="47" spans="3:24">
      <c r="C47" s="445" t="str">
        <f t="shared" si="1"/>
        <v xml:space="preserve"> </v>
      </c>
    </row>
    <row r="48" spans="3:24">
      <c r="C48" s="445" t="str">
        <f t="shared" si="1"/>
        <v xml:space="preserve"> </v>
      </c>
    </row>
    <row r="49" spans="3:3">
      <c r="C49" s="445" t="str">
        <f t="shared" si="1"/>
        <v xml:space="preserve"> </v>
      </c>
    </row>
    <row r="50" spans="3:3">
      <c r="C50" s="445" t="str">
        <f t="shared" si="1"/>
        <v xml:space="preserve"> </v>
      </c>
    </row>
    <row r="51" spans="3:3">
      <c r="C51" s="445" t="str">
        <f t="shared" si="1"/>
        <v xml:space="preserve"> </v>
      </c>
    </row>
    <row r="52" spans="3:3">
      <c r="C52" s="445" t="str">
        <f t="shared" si="1"/>
        <v xml:space="preserve"> </v>
      </c>
    </row>
    <row r="53" spans="3:3">
      <c r="C53" s="445" t="str">
        <f t="shared" si="1"/>
        <v xml:space="preserve"> </v>
      </c>
    </row>
    <row r="54" spans="3:3">
      <c r="C54" s="445" t="str">
        <f t="shared" si="1"/>
        <v xml:space="preserve"> </v>
      </c>
    </row>
    <row r="55" spans="3:3">
      <c r="C55" s="445" t="str">
        <f t="shared" si="1"/>
        <v xml:space="preserve"> </v>
      </c>
    </row>
    <row r="56" spans="3:3">
      <c r="C56" s="445" t="str">
        <f t="shared" si="1"/>
        <v xml:space="preserve"> </v>
      </c>
    </row>
    <row r="57" spans="3:3">
      <c r="C57" s="445" t="str">
        <f t="shared" si="1"/>
        <v xml:space="preserve"> </v>
      </c>
    </row>
    <row r="58" spans="3:3">
      <c r="C58" s="445" t="str">
        <f t="shared" si="1"/>
        <v xml:space="preserve"> </v>
      </c>
    </row>
    <row r="59" spans="3:3">
      <c r="C59" s="445" t="str">
        <f t="shared" si="1"/>
        <v xml:space="preserve"> </v>
      </c>
    </row>
    <row r="60" spans="3:3">
      <c r="C60" s="445" t="str">
        <f t="shared" si="1"/>
        <v xml:space="preserve"> </v>
      </c>
    </row>
    <row r="61" spans="3:3">
      <c r="C61" s="445" t="str">
        <f t="shared" si="1"/>
        <v xml:space="preserve"> </v>
      </c>
    </row>
    <row r="62" spans="3:3">
      <c r="C62" s="445" t="str">
        <f t="shared" si="1"/>
        <v xml:space="preserve"> </v>
      </c>
    </row>
    <row r="63" spans="3:3">
      <c r="C63" s="445" t="str">
        <f t="shared" si="1"/>
        <v xml:space="preserve"> </v>
      </c>
    </row>
    <row r="64" spans="3:3">
      <c r="C64" s="445" t="str">
        <f t="shared" si="1"/>
        <v xml:space="preserve"> </v>
      </c>
    </row>
    <row r="65" spans="3:3">
      <c r="C65" s="445" t="str">
        <f t="shared" si="1"/>
        <v xml:space="preserve"> </v>
      </c>
    </row>
    <row r="66" spans="3:3">
      <c r="C66" s="445" t="str">
        <f t="shared" si="1"/>
        <v xml:space="preserve"> </v>
      </c>
    </row>
    <row r="67" spans="3:3">
      <c r="C67" s="445" t="str">
        <f t="shared" si="1"/>
        <v xml:space="preserve"> </v>
      </c>
    </row>
    <row r="68" spans="3:3">
      <c r="C68" s="445" t="str">
        <f t="shared" si="1"/>
        <v xml:space="preserve"> </v>
      </c>
    </row>
    <row r="69" spans="3:3">
      <c r="C69" s="445" t="str">
        <f t="shared" si="1"/>
        <v xml:space="preserve"> </v>
      </c>
    </row>
    <row r="70" spans="3:3">
      <c r="C70" s="445" t="str">
        <f t="shared" si="1"/>
        <v xml:space="preserve"> </v>
      </c>
    </row>
    <row r="71" spans="3:3">
      <c r="C71" s="445" t="str">
        <f t="shared" si="1"/>
        <v xml:space="preserve"> </v>
      </c>
    </row>
    <row r="72" spans="3:3">
      <c r="C72" s="445" t="str">
        <f t="shared" si="1"/>
        <v xml:space="preserve"> </v>
      </c>
    </row>
    <row r="73" spans="3:3">
      <c r="C73" s="445" t="str">
        <f t="shared" si="1"/>
        <v xml:space="preserve"> </v>
      </c>
    </row>
    <row r="74" spans="3:3">
      <c r="C74" s="445" t="str">
        <f t="shared" si="1"/>
        <v xml:space="preserve"> </v>
      </c>
    </row>
    <row r="75" spans="3:3">
      <c r="C75" s="445" t="str">
        <f t="shared" si="1"/>
        <v xml:space="preserve"> </v>
      </c>
    </row>
    <row r="76" spans="3:3">
      <c r="C76" s="445" t="str">
        <f t="shared" si="1"/>
        <v xml:space="preserve"> </v>
      </c>
    </row>
    <row r="77" spans="3:3">
      <c r="C77" s="445" t="str">
        <f t="shared" si="1"/>
        <v xml:space="preserve"> </v>
      </c>
    </row>
    <row r="78" spans="3:3">
      <c r="C78" s="445" t="str">
        <f t="shared" si="1"/>
        <v xml:space="preserve"> </v>
      </c>
    </row>
    <row r="79" spans="3:3">
      <c r="C79" s="445" t="str">
        <f t="shared" si="1"/>
        <v xml:space="preserve"> </v>
      </c>
    </row>
    <row r="80" spans="3:3">
      <c r="C80" s="445" t="str">
        <f t="shared" si="1"/>
        <v xml:space="preserve"> </v>
      </c>
    </row>
    <row r="81" spans="3:3">
      <c r="C81" s="445" t="str">
        <f t="shared" si="1"/>
        <v xml:space="preserve"> </v>
      </c>
    </row>
    <row r="82" spans="3:3">
      <c r="C82" s="445" t="str">
        <f t="shared" ref="C82:C91" si="5">" "</f>
        <v xml:space="preserve"> </v>
      </c>
    </row>
    <row r="83" spans="3:3">
      <c r="C83" s="445" t="str">
        <f t="shared" si="5"/>
        <v xml:space="preserve"> </v>
      </c>
    </row>
    <row r="84" spans="3:3">
      <c r="C84" s="445" t="str">
        <f t="shared" si="5"/>
        <v xml:space="preserve"> </v>
      </c>
    </row>
    <row r="85" spans="3:3">
      <c r="C85" s="445" t="str">
        <f t="shared" si="5"/>
        <v xml:space="preserve"> </v>
      </c>
    </row>
    <row r="86" spans="3:3">
      <c r="C86" s="445" t="str">
        <f t="shared" si="5"/>
        <v xml:space="preserve"> </v>
      </c>
    </row>
    <row r="87" spans="3:3">
      <c r="C87" s="445" t="str">
        <f t="shared" si="5"/>
        <v xml:space="preserve"> </v>
      </c>
    </row>
    <row r="88" spans="3:3">
      <c r="C88" s="445" t="str">
        <f t="shared" si="5"/>
        <v xml:space="preserve"> </v>
      </c>
    </row>
    <row r="89" spans="3:3">
      <c r="C89" s="445" t="str">
        <f t="shared" si="5"/>
        <v xml:space="preserve"> </v>
      </c>
    </row>
    <row r="90" spans="3:3">
      <c r="C90" s="445" t="str">
        <f t="shared" si="5"/>
        <v xml:space="preserve"> </v>
      </c>
    </row>
    <row r="91" spans="3:3">
      <c r="C91" s="445" t="str">
        <f t="shared" si="5"/>
        <v xml:space="preserve"> </v>
      </c>
    </row>
    <row r="92" spans="3:3">
      <c r="C92" s="446"/>
    </row>
    <row r="93" spans="3:3">
      <c r="C93" s="446"/>
    </row>
    <row r="94" spans="3:3">
      <c r="C94" s="446"/>
    </row>
    <row r="95" spans="3:3">
      <c r="C95" s="446"/>
    </row>
    <row r="96" spans="3:3">
      <c r="C96" s="446"/>
    </row>
    <row r="97" spans="3:3">
      <c r="C97" s="446"/>
    </row>
    <row r="98" spans="3:3">
      <c r="C98" s="446"/>
    </row>
    <row r="99" spans="3:3">
      <c r="C99" s="446"/>
    </row>
    <row r="100" spans="3:3">
      <c r="C100" s="446"/>
    </row>
    <row r="101" spans="3:3">
      <c r="C101" s="446"/>
    </row>
    <row r="102" spans="3:3">
      <c r="C102" s="446"/>
    </row>
    <row r="103" spans="3:3">
      <c r="C103" s="446"/>
    </row>
    <row r="104" spans="3:3">
      <c r="C104" s="446"/>
    </row>
    <row r="105" spans="3:3">
      <c r="C105" s="446"/>
    </row>
    <row r="106" spans="3:3">
      <c r="C106" s="446"/>
    </row>
    <row r="107" spans="3:3">
      <c r="C107" s="446"/>
    </row>
    <row r="108" spans="3:3">
      <c r="C108" s="446"/>
    </row>
    <row r="109" spans="3:3">
      <c r="C109" s="446"/>
    </row>
    <row r="110" spans="3:3">
      <c r="C110" s="446"/>
    </row>
    <row r="111" spans="3:3">
      <c r="C111" s="446"/>
    </row>
    <row r="112" spans="3:3">
      <c r="C112" s="446"/>
    </row>
    <row r="113" spans="3:3">
      <c r="C113" s="446"/>
    </row>
    <row r="114" spans="3:3">
      <c r="C114" s="446"/>
    </row>
    <row r="115" spans="3:3">
      <c r="C115" s="446"/>
    </row>
    <row r="116" spans="3:3">
      <c r="C116" s="446"/>
    </row>
    <row r="117" spans="3:3">
      <c r="C117" s="446"/>
    </row>
    <row r="118" spans="3:3">
      <c r="C118" s="446"/>
    </row>
    <row r="119" spans="3:3">
      <c r="C119" s="446"/>
    </row>
    <row r="120" spans="3:3">
      <c r="C120" s="446"/>
    </row>
    <row r="121" spans="3:3">
      <c r="C121" s="446"/>
    </row>
    <row r="122" spans="3:3">
      <c r="C122" s="446"/>
    </row>
    <row r="123" spans="3:3">
      <c r="C123" s="446"/>
    </row>
    <row r="124" spans="3:3">
      <c r="C124" s="446"/>
    </row>
    <row r="125" spans="3:3">
      <c r="C125" s="446"/>
    </row>
  </sheetData>
  <hyperlinks>
    <hyperlink ref="U10" display="http://directorates.crossrail.co.uk/sites/Technical/SandC/Environment/Energy/Forms/AllItems.aspx?RootFolder=%2Fsites%2FTechnical%2FSandC%2FEnvironment%2FEnergy%2FPlant%20Equipment%20information&amp;FolderCTID=0x012000AD56E73FD1EB4E4A8F503AB31C1D527B&amp;View=%7b7"/>
    <hyperlink ref="U8" display="http://directorates.crossrail.co.uk/sites/Technical/SandC/Environment/Energy/Forms/AllItems.aspx?RootFolder=%2Fsites%2FTechnical%2FSandC%2FEnvironment%2FEnergy%2FPlant%20Equipment%20information&amp;FolderCTID=0x012000AD56E73FD1EB4E4A8F503AB31C1D527B&amp;View=%7b7"/>
    <hyperlink ref="U4" display="http://directorates.crossrail.co.uk/sites/Technical/SandC/Environment/Energy/Forms/AllItems.aspx?RootFolder=%2Fsites%2FTechnical%2FSandC%2FEnvironment%2FEnergy%2FPlant%20Equipment%20information&amp;FolderCTID=0x012000AD56E73FD1EB4E4A8F503AB31C1D527B&amp;View=%7b7"/>
    <hyperlink ref="U6" display="http://directorates.crossrail.co.uk/sites/Technical/SandC/Environment/Energy/Forms/AllItems.aspx?RootFolder=%2Fsites%2FTechnical%2FSandC%2FEnvironment%2FEnergy%2FPlant%20Equipment%20information&amp;FolderCTID=0x012000AD56E73FD1EB4E4A8F503AB31C1D527B&amp;View=%7b7"/>
  </hyperlinks>
  <pageMargins left="0.7" right="0.7" top="0.75" bottom="0.75" header="0.3" footer="0.3"/>
  <pageSetup paperSize="8" scale="7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2:AW74"/>
  <sheetViews>
    <sheetView topLeftCell="C1" zoomScale="85" zoomScaleNormal="85" workbookViewId="0">
      <selection activeCell="B1" sqref="B1:B1048576"/>
    </sheetView>
  </sheetViews>
  <sheetFormatPr defaultRowHeight="15"/>
  <cols>
    <col min="1" max="1" width="9.140625" style="179"/>
    <col min="2" max="2" width="0" style="179" hidden="1" customWidth="1"/>
    <col min="3" max="3" width="25.140625" style="179" bestFit="1" customWidth="1"/>
    <col min="4" max="4" width="24" style="179" customWidth="1"/>
    <col min="5" max="5" width="9.7109375" style="179" customWidth="1"/>
    <col min="6" max="6" width="6.85546875" style="179" customWidth="1"/>
    <col min="7" max="7" width="6.140625" style="179" customWidth="1"/>
    <col min="8" max="8" width="8.140625" style="179" customWidth="1"/>
    <col min="9" max="9" width="20.28515625" style="179" customWidth="1"/>
    <col min="10" max="10" width="13.140625" style="179" customWidth="1"/>
    <col min="11" max="11" width="13.42578125" style="179" customWidth="1"/>
    <col min="12" max="12" width="7.5703125" style="179" customWidth="1"/>
    <col min="13" max="13" width="2.42578125" style="179" customWidth="1"/>
    <col min="14" max="14" width="10.7109375" style="179" bestFit="1" customWidth="1"/>
    <col min="15" max="15" width="9.140625" style="179" bestFit="1" customWidth="1"/>
    <col min="16" max="16" width="9.7109375" style="179" bestFit="1" customWidth="1"/>
    <col min="17" max="17" width="2.28515625" style="179" customWidth="1"/>
    <col min="18" max="18" width="14.85546875" style="179" customWidth="1"/>
    <col min="19" max="19" width="14.85546875" style="179" hidden="1" customWidth="1"/>
    <col min="20" max="22" width="12.42578125" style="179" hidden="1" customWidth="1"/>
    <col min="23" max="24" width="15.7109375" style="179" customWidth="1"/>
    <col min="25" max="26" width="12.42578125" style="179" customWidth="1"/>
    <col min="27" max="27" width="13.140625" style="179" customWidth="1"/>
    <col min="28" max="28" width="12.85546875" style="179" customWidth="1"/>
    <col min="29" max="29" width="13.140625" style="179" customWidth="1"/>
    <col min="30" max="30" width="10.5703125" style="179" customWidth="1"/>
    <col min="31" max="31" width="11.140625" style="179" customWidth="1"/>
    <col min="32" max="32" width="12.85546875" style="179" customWidth="1"/>
    <col min="33" max="33" width="11.42578125" style="179" customWidth="1"/>
    <col min="34" max="34" width="11.28515625" style="179" customWidth="1"/>
    <col min="35" max="35" width="22.5703125" style="179" customWidth="1"/>
    <col min="36" max="16384" width="9.140625" style="179"/>
  </cols>
  <sheetData>
    <row r="2" spans="1:49" ht="61.5" customHeight="1">
      <c r="C2" s="353" t="s">
        <v>302</v>
      </c>
      <c r="D2" s="353" t="s">
        <v>303</v>
      </c>
      <c r="E2" s="353" t="s">
        <v>289</v>
      </c>
      <c r="F2" s="323" t="s">
        <v>304</v>
      </c>
      <c r="G2" s="323" t="s">
        <v>305</v>
      </c>
      <c r="H2" s="323" t="s">
        <v>306</v>
      </c>
      <c r="I2" s="353" t="s">
        <v>307</v>
      </c>
      <c r="J2" s="323" t="s">
        <v>308</v>
      </c>
      <c r="K2" s="323" t="s">
        <v>309</v>
      </c>
      <c r="L2" s="323" t="s">
        <v>310</v>
      </c>
      <c r="M2" s="272"/>
      <c r="N2" s="331" t="s">
        <v>311</v>
      </c>
      <c r="O2" s="331" t="s">
        <v>311</v>
      </c>
      <c r="P2" s="331" t="s">
        <v>311</v>
      </c>
      <c r="Q2" s="319"/>
      <c r="R2" s="416" t="s">
        <v>313</v>
      </c>
      <c r="S2" s="331" t="s">
        <v>314</v>
      </c>
      <c r="T2" s="353" t="s">
        <v>315</v>
      </c>
      <c r="U2" s="353" t="s">
        <v>316</v>
      </c>
      <c r="V2" s="353" t="s">
        <v>317</v>
      </c>
      <c r="W2" s="323" t="s">
        <v>318</v>
      </c>
      <c r="X2" s="323" t="s">
        <v>319</v>
      </c>
      <c r="Y2" s="353" t="s">
        <v>320</v>
      </c>
      <c r="Z2" s="353"/>
      <c r="AA2" s="353"/>
      <c r="AB2" s="353"/>
      <c r="AC2" s="353"/>
      <c r="AD2" s="353"/>
    </row>
    <row r="3" spans="1:49">
      <c r="C3" s="282" t="s">
        <v>321</v>
      </c>
      <c r="D3" s="282"/>
      <c r="E3" s="282"/>
      <c r="F3" s="282"/>
      <c r="G3" s="282"/>
      <c r="H3" s="282"/>
      <c r="I3" s="282"/>
      <c r="J3" s="282"/>
      <c r="K3" s="282"/>
      <c r="L3" s="282"/>
      <c r="M3" s="262"/>
      <c r="N3" s="282" t="s">
        <v>322</v>
      </c>
      <c r="O3" s="289" t="s">
        <v>323</v>
      </c>
      <c r="P3" s="289" t="s">
        <v>324</v>
      </c>
      <c r="Q3" s="321"/>
      <c r="R3" s="289"/>
      <c r="S3" s="289"/>
      <c r="T3" s="282"/>
      <c r="U3" s="282"/>
      <c r="V3" s="282"/>
      <c r="W3" s="282"/>
      <c r="X3" s="282"/>
      <c r="Y3" s="282"/>
      <c r="Z3" s="282"/>
      <c r="AA3" s="282"/>
      <c r="AB3" s="282"/>
      <c r="AC3" s="282"/>
      <c r="AD3" s="282"/>
    </row>
    <row r="4" spans="1:49">
      <c r="C4" s="450" t="s">
        <v>475</v>
      </c>
      <c r="D4" s="282"/>
      <c r="E4" s="282"/>
      <c r="F4" s="282"/>
      <c r="G4" s="282"/>
      <c r="H4" s="282"/>
      <c r="I4" s="282"/>
      <c r="J4" s="282"/>
      <c r="K4" s="282"/>
      <c r="L4" s="282"/>
      <c r="M4" s="262"/>
      <c r="N4" s="282">
        <f>MAX(N5)</f>
        <v>6.75</v>
      </c>
      <c r="O4" s="282">
        <f>MAX(O5)</f>
        <v>5.56</v>
      </c>
      <c r="P4" s="282">
        <f>MAX(P5)</f>
        <v>3.97</v>
      </c>
      <c r="Q4" s="321"/>
      <c r="R4" s="289"/>
      <c r="S4" s="289"/>
      <c r="T4" s="282"/>
      <c r="U4" s="282"/>
      <c r="V4" s="282"/>
      <c r="W4" s="282"/>
      <c r="X4" s="282"/>
      <c r="Y4" s="282"/>
      <c r="Z4" s="282"/>
      <c r="AA4" s="282"/>
      <c r="AB4" s="282"/>
      <c r="AC4" s="282"/>
      <c r="AD4" s="282"/>
    </row>
    <row r="5" spans="1:49">
      <c r="A5" s="179">
        <v>1</v>
      </c>
      <c r="B5" s="179" t="str">
        <f>C4</f>
        <v>3T</v>
      </c>
      <c r="C5" s="282" t="s">
        <v>325</v>
      </c>
      <c r="D5" s="282" t="s">
        <v>326</v>
      </c>
      <c r="E5" s="282"/>
      <c r="F5" s="282"/>
      <c r="G5" s="282"/>
      <c r="H5" s="282"/>
      <c r="I5" s="282"/>
      <c r="J5" s="282"/>
      <c r="K5" s="282">
        <v>19.7</v>
      </c>
      <c r="L5" s="282">
        <v>40</v>
      </c>
      <c r="M5" s="262"/>
      <c r="N5" s="282">
        <v>6.75</v>
      </c>
      <c r="O5" s="289">
        <v>5.56</v>
      </c>
      <c r="P5" s="289">
        <v>3.97</v>
      </c>
      <c r="Q5" s="321"/>
      <c r="R5" s="289">
        <f>SUM(N5:P5)/3</f>
        <v>5.4266666666666659</v>
      </c>
      <c r="S5" s="289"/>
      <c r="T5" s="269"/>
      <c r="U5" s="269"/>
      <c r="V5" s="269"/>
      <c r="W5" s="269"/>
      <c r="X5" s="269"/>
      <c r="Y5" s="269"/>
      <c r="Z5" s="269"/>
      <c r="AA5" s="269"/>
      <c r="AB5" s="269"/>
      <c r="AC5" s="269"/>
      <c r="AD5" s="269"/>
      <c r="AE5" s="356"/>
    </row>
    <row r="6" spans="1:49">
      <c r="C6" s="450" t="s">
        <v>476</v>
      </c>
      <c r="D6" s="282"/>
      <c r="E6" s="282"/>
      <c r="F6" s="282"/>
      <c r="G6" s="282"/>
      <c r="H6" s="282"/>
      <c r="I6" s="282"/>
      <c r="J6" s="282"/>
      <c r="K6" s="282"/>
      <c r="L6" s="282"/>
      <c r="M6" s="262"/>
      <c r="N6" s="289">
        <f>MAX(N7:N8)</f>
        <v>6.9</v>
      </c>
      <c r="O6" s="289">
        <f>MAX(O7:O8)</f>
        <v>4.5999999999999996</v>
      </c>
      <c r="P6" s="289">
        <f>MAX(P7:P8)</f>
        <v>3</v>
      </c>
      <c r="Q6" s="289"/>
      <c r="R6" s="289">
        <f>MAX(R5)</f>
        <v>5.4266666666666659</v>
      </c>
      <c r="S6" s="289"/>
      <c r="T6" s="269"/>
      <c r="U6" s="269"/>
      <c r="V6" s="269"/>
      <c r="W6" s="269"/>
      <c r="X6" s="269"/>
      <c r="Y6" s="269"/>
      <c r="Z6" s="269"/>
      <c r="AA6" s="269"/>
      <c r="AB6" s="269"/>
      <c r="AC6" s="269"/>
      <c r="AD6" s="269"/>
      <c r="AE6" s="356"/>
    </row>
    <row r="7" spans="1:49">
      <c r="A7" s="179">
        <f>IF(B7&gt;0,IF(A6&gt;0,A6+1,A5+1),0)</f>
        <v>2</v>
      </c>
      <c r="B7" s="179" t="str">
        <f>C6</f>
        <v>5T</v>
      </c>
      <c r="C7" s="298" t="s">
        <v>327</v>
      </c>
      <c r="D7" s="298" t="s">
        <v>328</v>
      </c>
      <c r="E7" s="298"/>
      <c r="F7" s="291"/>
      <c r="G7" s="298"/>
      <c r="H7" s="298">
        <v>4995</v>
      </c>
      <c r="I7" s="298" t="s">
        <v>329</v>
      </c>
      <c r="J7" s="298"/>
      <c r="K7" s="298"/>
      <c r="L7" s="298">
        <v>70</v>
      </c>
      <c r="M7" s="262"/>
      <c r="N7" s="298">
        <v>6.9</v>
      </c>
      <c r="O7" s="357">
        <v>4</v>
      </c>
      <c r="P7" s="357">
        <v>3</v>
      </c>
      <c r="Q7" s="347"/>
      <c r="R7" s="289">
        <f>SUM(N7:P7)/3</f>
        <v>4.6333333333333337</v>
      </c>
      <c r="S7" s="324">
        <f>1-(R7/R7)</f>
        <v>0</v>
      </c>
      <c r="T7" s="269"/>
      <c r="U7" s="269">
        <f t="shared" ref="U7:U29" si="0">N7/R7</f>
        <v>1.489208633093525</v>
      </c>
      <c r="V7" s="269">
        <f t="shared" ref="V7:V29" si="1">P7/R7</f>
        <v>0.64748201438848918</v>
      </c>
      <c r="W7" s="269"/>
      <c r="X7" s="269"/>
      <c r="Y7" s="269"/>
      <c r="Z7" s="269"/>
      <c r="AA7" s="269"/>
      <c r="AB7" s="269"/>
      <c r="AC7" s="269"/>
      <c r="AD7" s="269"/>
      <c r="AE7" s="356"/>
    </row>
    <row r="8" spans="1:49">
      <c r="A8" s="179">
        <f t="shared" ref="A8:A52" si="2">IF(B8&gt;0,IF(A7&gt;0,A7+1,A6+1),0)</f>
        <v>3</v>
      </c>
      <c r="B8" s="179" t="str">
        <f>C6</f>
        <v>5T</v>
      </c>
      <c r="C8" s="298" t="s">
        <v>330</v>
      </c>
      <c r="D8" s="338" t="s">
        <v>331</v>
      </c>
      <c r="E8" s="298"/>
      <c r="F8" s="291" t="s">
        <v>332</v>
      </c>
      <c r="G8" s="298" t="s">
        <v>333</v>
      </c>
      <c r="H8" s="298">
        <v>5088</v>
      </c>
      <c r="I8" s="298" t="s">
        <v>334</v>
      </c>
      <c r="J8" s="298" t="s">
        <v>335</v>
      </c>
      <c r="K8" s="298"/>
      <c r="L8" s="298">
        <v>63</v>
      </c>
      <c r="M8" s="262"/>
      <c r="N8" s="298">
        <v>6.4</v>
      </c>
      <c r="O8" s="357">
        <v>4.5999999999999996</v>
      </c>
      <c r="P8" s="357">
        <v>2.8</v>
      </c>
      <c r="Q8" s="285"/>
      <c r="R8" s="289">
        <f>SUM(N8:P8)/3</f>
        <v>4.6000000000000005</v>
      </c>
      <c r="S8" s="330">
        <f>1-(R8/R7)</f>
        <v>7.194244604316502E-3</v>
      </c>
      <c r="T8" s="269"/>
      <c r="U8" s="269">
        <f t="shared" si="0"/>
        <v>1.3913043478260869</v>
      </c>
      <c r="V8" s="269">
        <f t="shared" si="1"/>
        <v>0.60869565217391297</v>
      </c>
      <c r="W8" s="269"/>
      <c r="X8" s="269"/>
      <c r="Y8" s="269"/>
      <c r="Z8" s="269"/>
      <c r="AA8" s="269"/>
      <c r="AB8" s="269"/>
      <c r="AC8" s="269"/>
      <c r="AD8" s="269"/>
      <c r="AE8" s="356"/>
      <c r="AF8" s="356"/>
      <c r="AG8" s="356"/>
      <c r="AH8" s="356"/>
      <c r="AI8" s="356"/>
      <c r="AJ8" s="356"/>
      <c r="AK8" s="356"/>
      <c r="AL8" s="356"/>
      <c r="AM8" s="356"/>
      <c r="AN8" s="356"/>
      <c r="AO8" s="356"/>
      <c r="AP8" s="356"/>
      <c r="AQ8" s="356"/>
      <c r="AR8" s="356"/>
      <c r="AS8" s="356"/>
      <c r="AT8" s="356"/>
      <c r="AU8" s="356"/>
      <c r="AV8" s="356"/>
      <c r="AW8" s="356"/>
    </row>
    <row r="9" spans="1:49">
      <c r="A9" s="179">
        <f t="shared" si="2"/>
        <v>0</v>
      </c>
      <c r="C9" s="473" t="s">
        <v>808</v>
      </c>
      <c r="D9" s="275"/>
      <c r="E9" s="275"/>
      <c r="F9" s="275"/>
      <c r="G9" s="275"/>
      <c r="H9" s="275"/>
      <c r="I9" s="275"/>
      <c r="J9" s="275"/>
      <c r="K9" s="275" t="s">
        <v>474</v>
      </c>
      <c r="L9" s="275"/>
      <c r="M9" s="275"/>
      <c r="N9" s="275">
        <f>MAX(N10:N15)</f>
        <v>9.9600000000000009</v>
      </c>
      <c r="O9" s="275">
        <f>MAX(O10:O15)</f>
        <v>8.1999999999999993</v>
      </c>
      <c r="P9" s="275">
        <f>MAX(P10:P15)</f>
        <v>5.86</v>
      </c>
      <c r="Q9" s="275"/>
      <c r="R9" s="275">
        <f>MAX(R7:R8)</f>
        <v>4.6333333333333337</v>
      </c>
      <c r="S9" s="275"/>
      <c r="T9" s="273"/>
      <c r="U9" s="269">
        <f t="shared" si="0"/>
        <v>2.1496402877697842</v>
      </c>
      <c r="V9" s="269">
        <f t="shared" si="1"/>
        <v>1.2647482014388489</v>
      </c>
      <c r="W9" s="427"/>
      <c r="X9" s="427"/>
      <c r="Y9" s="280"/>
      <c r="Z9" s="269"/>
      <c r="AA9" s="269"/>
      <c r="AB9" s="269"/>
      <c r="AC9" s="269"/>
      <c r="AD9" s="269"/>
      <c r="AE9" s="356"/>
      <c r="AF9" s="356"/>
      <c r="AG9" s="356"/>
      <c r="AH9" s="356"/>
      <c r="AI9" s="356"/>
      <c r="AJ9" s="356"/>
      <c r="AK9" s="356"/>
      <c r="AL9" s="356"/>
      <c r="AM9" s="356"/>
      <c r="AN9" s="356"/>
      <c r="AO9" s="356"/>
      <c r="AP9" s="356"/>
      <c r="AQ9" s="356"/>
      <c r="AR9" s="356"/>
      <c r="AS9" s="356"/>
      <c r="AT9" s="356"/>
      <c r="AU9" s="356"/>
      <c r="AV9" s="356"/>
      <c r="AW9" s="356"/>
    </row>
    <row r="10" spans="1:49">
      <c r="A10" s="179">
        <f t="shared" si="2"/>
        <v>4</v>
      </c>
      <c r="B10" s="179" t="str">
        <f>C9</f>
        <v>6T-8T</v>
      </c>
      <c r="C10" s="341" t="s">
        <v>336</v>
      </c>
      <c r="D10" s="339" t="s">
        <v>337</v>
      </c>
      <c r="E10" s="341"/>
      <c r="F10" s="277" t="s">
        <v>332</v>
      </c>
      <c r="G10" s="341"/>
      <c r="H10" s="341">
        <v>6193</v>
      </c>
      <c r="I10" s="341" t="s">
        <v>338</v>
      </c>
      <c r="J10" s="341" t="s">
        <v>339</v>
      </c>
      <c r="K10" s="341">
        <v>40.5</v>
      </c>
      <c r="L10" s="341">
        <v>120</v>
      </c>
      <c r="M10" s="262"/>
      <c r="N10" s="341">
        <v>9.9600000000000009</v>
      </c>
      <c r="O10" s="303">
        <v>8.1999999999999993</v>
      </c>
      <c r="P10" s="303">
        <v>5.86</v>
      </c>
      <c r="Q10" s="285"/>
      <c r="R10" s="312">
        <f t="shared" ref="R10:R15" si="3">(N10+O10+P10)/3</f>
        <v>8.0066666666666659</v>
      </c>
      <c r="S10" s="324">
        <f>1-(R10/R10)</f>
        <v>0</v>
      </c>
      <c r="T10" s="269"/>
      <c r="U10" s="269">
        <f t="shared" si="0"/>
        <v>1.2439633638634473</v>
      </c>
      <c r="V10" s="269">
        <f t="shared" si="1"/>
        <v>0.73189009159034146</v>
      </c>
      <c r="W10" s="269"/>
      <c r="X10" s="269"/>
      <c r="Y10" s="269" t="s">
        <v>340</v>
      </c>
      <c r="Z10" s="269"/>
      <c r="AA10" s="269"/>
      <c r="AB10" s="269"/>
      <c r="AC10" s="269"/>
      <c r="AD10" s="269"/>
      <c r="AE10" s="356"/>
      <c r="AF10" s="356"/>
      <c r="AG10" s="356"/>
      <c r="AH10" s="356"/>
      <c r="AI10" s="356"/>
      <c r="AJ10" s="356"/>
      <c r="AK10" s="356"/>
      <c r="AL10" s="356"/>
      <c r="AM10" s="356"/>
      <c r="AN10" s="356"/>
      <c r="AO10" s="356"/>
      <c r="AP10" s="356"/>
      <c r="AQ10" s="356"/>
      <c r="AR10" s="356"/>
      <c r="AS10" s="356"/>
      <c r="AT10" s="356"/>
      <c r="AU10" s="356"/>
      <c r="AV10" s="356"/>
      <c r="AW10" s="356"/>
    </row>
    <row r="11" spans="1:49">
      <c r="A11" s="179">
        <f t="shared" si="2"/>
        <v>5</v>
      </c>
      <c r="B11" s="179" t="str">
        <f>C9</f>
        <v>6T-8T</v>
      </c>
      <c r="C11" s="341" t="s">
        <v>341</v>
      </c>
      <c r="D11" s="339" t="s">
        <v>342</v>
      </c>
      <c r="E11" s="341"/>
      <c r="F11" s="277"/>
      <c r="G11" s="341" t="s">
        <v>343</v>
      </c>
      <c r="H11" s="341"/>
      <c r="I11" s="341" t="s">
        <v>344</v>
      </c>
      <c r="J11" s="341" t="s">
        <v>335</v>
      </c>
      <c r="K11" s="341">
        <v>49</v>
      </c>
      <c r="L11" s="341">
        <v>125</v>
      </c>
      <c r="M11" s="262"/>
      <c r="N11" s="341">
        <v>9.1999999999999993</v>
      </c>
      <c r="O11" s="303">
        <v>6.6</v>
      </c>
      <c r="P11" s="303">
        <v>4</v>
      </c>
      <c r="Q11" s="347"/>
      <c r="R11" s="312">
        <f t="shared" si="3"/>
        <v>6.5999999999999988</v>
      </c>
      <c r="S11" s="330">
        <f>1-(R11/R10)</f>
        <v>0.17568692756036641</v>
      </c>
      <c r="T11" s="269"/>
      <c r="U11" s="269">
        <f t="shared" si="0"/>
        <v>1.393939393939394</v>
      </c>
      <c r="V11" s="269">
        <f t="shared" si="1"/>
        <v>0.60606060606060619</v>
      </c>
      <c r="W11" s="269" t="s">
        <v>345</v>
      </c>
      <c r="X11" s="269" t="s">
        <v>346</v>
      </c>
      <c r="Y11" s="269"/>
      <c r="Z11" s="269"/>
      <c r="AA11" s="269"/>
      <c r="AB11" s="269"/>
      <c r="AC11" s="269"/>
      <c r="AD11" s="269"/>
      <c r="AE11" s="356"/>
      <c r="AF11" s="356"/>
      <c r="AG11" s="356"/>
      <c r="AH11" s="356"/>
      <c r="AI11" s="356"/>
      <c r="AJ11" s="356"/>
      <c r="AK11" s="356"/>
      <c r="AL11" s="356"/>
      <c r="AM11" s="356"/>
      <c r="AN11" s="356"/>
      <c r="AO11" s="356"/>
      <c r="AP11" s="356"/>
      <c r="AQ11" s="356"/>
      <c r="AR11" s="356"/>
      <c r="AS11" s="356"/>
      <c r="AT11" s="356"/>
      <c r="AU11" s="356"/>
      <c r="AV11" s="356"/>
      <c r="AW11" s="356"/>
    </row>
    <row r="12" spans="1:49">
      <c r="A12" s="179">
        <f t="shared" si="2"/>
        <v>6</v>
      </c>
      <c r="B12" s="179" t="str">
        <f>C9</f>
        <v>6T-8T</v>
      </c>
      <c r="C12" s="341" t="s">
        <v>347</v>
      </c>
      <c r="D12" s="339" t="s">
        <v>348</v>
      </c>
      <c r="E12" s="341"/>
      <c r="F12" s="277"/>
      <c r="G12" s="341"/>
      <c r="H12" s="341"/>
      <c r="I12" s="341" t="s">
        <v>349</v>
      </c>
      <c r="J12" s="341" t="s">
        <v>350</v>
      </c>
      <c r="K12" s="341">
        <v>42</v>
      </c>
      <c r="L12" s="341">
        <v>125</v>
      </c>
      <c r="M12" s="262"/>
      <c r="N12" s="341">
        <v>9</v>
      </c>
      <c r="O12" s="303">
        <v>6.1</v>
      </c>
      <c r="P12" s="303">
        <v>3.9</v>
      </c>
      <c r="Q12" s="285"/>
      <c r="R12" s="312">
        <f t="shared" si="3"/>
        <v>6.333333333333333</v>
      </c>
      <c r="S12" s="330">
        <f>1-(R12/R10)</f>
        <v>0.20899250624479593</v>
      </c>
      <c r="T12" s="269"/>
      <c r="U12" s="269">
        <f t="shared" si="0"/>
        <v>1.4210526315789473</v>
      </c>
      <c r="V12" s="269">
        <f t="shared" si="1"/>
        <v>0.61578947368421055</v>
      </c>
      <c r="W12" s="269"/>
      <c r="X12" s="269"/>
      <c r="Y12" s="269"/>
      <c r="Z12" s="269"/>
      <c r="AA12" s="269"/>
      <c r="AB12" s="269"/>
      <c r="AC12" s="269"/>
      <c r="AD12" s="269"/>
      <c r="AE12" s="356"/>
      <c r="AF12" s="356"/>
      <c r="AG12" s="356"/>
      <c r="AH12" s="356"/>
      <c r="AI12" s="356"/>
      <c r="AJ12" s="356"/>
      <c r="AK12" s="356"/>
      <c r="AL12" s="356"/>
      <c r="AM12" s="356"/>
      <c r="AN12" s="356"/>
      <c r="AO12" s="356"/>
      <c r="AP12" s="356"/>
      <c r="AQ12" s="356"/>
      <c r="AR12" s="356"/>
      <c r="AS12" s="356"/>
      <c r="AT12" s="356"/>
      <c r="AU12" s="356"/>
      <c r="AV12" s="356"/>
      <c r="AW12" s="356"/>
    </row>
    <row r="13" spans="1:49">
      <c r="A13" s="179">
        <f>IF(B13&gt;0,IF(A12&gt;0,A12+1,A11+1),0)</f>
        <v>7</v>
      </c>
      <c r="B13" s="179" t="str">
        <f>C9</f>
        <v>6T-8T</v>
      </c>
      <c r="C13" s="341" t="s">
        <v>351</v>
      </c>
      <c r="D13" s="339" t="s">
        <v>352</v>
      </c>
      <c r="E13" s="341"/>
      <c r="F13" s="277"/>
      <c r="G13" s="341"/>
      <c r="H13" s="341"/>
      <c r="I13" s="341" t="s">
        <v>344</v>
      </c>
      <c r="J13" s="341" t="s">
        <v>350</v>
      </c>
      <c r="K13" s="341">
        <v>49</v>
      </c>
      <c r="L13" s="341">
        <v>125</v>
      </c>
      <c r="M13" s="262"/>
      <c r="N13" s="341">
        <v>9.3000000000000007</v>
      </c>
      <c r="O13" s="303">
        <v>7.3</v>
      </c>
      <c r="P13" s="303">
        <v>3.6</v>
      </c>
      <c r="Q13" s="285"/>
      <c r="R13" s="312">
        <f t="shared" si="3"/>
        <v>6.7333333333333343</v>
      </c>
      <c r="S13" s="330">
        <f>1-(R13/R10)</f>
        <v>0.15903413821815138</v>
      </c>
      <c r="T13" s="269"/>
      <c r="U13" s="269">
        <f t="shared" si="0"/>
        <v>1.3811881188118811</v>
      </c>
      <c r="V13" s="269">
        <f t="shared" si="1"/>
        <v>0.53465346534653457</v>
      </c>
      <c r="W13" s="269"/>
      <c r="X13" s="269"/>
      <c r="Y13" s="269"/>
      <c r="Z13" s="269"/>
      <c r="AA13" s="269"/>
      <c r="AB13" s="269"/>
      <c r="AC13" s="269"/>
      <c r="AD13" s="269"/>
      <c r="AE13" s="356"/>
      <c r="AF13" s="356"/>
      <c r="AG13" s="356"/>
      <c r="AH13" s="356"/>
      <c r="AI13" s="356"/>
      <c r="AJ13" s="356"/>
      <c r="AK13" s="356"/>
      <c r="AL13" s="356"/>
      <c r="AM13" s="356"/>
      <c r="AN13" s="356"/>
      <c r="AO13" s="356"/>
      <c r="AP13" s="356"/>
      <c r="AQ13" s="356"/>
      <c r="AR13" s="356"/>
      <c r="AS13" s="356"/>
      <c r="AT13" s="356"/>
      <c r="AU13" s="356"/>
      <c r="AV13" s="356"/>
      <c r="AW13" s="356"/>
    </row>
    <row r="14" spans="1:49">
      <c r="A14" s="179">
        <f>IF(B14&gt;0,IF(A13&gt;0,A13+1,A12+1),0)</f>
        <v>8</v>
      </c>
      <c r="B14" s="179" t="str">
        <f>C9</f>
        <v>6T-8T</v>
      </c>
      <c r="C14" s="341" t="s">
        <v>353</v>
      </c>
      <c r="D14" s="341" t="s">
        <v>354</v>
      </c>
      <c r="E14" s="341"/>
      <c r="F14" s="277" t="s">
        <v>332</v>
      </c>
      <c r="G14" s="341" t="s">
        <v>333</v>
      </c>
      <c r="H14" s="341"/>
      <c r="I14" s="341"/>
      <c r="J14" s="341"/>
      <c r="K14" s="341"/>
      <c r="L14" s="341">
        <v>125</v>
      </c>
      <c r="M14" s="262"/>
      <c r="N14" s="341">
        <v>9.8000000000000007</v>
      </c>
      <c r="O14" s="303">
        <v>6.6</v>
      </c>
      <c r="P14" s="303">
        <v>4</v>
      </c>
      <c r="Q14" s="285"/>
      <c r="R14" s="312">
        <f t="shared" si="3"/>
        <v>6.8</v>
      </c>
      <c r="S14" s="330">
        <f>1-(R14/R10)</f>
        <v>0.15070774354704408</v>
      </c>
      <c r="T14" s="269"/>
      <c r="U14" s="269">
        <f t="shared" si="0"/>
        <v>1.4411764705882355</v>
      </c>
      <c r="V14" s="269">
        <f t="shared" si="1"/>
        <v>0.58823529411764708</v>
      </c>
      <c r="W14" s="269"/>
      <c r="X14" s="269"/>
      <c r="Y14" s="269"/>
      <c r="Z14" s="269"/>
      <c r="AA14" s="269"/>
      <c r="AB14" s="269"/>
      <c r="AC14" s="269"/>
      <c r="AD14" s="269"/>
      <c r="AE14" s="356"/>
      <c r="AF14" s="356"/>
      <c r="AG14" s="356"/>
      <c r="AH14" s="356"/>
      <c r="AI14" s="356"/>
      <c r="AJ14" s="356"/>
      <c r="AK14" s="356"/>
      <c r="AL14" s="356"/>
      <c r="AM14" s="356"/>
      <c r="AN14" s="356"/>
      <c r="AO14" s="356"/>
      <c r="AP14" s="356"/>
      <c r="AQ14" s="356"/>
      <c r="AR14" s="356"/>
      <c r="AS14" s="356"/>
      <c r="AT14" s="356"/>
      <c r="AU14" s="356"/>
      <c r="AV14" s="356"/>
      <c r="AW14" s="356"/>
    </row>
    <row r="15" spans="1:49">
      <c r="A15" s="179">
        <f t="shared" si="2"/>
        <v>9</v>
      </c>
      <c r="B15" s="179" t="str">
        <f>C9</f>
        <v>6T-8T</v>
      </c>
      <c r="C15" s="341" t="s">
        <v>355</v>
      </c>
      <c r="D15" s="341" t="s">
        <v>356</v>
      </c>
      <c r="E15" s="341"/>
      <c r="F15" s="277"/>
      <c r="G15" s="341"/>
      <c r="H15" s="341"/>
      <c r="I15" s="341" t="s">
        <v>357</v>
      </c>
      <c r="J15" s="341"/>
      <c r="K15" s="341">
        <v>50</v>
      </c>
      <c r="L15" s="341">
        <v>125</v>
      </c>
      <c r="M15" s="262"/>
      <c r="N15" s="341">
        <v>8.1999999999999993</v>
      </c>
      <c r="O15" s="341">
        <v>5.0999999999999996</v>
      </c>
      <c r="P15" s="341">
        <v>3.5</v>
      </c>
      <c r="Q15" s="285"/>
      <c r="R15" s="312">
        <f t="shared" si="3"/>
        <v>5.5999999999999988</v>
      </c>
      <c r="S15" s="330">
        <f>1-(R15/R10)</f>
        <v>0.30058284762697762</v>
      </c>
      <c r="T15" s="269"/>
      <c r="U15" s="269">
        <f t="shared" si="0"/>
        <v>1.4642857142857144</v>
      </c>
      <c r="V15" s="269">
        <f t="shared" si="1"/>
        <v>0.62500000000000011</v>
      </c>
      <c r="W15" s="269"/>
      <c r="X15" s="269"/>
      <c r="Y15" s="269" t="s">
        <v>358</v>
      </c>
      <c r="Z15" s="269"/>
      <c r="AA15" s="269"/>
      <c r="AB15" s="269"/>
      <c r="AC15" s="269"/>
      <c r="AD15" s="269"/>
      <c r="AE15" s="356"/>
      <c r="AF15" s="356"/>
      <c r="AG15" s="356"/>
      <c r="AH15" s="356"/>
      <c r="AI15" s="356"/>
      <c r="AJ15" s="356"/>
      <c r="AK15" s="356"/>
      <c r="AL15" s="356"/>
      <c r="AM15" s="356"/>
      <c r="AN15" s="356"/>
      <c r="AO15" s="356"/>
      <c r="AP15" s="356"/>
      <c r="AQ15" s="356"/>
      <c r="AR15" s="356"/>
      <c r="AS15" s="356"/>
      <c r="AT15" s="356"/>
      <c r="AU15" s="356"/>
      <c r="AV15" s="356"/>
      <c r="AW15" s="356"/>
    </row>
    <row r="16" spans="1:49">
      <c r="A16" s="179">
        <f t="shared" si="2"/>
        <v>0</v>
      </c>
      <c r="C16" s="451" t="s">
        <v>592</v>
      </c>
      <c r="D16" s="275"/>
      <c r="E16" s="275"/>
      <c r="F16" s="275"/>
      <c r="G16" s="275"/>
      <c r="H16" s="275"/>
      <c r="I16" s="275"/>
      <c r="J16" s="275"/>
      <c r="K16" s="275" t="s">
        <v>474</v>
      </c>
      <c r="L16" s="275"/>
      <c r="M16" s="275"/>
      <c r="N16" s="175">
        <f>MAX(N17:N21)</f>
        <v>11.6</v>
      </c>
      <c r="O16" s="175">
        <f>MAX(O17:O21)</f>
        <v>7.9</v>
      </c>
      <c r="P16" s="175">
        <f>MAX(P17:P21)</f>
        <v>6.6</v>
      </c>
      <c r="Q16" s="175"/>
      <c r="R16" s="175">
        <f>MAX(R10:R15)</f>
        <v>8.0066666666666659</v>
      </c>
      <c r="S16" s="275"/>
      <c r="T16" s="326"/>
      <c r="U16" s="269">
        <f t="shared" si="0"/>
        <v>1.4487926727726894</v>
      </c>
      <c r="V16" s="269">
        <f t="shared" si="1"/>
        <v>0.8243130724396337</v>
      </c>
      <c r="W16" s="269"/>
      <c r="X16" s="269"/>
      <c r="Y16" s="269"/>
      <c r="Z16" s="269"/>
      <c r="AA16" s="269"/>
      <c r="AB16" s="269"/>
      <c r="AC16" s="269"/>
      <c r="AD16" s="269"/>
      <c r="AE16" s="356"/>
      <c r="AF16" s="356"/>
      <c r="AG16" s="356"/>
      <c r="AH16" s="356"/>
      <c r="AI16" s="356"/>
      <c r="AJ16" s="356"/>
      <c r="AK16" s="356"/>
      <c r="AL16" s="356"/>
      <c r="AM16" s="356"/>
      <c r="AN16" s="356"/>
      <c r="AO16" s="356"/>
      <c r="AP16" s="356"/>
      <c r="AQ16" s="356"/>
      <c r="AR16" s="356"/>
      <c r="AS16" s="356"/>
      <c r="AT16" s="356"/>
      <c r="AU16" s="356"/>
      <c r="AV16" s="356"/>
      <c r="AW16" s="356"/>
    </row>
    <row r="17" spans="1:49">
      <c r="A17" s="179">
        <f t="shared" si="2"/>
        <v>10</v>
      </c>
      <c r="B17" s="179" t="str">
        <f>C16</f>
        <v>12T</v>
      </c>
      <c r="C17" s="335" t="s">
        <v>359</v>
      </c>
      <c r="D17" s="335" t="s">
        <v>360</v>
      </c>
      <c r="E17" s="335"/>
      <c r="F17" s="260" t="s">
        <v>361</v>
      </c>
      <c r="G17" s="335" t="s">
        <v>333</v>
      </c>
      <c r="H17" s="335"/>
      <c r="I17" s="335" t="s">
        <v>362</v>
      </c>
      <c r="J17" s="350"/>
      <c r="K17" s="335">
        <v>68</v>
      </c>
      <c r="L17" s="335">
        <v>250</v>
      </c>
      <c r="M17" s="262"/>
      <c r="N17" s="335">
        <v>11.1</v>
      </c>
      <c r="O17" s="335">
        <v>6.6</v>
      </c>
      <c r="P17" s="335">
        <v>4.8</v>
      </c>
      <c r="Q17" s="285"/>
      <c r="R17" s="318">
        <f>(N17+O17+P17)/3</f>
        <v>7.5</v>
      </c>
      <c r="S17" s="330">
        <f>1-(R17/R20)</f>
        <v>5.8577405857740517E-2</v>
      </c>
      <c r="T17" s="269"/>
      <c r="U17" s="269">
        <f t="shared" si="0"/>
        <v>1.48</v>
      </c>
      <c r="V17" s="269">
        <f t="shared" si="1"/>
        <v>0.64</v>
      </c>
      <c r="W17" s="269" t="s">
        <v>345</v>
      </c>
      <c r="X17" s="269" t="s">
        <v>346</v>
      </c>
      <c r="Y17" s="269"/>
      <c r="Z17" s="269"/>
      <c r="AA17" s="269"/>
      <c r="AB17" s="269"/>
      <c r="AC17" s="269"/>
      <c r="AD17" s="269"/>
      <c r="AE17" s="356"/>
      <c r="AF17" s="356"/>
      <c r="AG17" s="356"/>
      <c r="AH17" s="356"/>
      <c r="AI17" s="356"/>
      <c r="AJ17" s="356"/>
      <c r="AK17" s="356"/>
      <c r="AL17" s="356"/>
      <c r="AM17" s="356"/>
      <c r="AN17" s="356"/>
      <c r="AO17" s="356"/>
      <c r="AP17" s="356"/>
      <c r="AQ17" s="356"/>
      <c r="AR17" s="356"/>
      <c r="AS17" s="356"/>
      <c r="AT17" s="356"/>
      <c r="AU17" s="356"/>
      <c r="AV17" s="356"/>
      <c r="AW17" s="356"/>
    </row>
    <row r="18" spans="1:49">
      <c r="A18" s="179">
        <f t="shared" si="2"/>
        <v>11</v>
      </c>
      <c r="B18" s="179" t="str">
        <f>C16</f>
        <v>12T</v>
      </c>
      <c r="C18" s="335" t="s">
        <v>363</v>
      </c>
      <c r="D18" s="335" t="s">
        <v>364</v>
      </c>
      <c r="E18" s="335" t="s">
        <v>365</v>
      </c>
      <c r="F18" s="260" t="s">
        <v>332</v>
      </c>
      <c r="G18" s="335"/>
      <c r="H18" s="335"/>
      <c r="I18" s="335" t="s">
        <v>366</v>
      </c>
      <c r="J18" s="335"/>
      <c r="K18" s="335">
        <v>69.7</v>
      </c>
      <c r="L18" s="335">
        <v>200</v>
      </c>
      <c r="M18" s="262"/>
      <c r="N18" s="335">
        <v>10.8</v>
      </c>
      <c r="O18" s="335">
        <v>6.8</v>
      </c>
      <c r="P18" s="335">
        <v>4.5999999999999996</v>
      </c>
      <c r="Q18" s="285"/>
      <c r="R18" s="318">
        <f>(N18+O18+P18)/3</f>
        <v>7.4000000000000012</v>
      </c>
      <c r="S18" s="330">
        <f>1-(R18/R17)</f>
        <v>1.3333333333333197E-2</v>
      </c>
      <c r="T18" s="269"/>
      <c r="U18" s="269">
        <f t="shared" si="0"/>
        <v>1.4594594594594592</v>
      </c>
      <c r="V18" s="269">
        <f t="shared" si="1"/>
        <v>0.62162162162162149</v>
      </c>
      <c r="W18" s="269"/>
      <c r="X18" s="269"/>
      <c r="Y18" s="269" t="s">
        <v>367</v>
      </c>
      <c r="Z18" s="269"/>
      <c r="AA18" s="269"/>
      <c r="AB18" s="269"/>
      <c r="AC18" s="269"/>
      <c r="AD18" s="269"/>
      <c r="AE18" s="356"/>
      <c r="AF18" s="356"/>
      <c r="AG18" s="356"/>
      <c r="AH18" s="356"/>
      <c r="AI18" s="356"/>
      <c r="AJ18" s="356"/>
      <c r="AK18" s="356"/>
      <c r="AL18" s="356"/>
      <c r="AM18" s="356"/>
      <c r="AN18" s="356"/>
      <c r="AO18" s="356"/>
      <c r="AP18" s="356"/>
      <c r="AQ18" s="356"/>
      <c r="AR18" s="356"/>
      <c r="AS18" s="356"/>
      <c r="AT18" s="356"/>
      <c r="AU18" s="356"/>
      <c r="AV18" s="356"/>
      <c r="AW18" s="356"/>
    </row>
    <row r="19" spans="1:49">
      <c r="A19" s="179">
        <f t="shared" si="2"/>
        <v>12</v>
      </c>
      <c r="B19" s="179" t="str">
        <f>C16</f>
        <v>12T</v>
      </c>
      <c r="C19" s="351" t="s">
        <v>369</v>
      </c>
      <c r="D19" s="351" t="s">
        <v>370</v>
      </c>
      <c r="E19" s="351"/>
      <c r="F19" s="333"/>
      <c r="G19" s="351"/>
      <c r="H19" s="351">
        <v>14800</v>
      </c>
      <c r="I19" s="351" t="s">
        <v>362</v>
      </c>
      <c r="J19" s="351"/>
      <c r="K19" s="351">
        <v>67</v>
      </c>
      <c r="L19" s="351">
        <v>178</v>
      </c>
      <c r="M19" s="262"/>
      <c r="N19" s="351">
        <v>10.1</v>
      </c>
      <c r="O19" s="351">
        <v>7.9</v>
      </c>
      <c r="P19" s="351">
        <v>4.8</v>
      </c>
      <c r="Q19" s="285"/>
      <c r="R19" s="346">
        <f>(N19+O19+P19)/3</f>
        <v>7.6000000000000005</v>
      </c>
      <c r="S19" s="330">
        <f>1-(R19/R20)</f>
        <v>4.6025104602510303E-2</v>
      </c>
      <c r="T19" s="269"/>
      <c r="U19" s="269">
        <f t="shared" si="0"/>
        <v>1.3289473684210524</v>
      </c>
      <c r="V19" s="269">
        <f t="shared" si="1"/>
        <v>0.63157894736842102</v>
      </c>
      <c r="W19" s="269" t="s">
        <v>345</v>
      </c>
      <c r="X19" s="269" t="s">
        <v>346</v>
      </c>
      <c r="Y19" s="269" t="s">
        <v>371</v>
      </c>
      <c r="Z19" s="269"/>
      <c r="AA19" s="269"/>
      <c r="AB19" s="269"/>
      <c r="AC19" s="269"/>
      <c r="AD19" s="269"/>
      <c r="AE19" s="356"/>
      <c r="AF19" s="356"/>
      <c r="AG19" s="356"/>
      <c r="AH19" s="356"/>
      <c r="AI19" s="356"/>
      <c r="AJ19" s="356"/>
      <c r="AK19" s="356"/>
      <c r="AL19" s="356"/>
      <c r="AM19" s="356"/>
      <c r="AN19" s="356"/>
      <c r="AO19" s="356"/>
      <c r="AP19" s="356"/>
      <c r="AQ19" s="356"/>
      <c r="AR19" s="356"/>
      <c r="AS19" s="356"/>
      <c r="AT19" s="356"/>
      <c r="AU19" s="356"/>
      <c r="AV19" s="356"/>
      <c r="AW19" s="356"/>
    </row>
    <row r="20" spans="1:49">
      <c r="A20" s="179">
        <f t="shared" si="2"/>
        <v>13</v>
      </c>
      <c r="B20" s="179" t="str">
        <f>C16</f>
        <v>12T</v>
      </c>
      <c r="C20" s="351" t="s">
        <v>372</v>
      </c>
      <c r="D20" s="351" t="s">
        <v>373</v>
      </c>
      <c r="E20" s="351"/>
      <c r="F20" s="333"/>
      <c r="G20" s="351"/>
      <c r="H20" s="351"/>
      <c r="I20" s="351"/>
      <c r="J20" s="351"/>
      <c r="K20" s="351">
        <v>68.400000000000006</v>
      </c>
      <c r="L20" s="351">
        <v>247</v>
      </c>
      <c r="M20" s="262"/>
      <c r="N20" s="351">
        <v>11.6</v>
      </c>
      <c r="O20" s="351">
        <v>7.3</v>
      </c>
      <c r="P20" s="351">
        <v>5</v>
      </c>
      <c r="Q20" s="285"/>
      <c r="R20" s="346">
        <f>(N20+O20+P20)/3</f>
        <v>7.9666666666666659</v>
      </c>
      <c r="S20" s="324">
        <f>1-(R20/R20)</f>
        <v>0</v>
      </c>
      <c r="T20" s="269"/>
      <c r="U20" s="269">
        <f t="shared" si="0"/>
        <v>1.4560669456066946</v>
      </c>
      <c r="V20" s="269">
        <f t="shared" si="1"/>
        <v>0.62761506276150636</v>
      </c>
      <c r="W20" s="427"/>
      <c r="X20" s="269"/>
      <c r="Y20" s="269" t="s">
        <v>374</v>
      </c>
      <c r="Z20" s="269"/>
      <c r="AA20" s="269"/>
      <c r="AB20" s="269"/>
      <c r="AC20" s="269"/>
      <c r="AD20" s="269"/>
      <c r="AE20" s="356"/>
      <c r="AF20" s="356"/>
      <c r="AG20" s="356"/>
      <c r="AH20" s="356"/>
      <c r="AI20" s="356"/>
      <c r="AJ20" s="356"/>
      <c r="AK20" s="356"/>
      <c r="AL20" s="356"/>
      <c r="AM20" s="356"/>
      <c r="AN20" s="356"/>
      <c r="AO20" s="356"/>
      <c r="AP20" s="356"/>
      <c r="AQ20" s="356"/>
      <c r="AR20" s="356"/>
      <c r="AS20" s="356"/>
      <c r="AT20" s="356"/>
      <c r="AU20" s="356"/>
      <c r="AV20" s="356"/>
      <c r="AW20" s="356"/>
    </row>
    <row r="21" spans="1:49">
      <c r="A21" s="179">
        <f t="shared" si="2"/>
        <v>14</v>
      </c>
      <c r="B21" s="179" t="str">
        <f>C16</f>
        <v>12T</v>
      </c>
      <c r="C21" s="351" t="s">
        <v>375</v>
      </c>
      <c r="D21" s="351" t="s">
        <v>376</v>
      </c>
      <c r="E21" s="351" t="s">
        <v>377</v>
      </c>
      <c r="F21" s="333"/>
      <c r="G21" s="351"/>
      <c r="H21" s="351"/>
      <c r="I21" s="351" t="s">
        <v>378</v>
      </c>
      <c r="J21" s="351" t="s">
        <v>335</v>
      </c>
      <c r="K21" s="351">
        <v>102</v>
      </c>
      <c r="L21" s="351">
        <v>250</v>
      </c>
      <c r="M21" s="262"/>
      <c r="N21" s="351">
        <v>9.1999999999999993</v>
      </c>
      <c r="O21" s="351">
        <v>7.8</v>
      </c>
      <c r="P21" s="351">
        <v>6.6</v>
      </c>
      <c r="Q21" s="347"/>
      <c r="R21" s="346">
        <f>(N21+O21+P21)/3</f>
        <v>7.8666666666666671</v>
      </c>
      <c r="S21" s="330">
        <f>1-(R21/R20)</f>
        <v>1.2552301255229992E-2</v>
      </c>
      <c r="T21" s="269"/>
      <c r="U21" s="269">
        <f t="shared" si="0"/>
        <v>1.1694915254237286</v>
      </c>
      <c r="V21" s="269">
        <f t="shared" si="1"/>
        <v>0.8389830508474575</v>
      </c>
      <c r="W21" s="429" t="s">
        <v>345</v>
      </c>
      <c r="X21" s="269" t="s">
        <v>379</v>
      </c>
      <c r="Y21" s="269" t="s">
        <v>380</v>
      </c>
      <c r="Z21" s="269"/>
      <c r="AA21" s="269"/>
      <c r="AB21" s="269"/>
      <c r="AC21" s="269"/>
      <c r="AD21" s="269"/>
      <c r="AE21" s="356"/>
      <c r="AF21" s="356"/>
      <c r="AG21" s="356"/>
      <c r="AH21" s="356"/>
      <c r="AI21" s="356"/>
      <c r="AJ21" s="356"/>
      <c r="AK21" s="356"/>
      <c r="AL21" s="356"/>
      <c r="AM21" s="356"/>
      <c r="AN21" s="356"/>
      <c r="AO21" s="356"/>
      <c r="AP21" s="356"/>
      <c r="AQ21" s="356"/>
      <c r="AR21" s="356"/>
      <c r="AS21" s="356"/>
      <c r="AT21" s="356"/>
      <c r="AU21" s="356"/>
      <c r="AV21" s="356"/>
      <c r="AW21" s="356"/>
    </row>
    <row r="22" spans="1:49">
      <c r="A22" s="179">
        <f t="shared" si="2"/>
        <v>0</v>
      </c>
      <c r="C22" s="451" t="s">
        <v>477</v>
      </c>
      <c r="D22" s="275"/>
      <c r="E22" s="275"/>
      <c r="F22" s="275"/>
      <c r="G22" s="275"/>
      <c r="H22" s="275"/>
      <c r="I22" s="275"/>
      <c r="J22" s="275"/>
      <c r="K22" s="275" t="s">
        <v>474</v>
      </c>
      <c r="L22" s="275"/>
      <c r="M22" s="275"/>
      <c r="N22" s="175">
        <f>MAX(N23:N25)</f>
        <v>18.5</v>
      </c>
      <c r="O22" s="175">
        <f>MAX(O23:O25)</f>
        <v>14.5</v>
      </c>
      <c r="P22" s="175">
        <f>MAX(P23:P25)</f>
        <v>10</v>
      </c>
      <c r="Q22" s="175"/>
      <c r="R22" s="175">
        <f>MAX(R17:R21)</f>
        <v>7.9666666666666659</v>
      </c>
      <c r="S22" s="275"/>
      <c r="T22" s="273"/>
      <c r="U22" s="269">
        <f t="shared" si="0"/>
        <v>2.3221757322175733</v>
      </c>
      <c r="V22" s="269">
        <f t="shared" si="1"/>
        <v>1.2552301255230127</v>
      </c>
      <c r="W22" s="427"/>
      <c r="X22" s="427"/>
      <c r="Y22" s="280"/>
      <c r="Z22" s="269"/>
      <c r="AA22" s="269"/>
      <c r="AB22" s="269"/>
      <c r="AC22" s="269"/>
      <c r="AD22" s="269"/>
      <c r="AE22" s="356"/>
      <c r="AF22" s="356"/>
      <c r="AG22" s="356"/>
      <c r="AH22" s="356"/>
      <c r="AI22" s="356"/>
      <c r="AJ22" s="356"/>
      <c r="AK22" s="356"/>
      <c r="AL22" s="356"/>
      <c r="AM22" s="356"/>
      <c r="AN22" s="356"/>
      <c r="AO22" s="356"/>
      <c r="AP22" s="356"/>
      <c r="AQ22" s="356"/>
      <c r="AR22" s="356"/>
      <c r="AS22" s="356"/>
      <c r="AT22" s="356"/>
      <c r="AU22" s="356"/>
      <c r="AV22" s="356"/>
      <c r="AW22" s="356"/>
    </row>
    <row r="23" spans="1:49">
      <c r="A23" s="179">
        <f t="shared" si="2"/>
        <v>15</v>
      </c>
      <c r="B23" s="179" t="str">
        <f>C22</f>
        <v>16T</v>
      </c>
      <c r="C23" s="264" t="s">
        <v>381</v>
      </c>
      <c r="D23" s="264" t="s">
        <v>382</v>
      </c>
      <c r="E23" s="264" t="s">
        <v>377</v>
      </c>
      <c r="F23" s="292"/>
      <c r="G23" s="264"/>
      <c r="H23" s="264">
        <v>16090</v>
      </c>
      <c r="I23" s="264" t="s">
        <v>383</v>
      </c>
      <c r="J23" s="264" t="s">
        <v>384</v>
      </c>
      <c r="K23" s="264">
        <v>118</v>
      </c>
      <c r="L23" s="264">
        <v>310</v>
      </c>
      <c r="M23" s="262"/>
      <c r="N23" s="264">
        <v>18.5</v>
      </c>
      <c r="O23" s="264">
        <v>14.5</v>
      </c>
      <c r="P23" s="264">
        <v>10</v>
      </c>
      <c r="Q23" s="347"/>
      <c r="R23" s="299">
        <f>(N23+O23+P23)/3</f>
        <v>14.333333333333334</v>
      </c>
      <c r="S23" s="324">
        <f>1-(R23/R23)</f>
        <v>0</v>
      </c>
      <c r="T23" s="269"/>
      <c r="U23" s="269">
        <f t="shared" si="0"/>
        <v>1.2906976744186045</v>
      </c>
      <c r="V23" s="269">
        <f t="shared" si="1"/>
        <v>0.69767441860465118</v>
      </c>
      <c r="W23" s="269" t="s">
        <v>345</v>
      </c>
      <c r="X23" s="269" t="s">
        <v>346</v>
      </c>
      <c r="Y23" s="269"/>
      <c r="Z23" s="269"/>
      <c r="AA23" s="269"/>
      <c r="AB23" s="269"/>
      <c r="AC23" s="269"/>
      <c r="AD23" s="269"/>
      <c r="AE23" s="356"/>
      <c r="AF23" s="356"/>
      <c r="AG23" s="356"/>
      <c r="AH23" s="356"/>
      <c r="AI23" s="356"/>
      <c r="AJ23" s="356"/>
      <c r="AK23" s="356"/>
      <c r="AL23" s="356"/>
      <c r="AM23" s="356"/>
      <c r="AN23" s="356"/>
      <c r="AO23" s="356"/>
      <c r="AP23" s="356"/>
      <c r="AQ23" s="356"/>
      <c r="AR23" s="356"/>
      <c r="AS23" s="356"/>
      <c r="AT23" s="356"/>
      <c r="AU23" s="356"/>
      <c r="AV23" s="356"/>
      <c r="AW23" s="356"/>
    </row>
    <row r="24" spans="1:49">
      <c r="A24" s="179">
        <f t="shared" si="2"/>
        <v>16</v>
      </c>
      <c r="B24" s="179" t="str">
        <f>C22</f>
        <v>16T</v>
      </c>
      <c r="C24" s="264" t="s">
        <v>385</v>
      </c>
      <c r="D24" s="264" t="s">
        <v>386</v>
      </c>
      <c r="E24" s="264"/>
      <c r="F24" s="292"/>
      <c r="G24" s="264"/>
      <c r="H24" s="264"/>
      <c r="I24" s="264"/>
      <c r="J24" s="264" t="s">
        <v>368</v>
      </c>
      <c r="K24" s="264"/>
      <c r="L24" s="264">
        <v>290</v>
      </c>
      <c r="M24" s="262"/>
      <c r="N24" s="264">
        <v>13.7</v>
      </c>
      <c r="O24" s="264">
        <v>9.8000000000000007</v>
      </c>
      <c r="P24" s="264">
        <v>5.9</v>
      </c>
      <c r="Q24" s="285"/>
      <c r="R24" s="299">
        <f>(N24+O24+P24)/3</f>
        <v>9.7999999999999989</v>
      </c>
      <c r="S24" s="330">
        <f>1-(R24/R23)</f>
        <v>0.31627906976744191</v>
      </c>
      <c r="T24" s="269"/>
      <c r="U24" s="269">
        <f t="shared" si="0"/>
        <v>1.3979591836734695</v>
      </c>
      <c r="V24" s="269">
        <f t="shared" si="1"/>
        <v>0.60204081632653073</v>
      </c>
      <c r="W24" s="269" t="s">
        <v>345</v>
      </c>
      <c r="X24" s="269" t="s">
        <v>346</v>
      </c>
      <c r="Y24" s="269"/>
      <c r="Z24" s="269"/>
      <c r="AA24" s="269"/>
      <c r="AB24" s="269"/>
      <c r="AC24" s="269"/>
      <c r="AD24" s="269"/>
      <c r="AE24" s="356"/>
      <c r="AF24" s="356"/>
      <c r="AG24" s="356"/>
      <c r="AH24" s="356"/>
      <c r="AI24" s="356"/>
      <c r="AJ24" s="356"/>
      <c r="AK24" s="356"/>
      <c r="AL24" s="356"/>
      <c r="AM24" s="356"/>
      <c r="AN24" s="356"/>
      <c r="AO24" s="356"/>
      <c r="AP24" s="356"/>
      <c r="AQ24" s="356"/>
      <c r="AR24" s="356"/>
      <c r="AS24" s="356"/>
      <c r="AT24" s="356"/>
      <c r="AU24" s="356"/>
      <c r="AV24" s="356"/>
      <c r="AW24" s="356"/>
    </row>
    <row r="25" spans="1:49">
      <c r="A25" s="179">
        <f t="shared" si="2"/>
        <v>17</v>
      </c>
      <c r="B25" s="179" t="str">
        <f>C22</f>
        <v>16T</v>
      </c>
      <c r="C25" s="264" t="s">
        <v>387</v>
      </c>
      <c r="D25" s="264" t="s">
        <v>388</v>
      </c>
      <c r="E25" s="264" t="s">
        <v>377</v>
      </c>
      <c r="F25" s="292"/>
      <c r="G25" s="264"/>
      <c r="H25" s="264"/>
      <c r="I25" s="264" t="s">
        <v>389</v>
      </c>
      <c r="J25" s="264"/>
      <c r="K25" s="264">
        <v>112</v>
      </c>
      <c r="L25" s="264">
        <v>250</v>
      </c>
      <c r="M25" s="262"/>
      <c r="N25" s="264">
        <v>11.95</v>
      </c>
      <c r="O25" s="264">
        <v>10</v>
      </c>
      <c r="P25" s="264">
        <v>8.15</v>
      </c>
      <c r="Q25" s="285"/>
      <c r="R25" s="299">
        <f>(N25+O25+P25)/3</f>
        <v>10.033333333333333</v>
      </c>
      <c r="S25" s="330">
        <f>1-(R25/R23)</f>
        <v>0.30000000000000004</v>
      </c>
      <c r="T25" s="269"/>
      <c r="U25" s="269">
        <f t="shared" si="0"/>
        <v>1.1910299003322258</v>
      </c>
      <c r="V25" s="269">
        <f t="shared" si="1"/>
        <v>0.81229235880398676</v>
      </c>
      <c r="W25" s="429" t="s">
        <v>345</v>
      </c>
      <c r="X25" s="269" t="s">
        <v>379</v>
      </c>
      <c r="Y25" s="269" t="s">
        <v>390</v>
      </c>
      <c r="Z25" s="269"/>
      <c r="AA25" s="269"/>
      <c r="AB25" s="269"/>
      <c r="AC25" s="269"/>
      <c r="AD25" s="269"/>
      <c r="AE25" s="356"/>
      <c r="AF25" s="356"/>
      <c r="AG25" s="356"/>
      <c r="AH25" s="356"/>
      <c r="AI25" s="356"/>
      <c r="AJ25" s="356"/>
      <c r="AK25" s="356"/>
      <c r="AL25" s="356"/>
      <c r="AM25" s="356"/>
      <c r="AN25" s="356"/>
      <c r="AO25" s="356"/>
      <c r="AP25" s="356"/>
      <c r="AQ25" s="356"/>
      <c r="AR25" s="356"/>
      <c r="AS25" s="356"/>
      <c r="AT25" s="356"/>
      <c r="AU25" s="356"/>
      <c r="AV25" s="356"/>
      <c r="AW25" s="356"/>
    </row>
    <row r="26" spans="1:49">
      <c r="A26" s="179">
        <f t="shared" si="2"/>
        <v>0</v>
      </c>
      <c r="C26" s="451" t="s">
        <v>478</v>
      </c>
      <c r="D26" s="275"/>
      <c r="E26" s="275"/>
      <c r="F26" s="275"/>
      <c r="G26" s="275"/>
      <c r="H26" s="275"/>
      <c r="I26" s="275"/>
      <c r="J26" s="275"/>
      <c r="K26" s="275" t="s">
        <v>474</v>
      </c>
      <c r="L26" s="275"/>
      <c r="M26" s="275"/>
      <c r="N26" s="175">
        <f>MAX(N27:N29)</f>
        <v>13.7</v>
      </c>
      <c r="O26" s="175">
        <f>MAX(O27:O29)</f>
        <v>10.5</v>
      </c>
      <c r="P26" s="175">
        <f>MAX(P27:P29)</f>
        <v>8.1999999999999993</v>
      </c>
      <c r="Q26" s="175"/>
      <c r="R26" s="175">
        <f>MAX(R23:R25)</f>
        <v>14.333333333333334</v>
      </c>
      <c r="S26" s="275"/>
      <c r="T26" s="273"/>
      <c r="U26" s="269">
        <f t="shared" si="0"/>
        <v>0.95581395348837206</v>
      </c>
      <c r="V26" s="269">
        <f t="shared" si="1"/>
        <v>0.5720930232558139</v>
      </c>
      <c r="W26" s="428"/>
      <c r="X26" s="428"/>
      <c r="Y26" s="273"/>
      <c r="Z26" s="273"/>
      <c r="AA26" s="273"/>
      <c r="AB26" s="273"/>
      <c r="AC26" s="273"/>
      <c r="AD26" s="280"/>
      <c r="AE26" s="356"/>
      <c r="AF26" s="356"/>
      <c r="AG26" s="356"/>
      <c r="AH26" s="356"/>
      <c r="AI26" s="356"/>
      <c r="AJ26" s="356"/>
      <c r="AK26" s="356"/>
      <c r="AL26" s="356"/>
      <c r="AM26" s="356"/>
      <c r="AN26" s="356"/>
      <c r="AO26" s="356"/>
      <c r="AP26" s="356"/>
      <c r="AQ26" s="356"/>
      <c r="AR26" s="356"/>
      <c r="AS26" s="356"/>
      <c r="AT26" s="356"/>
      <c r="AU26" s="356"/>
      <c r="AV26" s="356"/>
      <c r="AW26" s="356"/>
    </row>
    <row r="27" spans="1:49">
      <c r="A27" s="179">
        <f t="shared" si="2"/>
        <v>18</v>
      </c>
      <c r="B27" s="179" t="str">
        <f>C26</f>
        <v>18T</v>
      </c>
      <c r="C27" s="335" t="s">
        <v>391</v>
      </c>
      <c r="D27" s="335" t="s">
        <v>392</v>
      </c>
      <c r="E27" s="335" t="s">
        <v>377</v>
      </c>
      <c r="F27" s="260"/>
      <c r="G27" s="335"/>
      <c r="H27" s="335"/>
      <c r="I27" s="335" t="s">
        <v>389</v>
      </c>
      <c r="J27" s="335"/>
      <c r="K27" s="335">
        <v>126</v>
      </c>
      <c r="L27" s="335">
        <v>335</v>
      </c>
      <c r="M27" s="262"/>
      <c r="N27" s="335">
        <v>13.2</v>
      </c>
      <c r="O27" s="335">
        <v>10.5</v>
      </c>
      <c r="P27" s="335">
        <v>8.1999999999999993</v>
      </c>
      <c r="Q27" s="347"/>
      <c r="R27" s="318">
        <f>(N27+O27+P27)/3</f>
        <v>10.633333333333333</v>
      </c>
      <c r="S27" s="324">
        <f>1-(R27/R27)</f>
        <v>0</v>
      </c>
      <c r="T27" s="269"/>
      <c r="U27" s="269">
        <f t="shared" si="0"/>
        <v>1.2413793103448276</v>
      </c>
      <c r="V27" s="269">
        <f t="shared" si="1"/>
        <v>0.77115987460815039</v>
      </c>
      <c r="W27" s="429" t="s">
        <v>345</v>
      </c>
      <c r="X27" s="269" t="s">
        <v>379</v>
      </c>
      <c r="Y27" s="269" t="s">
        <v>393</v>
      </c>
      <c r="Z27" s="269"/>
      <c r="AA27" s="269"/>
      <c r="AB27" s="269"/>
      <c r="AC27" s="269"/>
      <c r="AD27" s="269"/>
      <c r="AE27" s="356"/>
      <c r="AF27" s="356"/>
      <c r="AG27" s="356"/>
      <c r="AH27" s="356"/>
      <c r="AI27" s="356"/>
      <c r="AJ27" s="356"/>
      <c r="AK27" s="356"/>
      <c r="AL27" s="356"/>
      <c r="AM27" s="356"/>
      <c r="AN27" s="356"/>
      <c r="AO27" s="356"/>
      <c r="AP27" s="356"/>
      <c r="AQ27" s="356"/>
      <c r="AR27" s="356"/>
      <c r="AS27" s="356"/>
      <c r="AT27" s="356"/>
      <c r="AU27" s="356"/>
      <c r="AV27" s="356"/>
      <c r="AW27" s="356"/>
    </row>
    <row r="28" spans="1:49">
      <c r="A28" s="179">
        <f t="shared" si="2"/>
        <v>19</v>
      </c>
      <c r="B28" s="179" t="str">
        <f>C26</f>
        <v>18T</v>
      </c>
      <c r="C28" s="335" t="s">
        <v>394</v>
      </c>
      <c r="D28" s="335" t="s">
        <v>395</v>
      </c>
      <c r="E28" s="335"/>
      <c r="F28" s="260"/>
      <c r="G28" s="335"/>
      <c r="H28" s="335"/>
      <c r="I28" s="335" t="s">
        <v>396</v>
      </c>
      <c r="J28" s="335"/>
      <c r="K28" s="335">
        <v>122</v>
      </c>
      <c r="L28" s="335">
        <v>293</v>
      </c>
      <c r="M28" s="262"/>
      <c r="N28" s="335"/>
      <c r="O28" s="335"/>
      <c r="P28" s="335"/>
      <c r="Q28" s="347"/>
      <c r="R28" s="318"/>
      <c r="S28" s="324"/>
      <c r="T28" s="269"/>
      <c r="U28" s="269" t="e">
        <f t="shared" si="0"/>
        <v>#DIV/0!</v>
      </c>
      <c r="V28" s="269" t="e">
        <f t="shared" si="1"/>
        <v>#DIV/0!</v>
      </c>
      <c r="W28" s="269"/>
      <c r="X28" s="269"/>
      <c r="Y28" s="269"/>
      <c r="Z28" s="269"/>
      <c r="AA28" s="269"/>
      <c r="AB28" s="269"/>
      <c r="AC28" s="269"/>
      <c r="AD28" s="269"/>
      <c r="AE28" s="356"/>
      <c r="AF28" s="356"/>
      <c r="AG28" s="356"/>
      <c r="AH28" s="356"/>
      <c r="AI28" s="356"/>
      <c r="AJ28" s="356"/>
      <c r="AK28" s="356"/>
      <c r="AL28" s="356"/>
      <c r="AM28" s="356"/>
      <c r="AN28" s="356"/>
      <c r="AO28" s="356"/>
      <c r="AP28" s="356"/>
      <c r="AQ28" s="356"/>
      <c r="AR28" s="356"/>
      <c r="AS28" s="356"/>
      <c r="AT28" s="356"/>
      <c r="AU28" s="356"/>
      <c r="AV28" s="356"/>
      <c r="AW28" s="356"/>
    </row>
    <row r="29" spans="1:49">
      <c r="A29" s="179">
        <f t="shared" si="2"/>
        <v>20</v>
      </c>
      <c r="B29" s="179" t="str">
        <f>C26</f>
        <v>18T</v>
      </c>
      <c r="C29" s="335" t="s">
        <v>397</v>
      </c>
      <c r="D29" s="335" t="s">
        <v>398</v>
      </c>
      <c r="E29" s="335"/>
      <c r="F29" s="260"/>
      <c r="G29" s="335"/>
      <c r="H29" s="335"/>
      <c r="I29" s="335"/>
      <c r="J29" s="335"/>
      <c r="K29" s="335">
        <v>93</v>
      </c>
      <c r="L29" s="335">
        <v>290</v>
      </c>
      <c r="M29" s="262"/>
      <c r="N29" s="335">
        <v>13.7</v>
      </c>
      <c r="O29" s="335">
        <v>9.8000000000000007</v>
      </c>
      <c r="P29" s="335">
        <v>5.9</v>
      </c>
      <c r="Q29" s="285"/>
      <c r="R29" s="318">
        <f>(N29+O29+P29)/3</f>
        <v>9.7999999999999989</v>
      </c>
      <c r="S29" s="330">
        <f>1-(R29/R27)</f>
        <v>7.8369905956112929E-2</v>
      </c>
      <c r="T29" s="269"/>
      <c r="U29" s="269">
        <f t="shared" si="0"/>
        <v>1.3979591836734695</v>
      </c>
      <c r="V29" s="269">
        <f t="shared" si="1"/>
        <v>0.60204081632653073</v>
      </c>
      <c r="W29" s="269" t="s">
        <v>345</v>
      </c>
      <c r="X29" s="269" t="s">
        <v>346</v>
      </c>
      <c r="Y29" s="269"/>
      <c r="Z29" s="269"/>
      <c r="AA29" s="269"/>
      <c r="AB29" s="269"/>
      <c r="AC29" s="269"/>
      <c r="AD29" s="269"/>
      <c r="AE29" s="356"/>
      <c r="AF29" s="356"/>
      <c r="AG29" s="356"/>
      <c r="AH29" s="356"/>
      <c r="AI29" s="356"/>
      <c r="AJ29" s="356"/>
      <c r="AK29" s="356"/>
      <c r="AL29" s="356"/>
      <c r="AM29" s="356"/>
      <c r="AN29" s="356"/>
      <c r="AO29" s="356"/>
      <c r="AP29" s="356"/>
      <c r="AQ29" s="356"/>
      <c r="AR29" s="356"/>
      <c r="AS29" s="356"/>
      <c r="AT29" s="356"/>
      <c r="AU29" s="356"/>
      <c r="AV29" s="356"/>
      <c r="AW29" s="356"/>
    </row>
    <row r="30" spans="1:49">
      <c r="A30" s="179">
        <f t="shared" si="2"/>
        <v>0</v>
      </c>
      <c r="C30" s="451" t="s">
        <v>479</v>
      </c>
      <c r="D30" s="275"/>
      <c r="E30" s="275"/>
      <c r="F30" s="275"/>
      <c r="G30" s="275"/>
      <c r="H30" s="275"/>
      <c r="I30" s="275"/>
      <c r="J30" s="275"/>
      <c r="K30" s="275" t="s">
        <v>474</v>
      </c>
      <c r="L30" s="275"/>
      <c r="M30" s="275"/>
      <c r="N30" s="175">
        <f>MAX(N31:N33)</f>
        <v>16.100000000000001</v>
      </c>
      <c r="O30" s="175">
        <f>MAX(O31:O33)</f>
        <v>12</v>
      </c>
      <c r="P30" s="175">
        <f>MAX(P31:P33)</f>
        <v>6.9</v>
      </c>
      <c r="Q30" s="175"/>
      <c r="R30" s="175">
        <f>MAX(R27:R29)</f>
        <v>10.633333333333333</v>
      </c>
      <c r="S30" s="275"/>
      <c r="T30" s="273"/>
      <c r="U30" s="269">
        <f t="shared" ref="U30:U51" si="4">N30/R30</f>
        <v>1.5141065830721006</v>
      </c>
      <c r="V30" s="269">
        <f t="shared" ref="V30:V51" si="5">P30/R30</f>
        <v>0.64890282131661448</v>
      </c>
      <c r="W30" s="427"/>
      <c r="X30" s="427"/>
      <c r="Y30" s="280"/>
      <c r="Z30" s="269"/>
      <c r="AA30" s="269"/>
      <c r="AB30" s="269"/>
      <c r="AC30" s="269"/>
      <c r="AD30" s="269"/>
      <c r="AE30" s="356"/>
      <c r="AF30" s="356"/>
      <c r="AG30" s="356"/>
      <c r="AH30" s="356"/>
      <c r="AI30" s="356"/>
      <c r="AJ30" s="356"/>
      <c r="AK30" s="356"/>
      <c r="AL30" s="356"/>
      <c r="AM30" s="356"/>
      <c r="AN30" s="356"/>
      <c r="AO30" s="356"/>
      <c r="AP30" s="356"/>
      <c r="AQ30" s="356"/>
      <c r="AR30" s="356"/>
      <c r="AS30" s="356"/>
      <c r="AT30" s="356"/>
      <c r="AU30" s="356"/>
      <c r="AV30" s="356"/>
      <c r="AW30" s="356"/>
    </row>
    <row r="31" spans="1:49">
      <c r="A31" s="179">
        <f t="shared" si="2"/>
        <v>21</v>
      </c>
      <c r="B31" s="179" t="str">
        <f>C30</f>
        <v>20T</v>
      </c>
      <c r="C31" s="345" t="s">
        <v>399</v>
      </c>
      <c r="D31" s="345" t="s">
        <v>400</v>
      </c>
      <c r="E31" s="345" t="s">
        <v>365</v>
      </c>
      <c r="F31" s="329"/>
      <c r="G31" s="345"/>
      <c r="H31" s="345"/>
      <c r="I31" s="345" t="s">
        <v>383</v>
      </c>
      <c r="J31" s="345" t="s">
        <v>368</v>
      </c>
      <c r="K31" s="345">
        <v>114</v>
      </c>
      <c r="L31" s="345">
        <v>410</v>
      </c>
      <c r="M31" s="262"/>
      <c r="N31" s="340">
        <v>16.100000000000001</v>
      </c>
      <c r="O31" s="349">
        <v>12</v>
      </c>
      <c r="P31" s="340">
        <v>6.9</v>
      </c>
      <c r="Q31" s="347"/>
      <c r="R31" s="274">
        <f>(N31+O31+P31)/3</f>
        <v>11.666666666666666</v>
      </c>
      <c r="S31" s="324">
        <f>1-(R31/R31)</f>
        <v>0</v>
      </c>
      <c r="T31" s="305"/>
      <c r="U31" s="269">
        <f t="shared" si="4"/>
        <v>1.3800000000000001</v>
      </c>
      <c r="V31" s="269">
        <f t="shared" si="5"/>
        <v>0.59142857142857153</v>
      </c>
      <c r="W31" s="269" t="s">
        <v>345</v>
      </c>
      <c r="X31" s="269" t="s">
        <v>346</v>
      </c>
      <c r="Y31" s="269" t="s">
        <v>401</v>
      </c>
      <c r="Z31" s="269"/>
      <c r="AA31" s="269"/>
      <c r="AB31" s="269"/>
      <c r="AC31" s="269"/>
      <c r="AD31" s="269"/>
      <c r="AE31" s="356"/>
      <c r="AF31" s="356"/>
      <c r="AG31" s="356"/>
      <c r="AH31" s="356"/>
      <c r="AI31" s="356"/>
      <c r="AJ31" s="356"/>
      <c r="AK31" s="356"/>
      <c r="AL31" s="356"/>
      <c r="AM31" s="356"/>
      <c r="AN31" s="356"/>
      <c r="AO31" s="356"/>
      <c r="AP31" s="356"/>
      <c r="AQ31" s="356"/>
      <c r="AR31" s="356"/>
      <c r="AS31" s="356"/>
      <c r="AT31" s="356"/>
      <c r="AU31" s="356"/>
      <c r="AV31" s="356"/>
      <c r="AW31" s="356"/>
    </row>
    <row r="32" spans="1:49">
      <c r="A32" s="179">
        <f t="shared" si="2"/>
        <v>22</v>
      </c>
      <c r="B32" s="179" t="str">
        <f>C30</f>
        <v>20T</v>
      </c>
      <c r="C32" s="345" t="s">
        <v>402</v>
      </c>
      <c r="D32" s="345" t="s">
        <v>403</v>
      </c>
      <c r="E32" s="345"/>
      <c r="F32" s="329"/>
      <c r="G32" s="345"/>
      <c r="H32" s="345"/>
      <c r="I32" s="345" t="s">
        <v>404</v>
      </c>
      <c r="J32" s="345"/>
      <c r="K32" s="345">
        <v>110</v>
      </c>
      <c r="L32" s="345">
        <v>325</v>
      </c>
      <c r="M32" s="262"/>
      <c r="N32" s="332">
        <v>15.2</v>
      </c>
      <c r="O32" s="349">
        <v>9.5</v>
      </c>
      <c r="P32" s="349">
        <v>6.45</v>
      </c>
      <c r="Q32" s="285"/>
      <c r="R32" s="274">
        <f>(N32+O32+P32)/3</f>
        <v>10.383333333333333</v>
      </c>
      <c r="S32" s="330">
        <f>1-(R32/R31)</f>
        <v>0.10999999999999999</v>
      </c>
      <c r="T32" s="305"/>
      <c r="U32" s="269">
        <f t="shared" si="4"/>
        <v>1.463884430176565</v>
      </c>
      <c r="V32" s="269">
        <f t="shared" si="5"/>
        <v>0.6211878009630819</v>
      </c>
      <c r="W32" s="269"/>
      <c r="X32" s="269"/>
      <c r="Y32" s="269" t="s">
        <v>405</v>
      </c>
      <c r="Z32" s="269"/>
      <c r="AA32" s="269"/>
      <c r="AB32" s="269"/>
      <c r="AC32" s="269"/>
      <c r="AD32" s="269"/>
      <c r="AE32" s="356"/>
      <c r="AF32" s="356"/>
      <c r="AG32" s="356"/>
      <c r="AH32" s="356"/>
      <c r="AI32" s="356"/>
      <c r="AJ32" s="356"/>
      <c r="AK32" s="356"/>
      <c r="AL32" s="356"/>
      <c r="AM32" s="356"/>
      <c r="AN32" s="356"/>
      <c r="AO32" s="356"/>
      <c r="AP32" s="356"/>
      <c r="AQ32" s="356"/>
      <c r="AR32" s="356"/>
      <c r="AS32" s="356"/>
      <c r="AT32" s="356"/>
      <c r="AU32" s="356"/>
      <c r="AV32" s="356"/>
      <c r="AW32" s="356"/>
    </row>
    <row r="33" spans="1:49">
      <c r="A33" s="179">
        <f t="shared" si="2"/>
        <v>23</v>
      </c>
      <c r="B33" s="179" t="str">
        <f>C30</f>
        <v>20T</v>
      </c>
      <c r="C33" s="345" t="s">
        <v>406</v>
      </c>
      <c r="D33" s="345" t="s">
        <v>407</v>
      </c>
      <c r="E33" s="345"/>
      <c r="F33" s="329" t="s">
        <v>332</v>
      </c>
      <c r="G33" s="345" t="s">
        <v>408</v>
      </c>
      <c r="H33" s="345">
        <v>21850</v>
      </c>
      <c r="I33" s="345" t="s">
        <v>409</v>
      </c>
      <c r="J33" s="345" t="s">
        <v>335</v>
      </c>
      <c r="K33" s="345">
        <v>104</v>
      </c>
      <c r="L33" s="345">
        <v>400</v>
      </c>
      <c r="M33" s="262"/>
      <c r="N33" s="340">
        <v>14.2</v>
      </c>
      <c r="O33" s="340">
        <v>8.9</v>
      </c>
      <c r="P33" s="340">
        <v>6</v>
      </c>
      <c r="Q33" s="285"/>
      <c r="R33" s="274">
        <f>(N33+O33+P33)/3</f>
        <v>9.7000000000000011</v>
      </c>
      <c r="S33" s="330">
        <f>1-(R33/R31)</f>
        <v>0.16857142857142848</v>
      </c>
      <c r="T33" s="269" t="s">
        <v>410</v>
      </c>
      <c r="U33" s="269">
        <f t="shared" si="4"/>
        <v>1.4639175257731956</v>
      </c>
      <c r="V33" s="269">
        <f t="shared" si="5"/>
        <v>0.61855670103092775</v>
      </c>
      <c r="W33" s="269" t="s">
        <v>411</v>
      </c>
      <c r="X33" s="269"/>
      <c r="Y33" s="269" t="s">
        <v>412</v>
      </c>
      <c r="Z33" s="269"/>
      <c r="AA33" s="269"/>
      <c r="AB33" s="269"/>
      <c r="AC33" s="269"/>
      <c r="AD33" s="269"/>
      <c r="AE33" s="356"/>
      <c r="AF33" s="356"/>
      <c r="AG33" s="356"/>
      <c r="AH33" s="356"/>
      <c r="AI33" s="356"/>
      <c r="AJ33" s="356"/>
      <c r="AK33" s="356"/>
      <c r="AL33" s="356"/>
      <c r="AM33" s="356"/>
      <c r="AN33" s="356"/>
      <c r="AO33" s="356"/>
      <c r="AP33" s="356"/>
      <c r="AQ33" s="356"/>
      <c r="AR33" s="356"/>
      <c r="AS33" s="356"/>
      <c r="AT33" s="356"/>
      <c r="AU33" s="356"/>
      <c r="AV33" s="356"/>
      <c r="AW33" s="356"/>
    </row>
    <row r="34" spans="1:49">
      <c r="A34" s="179">
        <f t="shared" si="2"/>
        <v>0</v>
      </c>
      <c r="C34" s="452" t="s">
        <v>480</v>
      </c>
      <c r="D34" s="317"/>
      <c r="E34" s="317"/>
      <c r="F34" s="317"/>
      <c r="G34" s="317"/>
      <c r="H34" s="317"/>
      <c r="I34" s="317"/>
      <c r="J34" s="317"/>
      <c r="K34" s="317" t="s">
        <v>474</v>
      </c>
      <c r="L34" s="317"/>
      <c r="M34" s="317"/>
      <c r="N34" s="174">
        <f>MAX(N35:N36)</f>
        <v>17.899999999999999</v>
      </c>
      <c r="O34" s="174">
        <f>MAX(O35:O36)</f>
        <v>14.8</v>
      </c>
      <c r="P34" s="174">
        <f>MAX(P35:P36)</f>
        <v>10.6</v>
      </c>
      <c r="Q34" s="174"/>
      <c r="R34" s="174">
        <f>MAX(R31:R33)</f>
        <v>11.666666666666666</v>
      </c>
      <c r="S34" s="317"/>
      <c r="T34" s="273"/>
      <c r="U34" s="269">
        <f t="shared" si="4"/>
        <v>1.5342857142857143</v>
      </c>
      <c r="V34" s="269">
        <f t="shared" si="5"/>
        <v>0.90857142857142859</v>
      </c>
      <c r="W34" s="427"/>
      <c r="X34" s="427"/>
      <c r="Y34" s="280"/>
      <c r="Z34" s="269"/>
      <c r="AA34" s="269"/>
      <c r="AB34" s="269"/>
      <c r="AC34" s="269"/>
      <c r="AD34" s="269"/>
      <c r="AE34" s="356"/>
      <c r="AF34" s="356"/>
      <c r="AG34" s="356"/>
      <c r="AH34" s="356"/>
      <c r="AI34" s="356"/>
      <c r="AJ34" s="356"/>
      <c r="AK34" s="356"/>
      <c r="AL34" s="356"/>
      <c r="AM34" s="356"/>
      <c r="AN34" s="356"/>
      <c r="AO34" s="356"/>
      <c r="AP34" s="356"/>
      <c r="AQ34" s="356"/>
      <c r="AR34" s="356"/>
      <c r="AS34" s="356"/>
      <c r="AT34" s="356"/>
      <c r="AU34" s="356"/>
      <c r="AV34" s="356"/>
      <c r="AW34" s="356"/>
    </row>
    <row r="35" spans="1:49">
      <c r="A35" s="179">
        <f t="shared" si="2"/>
        <v>24</v>
      </c>
      <c r="B35" s="179" t="str">
        <f>C34</f>
        <v>25T</v>
      </c>
      <c r="C35" s="335" t="s">
        <v>413</v>
      </c>
      <c r="D35" s="335" t="s">
        <v>414</v>
      </c>
      <c r="E35" s="335"/>
      <c r="F35" s="260" t="s">
        <v>332</v>
      </c>
      <c r="G35" s="335" t="s">
        <v>333</v>
      </c>
      <c r="H35" s="335"/>
      <c r="I35" s="300" t="s">
        <v>415</v>
      </c>
      <c r="J35" s="335" t="s">
        <v>384</v>
      </c>
      <c r="K35" s="335">
        <v>118</v>
      </c>
      <c r="L35" s="335">
        <v>320</v>
      </c>
      <c r="M35" s="262"/>
      <c r="N35" s="335">
        <v>15.2</v>
      </c>
      <c r="O35" s="335">
        <v>12.6</v>
      </c>
      <c r="P35" s="335">
        <v>10</v>
      </c>
      <c r="Q35" s="285"/>
      <c r="R35" s="318">
        <v>13</v>
      </c>
      <c r="S35" s="330">
        <f>1-(R35/R36)</f>
        <v>9.9307159353348884E-2</v>
      </c>
      <c r="T35" s="269" t="s">
        <v>416</v>
      </c>
      <c r="U35" s="269">
        <f t="shared" si="4"/>
        <v>1.1692307692307691</v>
      </c>
      <c r="V35" s="269">
        <f t="shared" si="5"/>
        <v>0.76923076923076927</v>
      </c>
      <c r="W35" s="429" t="s">
        <v>345</v>
      </c>
      <c r="X35" s="430" t="s">
        <v>417</v>
      </c>
      <c r="Y35" s="269" t="s">
        <v>418</v>
      </c>
      <c r="Z35" s="269"/>
      <c r="AA35" s="269"/>
      <c r="AB35" s="269"/>
      <c r="AC35" s="269"/>
      <c r="AD35" s="269"/>
      <c r="AE35" s="356" t="s">
        <v>419</v>
      </c>
      <c r="AF35" s="356"/>
      <c r="AG35" s="356"/>
      <c r="AH35" s="356"/>
      <c r="AI35" s="356"/>
      <c r="AJ35" s="356"/>
      <c r="AK35" s="356"/>
      <c r="AL35" s="356"/>
      <c r="AM35" s="356"/>
      <c r="AN35" s="356"/>
      <c r="AO35" s="356"/>
      <c r="AP35" s="356"/>
      <c r="AQ35" s="356"/>
      <c r="AR35" s="356"/>
      <c r="AS35" s="356"/>
      <c r="AT35" s="356"/>
      <c r="AU35" s="356"/>
      <c r="AV35" s="356"/>
      <c r="AW35" s="356"/>
    </row>
    <row r="36" spans="1:49">
      <c r="A36" s="179">
        <f t="shared" si="2"/>
        <v>25</v>
      </c>
      <c r="B36" s="179" t="str">
        <f>C34</f>
        <v>25T</v>
      </c>
      <c r="C36" s="335" t="s">
        <v>420</v>
      </c>
      <c r="D36" s="335" t="s">
        <v>421</v>
      </c>
      <c r="E36" s="335"/>
      <c r="F36" s="260" t="s">
        <v>332</v>
      </c>
      <c r="G36" s="335" t="s">
        <v>333</v>
      </c>
      <c r="H36" s="335">
        <v>24200</v>
      </c>
      <c r="I36" s="300" t="s">
        <v>422</v>
      </c>
      <c r="J36" s="335"/>
      <c r="K36" s="335">
        <v>122</v>
      </c>
      <c r="L36" s="335">
        <v>380</v>
      </c>
      <c r="M36" s="262"/>
      <c r="N36" s="335">
        <v>17.899999999999999</v>
      </c>
      <c r="O36" s="335">
        <v>14.8</v>
      </c>
      <c r="P36" s="335">
        <v>10.6</v>
      </c>
      <c r="Q36" s="285"/>
      <c r="R36" s="318">
        <f>(N36+O36+P36)/3</f>
        <v>14.433333333333335</v>
      </c>
      <c r="S36" s="324">
        <f>1-(R36/R36)</f>
        <v>0</v>
      </c>
      <c r="T36" s="269"/>
      <c r="U36" s="269">
        <f t="shared" si="4"/>
        <v>1.2401847575057734</v>
      </c>
      <c r="V36" s="269">
        <f t="shared" si="5"/>
        <v>0.73441108545034628</v>
      </c>
      <c r="W36" s="429" t="s">
        <v>345</v>
      </c>
      <c r="X36" s="430" t="s">
        <v>417</v>
      </c>
      <c r="Y36" s="269"/>
      <c r="Z36" s="269"/>
      <c r="AA36" s="269"/>
      <c r="AB36" s="269"/>
      <c r="AC36" s="269"/>
      <c r="AD36" s="269"/>
      <c r="AE36" s="356"/>
      <c r="AF36" s="356"/>
      <c r="AG36" s="356"/>
      <c r="AH36" s="356"/>
      <c r="AI36" s="356"/>
      <c r="AJ36" s="356"/>
      <c r="AK36" s="356"/>
      <c r="AL36" s="356"/>
      <c r="AM36" s="356"/>
      <c r="AN36" s="356"/>
      <c r="AO36" s="356"/>
      <c r="AP36" s="356"/>
      <c r="AQ36" s="356"/>
      <c r="AR36" s="356"/>
      <c r="AS36" s="356"/>
      <c r="AT36" s="356"/>
      <c r="AU36" s="356"/>
      <c r="AV36" s="356"/>
      <c r="AW36" s="356"/>
    </row>
    <row r="37" spans="1:49">
      <c r="A37" s="179">
        <f t="shared" si="2"/>
        <v>0</v>
      </c>
      <c r="C37" s="449" t="s">
        <v>481</v>
      </c>
      <c r="D37" s="352"/>
      <c r="E37" s="352"/>
      <c r="F37" s="283"/>
      <c r="G37" s="352"/>
      <c r="H37" s="352"/>
      <c r="I37" s="265"/>
      <c r="J37" s="352"/>
      <c r="K37" s="352" t="s">
        <v>474</v>
      </c>
      <c r="L37" s="278"/>
      <c r="M37" s="275"/>
      <c r="N37" s="175">
        <f>MAX(N38:N39)</f>
        <v>25.6</v>
      </c>
      <c r="O37" s="175">
        <f>MAX(O38:O39)</f>
        <v>18.3</v>
      </c>
      <c r="P37" s="175">
        <f>MAX(P38:P39)</f>
        <v>10.1</v>
      </c>
      <c r="Q37" s="175"/>
      <c r="R37" s="175">
        <f>MAX(R35:R36)</f>
        <v>14.433333333333335</v>
      </c>
      <c r="S37" s="284"/>
      <c r="T37" s="269"/>
      <c r="U37" s="269">
        <f t="shared" si="4"/>
        <v>1.7736720554272516</v>
      </c>
      <c r="V37" s="269">
        <f t="shared" si="5"/>
        <v>0.69976905311778281</v>
      </c>
      <c r="W37" s="269"/>
      <c r="X37" s="269"/>
      <c r="Y37" s="269"/>
      <c r="Z37" s="269"/>
      <c r="AA37" s="269"/>
      <c r="AB37" s="269"/>
      <c r="AC37" s="269"/>
      <c r="AD37" s="269"/>
      <c r="AE37" s="356"/>
      <c r="AF37" s="356"/>
      <c r="AG37" s="356"/>
      <c r="AH37" s="356"/>
      <c r="AI37" s="356"/>
      <c r="AJ37" s="356"/>
      <c r="AK37" s="356"/>
      <c r="AL37" s="356"/>
      <c r="AM37" s="356"/>
      <c r="AN37" s="356"/>
      <c r="AO37" s="356"/>
      <c r="AP37" s="356"/>
      <c r="AQ37" s="356"/>
      <c r="AR37" s="356"/>
      <c r="AS37" s="356"/>
      <c r="AT37" s="356"/>
      <c r="AU37" s="356"/>
      <c r="AV37" s="356"/>
      <c r="AW37" s="356"/>
    </row>
    <row r="38" spans="1:49">
      <c r="A38" s="179">
        <f t="shared" si="2"/>
        <v>26</v>
      </c>
      <c r="B38" s="179" t="str">
        <f>C37</f>
        <v>28T-30T</v>
      </c>
      <c r="C38" s="298" t="s">
        <v>423</v>
      </c>
      <c r="D38" s="298" t="s">
        <v>424</v>
      </c>
      <c r="E38" s="298"/>
      <c r="F38" s="291"/>
      <c r="G38" s="298"/>
      <c r="H38" s="298"/>
      <c r="I38" s="298"/>
      <c r="J38" s="298"/>
      <c r="K38" s="298">
        <v>110</v>
      </c>
      <c r="L38" s="298">
        <v>320</v>
      </c>
      <c r="M38" s="262"/>
      <c r="N38" s="298">
        <v>18</v>
      </c>
      <c r="O38" s="264">
        <v>11.3</v>
      </c>
      <c r="P38" s="298">
        <v>7.7</v>
      </c>
      <c r="Q38" s="285"/>
      <c r="R38" s="299">
        <f>(N38+O38+P38)/3</f>
        <v>12.333333333333334</v>
      </c>
      <c r="S38" s="330">
        <f>1-(R38/R38)</f>
        <v>0</v>
      </c>
      <c r="T38" s="269"/>
      <c r="U38" s="269">
        <f t="shared" si="4"/>
        <v>1.4594594594594594</v>
      </c>
      <c r="V38" s="269">
        <f t="shared" si="5"/>
        <v>0.62432432432432428</v>
      </c>
      <c r="W38" s="269"/>
      <c r="X38" s="269"/>
      <c r="Y38" s="269" t="s">
        <v>425</v>
      </c>
      <c r="Z38" s="269"/>
      <c r="AA38" s="269"/>
      <c r="AB38" s="269"/>
      <c r="AC38" s="269"/>
      <c r="AD38" s="269"/>
      <c r="AE38" s="356"/>
      <c r="AF38" s="356"/>
      <c r="AG38" s="356"/>
      <c r="AH38" s="356"/>
      <c r="AI38" s="356"/>
      <c r="AJ38" s="356"/>
      <c r="AK38" s="356"/>
      <c r="AL38" s="356"/>
      <c r="AM38" s="356"/>
      <c r="AN38" s="356"/>
      <c r="AO38" s="356"/>
      <c r="AP38" s="356"/>
      <c r="AQ38" s="356"/>
      <c r="AR38" s="356"/>
      <c r="AS38" s="356"/>
      <c r="AT38" s="356"/>
      <c r="AU38" s="356"/>
      <c r="AV38" s="356"/>
      <c r="AW38" s="356"/>
    </row>
    <row r="39" spans="1:49">
      <c r="A39" s="179">
        <f t="shared" si="2"/>
        <v>27</v>
      </c>
      <c r="B39" s="179" t="str">
        <f>C37</f>
        <v>28T-30T</v>
      </c>
      <c r="C39" s="298" t="s">
        <v>426</v>
      </c>
      <c r="D39" s="298" t="s">
        <v>427</v>
      </c>
      <c r="E39" s="298"/>
      <c r="F39" s="291" t="s">
        <v>332</v>
      </c>
      <c r="G39" s="298" t="s">
        <v>428</v>
      </c>
      <c r="H39" s="298"/>
      <c r="I39" s="298" t="s">
        <v>429</v>
      </c>
      <c r="J39" s="298" t="s">
        <v>430</v>
      </c>
      <c r="K39" s="298">
        <v>170</v>
      </c>
      <c r="L39" s="298">
        <v>520</v>
      </c>
      <c r="M39" s="262"/>
      <c r="N39" s="298">
        <v>25.6</v>
      </c>
      <c r="O39" s="264">
        <v>18.3</v>
      </c>
      <c r="P39" s="298">
        <v>10.1</v>
      </c>
      <c r="Q39" s="285"/>
      <c r="R39" s="299"/>
      <c r="S39" s="330"/>
      <c r="T39" s="269"/>
      <c r="U39" s="269" t="e">
        <f t="shared" si="4"/>
        <v>#DIV/0!</v>
      </c>
      <c r="V39" s="269" t="e">
        <f t="shared" si="5"/>
        <v>#DIV/0!</v>
      </c>
      <c r="W39" s="269" t="s">
        <v>345</v>
      </c>
      <c r="X39" s="269" t="s">
        <v>346</v>
      </c>
      <c r="Y39" s="269"/>
      <c r="Z39" s="269"/>
      <c r="AA39" s="269"/>
      <c r="AB39" s="269"/>
      <c r="AC39" s="269"/>
      <c r="AD39" s="269"/>
      <c r="AE39" s="356"/>
      <c r="AF39" s="356"/>
      <c r="AG39" s="356"/>
      <c r="AH39" s="356"/>
      <c r="AI39" s="356"/>
      <c r="AJ39" s="356"/>
      <c r="AK39" s="356"/>
      <c r="AL39" s="356"/>
      <c r="AM39" s="356"/>
      <c r="AN39" s="356"/>
      <c r="AO39" s="356"/>
      <c r="AP39" s="356"/>
      <c r="AQ39" s="356"/>
      <c r="AR39" s="356"/>
      <c r="AS39" s="356"/>
      <c r="AT39" s="356"/>
      <c r="AU39" s="356"/>
      <c r="AV39" s="356"/>
      <c r="AW39" s="356"/>
    </row>
    <row r="40" spans="1:49">
      <c r="A40" s="179">
        <f t="shared" si="2"/>
        <v>0</v>
      </c>
      <c r="C40" s="449" t="s">
        <v>482</v>
      </c>
      <c r="D40" s="352"/>
      <c r="E40" s="352"/>
      <c r="F40" s="283"/>
      <c r="G40" s="352"/>
      <c r="H40" s="352"/>
      <c r="I40" s="352"/>
      <c r="J40" s="352"/>
      <c r="K40" s="352" t="s">
        <v>474</v>
      </c>
      <c r="L40" s="278"/>
      <c r="M40" s="275"/>
      <c r="N40" s="175">
        <f>MAX(N41:N41)</f>
        <v>37.799999999999997</v>
      </c>
      <c r="O40" s="175">
        <f>MAX(O41:O41)</f>
        <v>26.8</v>
      </c>
      <c r="P40" s="175">
        <f>MAX(P41:P41)</f>
        <v>17.5</v>
      </c>
      <c r="Q40" s="175"/>
      <c r="R40" s="175">
        <f>MAX(R38:R39)</f>
        <v>12.333333333333334</v>
      </c>
      <c r="S40" s="284"/>
      <c r="T40" s="269"/>
      <c r="U40" s="269">
        <f t="shared" si="4"/>
        <v>3.0648648648648646</v>
      </c>
      <c r="V40" s="269">
        <f t="shared" si="5"/>
        <v>1.4189189189189189</v>
      </c>
      <c r="W40" s="269"/>
      <c r="X40" s="269"/>
      <c r="Y40" s="269"/>
      <c r="Z40" s="269"/>
      <c r="AA40" s="269"/>
      <c r="AB40" s="269"/>
      <c r="AC40" s="269"/>
      <c r="AD40" s="269"/>
      <c r="AE40" s="356"/>
      <c r="AF40" s="356"/>
      <c r="AG40" s="356"/>
      <c r="AH40" s="356"/>
      <c r="AI40" s="356"/>
      <c r="AJ40" s="356"/>
      <c r="AK40" s="356"/>
      <c r="AL40" s="356"/>
      <c r="AM40" s="356"/>
      <c r="AN40" s="356"/>
      <c r="AO40" s="356"/>
      <c r="AP40" s="356"/>
      <c r="AQ40" s="356"/>
      <c r="AR40" s="356"/>
      <c r="AS40" s="356"/>
      <c r="AT40" s="356"/>
      <c r="AU40" s="356"/>
      <c r="AV40" s="356"/>
      <c r="AW40" s="356"/>
    </row>
    <row r="41" spans="1:49">
      <c r="A41" s="179">
        <f t="shared" si="2"/>
        <v>28</v>
      </c>
      <c r="B41" s="179" t="str">
        <f>C40</f>
        <v>35T</v>
      </c>
      <c r="C41" s="351" t="s">
        <v>431</v>
      </c>
      <c r="D41" s="351" t="s">
        <v>432</v>
      </c>
      <c r="E41" s="351" t="s">
        <v>365</v>
      </c>
      <c r="F41" s="333"/>
      <c r="G41" s="351"/>
      <c r="H41" s="351">
        <v>37200</v>
      </c>
      <c r="I41" s="351" t="s">
        <v>433</v>
      </c>
      <c r="J41" s="351"/>
      <c r="K41" s="351">
        <v>230</v>
      </c>
      <c r="L41" s="351">
        <v>620</v>
      </c>
      <c r="M41" s="262"/>
      <c r="N41" s="351">
        <v>37.799999999999997</v>
      </c>
      <c r="O41" s="351">
        <v>26.8</v>
      </c>
      <c r="P41" s="351">
        <v>17.5</v>
      </c>
      <c r="Q41" s="285"/>
      <c r="R41" s="346">
        <f>(N41+O41+P41)/3</f>
        <v>27.366666666666664</v>
      </c>
      <c r="S41" s="330">
        <f>1-(R41/R41)</f>
        <v>0</v>
      </c>
      <c r="T41" s="269"/>
      <c r="U41" s="269">
        <f t="shared" si="4"/>
        <v>1.3812423873325215</v>
      </c>
      <c r="V41" s="269">
        <f t="shared" si="5"/>
        <v>0.63946406820950064</v>
      </c>
      <c r="W41" s="269"/>
      <c r="X41" s="269"/>
      <c r="Y41" s="269"/>
      <c r="Z41" s="269"/>
      <c r="AA41" s="269"/>
      <c r="AB41" s="269"/>
      <c r="AC41" s="269"/>
      <c r="AD41" s="269"/>
      <c r="AE41" s="356"/>
      <c r="AF41" s="356"/>
      <c r="AG41" s="356"/>
      <c r="AH41" s="356"/>
      <c r="AI41" s="356"/>
      <c r="AJ41" s="356"/>
      <c r="AK41" s="356"/>
      <c r="AL41" s="356"/>
      <c r="AM41" s="356"/>
      <c r="AN41" s="356"/>
      <c r="AO41" s="356"/>
      <c r="AP41" s="356"/>
      <c r="AQ41" s="356"/>
      <c r="AR41" s="356"/>
      <c r="AS41" s="356"/>
      <c r="AT41" s="356"/>
      <c r="AU41" s="356"/>
      <c r="AV41" s="356"/>
      <c r="AW41" s="356"/>
    </row>
    <row r="42" spans="1:49">
      <c r="A42" s="179">
        <f t="shared" si="2"/>
        <v>0</v>
      </c>
      <c r="C42" s="453" t="s">
        <v>483</v>
      </c>
      <c r="D42" s="178"/>
      <c r="E42" s="178"/>
      <c r="F42" s="178"/>
      <c r="G42" s="178"/>
      <c r="H42" s="178"/>
      <c r="I42" s="178"/>
      <c r="J42" s="178"/>
      <c r="K42" s="178" t="s">
        <v>474</v>
      </c>
      <c r="L42" s="178"/>
      <c r="M42" s="178"/>
      <c r="N42" s="173">
        <f>MAX(N43:N43)</f>
        <v>33.5</v>
      </c>
      <c r="O42" s="173">
        <f>MAX(O43:O43)</f>
        <v>24</v>
      </c>
      <c r="P42" s="173">
        <f>MAX(P43:P43)</f>
        <v>14.3</v>
      </c>
      <c r="Q42" s="173"/>
      <c r="R42" s="173">
        <f>MAX(R41:R41)</f>
        <v>27.366666666666664</v>
      </c>
      <c r="S42" s="176"/>
      <c r="T42" s="269"/>
      <c r="U42" s="269">
        <f t="shared" si="4"/>
        <v>1.2241169305724728</v>
      </c>
      <c r="V42" s="269">
        <f t="shared" si="5"/>
        <v>0.52253349573690633</v>
      </c>
      <c r="W42" s="269"/>
      <c r="X42" s="269"/>
      <c r="Y42" s="269"/>
      <c r="Z42" s="269"/>
      <c r="AA42" s="269"/>
      <c r="AB42" s="269"/>
      <c r="AC42" s="269"/>
      <c r="AD42" s="269"/>
      <c r="AE42" s="356"/>
      <c r="AF42" s="356"/>
      <c r="AG42" s="356"/>
      <c r="AH42" s="356"/>
      <c r="AI42" s="356"/>
      <c r="AJ42" s="356"/>
      <c r="AK42" s="356"/>
      <c r="AL42" s="356"/>
      <c r="AM42" s="356"/>
      <c r="AN42" s="356"/>
      <c r="AO42" s="356"/>
      <c r="AP42" s="356"/>
      <c r="AQ42" s="356"/>
      <c r="AR42" s="356"/>
      <c r="AS42" s="356"/>
      <c r="AT42" s="356"/>
      <c r="AU42" s="356"/>
      <c r="AV42" s="356"/>
      <c r="AW42" s="356"/>
    </row>
    <row r="43" spans="1:49">
      <c r="A43" s="179">
        <f t="shared" si="2"/>
        <v>29</v>
      </c>
      <c r="B43" s="179" t="str">
        <f>C42</f>
        <v>40T</v>
      </c>
      <c r="C43" s="352" t="s">
        <v>434</v>
      </c>
      <c r="D43" s="352" t="s">
        <v>435</v>
      </c>
      <c r="E43" s="352"/>
      <c r="F43" s="283"/>
      <c r="G43" s="352"/>
      <c r="H43" s="352">
        <v>37200</v>
      </c>
      <c r="I43" s="352" t="s">
        <v>436</v>
      </c>
      <c r="J43" s="352"/>
      <c r="K43" s="352">
        <v>230</v>
      </c>
      <c r="L43" s="352">
        <v>620</v>
      </c>
      <c r="M43" s="262"/>
      <c r="N43" s="352">
        <v>33.5</v>
      </c>
      <c r="O43" s="352">
        <v>24</v>
      </c>
      <c r="P43" s="352">
        <v>14.3</v>
      </c>
      <c r="Q43" s="285"/>
      <c r="R43" s="270">
        <f>(N43+O43+P43)/3</f>
        <v>23.933333333333334</v>
      </c>
      <c r="S43" s="330">
        <f>1-(R43/R45)</f>
        <v>0.22125813449023868</v>
      </c>
      <c r="T43" s="269"/>
      <c r="U43" s="269">
        <f t="shared" si="4"/>
        <v>1.3997214484679665</v>
      </c>
      <c r="V43" s="269">
        <f t="shared" si="5"/>
        <v>0.59749303621169914</v>
      </c>
      <c r="W43" s="269" t="s">
        <v>345</v>
      </c>
      <c r="X43" s="269" t="s">
        <v>346</v>
      </c>
      <c r="Y43" s="269"/>
      <c r="Z43" s="269"/>
      <c r="AA43" s="269"/>
      <c r="AB43" s="269"/>
      <c r="AC43" s="269"/>
      <c r="AD43" s="269"/>
      <c r="AE43" s="356"/>
      <c r="AF43" s="356"/>
      <c r="AG43" s="356"/>
      <c r="AH43" s="356"/>
      <c r="AI43" s="356"/>
      <c r="AJ43" s="356"/>
      <c r="AK43" s="356"/>
      <c r="AL43" s="356"/>
      <c r="AM43" s="356"/>
      <c r="AN43" s="356"/>
      <c r="AO43" s="356"/>
      <c r="AP43" s="356"/>
      <c r="AQ43" s="356"/>
      <c r="AR43" s="356"/>
      <c r="AS43" s="356"/>
      <c r="AT43" s="356"/>
      <c r="AU43" s="356"/>
      <c r="AV43" s="356"/>
      <c r="AW43" s="356"/>
    </row>
    <row r="44" spans="1:49">
      <c r="A44" s="179">
        <f t="shared" si="2"/>
        <v>0</v>
      </c>
      <c r="C44" s="451" t="s">
        <v>484</v>
      </c>
      <c r="D44" s="275"/>
      <c r="E44" s="275"/>
      <c r="F44" s="275"/>
      <c r="G44" s="275"/>
      <c r="H44" s="275"/>
      <c r="I44" s="275"/>
      <c r="J44" s="275"/>
      <c r="K44" s="275" t="s">
        <v>474</v>
      </c>
      <c r="L44" s="275"/>
      <c r="M44" s="275"/>
      <c r="N44" s="175">
        <f>MAX(N45)</f>
        <v>40.200000000000003</v>
      </c>
      <c r="O44" s="175">
        <f>MAX(O45)</f>
        <v>29</v>
      </c>
      <c r="P44" s="175">
        <f>MAX(P45)</f>
        <v>23</v>
      </c>
      <c r="Q44" s="175"/>
      <c r="R44" s="175">
        <f>MAX(R43)</f>
        <v>23.933333333333334</v>
      </c>
      <c r="S44" s="284"/>
      <c r="T44" s="269"/>
      <c r="U44" s="269">
        <f t="shared" si="4"/>
        <v>1.6796657381615601</v>
      </c>
      <c r="V44" s="269">
        <f t="shared" si="5"/>
        <v>0.96100278551532037</v>
      </c>
      <c r="W44" s="269"/>
      <c r="X44" s="269"/>
      <c r="Y44" s="269"/>
      <c r="Z44" s="269"/>
      <c r="AA44" s="269"/>
      <c r="AB44" s="269"/>
      <c r="AC44" s="269"/>
      <c r="AD44" s="269"/>
      <c r="AE44" s="356"/>
      <c r="AF44" s="356"/>
      <c r="AG44" s="356"/>
      <c r="AH44" s="356"/>
      <c r="AI44" s="356"/>
      <c r="AJ44" s="356"/>
      <c r="AK44" s="356"/>
      <c r="AL44" s="356"/>
      <c r="AM44" s="356"/>
      <c r="AN44" s="356"/>
      <c r="AO44" s="356"/>
      <c r="AP44" s="356"/>
      <c r="AQ44" s="356"/>
      <c r="AR44" s="356"/>
      <c r="AS44" s="356"/>
      <c r="AT44" s="356"/>
      <c r="AU44" s="356"/>
      <c r="AV44" s="356"/>
      <c r="AW44" s="356"/>
    </row>
    <row r="45" spans="1:49">
      <c r="A45" s="179">
        <f t="shared" si="2"/>
        <v>30</v>
      </c>
      <c r="B45" s="179" t="str">
        <f>C44</f>
        <v>45T</v>
      </c>
      <c r="C45" s="352" t="s">
        <v>437</v>
      </c>
      <c r="D45" s="352" t="s">
        <v>438</v>
      </c>
      <c r="E45" s="352"/>
      <c r="F45" s="283" t="s">
        <v>332</v>
      </c>
      <c r="G45" s="352" t="s">
        <v>439</v>
      </c>
      <c r="H45" s="352">
        <v>44000</v>
      </c>
      <c r="I45" s="352" t="s">
        <v>440</v>
      </c>
      <c r="J45" s="352"/>
      <c r="K45" s="352">
        <v>246</v>
      </c>
      <c r="L45" s="352">
        <v>650</v>
      </c>
      <c r="M45" s="262"/>
      <c r="N45" s="352">
        <v>40.200000000000003</v>
      </c>
      <c r="O45" s="352">
        <v>29</v>
      </c>
      <c r="P45" s="352">
        <v>23</v>
      </c>
      <c r="Q45" s="285"/>
      <c r="R45" s="270">
        <f>(N45+O45+P45)/3</f>
        <v>30.733333333333334</v>
      </c>
      <c r="S45" s="324">
        <f>1-(R45/R45)</f>
        <v>0</v>
      </c>
      <c r="T45" s="269"/>
      <c r="U45" s="269">
        <f t="shared" si="4"/>
        <v>1.3080260303687636</v>
      </c>
      <c r="V45" s="269">
        <f t="shared" si="5"/>
        <v>0.74837310195227769</v>
      </c>
      <c r="W45" s="269"/>
      <c r="X45" s="269"/>
      <c r="Y45" s="269" t="s">
        <v>441</v>
      </c>
      <c r="Z45" s="269"/>
      <c r="AA45" s="269"/>
      <c r="AB45" s="269"/>
      <c r="AC45" s="269"/>
      <c r="AD45" s="269"/>
      <c r="AE45" s="356"/>
      <c r="AF45" s="356"/>
      <c r="AG45" s="356"/>
      <c r="AH45" s="356"/>
      <c r="AI45" s="356"/>
      <c r="AJ45" s="356"/>
      <c r="AK45" s="356"/>
      <c r="AL45" s="356"/>
      <c r="AM45" s="356"/>
      <c r="AN45" s="356"/>
      <c r="AO45" s="356"/>
      <c r="AP45" s="356"/>
      <c r="AQ45" s="356"/>
      <c r="AR45" s="356"/>
      <c r="AS45" s="356"/>
      <c r="AT45" s="356"/>
      <c r="AU45" s="356"/>
      <c r="AV45" s="356"/>
      <c r="AW45" s="356"/>
    </row>
    <row r="46" spans="1:49">
      <c r="A46" s="179">
        <f t="shared" si="2"/>
        <v>0</v>
      </c>
      <c r="C46" s="453" t="s">
        <v>485</v>
      </c>
      <c r="D46" s="178"/>
      <c r="E46" s="178"/>
      <c r="F46" s="178"/>
      <c r="G46" s="178"/>
      <c r="H46" s="178"/>
      <c r="I46" s="178"/>
      <c r="J46" s="178"/>
      <c r="K46" s="178" t="s">
        <v>474</v>
      </c>
      <c r="L46" s="178"/>
      <c r="M46" s="178"/>
      <c r="N46" s="173">
        <f>MAX(N47:N48)</f>
        <v>53</v>
      </c>
      <c r="O46" s="173">
        <f>MAX(O47:O48)</f>
        <v>38</v>
      </c>
      <c r="P46" s="173">
        <f>MAX(P47:P48)</f>
        <v>22.8</v>
      </c>
      <c r="Q46" s="173"/>
      <c r="R46" s="173">
        <f>MAX(R45)</f>
        <v>30.733333333333334</v>
      </c>
      <c r="S46" s="176"/>
      <c r="T46" s="269"/>
      <c r="U46" s="269">
        <f t="shared" si="4"/>
        <v>1.7245119305856833</v>
      </c>
      <c r="V46" s="269">
        <f t="shared" si="5"/>
        <v>0.74186550976138832</v>
      </c>
      <c r="W46" s="269"/>
      <c r="X46" s="269"/>
      <c r="Y46" s="269"/>
      <c r="Z46" s="269"/>
      <c r="AA46" s="269"/>
      <c r="AB46" s="269"/>
      <c r="AC46" s="269"/>
      <c r="AD46" s="269"/>
      <c r="AE46" s="356"/>
      <c r="AF46" s="356"/>
      <c r="AG46" s="356"/>
      <c r="AH46" s="356"/>
      <c r="AI46" s="356"/>
      <c r="AJ46" s="356"/>
      <c r="AK46" s="356"/>
      <c r="AL46" s="356"/>
      <c r="AM46" s="356"/>
      <c r="AN46" s="356"/>
      <c r="AO46" s="356"/>
      <c r="AP46" s="356"/>
      <c r="AQ46" s="356"/>
      <c r="AR46" s="356"/>
      <c r="AS46" s="356"/>
      <c r="AT46" s="356"/>
      <c r="AU46" s="356"/>
      <c r="AV46" s="356"/>
      <c r="AW46" s="356"/>
    </row>
    <row r="47" spans="1:49">
      <c r="A47" s="179">
        <f t="shared" si="2"/>
        <v>31</v>
      </c>
      <c r="B47" s="179" t="str">
        <f>C46</f>
        <v>49T</v>
      </c>
      <c r="C47" s="337" t="s">
        <v>442</v>
      </c>
      <c r="D47" s="337" t="s">
        <v>443</v>
      </c>
      <c r="E47" s="337"/>
      <c r="F47" s="261" t="s">
        <v>332</v>
      </c>
      <c r="G47" s="337" t="s">
        <v>444</v>
      </c>
      <c r="H47" s="337">
        <v>46700</v>
      </c>
      <c r="I47" s="337" t="s">
        <v>445</v>
      </c>
      <c r="J47" s="337"/>
      <c r="K47" s="337">
        <v>270</v>
      </c>
      <c r="L47" s="337">
        <v>650</v>
      </c>
      <c r="M47" s="262"/>
      <c r="N47" s="337">
        <v>39.9</v>
      </c>
      <c r="O47" s="337">
        <v>28.7</v>
      </c>
      <c r="P47" s="337">
        <v>22.3</v>
      </c>
      <c r="Q47" s="285"/>
      <c r="R47" s="302">
        <f>(N47+O47+P47)/3</f>
        <v>30.299999999999997</v>
      </c>
      <c r="S47" s="330">
        <f>1-(R47/R48)</f>
        <v>0.2012302284710018</v>
      </c>
      <c r="T47" s="269"/>
      <c r="U47" s="269">
        <f t="shared" si="4"/>
        <v>1.3168316831683169</v>
      </c>
      <c r="V47" s="269">
        <f t="shared" si="5"/>
        <v>0.73597359735973611</v>
      </c>
      <c r="W47" s="269"/>
      <c r="X47" s="269"/>
      <c r="Y47" s="269" t="s">
        <v>446</v>
      </c>
      <c r="Z47" s="269"/>
      <c r="AA47" s="269"/>
      <c r="AB47" s="269"/>
      <c r="AC47" s="269"/>
      <c r="AD47" s="269"/>
      <c r="AE47" s="356"/>
      <c r="AF47" s="356"/>
      <c r="AG47" s="356"/>
      <c r="AH47" s="356"/>
      <c r="AI47" s="356"/>
      <c r="AJ47" s="356"/>
      <c r="AK47" s="356"/>
      <c r="AL47" s="356"/>
      <c r="AM47" s="356"/>
      <c r="AN47" s="356"/>
      <c r="AO47" s="356"/>
      <c r="AP47" s="356"/>
      <c r="AQ47" s="356"/>
      <c r="AR47" s="356"/>
      <c r="AS47" s="356"/>
      <c r="AT47" s="356"/>
      <c r="AU47" s="356"/>
      <c r="AV47" s="356"/>
      <c r="AW47" s="356"/>
    </row>
    <row r="48" spans="1:49">
      <c r="A48" s="179">
        <f t="shared" si="2"/>
        <v>32</v>
      </c>
      <c r="B48" s="179" t="str">
        <f>C46</f>
        <v>49T</v>
      </c>
      <c r="C48" s="337" t="s">
        <v>447</v>
      </c>
      <c r="D48" s="337" t="s">
        <v>448</v>
      </c>
      <c r="E48" s="337"/>
      <c r="F48" s="261"/>
      <c r="G48" s="337"/>
      <c r="H48" s="337"/>
      <c r="I48" s="337"/>
      <c r="J48" s="337"/>
      <c r="K48" s="337"/>
      <c r="L48" s="337"/>
      <c r="M48" s="262"/>
      <c r="N48" s="337">
        <v>53</v>
      </c>
      <c r="O48" s="337">
        <v>38</v>
      </c>
      <c r="P48" s="337">
        <v>22.8</v>
      </c>
      <c r="Q48" s="285"/>
      <c r="R48" s="302">
        <f>(N48+O48+P48)/3</f>
        <v>37.93333333333333</v>
      </c>
      <c r="S48" s="324">
        <f>1-(R48/R48)</f>
        <v>0</v>
      </c>
      <c r="T48" s="269"/>
      <c r="U48" s="269">
        <f t="shared" si="4"/>
        <v>1.3971880492091389</v>
      </c>
      <c r="V48" s="269">
        <f t="shared" si="5"/>
        <v>0.60105448154657304</v>
      </c>
      <c r="W48" s="269" t="s">
        <v>345</v>
      </c>
      <c r="X48" s="269" t="s">
        <v>346</v>
      </c>
      <c r="Y48" s="269"/>
      <c r="Z48" s="269"/>
      <c r="AA48" s="269"/>
      <c r="AB48" s="269"/>
      <c r="AC48" s="269"/>
      <c r="AD48" s="269"/>
      <c r="AE48" s="356"/>
      <c r="AF48" s="356"/>
      <c r="AG48" s="356"/>
      <c r="AH48" s="356"/>
      <c r="AI48" s="356"/>
      <c r="AJ48" s="356"/>
      <c r="AK48" s="356"/>
      <c r="AL48" s="356"/>
      <c r="AM48" s="356"/>
      <c r="AN48" s="356"/>
      <c r="AO48" s="356"/>
      <c r="AP48" s="356"/>
      <c r="AQ48" s="356"/>
      <c r="AR48" s="356"/>
      <c r="AS48" s="356"/>
      <c r="AT48" s="356"/>
      <c r="AU48" s="356"/>
      <c r="AV48" s="356"/>
      <c r="AW48" s="356"/>
    </row>
    <row r="49" spans="1:49">
      <c r="A49" s="179">
        <f t="shared" si="2"/>
        <v>0</v>
      </c>
      <c r="C49" s="453" t="s">
        <v>486</v>
      </c>
      <c r="D49" s="178"/>
      <c r="E49" s="178"/>
      <c r="F49" s="178"/>
      <c r="G49" s="178"/>
      <c r="H49" s="178"/>
      <c r="I49" s="178"/>
      <c r="J49" s="178"/>
      <c r="K49" s="178" t="s">
        <v>474</v>
      </c>
      <c r="L49" s="178"/>
      <c r="M49" s="178"/>
      <c r="N49" s="173">
        <f>MAX(N50:N52)</f>
        <v>54.7</v>
      </c>
      <c r="O49" s="173">
        <f>MAX(O50:O52)</f>
        <v>37.9</v>
      </c>
      <c r="P49" s="173">
        <f>MAX(P50:P52)</f>
        <v>29.5</v>
      </c>
      <c r="Q49" s="173"/>
      <c r="R49" s="173">
        <f>MAX(R47:R48)</f>
        <v>37.93333333333333</v>
      </c>
      <c r="S49" s="176"/>
      <c r="T49" s="269"/>
      <c r="U49" s="269">
        <f t="shared" si="4"/>
        <v>1.4420035149384889</v>
      </c>
      <c r="V49" s="269">
        <f t="shared" si="5"/>
        <v>0.77768014059753965</v>
      </c>
      <c r="W49" s="269"/>
      <c r="X49" s="269"/>
      <c r="Y49" s="269"/>
      <c r="Z49" s="269"/>
      <c r="AA49" s="269"/>
      <c r="AB49" s="269"/>
      <c r="AC49" s="269"/>
      <c r="AD49" s="269"/>
      <c r="AE49" s="356"/>
      <c r="AF49" s="356"/>
      <c r="AG49" s="356"/>
      <c r="AH49" s="356"/>
      <c r="AI49" s="356"/>
      <c r="AJ49" s="356"/>
      <c r="AK49" s="356"/>
      <c r="AL49" s="356"/>
      <c r="AM49" s="356"/>
      <c r="AN49" s="356"/>
      <c r="AO49" s="356"/>
      <c r="AP49" s="356"/>
      <c r="AQ49" s="356"/>
      <c r="AR49" s="356"/>
      <c r="AS49" s="356"/>
      <c r="AT49" s="356"/>
      <c r="AU49" s="356"/>
      <c r="AV49" s="356"/>
      <c r="AW49" s="356"/>
    </row>
    <row r="50" spans="1:49">
      <c r="A50" s="179">
        <f t="shared" si="2"/>
        <v>33</v>
      </c>
      <c r="B50" s="179" t="str">
        <f>C49</f>
        <v>80T</v>
      </c>
      <c r="C50" s="308" t="s">
        <v>449</v>
      </c>
      <c r="D50" s="295" t="s">
        <v>450</v>
      </c>
      <c r="E50" s="295" t="s">
        <v>365</v>
      </c>
      <c r="F50" s="358"/>
      <c r="G50" s="295"/>
      <c r="H50" s="295"/>
      <c r="I50" s="295" t="s">
        <v>451</v>
      </c>
      <c r="J50" s="295" t="s">
        <v>452</v>
      </c>
      <c r="K50" s="295">
        <v>208</v>
      </c>
      <c r="L50" s="295">
        <v>620</v>
      </c>
      <c r="M50" s="262"/>
      <c r="N50" s="295">
        <v>27.9</v>
      </c>
      <c r="O50" s="295">
        <v>21.9</v>
      </c>
      <c r="P50" s="295">
        <v>17.899999999999999</v>
      </c>
      <c r="Q50" s="285"/>
      <c r="R50" s="297">
        <f>(N50+O50+P50)/3</f>
        <v>22.566666666666663</v>
      </c>
      <c r="S50" s="330">
        <f>1-(R50/R52)</f>
        <v>0.44553644553644556</v>
      </c>
      <c r="T50" s="269"/>
      <c r="U50" s="269">
        <f t="shared" si="4"/>
        <v>1.2363367799113738</v>
      </c>
      <c r="V50" s="269">
        <f t="shared" si="5"/>
        <v>0.79320531757754809</v>
      </c>
      <c r="W50" s="429" t="s">
        <v>345</v>
      </c>
      <c r="X50" s="269" t="s">
        <v>379</v>
      </c>
      <c r="Y50" s="269" t="s">
        <v>453</v>
      </c>
      <c r="Z50" s="269"/>
      <c r="AA50" s="269"/>
      <c r="AB50" s="269"/>
      <c r="AC50" s="269"/>
      <c r="AD50" s="269"/>
      <c r="AE50" s="356"/>
      <c r="AF50" s="356"/>
      <c r="AG50" s="356"/>
      <c r="AH50" s="356"/>
      <c r="AI50" s="356"/>
      <c r="AJ50" s="356"/>
      <c r="AK50" s="356"/>
      <c r="AL50" s="356"/>
      <c r="AM50" s="356"/>
      <c r="AN50" s="356"/>
      <c r="AO50" s="356"/>
      <c r="AP50" s="356"/>
      <c r="AQ50" s="356"/>
      <c r="AR50" s="356"/>
      <c r="AS50" s="356"/>
      <c r="AT50" s="356"/>
      <c r="AU50" s="356"/>
      <c r="AV50" s="356"/>
      <c r="AW50" s="356"/>
    </row>
    <row r="51" spans="1:49">
      <c r="A51" s="179">
        <f t="shared" si="2"/>
        <v>34</v>
      </c>
      <c r="B51" s="179" t="str">
        <f>C49</f>
        <v>80T</v>
      </c>
      <c r="C51" s="295" t="s">
        <v>454</v>
      </c>
      <c r="D51" s="295" t="s">
        <v>455</v>
      </c>
      <c r="E51" s="295" t="s">
        <v>365</v>
      </c>
      <c r="F51" s="358"/>
      <c r="G51" s="295"/>
      <c r="H51" s="295"/>
      <c r="I51" s="295" t="s">
        <v>451</v>
      </c>
      <c r="J51" s="295" t="s">
        <v>452</v>
      </c>
      <c r="K51" s="295">
        <v>215</v>
      </c>
      <c r="L51" s="295">
        <v>685</v>
      </c>
      <c r="M51" s="262"/>
      <c r="N51" s="295">
        <v>31.3</v>
      </c>
      <c r="O51" s="295">
        <v>25.3</v>
      </c>
      <c r="P51" s="295">
        <v>20.2</v>
      </c>
      <c r="Q51" s="285"/>
      <c r="R51" s="297">
        <f>(N51+O51+P51)/3</f>
        <v>25.599999999999998</v>
      </c>
      <c r="S51" s="330">
        <f>1-(R51/R52)</f>
        <v>0.37100737100737102</v>
      </c>
      <c r="T51" s="269"/>
      <c r="U51" s="269">
        <f t="shared" si="4"/>
        <v>1.2226562500000002</v>
      </c>
      <c r="V51" s="269">
        <f t="shared" si="5"/>
        <v>0.7890625</v>
      </c>
      <c r="W51" s="429" t="s">
        <v>345</v>
      </c>
      <c r="X51" s="269" t="s">
        <v>456</v>
      </c>
      <c r="Y51" s="269" t="s">
        <v>453</v>
      </c>
      <c r="Z51" s="269"/>
      <c r="AA51" s="269"/>
      <c r="AB51" s="269"/>
      <c r="AC51" s="269"/>
      <c r="AD51" s="269"/>
      <c r="AE51" s="356"/>
      <c r="AF51" s="356"/>
      <c r="AG51" s="356"/>
      <c r="AH51" s="356"/>
      <c r="AI51" s="356"/>
      <c r="AJ51" s="356"/>
      <c r="AK51" s="356"/>
      <c r="AL51" s="356"/>
      <c r="AM51" s="356"/>
      <c r="AN51" s="356"/>
      <c r="AO51" s="356"/>
      <c r="AP51" s="356"/>
      <c r="AQ51" s="356"/>
      <c r="AR51" s="356"/>
      <c r="AS51" s="356"/>
      <c r="AT51" s="356"/>
      <c r="AU51" s="356"/>
      <c r="AV51" s="356"/>
      <c r="AW51" s="356"/>
    </row>
    <row r="52" spans="1:49">
      <c r="A52" s="179">
        <f t="shared" si="2"/>
        <v>35</v>
      </c>
      <c r="B52" s="179" t="str">
        <f>C49</f>
        <v>80T</v>
      </c>
      <c r="C52" s="295" t="s">
        <v>457</v>
      </c>
      <c r="D52" s="295" t="s">
        <v>458</v>
      </c>
      <c r="E52" s="295"/>
      <c r="F52" s="358"/>
      <c r="G52" s="295"/>
      <c r="H52" s="295"/>
      <c r="I52" s="295" t="s">
        <v>459</v>
      </c>
      <c r="J52" s="295"/>
      <c r="K52" s="295">
        <v>363</v>
      </c>
      <c r="L52" s="295">
        <v>980</v>
      </c>
      <c r="M52" s="262"/>
      <c r="N52" s="295">
        <v>54.7</v>
      </c>
      <c r="O52" s="295">
        <v>37.9</v>
      </c>
      <c r="P52" s="295">
        <v>29.5</v>
      </c>
      <c r="Q52" s="347"/>
      <c r="R52" s="297">
        <f>(N52+O52+P52)/3</f>
        <v>40.699999999999996</v>
      </c>
      <c r="S52" s="324">
        <f>1-(R52/R52)</f>
        <v>0</v>
      </c>
      <c r="T52" s="269"/>
      <c r="U52" s="269"/>
      <c r="V52" s="269"/>
      <c r="W52" s="269"/>
      <c r="X52" s="269"/>
      <c r="Y52" s="269" t="s">
        <v>460</v>
      </c>
      <c r="Z52" s="269"/>
      <c r="AA52" s="269"/>
      <c r="AB52" s="269"/>
      <c r="AC52" s="269"/>
      <c r="AD52" s="269"/>
      <c r="AE52" s="356"/>
      <c r="AF52" s="356"/>
      <c r="AG52" s="356"/>
      <c r="AH52" s="356"/>
      <c r="AI52" s="356"/>
      <c r="AJ52" s="356"/>
      <c r="AK52" s="356"/>
      <c r="AL52" s="356"/>
      <c r="AM52" s="356"/>
      <c r="AN52" s="356"/>
      <c r="AO52" s="356"/>
      <c r="AP52" s="356"/>
      <c r="AQ52" s="356"/>
      <c r="AR52" s="356"/>
      <c r="AS52" s="356"/>
      <c r="AT52" s="356"/>
      <c r="AU52" s="356"/>
      <c r="AV52" s="356"/>
      <c r="AW52" s="356"/>
    </row>
    <row r="53" spans="1:49">
      <c r="C53" s="355" t="str">
        <f>" "</f>
        <v xml:space="preserve"> </v>
      </c>
      <c r="N53" s="177"/>
      <c r="O53" s="177"/>
      <c r="P53" s="177"/>
      <c r="Q53" s="177"/>
      <c r="R53" s="177">
        <f>MAX(R50:R52)</f>
        <v>40.699999999999996</v>
      </c>
      <c r="S53" s="180"/>
    </row>
    <row r="54" spans="1:49">
      <c r="C54" s="355" t="str">
        <f t="shared" ref="C54:C74" si="6">" "</f>
        <v xml:space="preserve"> </v>
      </c>
    </row>
    <row r="55" spans="1:49">
      <c r="C55" s="355" t="str">
        <f t="shared" si="6"/>
        <v xml:space="preserve"> </v>
      </c>
      <c r="D55" s="417"/>
      <c r="E55" s="448" t="s">
        <v>461</v>
      </c>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row>
    <row r="56" spans="1:49" ht="15" customHeight="1">
      <c r="C56" s="355" t="str">
        <f t="shared" si="6"/>
        <v xml:space="preserve"> </v>
      </c>
      <c r="D56" s="182"/>
      <c r="E56" s="448" t="s">
        <v>462</v>
      </c>
      <c r="F56" s="182"/>
      <c r="G56" s="182"/>
      <c r="H56" s="182"/>
      <c r="I56" s="182"/>
      <c r="J56" s="182"/>
      <c r="K56" s="417"/>
      <c r="L56" s="417"/>
      <c r="M56" s="417"/>
      <c r="N56" s="417"/>
      <c r="O56" s="417"/>
      <c r="P56" s="417"/>
      <c r="Q56" s="417"/>
      <c r="R56" s="417"/>
      <c r="S56" s="417"/>
      <c r="T56" s="417"/>
      <c r="U56" s="417"/>
      <c r="V56" s="417"/>
      <c r="W56" s="417"/>
      <c r="X56" s="417"/>
      <c r="Y56" s="417"/>
      <c r="Z56" s="417"/>
      <c r="AA56" s="417"/>
      <c r="AB56" s="417"/>
      <c r="AC56" s="417"/>
      <c r="AD56" s="417"/>
      <c r="AE56" s="417"/>
      <c r="AF56" s="417"/>
    </row>
    <row r="57" spans="1:49">
      <c r="C57" s="355" t="str">
        <f t="shared" si="6"/>
        <v xml:space="preserve"> </v>
      </c>
      <c r="D57" s="417"/>
      <c r="E57" s="448" t="s">
        <v>463</v>
      </c>
      <c r="F57" s="417"/>
      <c r="G57" s="417"/>
      <c r="H57" s="417"/>
      <c r="I57" s="417"/>
      <c r="J57" s="417"/>
      <c r="K57" s="417"/>
      <c r="L57" s="417"/>
      <c r="M57" s="417"/>
      <c r="N57" s="417"/>
      <c r="O57" s="417"/>
      <c r="P57" s="417"/>
      <c r="Q57" s="417"/>
      <c r="R57" s="417"/>
      <c r="S57" s="417"/>
      <c r="T57" s="417"/>
      <c r="U57" s="417"/>
      <c r="V57" s="417"/>
      <c r="W57" s="417" t="s">
        <v>209</v>
      </c>
      <c r="X57" s="417"/>
      <c r="Y57" s="417"/>
      <c r="Z57" s="417"/>
      <c r="AA57" s="417"/>
      <c r="AB57" s="417"/>
      <c r="AC57" s="417"/>
      <c r="AD57" s="417"/>
      <c r="AE57" s="417"/>
      <c r="AF57" s="417"/>
    </row>
    <row r="58" spans="1:49">
      <c r="C58" s="355" t="str">
        <f t="shared" si="6"/>
        <v xml:space="preserve"> </v>
      </c>
      <c r="D58" s="182"/>
      <c r="E58" s="448" t="s">
        <v>464</v>
      </c>
      <c r="F58" s="182"/>
      <c r="G58" s="182"/>
      <c r="H58" s="182"/>
      <c r="I58" s="182"/>
      <c r="J58" s="182"/>
      <c r="K58" s="417"/>
      <c r="L58" s="417"/>
      <c r="M58" s="417"/>
      <c r="N58" s="417"/>
      <c r="O58" s="417"/>
      <c r="P58" s="417"/>
      <c r="Q58" s="417"/>
      <c r="R58" s="417">
        <v>1</v>
      </c>
      <c r="S58" s="417"/>
      <c r="T58" s="417"/>
      <c r="U58" s="417"/>
      <c r="V58" s="417"/>
      <c r="W58" s="417" t="str">
        <f>C4</f>
        <v>3T</v>
      </c>
      <c r="X58" s="417">
        <f>A5</f>
        <v>1</v>
      </c>
      <c r="Y58" s="417">
        <f>X59-X58</f>
        <v>1</v>
      </c>
      <c r="Z58" s="417"/>
      <c r="AA58" s="417"/>
      <c r="AB58" s="417"/>
      <c r="AC58" s="417"/>
      <c r="AD58" s="417"/>
      <c r="AE58" s="417"/>
      <c r="AF58" s="417"/>
    </row>
    <row r="59" spans="1:49">
      <c r="C59" s="355" t="str">
        <f t="shared" si="6"/>
        <v xml:space="preserve"> </v>
      </c>
      <c r="D59" s="417"/>
      <c r="E59" s="448" t="s">
        <v>465</v>
      </c>
      <c r="F59" s="417"/>
      <c r="G59" s="417"/>
      <c r="H59" s="417"/>
      <c r="I59" s="417"/>
      <c r="J59" s="417"/>
      <c r="K59" s="417"/>
      <c r="L59" s="417"/>
      <c r="M59" s="417"/>
      <c r="N59" s="417"/>
      <c r="O59" s="417"/>
      <c r="P59" s="417"/>
      <c r="Q59" s="417"/>
      <c r="R59" s="417">
        <v>2</v>
      </c>
      <c r="S59" s="417"/>
      <c r="T59" s="417"/>
      <c r="U59" s="417"/>
      <c r="V59" s="417"/>
      <c r="W59" s="417" t="str">
        <f>C6</f>
        <v>5T</v>
      </c>
      <c r="X59" s="417">
        <f>A7</f>
        <v>2</v>
      </c>
      <c r="Y59" s="417">
        <f t="shared" ref="Y59:Y70" si="7">X60-X59</f>
        <v>2</v>
      </c>
      <c r="Z59" s="417"/>
      <c r="AA59" s="417"/>
      <c r="AB59" s="417"/>
      <c r="AC59" s="417"/>
      <c r="AD59" s="417"/>
      <c r="AE59" s="417"/>
      <c r="AF59" s="417"/>
    </row>
    <row r="60" spans="1:49">
      <c r="C60" s="355" t="str">
        <f t="shared" si="6"/>
        <v xml:space="preserve"> </v>
      </c>
      <c r="D60" s="417"/>
      <c r="E60" s="448" t="s">
        <v>466</v>
      </c>
      <c r="F60" s="417"/>
      <c r="G60" s="417"/>
      <c r="H60" s="417"/>
      <c r="I60" s="417"/>
      <c r="J60" s="417"/>
      <c r="K60" s="417"/>
      <c r="L60" s="417"/>
      <c r="M60" s="417"/>
      <c r="N60" s="417"/>
      <c r="O60" s="417"/>
      <c r="P60" s="417"/>
      <c r="Q60" s="417"/>
      <c r="R60" s="417">
        <v>3</v>
      </c>
      <c r="S60" s="417"/>
      <c r="T60" s="417"/>
      <c r="U60" s="417"/>
      <c r="V60" s="417"/>
      <c r="W60" s="417" t="str">
        <f>C9</f>
        <v>6T-8T</v>
      </c>
      <c r="X60" s="417">
        <f>A10</f>
        <v>4</v>
      </c>
      <c r="Y60" s="417">
        <f t="shared" si="7"/>
        <v>6</v>
      </c>
      <c r="Z60" s="417"/>
      <c r="AA60" s="417"/>
      <c r="AB60" s="417"/>
      <c r="AC60" s="417"/>
      <c r="AD60" s="417"/>
      <c r="AE60" s="417"/>
      <c r="AF60" s="417"/>
    </row>
    <row r="61" spans="1:49">
      <c r="C61" s="355" t="str">
        <f t="shared" si="6"/>
        <v xml:space="preserve"> </v>
      </c>
      <c r="D61" s="417"/>
      <c r="E61" s="448" t="s">
        <v>467</v>
      </c>
      <c r="F61" s="417"/>
      <c r="G61" s="417"/>
      <c r="H61" s="417"/>
      <c r="I61" s="417"/>
      <c r="J61" s="417"/>
      <c r="K61" s="417"/>
      <c r="L61" s="417"/>
      <c r="M61" s="417"/>
      <c r="N61" s="417"/>
      <c r="O61" s="417"/>
      <c r="P61" s="417"/>
      <c r="Q61" s="417"/>
      <c r="R61" s="417">
        <v>4</v>
      </c>
      <c r="S61" s="417"/>
      <c r="T61" s="417"/>
      <c r="U61" s="417"/>
      <c r="V61" s="417"/>
      <c r="W61" s="417" t="str">
        <f>C16</f>
        <v>12T</v>
      </c>
      <c r="X61" s="417">
        <f>A17</f>
        <v>10</v>
      </c>
      <c r="Y61" s="417">
        <f t="shared" si="7"/>
        <v>5</v>
      </c>
      <c r="Z61" s="417"/>
      <c r="AA61" s="417"/>
      <c r="AB61" s="417"/>
      <c r="AC61" s="417"/>
      <c r="AD61" s="417"/>
      <c r="AE61" s="417"/>
      <c r="AF61" s="417"/>
    </row>
    <row r="62" spans="1:49">
      <c r="C62" s="355" t="str">
        <f t="shared" si="6"/>
        <v xml:space="preserve"> </v>
      </c>
      <c r="D62" s="417"/>
      <c r="E62" s="448"/>
      <c r="F62" s="417"/>
      <c r="G62" s="417"/>
      <c r="H62" s="417"/>
      <c r="I62" s="417"/>
      <c r="J62" s="417"/>
      <c r="K62" s="417"/>
      <c r="L62" s="417"/>
      <c r="M62" s="417"/>
      <c r="N62" s="417"/>
      <c r="O62" s="417"/>
      <c r="P62" s="417"/>
      <c r="Q62" s="417"/>
      <c r="R62" s="417">
        <v>5</v>
      </c>
      <c r="S62" s="417"/>
      <c r="T62" s="417"/>
      <c r="U62" s="417"/>
      <c r="V62" s="417"/>
      <c r="W62" s="417" t="str">
        <f>C22</f>
        <v>16T</v>
      </c>
      <c r="X62" s="417">
        <f>A23</f>
        <v>15</v>
      </c>
      <c r="Y62" s="417">
        <f t="shared" si="7"/>
        <v>3</v>
      </c>
      <c r="Z62" s="417"/>
      <c r="AA62" s="417"/>
      <c r="AB62" s="417"/>
      <c r="AC62" s="417"/>
      <c r="AD62" s="417"/>
      <c r="AE62" s="417"/>
      <c r="AF62" s="417"/>
    </row>
    <row r="63" spans="1:49">
      <c r="C63" s="355" t="str">
        <f t="shared" si="6"/>
        <v xml:space="preserve"> </v>
      </c>
      <c r="D63" s="417"/>
      <c r="E63" s="448" t="s">
        <v>468</v>
      </c>
      <c r="F63" s="417"/>
      <c r="G63" s="417"/>
      <c r="H63" s="417"/>
      <c r="I63" s="417"/>
      <c r="J63" s="417"/>
      <c r="K63" s="417"/>
      <c r="L63" s="417"/>
      <c r="M63" s="417"/>
      <c r="N63" s="417"/>
      <c r="O63" s="417"/>
      <c r="P63" s="417"/>
      <c r="Q63" s="417"/>
      <c r="R63" s="417">
        <v>6</v>
      </c>
      <c r="S63" s="417"/>
      <c r="T63" s="417"/>
      <c r="U63" s="417"/>
      <c r="V63" s="417"/>
      <c r="W63" s="417" t="str">
        <f>C26</f>
        <v>18T</v>
      </c>
      <c r="X63" s="417">
        <f>A27</f>
        <v>18</v>
      </c>
      <c r="Y63" s="417">
        <f t="shared" si="7"/>
        <v>3</v>
      </c>
      <c r="Z63" s="417"/>
      <c r="AA63" s="417"/>
      <c r="AB63" s="417"/>
      <c r="AC63" s="417"/>
      <c r="AD63" s="417"/>
      <c r="AE63" s="417"/>
      <c r="AF63" s="417"/>
    </row>
    <row r="64" spans="1:49">
      <c r="C64" s="355" t="str">
        <f t="shared" si="6"/>
        <v xml:space="preserve"> </v>
      </c>
      <c r="D64" s="417"/>
      <c r="E64" s="448"/>
      <c r="F64" s="417"/>
      <c r="G64" s="417"/>
      <c r="H64" s="417"/>
      <c r="I64" s="417"/>
      <c r="J64" s="417"/>
      <c r="K64" s="417"/>
      <c r="L64" s="417"/>
      <c r="M64" s="417"/>
      <c r="N64" s="417"/>
      <c r="O64" s="417"/>
      <c r="P64" s="417"/>
      <c r="Q64" s="417"/>
      <c r="R64" s="417">
        <v>7</v>
      </c>
      <c r="S64" s="417"/>
      <c r="T64" s="417"/>
      <c r="U64" s="417"/>
      <c r="V64" s="417"/>
      <c r="W64" s="417" t="str">
        <f>C30</f>
        <v>20T</v>
      </c>
      <c r="X64" s="417">
        <f>A31</f>
        <v>21</v>
      </c>
      <c r="Y64" s="417">
        <f t="shared" si="7"/>
        <v>3</v>
      </c>
      <c r="Z64" s="417"/>
      <c r="AA64" s="417"/>
      <c r="AB64" s="417"/>
      <c r="AC64" s="417"/>
      <c r="AD64" s="417"/>
      <c r="AE64" s="417"/>
      <c r="AF64" s="417"/>
    </row>
    <row r="65" spans="3:32">
      <c r="C65" s="355" t="str">
        <f t="shared" si="6"/>
        <v xml:space="preserve"> </v>
      </c>
      <c r="D65" s="182"/>
      <c r="E65" s="448" t="s">
        <v>469</v>
      </c>
      <c r="F65" s="182"/>
      <c r="G65" s="182"/>
      <c r="H65" s="182"/>
      <c r="I65" s="182"/>
      <c r="J65" s="182"/>
      <c r="K65" s="417"/>
      <c r="L65" s="417"/>
      <c r="M65" s="417"/>
      <c r="N65" s="417"/>
      <c r="O65" s="417"/>
      <c r="P65" s="417"/>
      <c r="Q65" s="417"/>
      <c r="R65" s="417">
        <v>8</v>
      </c>
      <c r="S65" s="417"/>
      <c r="T65" s="417"/>
      <c r="U65" s="417"/>
      <c r="V65" s="417"/>
      <c r="W65" s="417" t="str">
        <f>C34</f>
        <v>25T</v>
      </c>
      <c r="X65" s="417">
        <f>A35</f>
        <v>24</v>
      </c>
      <c r="Y65" s="417">
        <f t="shared" si="7"/>
        <v>2</v>
      </c>
      <c r="Z65" s="417"/>
      <c r="AA65" s="417"/>
      <c r="AB65" s="417"/>
      <c r="AC65" s="417"/>
      <c r="AD65" s="417"/>
      <c r="AE65" s="417"/>
      <c r="AF65" s="417"/>
    </row>
    <row r="66" spans="3:32">
      <c r="C66" s="355" t="str">
        <f t="shared" si="6"/>
        <v xml:space="preserve"> </v>
      </c>
      <c r="D66" s="417"/>
      <c r="E66" s="448"/>
      <c r="F66" s="417"/>
      <c r="G66" s="417"/>
      <c r="H66" s="417"/>
      <c r="I66" s="417"/>
      <c r="J66" s="417"/>
      <c r="K66" s="417"/>
      <c r="L66" s="417"/>
      <c r="M66" s="417"/>
      <c r="N66" s="417"/>
      <c r="O66" s="417"/>
      <c r="P66" s="417"/>
      <c r="Q66" s="417"/>
      <c r="R66" s="417">
        <v>9</v>
      </c>
      <c r="S66" s="417"/>
      <c r="T66" s="417"/>
      <c r="U66" s="417"/>
      <c r="V66" s="417"/>
      <c r="W66" s="417" t="str">
        <f>C37</f>
        <v>28T-30T</v>
      </c>
      <c r="X66" s="417">
        <f>A38</f>
        <v>26</v>
      </c>
      <c r="Y66" s="417">
        <f t="shared" si="7"/>
        <v>2</v>
      </c>
      <c r="Z66" s="417"/>
      <c r="AA66" s="417"/>
      <c r="AB66" s="417"/>
      <c r="AC66" s="417"/>
      <c r="AD66" s="417"/>
      <c r="AE66" s="417"/>
      <c r="AF66" s="417"/>
    </row>
    <row r="67" spans="3:32">
      <c r="C67" s="355" t="str">
        <f t="shared" si="6"/>
        <v xml:space="preserve"> </v>
      </c>
      <c r="D67" s="417"/>
      <c r="E67" s="448"/>
      <c r="F67" s="417"/>
      <c r="G67" s="417"/>
      <c r="H67" s="417"/>
      <c r="I67" s="417"/>
      <c r="J67" s="417"/>
      <c r="K67" s="417"/>
      <c r="L67" s="417"/>
      <c r="M67" s="417"/>
      <c r="N67" s="417"/>
      <c r="O67" s="417"/>
      <c r="P67" s="417"/>
      <c r="Q67" s="417"/>
      <c r="R67" s="417">
        <v>10</v>
      </c>
      <c r="S67" s="417"/>
      <c r="T67" s="417"/>
      <c r="U67" s="417"/>
      <c r="V67" s="417"/>
      <c r="W67" s="417" t="str">
        <f>C40</f>
        <v>35T</v>
      </c>
      <c r="X67" s="417">
        <f>A41</f>
        <v>28</v>
      </c>
      <c r="Y67" s="417">
        <f t="shared" si="7"/>
        <v>1</v>
      </c>
      <c r="Z67" s="417"/>
      <c r="AA67" s="417"/>
      <c r="AB67" s="417"/>
      <c r="AC67" s="417"/>
      <c r="AD67" s="417"/>
      <c r="AE67" s="417"/>
      <c r="AF67" s="417"/>
    </row>
    <row r="68" spans="3:32">
      <c r="C68" s="355" t="str">
        <f t="shared" si="6"/>
        <v xml:space="preserve"> </v>
      </c>
      <c r="D68" s="417"/>
      <c r="E68" s="448" t="s">
        <v>470</v>
      </c>
      <c r="F68" s="417"/>
      <c r="G68" s="417"/>
      <c r="H68" s="417"/>
      <c r="I68" s="417"/>
      <c r="J68" s="417"/>
      <c r="K68" s="417"/>
      <c r="L68" s="417"/>
      <c r="M68" s="417"/>
      <c r="N68" s="417"/>
      <c r="O68" s="417"/>
      <c r="P68" s="417"/>
      <c r="Q68" s="417"/>
      <c r="R68" s="417">
        <v>11</v>
      </c>
      <c r="S68" s="417"/>
      <c r="T68" s="417"/>
      <c r="U68" s="417"/>
      <c r="V68" s="417"/>
      <c r="W68" s="417" t="str">
        <f>C42</f>
        <v>40T</v>
      </c>
      <c r="X68" s="417">
        <f>A43</f>
        <v>29</v>
      </c>
      <c r="Y68" s="417">
        <f t="shared" si="7"/>
        <v>1</v>
      </c>
      <c r="Z68" s="417"/>
      <c r="AA68" s="417"/>
      <c r="AB68" s="417"/>
      <c r="AC68" s="417"/>
      <c r="AD68" s="417"/>
      <c r="AE68" s="417"/>
      <c r="AF68" s="417"/>
    </row>
    <row r="69" spans="3:32">
      <c r="C69" s="355" t="str">
        <f t="shared" si="6"/>
        <v xml:space="preserve"> </v>
      </c>
      <c r="D69" s="182"/>
      <c r="E69" s="448" t="s">
        <v>471</v>
      </c>
      <c r="F69" s="182"/>
      <c r="G69" s="182"/>
      <c r="H69" s="182"/>
      <c r="I69" s="182"/>
      <c r="J69" s="182"/>
      <c r="K69" s="182"/>
      <c r="L69" s="182"/>
      <c r="M69" s="417"/>
      <c r="N69" s="417"/>
      <c r="O69" s="417"/>
      <c r="P69" s="417"/>
      <c r="Q69" s="417"/>
      <c r="R69" s="417">
        <v>12</v>
      </c>
      <c r="S69" s="417"/>
      <c r="T69" s="417"/>
      <c r="U69" s="417"/>
      <c r="V69" s="417"/>
      <c r="W69" s="417" t="str">
        <f>C44</f>
        <v>45T</v>
      </c>
      <c r="X69" s="417">
        <f>A45</f>
        <v>30</v>
      </c>
      <c r="Y69" s="417">
        <f t="shared" si="7"/>
        <v>1</v>
      </c>
      <c r="Z69" s="417"/>
      <c r="AA69" s="417"/>
      <c r="AB69" s="417"/>
      <c r="AC69" s="417"/>
      <c r="AD69" s="417"/>
      <c r="AE69" s="417"/>
      <c r="AF69" s="417"/>
    </row>
    <row r="70" spans="3:32">
      <c r="C70" s="355" t="str">
        <f t="shared" si="6"/>
        <v xml:space="preserve"> </v>
      </c>
      <c r="D70" s="417"/>
      <c r="E70" s="448" t="s">
        <v>472</v>
      </c>
      <c r="F70" s="417"/>
      <c r="G70" s="417"/>
      <c r="H70" s="417"/>
      <c r="I70" s="417"/>
      <c r="J70" s="417"/>
      <c r="K70" s="417"/>
      <c r="L70" s="417"/>
      <c r="M70" s="417"/>
      <c r="N70" s="417"/>
      <c r="O70" s="417"/>
      <c r="P70" s="417"/>
      <c r="Q70" s="417"/>
      <c r="R70" s="417">
        <v>13</v>
      </c>
      <c r="S70" s="417"/>
      <c r="T70" s="181"/>
      <c r="U70" s="181"/>
      <c r="V70" s="181"/>
      <c r="W70" s="181" t="str">
        <f>C46</f>
        <v>49T</v>
      </c>
      <c r="X70" s="181">
        <f>A47</f>
        <v>31</v>
      </c>
      <c r="Y70" s="417">
        <f t="shared" si="7"/>
        <v>2</v>
      </c>
      <c r="Z70" s="181"/>
      <c r="AA70" s="417"/>
      <c r="AB70" s="417"/>
      <c r="AC70" s="417"/>
      <c r="AD70" s="417"/>
      <c r="AE70" s="417"/>
      <c r="AF70" s="417"/>
    </row>
    <row r="71" spans="3:32">
      <c r="C71" s="355" t="str">
        <f t="shared" si="6"/>
        <v xml:space="preserve"> </v>
      </c>
      <c r="D71" s="417"/>
      <c r="E71" s="448"/>
      <c r="F71" s="417"/>
      <c r="G71" s="417"/>
      <c r="H71" s="417"/>
      <c r="I71" s="417"/>
      <c r="J71" s="417"/>
      <c r="K71" s="417"/>
      <c r="L71" s="417"/>
      <c r="M71" s="417"/>
      <c r="N71" s="417"/>
      <c r="O71" s="417"/>
      <c r="P71" s="417"/>
      <c r="Q71" s="417"/>
      <c r="R71" s="417">
        <v>14</v>
      </c>
      <c r="S71" s="417"/>
      <c r="T71" s="417"/>
      <c r="U71" s="417"/>
      <c r="V71" s="417"/>
      <c r="W71" s="417" t="str">
        <f>C49</f>
        <v>80T</v>
      </c>
      <c r="X71" s="417">
        <f>A50</f>
        <v>33</v>
      </c>
      <c r="Y71" s="417">
        <v>3</v>
      </c>
      <c r="Z71" s="417"/>
      <c r="AA71" s="417"/>
      <c r="AB71" s="417"/>
      <c r="AC71" s="417"/>
      <c r="AD71" s="417"/>
      <c r="AE71" s="417"/>
      <c r="AF71" s="417"/>
    </row>
    <row r="72" spans="3:32">
      <c r="C72" s="355" t="str">
        <f t="shared" si="6"/>
        <v xml:space="preserve"> </v>
      </c>
      <c r="D72" s="417"/>
      <c r="E72" s="448"/>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row>
    <row r="73" spans="3:32">
      <c r="C73" s="355" t="str">
        <f t="shared" si="6"/>
        <v xml:space="preserve"> </v>
      </c>
      <c r="D73" s="417"/>
      <c r="E73" s="448"/>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row>
    <row r="74" spans="3:32">
      <c r="C74" s="355" t="str">
        <f t="shared" si="6"/>
        <v xml:space="preserve"> </v>
      </c>
      <c r="D74" s="417"/>
      <c r="E74" s="448" t="s">
        <v>473</v>
      </c>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row>
  </sheetData>
  <hyperlinks>
    <hyperlink ref="W35" display="http://directorates.crossrail.co.uk/sites/Technical/SandC/Environment/Energy/Forms/AllItems.aspx?RootFolder=%2Fsites%2FTechnical%2FSandC%2FEnvironment%2FEnergy%2FPlant%20Equipment%20information&amp;FolderCTID=0x012000AD56E73FD1EB4E4A8F503AB31C1D527B&amp;View=%7b7"/>
    <hyperlink ref="W36" display="http://directorates.crossrail.co.uk/sites/Technical/SandC/Environment/Energy/Forms/AllItems.aspx?RootFolder=%2Fsites%2FTechnical%2FSandC%2FEnvironment%2FEnergy%2FPlant%20Equipment%20information&amp;FolderCTID=0x012000AD56E73FD1EB4E4A8F503AB31C1D527B&amp;View=%7b7"/>
    <hyperlink ref="W21" display="http://directorates.crossrail.co.uk/sites/Technical/SandC/Environment/Energy/Forms/AllItems.aspx?RootFolder=%2Fsites%2FTechnical%2FSandC%2FEnvironment%2FEnergy%2FPlant%20Equipment%20information&amp;FolderCTID=0x012000AD56E73FD1EB4E4A8F503AB31C1D527B&amp;View=%7b7"/>
    <hyperlink ref="W25" display="http://directorates.crossrail.co.uk/sites/Technical/SandC/Environment/Energy/Forms/AllItems.aspx?RootFolder=%2Fsites%2FTechnical%2FSandC%2FEnvironment%2FEnergy%2FPlant%20Equipment%20information&amp;FolderCTID=0x012000AD56E73FD1EB4E4A8F503AB31C1D527B&amp;View=%7b7"/>
    <hyperlink ref="W27" display="http://directorates.crossrail.co.uk/sites/Technical/SandC/Environment/Energy/Forms/AllItems.aspx?RootFolder=%2Fsites%2FTechnical%2FSandC%2FEnvironment%2FEnergy%2FPlant%20Equipment%20information&amp;FolderCTID=0x012000AD56E73FD1EB4E4A8F503AB31C1D527B&amp;View=%7b7"/>
    <hyperlink ref="W50" display="http://directorates.crossrail.co.uk/sites/Technical/SandC/Environment/Energy/Forms/AllItems.aspx?RootFolder=%2Fsites%2FTechnical%2FSandC%2FEnvironment%2FEnergy%2FPlant%20Equipment%20information&amp;FolderCTID=0x012000AD56E73FD1EB4E4A8F503AB31C1D527B&amp;View=%7b7"/>
    <hyperlink ref="W51" display="http://directorates.crossrail.co.uk/sites/Technical/SandC/Environment/Energy/Forms/AllItems.aspx?RootFolder=%2Fsites%2FTechnical%2FSandC%2FEnvironment%2FEnergy%2FPlant%20Equipment%20information&amp;FolderCTID=0x012000AD56E73FD1EB4E4A8F503AB31C1D527B&amp;View=%7b7"/>
  </hyperlinks>
  <pageMargins left="0.7" right="0.7" top="0.75" bottom="0.75" header="0.3" footer="0.3"/>
  <pageSetup paperSize="8" scale="75" fitToWidth="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M49"/>
  <sheetViews>
    <sheetView topLeftCell="A16" zoomScale="85" zoomScaleNormal="85" workbookViewId="0">
      <selection activeCell="C35" sqref="C35:G35"/>
    </sheetView>
  </sheetViews>
  <sheetFormatPr defaultRowHeight="14.25"/>
  <cols>
    <col min="1" max="1" width="25.42578125" style="28" customWidth="1"/>
    <col min="2" max="2" width="26.85546875" style="28" customWidth="1"/>
    <col min="3" max="3" width="22" style="28" bestFit="1" customWidth="1"/>
    <col min="4" max="5" width="14" style="28" customWidth="1"/>
    <col min="6" max="6" width="42.85546875" style="28" customWidth="1"/>
    <col min="7" max="7" width="13.7109375" style="28" customWidth="1"/>
    <col min="8" max="8" width="20.7109375" style="28" customWidth="1"/>
    <col min="9" max="10" width="22.7109375" style="28" customWidth="1"/>
    <col min="11" max="49" width="20.7109375" style="28" customWidth="1"/>
    <col min="50" max="16384" width="9.140625" style="28"/>
  </cols>
  <sheetData>
    <row r="1" spans="1:10" ht="20.100000000000001" customHeight="1">
      <c r="A1" s="486" t="s">
        <v>136</v>
      </c>
    </row>
    <row r="2" spans="1:10" ht="20.100000000000001" customHeight="1"/>
    <row r="3" spans="1:10" ht="20.100000000000001" customHeight="1"/>
    <row r="4" spans="1:10" ht="20.100000000000001" customHeight="1"/>
    <row r="5" spans="1:10" ht="20.100000000000001" customHeight="1"/>
    <row r="6" spans="1:10" ht="20.100000000000001" customHeight="1"/>
    <row r="7" spans="1:10" ht="20.100000000000001" customHeight="1"/>
    <row r="8" spans="1:10" ht="20.100000000000001" customHeight="1"/>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c r="I14" s="163"/>
      <c r="J14" s="163"/>
    </row>
    <row r="15" spans="1:10" ht="20.100000000000001" customHeight="1"/>
    <row r="16" spans="1:10" ht="20.100000000000001" customHeight="1">
      <c r="I16" s="163"/>
      <c r="J16" s="163"/>
    </row>
    <row r="17" spans="1:13" ht="63.75" customHeight="1"/>
    <row r="18" spans="1:13" s="86" customFormat="1" ht="19.5" customHeight="1">
      <c r="A18" s="87"/>
      <c r="B18" s="886" t="s">
        <v>965</v>
      </c>
      <c r="C18" s="887"/>
      <c r="D18" s="887"/>
      <c r="E18" s="887"/>
      <c r="F18" s="887"/>
      <c r="G18" s="888"/>
      <c r="H18" s="127" t="s">
        <v>281</v>
      </c>
    </row>
    <row r="19" spans="1:13" s="86" customFormat="1" ht="19.5" customHeight="1">
      <c r="A19" s="87"/>
      <c r="B19" s="889"/>
      <c r="C19" s="890"/>
      <c r="D19" s="890"/>
      <c r="E19" s="890"/>
      <c r="F19" s="890"/>
      <c r="G19" s="891"/>
      <c r="H19" s="127"/>
    </row>
    <row r="20" spans="1:13" s="86" customFormat="1" ht="15.75">
      <c r="A20" s="87"/>
      <c r="B20" s="892"/>
      <c r="C20" s="893"/>
      <c r="D20" s="893"/>
      <c r="E20" s="893"/>
      <c r="F20" s="893"/>
      <c r="G20" s="894"/>
      <c r="H20" s="127"/>
      <c r="I20" s="127" t="s">
        <v>291</v>
      </c>
      <c r="J20" s="127"/>
    </row>
    <row r="21" spans="1:13" s="86" customFormat="1" ht="19.5" customHeight="1">
      <c r="A21" s="87"/>
      <c r="B21" s="87"/>
      <c r="C21" s="87"/>
      <c r="D21" s="87"/>
      <c r="E21" s="87"/>
      <c r="F21" s="87"/>
      <c r="H21" s="127"/>
    </row>
    <row r="22" spans="1:13" s="86" customFormat="1" ht="48.75" customHeight="1">
      <c r="A22" s="97" t="s">
        <v>239</v>
      </c>
      <c r="B22" s="535" t="s">
        <v>240</v>
      </c>
      <c r="C22" s="98" t="s">
        <v>238</v>
      </c>
      <c r="D22" s="98" t="s">
        <v>245</v>
      </c>
      <c r="E22" s="98" t="s">
        <v>246</v>
      </c>
      <c r="F22" s="515" t="s">
        <v>244</v>
      </c>
      <c r="G22" s="117" t="s">
        <v>256</v>
      </c>
      <c r="H22" s="154" t="s">
        <v>282</v>
      </c>
      <c r="I22" s="98" t="s">
        <v>280</v>
      </c>
      <c r="M22" s="127"/>
    </row>
    <row r="23" spans="1:13" s="86" customFormat="1" ht="30" customHeight="1">
      <c r="A23" s="537" t="s">
        <v>200</v>
      </c>
      <c r="B23" s="534" t="s">
        <v>870</v>
      </c>
      <c r="C23" s="897" t="s">
        <v>254</v>
      </c>
      <c r="D23" s="898"/>
      <c r="E23" s="899"/>
      <c r="F23" s="526" t="str">
        <f>IF(Report!M10,"Energy Reduction Initiatives","NONE")</f>
        <v>Energy Reduction Initiatives</v>
      </c>
      <c r="G23" s="900" t="s">
        <v>254</v>
      </c>
      <c r="H23" s="901"/>
      <c r="I23" s="533" t="str">
        <f>IF(Report!$M$10=0,"EMPTY","COMPLETE")</f>
        <v>COMPLETE</v>
      </c>
      <c r="J23" s="91"/>
      <c r="K23" s="91"/>
      <c r="L23" s="91"/>
      <c r="M23" s="127"/>
    </row>
    <row r="24" spans="1:13" s="86" customFormat="1" ht="20.100000000000001" customHeight="1">
      <c r="A24" s="99" t="s">
        <v>226</v>
      </c>
      <c r="B24" s="536" t="s">
        <v>226</v>
      </c>
      <c r="C24" s="166">
        <f>SUM('Fuel Equipment'!B47:S47)</f>
        <v>0.13242157435490348</v>
      </c>
      <c r="D24" s="165">
        <f>SUM('Fuel Equipment'!B73:S73)</f>
        <v>4</v>
      </c>
      <c r="E24" s="165">
        <f>SUM('Fuel Equipment'!B74:S74)</f>
        <v>4</v>
      </c>
      <c r="F24" s="169" t="str">
        <f>IF(D24=E24,"NONE",IF('Fuel Equipment'!B75=1,'Fuel Equipment'!B15,IF('Fuel Equipment'!C75=1,'Fuel Equipment'!C15,IF('Fuel Equipment'!D75=1,'Fuel Equipment'!D15,IF('Fuel Equipment'!E75=1,'Fuel Equipment'!E15,IF('Fuel Equipment'!F75=1,'Fuel Equipment'!F15,IF('Fuel Equipment'!G75=1,'Fuel Equipment'!G15,IF('Fuel Equipment'!H75=1,'Fuel Equipment'!H15,IF('Fuel Equipment'!I75=1,'Fuel Equipment'!I15,IF('Fuel Equipment'!J75=1,'Fuel Equipment'!J15,IF('Fuel Equipment'!K75=1,'Fuel Equipment'!K15,IF('Fuel Equipment'!L75=1,'Fuel Equipment'!L15,IF('Fuel Equipment'!M75=1,'Fuel Equipment'!M15,IF('Fuel Equipment'!N75=1,'Fuel Equipment'!N15,IF('Fuel Equipment'!O75=1,'Fuel Equipment'!O15,IF('Fuel Equipment'!P75=1,'Fuel Equipment'!P15,IF('Fuel Equipment'!Q75=1,'Fuel Equipment'!Q15,IF('Fuel Equipment'!R75=1,'Fuel Equipment'!R15,IF('Fuel Equipment'!S75=1,'Fuel Equipment'!S15,IF(SUM('Fuel Equipment'!B88:B89)&gt;0,"Author/Date",IF('Fuel Equipment'!B90&gt;0,"Tank Data Incomplete","ERROR")))))))))))))))))))))</f>
        <v>NONE</v>
      </c>
      <c r="G24" s="165">
        <f>SUM('Fuel Equipment'!B88:B90)+SUM('Fuel Equipment'!B81:S86)</f>
        <v>0</v>
      </c>
      <c r="H24" s="170"/>
      <c r="I24" s="616" t="str">
        <f>IF(AND(AND(D24=0,E24=0),G24=0),IF(H24=$H$18,"EMPTY BUT COMPLETE","EMPTY"),IF(AND(F24="NONE",G24=0),"COMPLETE","INCOMPLETE"))</f>
        <v>COMPLETE</v>
      </c>
      <c r="J24" s="656"/>
      <c r="K24" s="656"/>
      <c r="L24" s="656"/>
      <c r="M24" s="127">
        <f>IF(AND(G24=0,AND(D24=0,E24=0)),0,1)</f>
        <v>1</v>
      </c>
    </row>
    <row r="25" spans="1:13" s="86" customFormat="1" ht="15.75">
      <c r="A25" s="99" t="s">
        <v>227</v>
      </c>
      <c r="B25" s="94" t="s">
        <v>227</v>
      </c>
      <c r="C25" s="166">
        <f>SUM('Efficient Site Offices'!B144:F144)</f>
        <v>1.3001123435784624E-2</v>
      </c>
      <c r="D25" s="165">
        <f>SUM('Efficient Site Offices'!B154:F154)</f>
        <v>4</v>
      </c>
      <c r="E25" s="165">
        <f>SUM('Efficient Site Offices'!B155:F155)</f>
        <v>4</v>
      </c>
      <c r="F25" s="169" t="str">
        <f>IF(D25=E25,"NONE",IF('Efficient Site Offices'!B156=1,'Efficient Site Offices'!B10,IF('Efficient Site Offices'!C156=1,'Efficient Site Offices'!C10,IF('Efficient Site Offices'!D156=1,'Efficient Site Offices'!D10,IF('Efficient Site Offices'!E156=1,'Efficient Site Offices'!E10,IF('Efficient Site Offices'!F156=1,'Efficient Site Offices'!F10,"Author/Date"))))))</f>
        <v>NONE</v>
      </c>
      <c r="G25" s="165">
        <f>SUM('Efficient Site Offices'!B159:B160)+SUM('Efficient Site Offices'!B162:F253)</f>
        <v>0</v>
      </c>
      <c r="H25" s="170" t="s">
        <v>281</v>
      </c>
      <c r="I25" s="616" t="str">
        <f t="shared" ref="I25:I29" si="0">IF(AND(AND(D25=0,E25=0),G25=0),IF(H25=$H$18,"EMPTY BUT COMPLETE","EMPTY"),IF(AND(F25="NONE",G25=0),"COMPLETE","INCOMPLETE"))</f>
        <v>COMPLETE</v>
      </c>
      <c r="J25" s="656"/>
      <c r="K25" s="656"/>
      <c r="L25" s="656"/>
      <c r="M25" s="127">
        <f t="shared" ref="M25:M36" si="1">IF(AND(G25=0,AND(D25=0,E25=0)),0,1)</f>
        <v>1</v>
      </c>
    </row>
    <row r="26" spans="1:13" s="86" customFormat="1" ht="31.5">
      <c r="A26" s="559" t="s">
        <v>228</v>
      </c>
      <c r="B26" s="564" t="s">
        <v>228</v>
      </c>
      <c r="C26" s="166">
        <f>SUM('Power Factor Correction'!B51:F51)</f>
        <v>0</v>
      </c>
      <c r="D26" s="165">
        <f>SUM('Power Factor Correction'!B59:F59)</f>
        <v>0</v>
      </c>
      <c r="E26" s="165">
        <f>'Power Factor Correction'!B60:F60</f>
        <v>0</v>
      </c>
      <c r="F26" s="169" t="str">
        <f>IF(D26=E26,"NONE",IF('Power Factor Correction'!B61=1,'Power Factor Correction'!B10,IF('Power Factor Correction'!C61=1,'Power Factor Correction'!C10,IF('Power Factor Correction'!D61=1,'Power Factor Correction'!D10,IF('Power Factor Correction'!E61=1,'Power Factor Correction'!E10,IF('Power Factor Correction'!F61=1,'Power Factor Correction'!F10,"Author/Date"))))))</f>
        <v>NONE</v>
      </c>
      <c r="G26" s="165">
        <f>SUM('Power Factor Correction'!B65:F67)+SUM('Power Factor Correction'!B69:B70)</f>
        <v>0</v>
      </c>
      <c r="H26" s="170" t="s">
        <v>281</v>
      </c>
      <c r="I26" s="616" t="str">
        <f t="shared" si="0"/>
        <v>EMPTY BUT COMPLETE</v>
      </c>
      <c r="J26" s="656"/>
      <c r="K26" s="656"/>
      <c r="L26" s="656"/>
      <c r="M26" s="127">
        <f t="shared" si="1"/>
        <v>0</v>
      </c>
    </row>
    <row r="27" spans="1:13" s="86" customFormat="1" ht="30">
      <c r="A27" s="881" t="s">
        <v>229</v>
      </c>
      <c r="B27" s="94" t="s">
        <v>180</v>
      </c>
      <c r="C27" s="166">
        <f>SUM(Lighting!B24:F24)</f>
        <v>0</v>
      </c>
      <c r="D27" s="165">
        <f>SUM(Lighting!B71:F71)</f>
        <v>0</v>
      </c>
      <c r="E27" s="165">
        <f>SUM(Lighting!B72:F72)</f>
        <v>0</v>
      </c>
      <c r="F27" s="169" t="str">
        <f>IF(D27=E27,"NONE",IF(Lighting!B73=1,Lighting!B11,IF(Lighting!C73=1,Lighting!C11,IF(Lighting!D73=1,Lighting!D11,IF(Lighting!E73=1,Lighting!E11,IF(Lighting!F73=1,Lighting!F11,"Author/Date"))))))</f>
        <v>NONE</v>
      </c>
      <c r="G27" s="165">
        <f>SUM(Lighting!B76:F78)+SUM(Lighting!B80:B81)</f>
        <v>0</v>
      </c>
      <c r="H27" s="170" t="s">
        <v>281</v>
      </c>
      <c r="I27" s="616" t="str">
        <f t="shared" si="0"/>
        <v>EMPTY BUT COMPLETE</v>
      </c>
      <c r="J27" s="656"/>
      <c r="K27" s="656"/>
      <c r="L27" s="656"/>
      <c r="M27" s="127">
        <f t="shared" si="1"/>
        <v>0</v>
      </c>
    </row>
    <row r="28" spans="1:13" s="86" customFormat="1" ht="15">
      <c r="A28" s="882"/>
      <c r="B28" s="94" t="s">
        <v>206</v>
      </c>
      <c r="C28" s="166">
        <f>SUM(Lighting!B38:F38)</f>
        <v>1.3223677205677386E-2</v>
      </c>
      <c r="D28" s="165">
        <f>SUM(Lighting!B88:F88)</f>
        <v>2</v>
      </c>
      <c r="E28" s="165">
        <f>SUM(Lighting!B89:F89)</f>
        <v>2</v>
      </c>
      <c r="F28" s="169" t="str">
        <f>IF(D28=E28,"NONE",IF(Lighting!B90=1,Lighting!B28,IF(Lighting!C90=1,Lighting!C28,IF(Lighting!D90=1,Lighting!D28,IF(Lighting!E90=1,Lighting!E28,IF(Lighting!F90=1,Lighting!F28,"Author/Date"))))))</f>
        <v>NONE</v>
      </c>
      <c r="G28" s="165">
        <f>SUM(Lighting!B94:F97)+SUM(Lighting!B99:B100)</f>
        <v>0</v>
      </c>
      <c r="H28" s="170" t="s">
        <v>281</v>
      </c>
      <c r="I28" s="616" t="str">
        <f t="shared" si="0"/>
        <v>COMPLETE</v>
      </c>
      <c r="J28" s="656"/>
      <c r="K28" s="656"/>
      <c r="L28" s="656"/>
      <c r="M28" s="127">
        <f t="shared" si="1"/>
        <v>1</v>
      </c>
    </row>
    <row r="29" spans="1:13" s="86" customFormat="1" ht="15">
      <c r="A29" s="883"/>
      <c r="B29" s="94" t="s">
        <v>188</v>
      </c>
      <c r="C29" s="166">
        <f>SUM(Lighting!B54:F54)</f>
        <v>2.7797571515523891E-2</v>
      </c>
      <c r="D29" s="165">
        <f>SUM(Lighting!B109:F109)</f>
        <v>1</v>
      </c>
      <c r="E29" s="165">
        <f>SUM(Lighting!B110:F110)</f>
        <v>1</v>
      </c>
      <c r="F29" s="169" t="str">
        <f>IF(D29=E29,"NONE",IF(Lighting!B111=1,Lighting!B42,IF(Lighting!C111=1,Lighting!C42,IF(Lighting!D111=1,Lighting!D42,IF(Lighting!E111=1,Lighting!E42,IF(Lighting!F111=1,Lighting!F42,"Author/Date"))))))</f>
        <v>NONE</v>
      </c>
      <c r="G29" s="165">
        <f>SUM(Lighting!B115:F119)+SUM(Lighting!B121:B122)</f>
        <v>0</v>
      </c>
      <c r="H29" s="170" t="s">
        <v>281</v>
      </c>
      <c r="I29" s="616" t="str">
        <f t="shared" si="0"/>
        <v>COMPLETE</v>
      </c>
      <c r="J29" s="656"/>
      <c r="K29" s="656"/>
      <c r="L29" s="656"/>
      <c r="M29" s="127">
        <f t="shared" si="1"/>
        <v>1</v>
      </c>
    </row>
    <row r="30" spans="1:13" s="86" customFormat="1" ht="20.100000000000001" customHeight="1">
      <c r="A30" s="884" t="s">
        <v>230</v>
      </c>
      <c r="B30" s="94" t="s">
        <v>142</v>
      </c>
      <c r="C30" s="166">
        <f>SUM(Behaviours!B29:D29)</f>
        <v>1.2669938914911343E-2</v>
      </c>
      <c r="D30" s="165">
        <f>SUM(Behaviours!$B$44:$D$44)</f>
        <v>1</v>
      </c>
      <c r="E30" s="165">
        <f>SUM(Behaviours!$B$44:$D$44)</f>
        <v>1</v>
      </c>
      <c r="F30" s="169" t="s">
        <v>254</v>
      </c>
      <c r="G30" s="165">
        <f>SUM(Behaviours!I14:J14,Behaviours!I19:J19,Behaviours!I24:J24)</f>
        <v>0</v>
      </c>
      <c r="H30" s="170"/>
      <c r="I30" s="616" t="str">
        <f>IF(AND(AND(D30=0,E30=0),G30=0),IF(H30=$H$18,"EMPTY BUT COMPLETE","EMPTY"),IF(G30=0,"COMPLETE","INCOMPLETE"))</f>
        <v>COMPLETE</v>
      </c>
      <c r="J30" s="656"/>
      <c r="K30" s="656"/>
      <c r="L30" s="656"/>
      <c r="M30" s="127">
        <f>IF(AND(D30=0,E30=0),0,1)</f>
        <v>1</v>
      </c>
    </row>
    <row r="31" spans="1:13" s="86" customFormat="1" ht="30">
      <c r="A31" s="885"/>
      <c r="B31" s="100" t="s">
        <v>875</v>
      </c>
      <c r="C31" s="166">
        <f>SUM(Behaviours!B40:G40)</f>
        <v>0</v>
      </c>
      <c r="D31" s="165">
        <f>SUM(Behaviours!$B$46:$G$46)</f>
        <v>0</v>
      </c>
      <c r="E31" s="165">
        <f>SUM(Behaviours!$B$46:$G$46)</f>
        <v>0</v>
      </c>
      <c r="F31" s="169" t="s">
        <v>254</v>
      </c>
      <c r="G31" s="165" t="s">
        <v>254</v>
      </c>
      <c r="H31" s="170" t="s">
        <v>281</v>
      </c>
      <c r="I31" s="616" t="str">
        <f>IF(D31=0,IF(H31=H18,"EMPTY BUT COMPLETE","EMPTY"),IF(D31&lt;E31,"INCOMPLETE","COMPLETE"))</f>
        <v>EMPTY BUT COMPLETE</v>
      </c>
      <c r="J31" s="656"/>
      <c r="K31" s="656"/>
      <c r="L31" s="656"/>
      <c r="M31" s="127">
        <f>IF(AND(D31=0,E31=0),0,1)</f>
        <v>0</v>
      </c>
    </row>
    <row r="32" spans="1:13" ht="33" customHeight="1">
      <c r="A32" s="99" t="s">
        <v>288</v>
      </c>
      <c r="B32" s="94" t="s">
        <v>284</v>
      </c>
      <c r="C32" s="166">
        <f>SUM('Additional Initiatives'!B138:F138)</f>
        <v>0</v>
      </c>
      <c r="D32" s="165">
        <f>SUM('Additional Initiatives'!B147:F147)</f>
        <v>0</v>
      </c>
      <c r="E32" s="165">
        <f>SUM('Additional Initiatives'!B148:F148)</f>
        <v>0</v>
      </c>
      <c r="F32" s="165" t="str">
        <f>IF(D32=E32,"NONE",IF('Additional Initiatives'!B149=1,'Additional Initiatives'!B11,IF('Additional Initiatives'!C149=1,'Additional Initiatives'!C11,IF('Additional Initiatives'!D149=1,'Additional Initiatives'!D11,IF('Additional Initiatives'!E149=1,'Additional Initiatives'!E11,IF('Additional Initiatives'!F149=1,'Additional Initiatives'!F11,"Author/Date"))))))</f>
        <v>NONE</v>
      </c>
      <c r="G32" s="165">
        <f>SUM('Additional Initiatives'!B153:F155)+SUM('Additional Initiatives'!B157:B158)</f>
        <v>0</v>
      </c>
      <c r="H32" s="170" t="s">
        <v>281</v>
      </c>
      <c r="I32" s="616" t="str">
        <f>IF(AND(AND(D32=0,E32=0),G32=0),IF(H32=$H$18,"EMPTY BUT COMPLETE","EMPTY"),IF(AND(F32="NONE",G32=0),"COMPLETE","INCOMPLETE"))</f>
        <v>EMPTY BUT COMPLETE</v>
      </c>
      <c r="J32" s="669"/>
      <c r="K32" s="669"/>
      <c r="L32" s="669"/>
      <c r="M32" s="127">
        <f t="shared" si="1"/>
        <v>0</v>
      </c>
    </row>
    <row r="33" spans="1:13" ht="15.75">
      <c r="A33" s="686" t="s">
        <v>1021</v>
      </c>
      <c r="B33" s="687" t="s">
        <v>1022</v>
      </c>
      <c r="C33" s="688">
        <f>IFERROR(Report!$K$8*VLOOKUP(Report!$C$6,'Actual-CO2 Calculations'!$A$1:$BF$121,'Actual-CO2 Calculations'!$BF$1,FALSE)/VLOOKUP(Report!$C$6,'Actual-CO2 Calculations'!$A$5:$O$121,'Actual-CO2 Calculations'!$O$1,FALSE),0)</f>
        <v>0</v>
      </c>
      <c r="D33" s="902" t="str">
        <f>IF('Efficient Site Offices'!J152&gt;0,"Efficient Site Office is on green, but no actual green consumption",
IF(Lighting!J67&gt;0,"Lighting is on green, but no actual green consumption",
IF('Data Entry Electricity'!C1&lt;&gt;"","Please refer to Data Entry Electricity tab cell C1",
IF(AND('Efficient Site Offices'!J154=1,Lighting!J69=1),"None of the initiatives refer to the actual green electricity consumed","N/A"))))</f>
        <v>N/A</v>
      </c>
      <c r="E33" s="903"/>
      <c r="F33" s="903"/>
      <c r="G33" s="904"/>
      <c r="H33" s="734"/>
      <c r="I33" s="689" t="str">
        <f>IF(OR('Efficient Site Offices'!J152&gt;0,Lighting!J67&gt;0,'Data Entry Electricity'!C1&lt;&gt;"",AND('Efficient Site Offices'!J154=1,Lighting!J69=1)),"INCOMPLETE","COMPLETE")</f>
        <v>COMPLETE</v>
      </c>
      <c r="J33" s="669"/>
      <c r="K33" s="669"/>
      <c r="L33" s="669"/>
      <c r="M33" s="127"/>
    </row>
    <row r="34" spans="1:13" ht="15.75">
      <c r="A34" s="686" t="s">
        <v>1102</v>
      </c>
      <c r="B34" s="687" t="s">
        <v>1103</v>
      </c>
      <c r="C34" s="688">
        <f>IFERROR(Report!$K$8*VLOOKUP(Report!$C$6,'Actual-CO2 Calculations'!$A$1:$BF$121,'Actual-CO2 Calculations'!$AS$1,FALSE)/VLOOKUP(Report!$C$6,'Actual-CO2 Calculations'!$A$5:$O$121,'Actual-CO2 Calculations'!$O$1,FALSE),0)</f>
        <v>0</v>
      </c>
      <c r="D34" s="902" t="s">
        <v>254</v>
      </c>
      <c r="E34" s="903"/>
      <c r="F34" s="903"/>
      <c r="G34" s="905"/>
      <c r="H34" s="734"/>
      <c r="I34" s="1"/>
      <c r="J34" s="669"/>
      <c r="K34" s="669"/>
      <c r="L34" s="669"/>
      <c r="M34" s="127"/>
    </row>
    <row r="35" spans="1:13" ht="15.75">
      <c r="A35" s="488" t="s">
        <v>818</v>
      </c>
      <c r="B35" s="489" t="s">
        <v>779</v>
      </c>
      <c r="C35" s="895" t="s">
        <v>254</v>
      </c>
      <c r="D35" s="896"/>
      <c r="E35" s="896"/>
      <c r="F35" s="896"/>
      <c r="G35" s="896"/>
      <c r="H35" s="490" t="s">
        <v>281</v>
      </c>
      <c r="I35" s="616" t="str">
        <f>IF('Scope 3 Transport'!H28&gt;0,"COMPLETE",IF('Savings Calculator'!H35='Savings Calculator'!H18,"EMPTY BUT COMPLETE","EMPTY"))</f>
        <v>COMPLETE</v>
      </c>
      <c r="J35" s="657"/>
      <c r="K35" s="657"/>
      <c r="L35" s="657"/>
      <c r="M35" s="127">
        <f t="shared" si="1"/>
        <v>0</v>
      </c>
    </row>
    <row r="36" spans="1:13" ht="15.75">
      <c r="A36" s="488" t="s">
        <v>819</v>
      </c>
      <c r="B36" s="489" t="s">
        <v>820</v>
      </c>
      <c r="C36" s="895" t="s">
        <v>254</v>
      </c>
      <c r="D36" s="896"/>
      <c r="E36" s="896"/>
      <c r="F36" s="896"/>
      <c r="G36" s="896"/>
      <c r="H36" s="490" t="s">
        <v>281</v>
      </c>
      <c r="I36" s="533" t="str">
        <f>IF('Scope 3 Embodied'!$C$28&gt;0,"COMPLETE",IF('Savings Calculator'!H36='Savings Calculator'!H18,"EMPTY BUT COMPLETE","EMPTY"))</f>
        <v>COMPLETE</v>
      </c>
      <c r="J36" s="657"/>
      <c r="K36" s="657"/>
      <c r="L36" s="657"/>
      <c r="M36" s="127">
        <f t="shared" si="1"/>
        <v>0</v>
      </c>
    </row>
    <row r="37" spans="1:13" ht="15">
      <c r="I37" s="487"/>
    </row>
    <row r="38" spans="1:13" ht="15">
      <c r="G38" s="566"/>
      <c r="J38" s="86"/>
    </row>
    <row r="39" spans="1:13" ht="15">
      <c r="J39" s="91"/>
    </row>
    <row r="40" spans="1:13" ht="15">
      <c r="J40" s="656"/>
    </row>
    <row r="41" spans="1:13" ht="15">
      <c r="J41" s="656"/>
    </row>
    <row r="42" spans="1:13" ht="15">
      <c r="J42" s="656"/>
    </row>
    <row r="43" spans="1:13" ht="15">
      <c r="J43" s="656"/>
    </row>
    <row r="44" spans="1:13" ht="15">
      <c r="J44" s="656"/>
    </row>
    <row r="45" spans="1:13" ht="15">
      <c r="J45" s="656"/>
    </row>
    <row r="46" spans="1:13" ht="15">
      <c r="J46" s="656"/>
    </row>
    <row r="47" spans="1:13">
      <c r="B47" s="737"/>
    </row>
    <row r="49" spans="2:2" ht="39.75" customHeight="1">
      <c r="B49" s="730"/>
    </row>
  </sheetData>
  <dataConsolidate/>
  <mergeCells count="9">
    <mergeCell ref="A27:A29"/>
    <mergeCell ref="A30:A31"/>
    <mergeCell ref="B18:G20"/>
    <mergeCell ref="C35:G35"/>
    <mergeCell ref="C36:G36"/>
    <mergeCell ref="C23:E23"/>
    <mergeCell ref="G23:H23"/>
    <mergeCell ref="D33:G33"/>
    <mergeCell ref="D34:G34"/>
  </mergeCells>
  <conditionalFormatting sqref="H24:H32 H35:H36">
    <cfRule type="expression" dxfId="88" priority="9">
      <formula>$M24=1</formula>
    </cfRule>
  </conditionalFormatting>
  <conditionalFormatting sqref="I24:I37">
    <cfRule type="expression" dxfId="87" priority="5">
      <formula>$I24="INCOMPLETE"</formula>
    </cfRule>
    <cfRule type="expression" dxfId="86" priority="6">
      <formula>$I24="EMPTY BUT COMPLETE"</formula>
    </cfRule>
    <cfRule type="expression" dxfId="85" priority="7">
      <formula>$I24="COMPLETE"</formula>
    </cfRule>
    <cfRule type="expression" dxfId="84" priority="8">
      <formula>$I24="EMPTY"</formula>
    </cfRule>
  </conditionalFormatting>
  <conditionalFormatting sqref="H35:H36">
    <cfRule type="expression" dxfId="83" priority="3">
      <formula>$I35="COMPLETE"</formula>
    </cfRule>
  </conditionalFormatting>
  <conditionalFormatting sqref="I23">
    <cfRule type="expression" dxfId="82" priority="2">
      <formula>$I23="EMPTY"</formula>
    </cfRule>
  </conditionalFormatting>
  <conditionalFormatting sqref="I23">
    <cfRule type="expression" dxfId="81" priority="1">
      <formula>$I23="COMPLETE"</formula>
    </cfRule>
  </conditionalFormatting>
  <dataValidations count="1">
    <dataValidation type="list" allowBlank="1" showInputMessage="1" showErrorMessage="1" sqref="H24:H36">
      <formula1>$H$18</formula1>
    </dataValidation>
  </dataValidations>
  <pageMargins left="0.7" right="0.7" top="0.75" bottom="0.75" header="0.3" footer="0.3"/>
  <pageSetup paperSize="8" scale="17" orientation="landscape" verticalDpi="4"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169"/>
  <sheetViews>
    <sheetView topLeftCell="G1" zoomScaleNormal="100" workbookViewId="0">
      <selection activeCell="G1" sqref="G1"/>
    </sheetView>
  </sheetViews>
  <sheetFormatPr defaultRowHeight="15"/>
  <cols>
    <col min="1" max="2" width="9.140625" style="179"/>
    <col min="3" max="3" width="32.85546875" style="179" customWidth="1"/>
    <col min="4" max="4" width="20.5703125" style="179" bestFit="1" customWidth="1"/>
    <col min="5" max="5" width="3.7109375" style="179" customWidth="1"/>
    <col min="6" max="6" width="8.42578125" style="179" customWidth="1"/>
    <col min="7" max="7" width="20.5703125" style="179" customWidth="1"/>
    <col min="8" max="8" width="2.28515625" style="179" customWidth="1"/>
    <col min="9" max="9" width="11.5703125" style="179" customWidth="1"/>
    <col min="10" max="10" width="11.7109375" style="179" customWidth="1"/>
    <col min="11" max="12" width="11.5703125" style="179" customWidth="1"/>
    <col min="13" max="16" width="9" style="179" customWidth="1"/>
    <col min="17" max="17" width="9.140625" style="179" customWidth="1"/>
    <col min="18" max="239" width="9.140625" style="179"/>
    <col min="240" max="240" width="14.42578125" style="179" customWidth="1"/>
    <col min="241" max="241" width="20.5703125" style="179" bestFit="1" customWidth="1"/>
    <col min="242" max="242" width="3.7109375" style="179" customWidth="1"/>
    <col min="243" max="243" width="8.42578125" style="179" customWidth="1"/>
    <col min="244" max="244" width="20.5703125" style="179" customWidth="1"/>
    <col min="245" max="269" width="0" style="179" hidden="1" customWidth="1"/>
    <col min="270" max="270" width="1.7109375" style="179" customWidth="1"/>
    <col min="271" max="272" width="9" style="179" customWidth="1"/>
    <col min="273" max="273" width="9.140625" style="179" customWidth="1"/>
    <col min="274" max="495" width="9.140625" style="179"/>
    <col min="496" max="496" width="14.42578125" style="179" customWidth="1"/>
    <col min="497" max="497" width="20.5703125" style="179" bestFit="1" customWidth="1"/>
    <col min="498" max="498" width="3.7109375" style="179" customWidth="1"/>
    <col min="499" max="499" width="8.42578125" style="179" customWidth="1"/>
    <col min="500" max="500" width="20.5703125" style="179" customWidth="1"/>
    <col min="501" max="525" width="0" style="179" hidden="1" customWidth="1"/>
    <col min="526" max="526" width="1.7109375" style="179" customWidth="1"/>
    <col min="527" max="528" width="9" style="179" customWidth="1"/>
    <col min="529" max="529" width="9.140625" style="179" customWidth="1"/>
    <col min="530" max="751" width="9.140625" style="179"/>
    <col min="752" max="752" width="14.42578125" style="179" customWidth="1"/>
    <col min="753" max="753" width="20.5703125" style="179" bestFit="1" customWidth="1"/>
    <col min="754" max="754" width="3.7109375" style="179" customWidth="1"/>
    <col min="755" max="755" width="8.42578125" style="179" customWidth="1"/>
    <col min="756" max="756" width="20.5703125" style="179" customWidth="1"/>
    <col min="757" max="781" width="0" style="179" hidden="1" customWidth="1"/>
    <col min="782" max="782" width="1.7109375" style="179" customWidth="1"/>
    <col min="783" max="784" width="9" style="179" customWidth="1"/>
    <col min="785" max="785" width="9.140625" style="179" customWidth="1"/>
    <col min="786" max="1007" width="9.140625" style="179"/>
    <col min="1008" max="1008" width="14.42578125" style="179" customWidth="1"/>
    <col min="1009" max="1009" width="20.5703125" style="179" bestFit="1" customWidth="1"/>
    <col min="1010" max="1010" width="3.7109375" style="179" customWidth="1"/>
    <col min="1011" max="1011" width="8.42578125" style="179" customWidth="1"/>
    <col min="1012" max="1012" width="20.5703125" style="179" customWidth="1"/>
    <col min="1013" max="1037" width="0" style="179" hidden="1" customWidth="1"/>
    <col min="1038" max="1038" width="1.7109375" style="179" customWidth="1"/>
    <col min="1039" max="1040" width="9" style="179" customWidth="1"/>
    <col min="1041" max="1041" width="9.140625" style="179" customWidth="1"/>
    <col min="1042" max="1263" width="9.140625" style="179"/>
    <col min="1264" max="1264" width="14.42578125" style="179" customWidth="1"/>
    <col min="1265" max="1265" width="20.5703125" style="179" bestFit="1" customWidth="1"/>
    <col min="1266" max="1266" width="3.7109375" style="179" customWidth="1"/>
    <col min="1267" max="1267" width="8.42578125" style="179" customWidth="1"/>
    <col min="1268" max="1268" width="20.5703125" style="179" customWidth="1"/>
    <col min="1269" max="1293" width="0" style="179" hidden="1" customWidth="1"/>
    <col min="1294" max="1294" width="1.7109375" style="179" customWidth="1"/>
    <col min="1295" max="1296" width="9" style="179" customWidth="1"/>
    <col min="1297" max="1297" width="9.140625" style="179" customWidth="1"/>
    <col min="1298" max="1519" width="9.140625" style="179"/>
    <col min="1520" max="1520" width="14.42578125" style="179" customWidth="1"/>
    <col min="1521" max="1521" width="20.5703125" style="179" bestFit="1" customWidth="1"/>
    <col min="1522" max="1522" width="3.7109375" style="179" customWidth="1"/>
    <col min="1523" max="1523" width="8.42578125" style="179" customWidth="1"/>
    <col min="1524" max="1524" width="20.5703125" style="179" customWidth="1"/>
    <col min="1525" max="1549" width="0" style="179" hidden="1" customWidth="1"/>
    <col min="1550" max="1550" width="1.7109375" style="179" customWidth="1"/>
    <col min="1551" max="1552" width="9" style="179" customWidth="1"/>
    <col min="1553" max="1553" width="9.140625" style="179" customWidth="1"/>
    <col min="1554" max="1775" width="9.140625" style="179"/>
    <col min="1776" max="1776" width="14.42578125" style="179" customWidth="1"/>
    <col min="1777" max="1777" width="20.5703125" style="179" bestFit="1" customWidth="1"/>
    <col min="1778" max="1778" width="3.7109375" style="179" customWidth="1"/>
    <col min="1779" max="1779" width="8.42578125" style="179" customWidth="1"/>
    <col min="1780" max="1780" width="20.5703125" style="179" customWidth="1"/>
    <col min="1781" max="1805" width="0" style="179" hidden="1" customWidth="1"/>
    <col min="1806" max="1806" width="1.7109375" style="179" customWidth="1"/>
    <col min="1807" max="1808" width="9" style="179" customWidth="1"/>
    <col min="1809" max="1809" width="9.140625" style="179" customWidth="1"/>
    <col min="1810" max="2031" width="9.140625" style="179"/>
    <col min="2032" max="2032" width="14.42578125" style="179" customWidth="1"/>
    <col min="2033" max="2033" width="20.5703125" style="179" bestFit="1" customWidth="1"/>
    <col min="2034" max="2034" width="3.7109375" style="179" customWidth="1"/>
    <col min="2035" max="2035" width="8.42578125" style="179" customWidth="1"/>
    <col min="2036" max="2036" width="20.5703125" style="179" customWidth="1"/>
    <col min="2037" max="2061" width="0" style="179" hidden="1" customWidth="1"/>
    <col min="2062" max="2062" width="1.7109375" style="179" customWidth="1"/>
    <col min="2063" max="2064" width="9" style="179" customWidth="1"/>
    <col min="2065" max="2065" width="9.140625" style="179" customWidth="1"/>
    <col min="2066" max="2287" width="9.140625" style="179"/>
    <col min="2288" max="2288" width="14.42578125" style="179" customWidth="1"/>
    <col min="2289" max="2289" width="20.5703125" style="179" bestFit="1" customWidth="1"/>
    <col min="2290" max="2290" width="3.7109375" style="179" customWidth="1"/>
    <col min="2291" max="2291" width="8.42578125" style="179" customWidth="1"/>
    <col min="2292" max="2292" width="20.5703125" style="179" customWidth="1"/>
    <col min="2293" max="2317" width="0" style="179" hidden="1" customWidth="1"/>
    <col min="2318" max="2318" width="1.7109375" style="179" customWidth="1"/>
    <col min="2319" max="2320" width="9" style="179" customWidth="1"/>
    <col min="2321" max="2321" width="9.140625" style="179" customWidth="1"/>
    <col min="2322" max="2543" width="9.140625" style="179"/>
    <col min="2544" max="2544" width="14.42578125" style="179" customWidth="1"/>
    <col min="2545" max="2545" width="20.5703125" style="179" bestFit="1" customWidth="1"/>
    <col min="2546" max="2546" width="3.7109375" style="179" customWidth="1"/>
    <col min="2547" max="2547" width="8.42578125" style="179" customWidth="1"/>
    <col min="2548" max="2548" width="20.5703125" style="179" customWidth="1"/>
    <col min="2549" max="2573" width="0" style="179" hidden="1" customWidth="1"/>
    <col min="2574" max="2574" width="1.7109375" style="179" customWidth="1"/>
    <col min="2575" max="2576" width="9" style="179" customWidth="1"/>
    <col min="2577" max="2577" width="9.140625" style="179" customWidth="1"/>
    <col min="2578" max="2799" width="9.140625" style="179"/>
    <col min="2800" max="2800" width="14.42578125" style="179" customWidth="1"/>
    <col min="2801" max="2801" width="20.5703125" style="179" bestFit="1" customWidth="1"/>
    <col min="2802" max="2802" width="3.7109375" style="179" customWidth="1"/>
    <col min="2803" max="2803" width="8.42578125" style="179" customWidth="1"/>
    <col min="2804" max="2804" width="20.5703125" style="179" customWidth="1"/>
    <col min="2805" max="2829" width="0" style="179" hidden="1" customWidth="1"/>
    <col min="2830" max="2830" width="1.7109375" style="179" customWidth="1"/>
    <col min="2831" max="2832" width="9" style="179" customWidth="1"/>
    <col min="2833" max="2833" width="9.140625" style="179" customWidth="1"/>
    <col min="2834" max="3055" width="9.140625" style="179"/>
    <col min="3056" max="3056" width="14.42578125" style="179" customWidth="1"/>
    <col min="3057" max="3057" width="20.5703125" style="179" bestFit="1" customWidth="1"/>
    <col min="3058" max="3058" width="3.7109375" style="179" customWidth="1"/>
    <col min="3059" max="3059" width="8.42578125" style="179" customWidth="1"/>
    <col min="3060" max="3060" width="20.5703125" style="179" customWidth="1"/>
    <col min="3061" max="3085" width="0" style="179" hidden="1" customWidth="1"/>
    <col min="3086" max="3086" width="1.7109375" style="179" customWidth="1"/>
    <col min="3087" max="3088" width="9" style="179" customWidth="1"/>
    <col min="3089" max="3089" width="9.140625" style="179" customWidth="1"/>
    <col min="3090" max="3311" width="9.140625" style="179"/>
    <col min="3312" max="3312" width="14.42578125" style="179" customWidth="1"/>
    <col min="3313" max="3313" width="20.5703125" style="179" bestFit="1" customWidth="1"/>
    <col min="3314" max="3314" width="3.7109375" style="179" customWidth="1"/>
    <col min="3315" max="3315" width="8.42578125" style="179" customWidth="1"/>
    <col min="3316" max="3316" width="20.5703125" style="179" customWidth="1"/>
    <col min="3317" max="3341" width="0" style="179" hidden="1" customWidth="1"/>
    <col min="3342" max="3342" width="1.7109375" style="179" customWidth="1"/>
    <col min="3343" max="3344" width="9" style="179" customWidth="1"/>
    <col min="3345" max="3345" width="9.140625" style="179" customWidth="1"/>
    <col min="3346" max="3567" width="9.140625" style="179"/>
    <col min="3568" max="3568" width="14.42578125" style="179" customWidth="1"/>
    <col min="3569" max="3569" width="20.5703125" style="179" bestFit="1" customWidth="1"/>
    <col min="3570" max="3570" width="3.7109375" style="179" customWidth="1"/>
    <col min="3571" max="3571" width="8.42578125" style="179" customWidth="1"/>
    <col min="3572" max="3572" width="20.5703125" style="179" customWidth="1"/>
    <col min="3573" max="3597" width="0" style="179" hidden="1" customWidth="1"/>
    <col min="3598" max="3598" width="1.7109375" style="179" customWidth="1"/>
    <col min="3599" max="3600" width="9" style="179" customWidth="1"/>
    <col min="3601" max="3601" width="9.140625" style="179" customWidth="1"/>
    <col min="3602" max="3823" width="9.140625" style="179"/>
    <col min="3824" max="3824" width="14.42578125" style="179" customWidth="1"/>
    <col min="3825" max="3825" width="20.5703125" style="179" bestFit="1" customWidth="1"/>
    <col min="3826" max="3826" width="3.7109375" style="179" customWidth="1"/>
    <col min="3827" max="3827" width="8.42578125" style="179" customWidth="1"/>
    <col min="3828" max="3828" width="20.5703125" style="179" customWidth="1"/>
    <col min="3829" max="3853" width="0" style="179" hidden="1" customWidth="1"/>
    <col min="3854" max="3854" width="1.7109375" style="179" customWidth="1"/>
    <col min="3855" max="3856" width="9" style="179" customWidth="1"/>
    <col min="3857" max="3857" width="9.140625" style="179" customWidth="1"/>
    <col min="3858" max="4079" width="9.140625" style="179"/>
    <col min="4080" max="4080" width="14.42578125" style="179" customWidth="1"/>
    <col min="4081" max="4081" width="20.5703125" style="179" bestFit="1" customWidth="1"/>
    <col min="4082" max="4082" width="3.7109375" style="179" customWidth="1"/>
    <col min="4083" max="4083" width="8.42578125" style="179" customWidth="1"/>
    <col min="4084" max="4084" width="20.5703125" style="179" customWidth="1"/>
    <col min="4085" max="4109" width="0" style="179" hidden="1" customWidth="1"/>
    <col min="4110" max="4110" width="1.7109375" style="179" customWidth="1"/>
    <col min="4111" max="4112" width="9" style="179" customWidth="1"/>
    <col min="4113" max="4113" width="9.140625" style="179" customWidth="1"/>
    <col min="4114" max="4335" width="9.140625" style="179"/>
    <col min="4336" max="4336" width="14.42578125" style="179" customWidth="1"/>
    <col min="4337" max="4337" width="20.5703125" style="179" bestFit="1" customWidth="1"/>
    <col min="4338" max="4338" width="3.7109375" style="179" customWidth="1"/>
    <col min="4339" max="4339" width="8.42578125" style="179" customWidth="1"/>
    <col min="4340" max="4340" width="20.5703125" style="179" customWidth="1"/>
    <col min="4341" max="4365" width="0" style="179" hidden="1" customWidth="1"/>
    <col min="4366" max="4366" width="1.7109375" style="179" customWidth="1"/>
    <col min="4367" max="4368" width="9" style="179" customWidth="1"/>
    <col min="4369" max="4369" width="9.140625" style="179" customWidth="1"/>
    <col min="4370" max="4591" width="9.140625" style="179"/>
    <col min="4592" max="4592" width="14.42578125" style="179" customWidth="1"/>
    <col min="4593" max="4593" width="20.5703125" style="179" bestFit="1" customWidth="1"/>
    <col min="4594" max="4594" width="3.7109375" style="179" customWidth="1"/>
    <col min="4595" max="4595" width="8.42578125" style="179" customWidth="1"/>
    <col min="4596" max="4596" width="20.5703125" style="179" customWidth="1"/>
    <col min="4597" max="4621" width="0" style="179" hidden="1" customWidth="1"/>
    <col min="4622" max="4622" width="1.7109375" style="179" customWidth="1"/>
    <col min="4623" max="4624" width="9" style="179" customWidth="1"/>
    <col min="4625" max="4625" width="9.140625" style="179" customWidth="1"/>
    <col min="4626" max="4847" width="9.140625" style="179"/>
    <col min="4848" max="4848" width="14.42578125" style="179" customWidth="1"/>
    <col min="4849" max="4849" width="20.5703125" style="179" bestFit="1" customWidth="1"/>
    <col min="4850" max="4850" width="3.7109375" style="179" customWidth="1"/>
    <col min="4851" max="4851" width="8.42578125" style="179" customWidth="1"/>
    <col min="4852" max="4852" width="20.5703125" style="179" customWidth="1"/>
    <col min="4853" max="4877" width="0" style="179" hidden="1" customWidth="1"/>
    <col min="4878" max="4878" width="1.7109375" style="179" customWidth="1"/>
    <col min="4879" max="4880" width="9" style="179" customWidth="1"/>
    <col min="4881" max="4881" width="9.140625" style="179" customWidth="1"/>
    <col min="4882" max="5103" width="9.140625" style="179"/>
    <col min="5104" max="5104" width="14.42578125" style="179" customWidth="1"/>
    <col min="5105" max="5105" width="20.5703125" style="179" bestFit="1" customWidth="1"/>
    <col min="5106" max="5106" width="3.7109375" style="179" customWidth="1"/>
    <col min="5107" max="5107" width="8.42578125" style="179" customWidth="1"/>
    <col min="5108" max="5108" width="20.5703125" style="179" customWidth="1"/>
    <col min="5109" max="5133" width="0" style="179" hidden="1" customWidth="1"/>
    <col min="5134" max="5134" width="1.7109375" style="179" customWidth="1"/>
    <col min="5135" max="5136" width="9" style="179" customWidth="1"/>
    <col min="5137" max="5137" width="9.140625" style="179" customWidth="1"/>
    <col min="5138" max="5359" width="9.140625" style="179"/>
    <col min="5360" max="5360" width="14.42578125" style="179" customWidth="1"/>
    <col min="5361" max="5361" width="20.5703125" style="179" bestFit="1" customWidth="1"/>
    <col min="5362" max="5362" width="3.7109375" style="179" customWidth="1"/>
    <col min="5363" max="5363" width="8.42578125" style="179" customWidth="1"/>
    <col min="5364" max="5364" width="20.5703125" style="179" customWidth="1"/>
    <col min="5365" max="5389" width="0" style="179" hidden="1" customWidth="1"/>
    <col min="5390" max="5390" width="1.7109375" style="179" customWidth="1"/>
    <col min="5391" max="5392" width="9" style="179" customWidth="1"/>
    <col min="5393" max="5393" width="9.140625" style="179" customWidth="1"/>
    <col min="5394" max="5615" width="9.140625" style="179"/>
    <col min="5616" max="5616" width="14.42578125" style="179" customWidth="1"/>
    <col min="5617" max="5617" width="20.5703125" style="179" bestFit="1" customWidth="1"/>
    <col min="5618" max="5618" width="3.7109375" style="179" customWidth="1"/>
    <col min="5619" max="5619" width="8.42578125" style="179" customWidth="1"/>
    <col min="5620" max="5620" width="20.5703125" style="179" customWidth="1"/>
    <col min="5621" max="5645" width="0" style="179" hidden="1" customWidth="1"/>
    <col min="5646" max="5646" width="1.7109375" style="179" customWidth="1"/>
    <col min="5647" max="5648" width="9" style="179" customWidth="1"/>
    <col min="5649" max="5649" width="9.140625" style="179" customWidth="1"/>
    <col min="5650" max="5871" width="9.140625" style="179"/>
    <col min="5872" max="5872" width="14.42578125" style="179" customWidth="1"/>
    <col min="5873" max="5873" width="20.5703125" style="179" bestFit="1" customWidth="1"/>
    <col min="5874" max="5874" width="3.7109375" style="179" customWidth="1"/>
    <col min="5875" max="5875" width="8.42578125" style="179" customWidth="1"/>
    <col min="5876" max="5876" width="20.5703125" style="179" customWidth="1"/>
    <col min="5877" max="5901" width="0" style="179" hidden="1" customWidth="1"/>
    <col min="5902" max="5902" width="1.7109375" style="179" customWidth="1"/>
    <col min="5903" max="5904" width="9" style="179" customWidth="1"/>
    <col min="5905" max="5905" width="9.140625" style="179" customWidth="1"/>
    <col min="5906" max="6127" width="9.140625" style="179"/>
    <col min="6128" max="6128" width="14.42578125" style="179" customWidth="1"/>
    <col min="6129" max="6129" width="20.5703125" style="179" bestFit="1" customWidth="1"/>
    <col min="6130" max="6130" width="3.7109375" style="179" customWidth="1"/>
    <col min="6131" max="6131" width="8.42578125" style="179" customWidth="1"/>
    <col min="6132" max="6132" width="20.5703125" style="179" customWidth="1"/>
    <col min="6133" max="6157" width="0" style="179" hidden="1" customWidth="1"/>
    <col min="6158" max="6158" width="1.7109375" style="179" customWidth="1"/>
    <col min="6159" max="6160" width="9" style="179" customWidth="1"/>
    <col min="6161" max="6161" width="9.140625" style="179" customWidth="1"/>
    <col min="6162" max="6383" width="9.140625" style="179"/>
    <col min="6384" max="6384" width="14.42578125" style="179" customWidth="1"/>
    <col min="6385" max="6385" width="20.5703125" style="179" bestFit="1" customWidth="1"/>
    <col min="6386" max="6386" width="3.7109375" style="179" customWidth="1"/>
    <col min="6387" max="6387" width="8.42578125" style="179" customWidth="1"/>
    <col min="6388" max="6388" width="20.5703125" style="179" customWidth="1"/>
    <col min="6389" max="6413" width="0" style="179" hidden="1" customWidth="1"/>
    <col min="6414" max="6414" width="1.7109375" style="179" customWidth="1"/>
    <col min="6415" max="6416" width="9" style="179" customWidth="1"/>
    <col min="6417" max="6417" width="9.140625" style="179" customWidth="1"/>
    <col min="6418" max="6639" width="9.140625" style="179"/>
    <col min="6640" max="6640" width="14.42578125" style="179" customWidth="1"/>
    <col min="6641" max="6641" width="20.5703125" style="179" bestFit="1" customWidth="1"/>
    <col min="6642" max="6642" width="3.7109375" style="179" customWidth="1"/>
    <col min="6643" max="6643" width="8.42578125" style="179" customWidth="1"/>
    <col min="6644" max="6644" width="20.5703125" style="179" customWidth="1"/>
    <col min="6645" max="6669" width="0" style="179" hidden="1" customWidth="1"/>
    <col min="6670" max="6670" width="1.7109375" style="179" customWidth="1"/>
    <col min="6671" max="6672" width="9" style="179" customWidth="1"/>
    <col min="6673" max="6673" width="9.140625" style="179" customWidth="1"/>
    <col min="6674" max="6895" width="9.140625" style="179"/>
    <col min="6896" max="6896" width="14.42578125" style="179" customWidth="1"/>
    <col min="6897" max="6897" width="20.5703125" style="179" bestFit="1" customWidth="1"/>
    <col min="6898" max="6898" width="3.7109375" style="179" customWidth="1"/>
    <col min="6899" max="6899" width="8.42578125" style="179" customWidth="1"/>
    <col min="6900" max="6900" width="20.5703125" style="179" customWidth="1"/>
    <col min="6901" max="6925" width="0" style="179" hidden="1" customWidth="1"/>
    <col min="6926" max="6926" width="1.7109375" style="179" customWidth="1"/>
    <col min="6927" max="6928" width="9" style="179" customWidth="1"/>
    <col min="6929" max="6929" width="9.140625" style="179" customWidth="1"/>
    <col min="6930" max="7151" width="9.140625" style="179"/>
    <col min="7152" max="7152" width="14.42578125" style="179" customWidth="1"/>
    <col min="7153" max="7153" width="20.5703125" style="179" bestFit="1" customWidth="1"/>
    <col min="7154" max="7154" width="3.7109375" style="179" customWidth="1"/>
    <col min="7155" max="7155" width="8.42578125" style="179" customWidth="1"/>
    <col min="7156" max="7156" width="20.5703125" style="179" customWidth="1"/>
    <col min="7157" max="7181" width="0" style="179" hidden="1" customWidth="1"/>
    <col min="7182" max="7182" width="1.7109375" style="179" customWidth="1"/>
    <col min="7183" max="7184" width="9" style="179" customWidth="1"/>
    <col min="7185" max="7185" width="9.140625" style="179" customWidth="1"/>
    <col min="7186" max="7407" width="9.140625" style="179"/>
    <col min="7408" max="7408" width="14.42578125" style="179" customWidth="1"/>
    <col min="7409" max="7409" width="20.5703125" style="179" bestFit="1" customWidth="1"/>
    <col min="7410" max="7410" width="3.7109375" style="179" customWidth="1"/>
    <col min="7411" max="7411" width="8.42578125" style="179" customWidth="1"/>
    <col min="7412" max="7412" width="20.5703125" style="179" customWidth="1"/>
    <col min="7413" max="7437" width="0" style="179" hidden="1" customWidth="1"/>
    <col min="7438" max="7438" width="1.7109375" style="179" customWidth="1"/>
    <col min="7439" max="7440" width="9" style="179" customWidth="1"/>
    <col min="7441" max="7441" width="9.140625" style="179" customWidth="1"/>
    <col min="7442" max="7663" width="9.140625" style="179"/>
    <col min="7664" max="7664" width="14.42578125" style="179" customWidth="1"/>
    <col min="7665" max="7665" width="20.5703125" style="179" bestFit="1" customWidth="1"/>
    <col min="7666" max="7666" width="3.7109375" style="179" customWidth="1"/>
    <col min="7667" max="7667" width="8.42578125" style="179" customWidth="1"/>
    <col min="7668" max="7668" width="20.5703125" style="179" customWidth="1"/>
    <col min="7669" max="7693" width="0" style="179" hidden="1" customWidth="1"/>
    <col min="7694" max="7694" width="1.7109375" style="179" customWidth="1"/>
    <col min="7695" max="7696" width="9" style="179" customWidth="1"/>
    <col min="7697" max="7697" width="9.140625" style="179" customWidth="1"/>
    <col min="7698" max="7919" width="9.140625" style="179"/>
    <col min="7920" max="7920" width="14.42578125" style="179" customWidth="1"/>
    <col min="7921" max="7921" width="20.5703125" style="179" bestFit="1" customWidth="1"/>
    <col min="7922" max="7922" width="3.7109375" style="179" customWidth="1"/>
    <col min="7923" max="7923" width="8.42578125" style="179" customWidth="1"/>
    <col min="7924" max="7924" width="20.5703125" style="179" customWidth="1"/>
    <col min="7925" max="7949" width="0" style="179" hidden="1" customWidth="1"/>
    <col min="7950" max="7950" width="1.7109375" style="179" customWidth="1"/>
    <col min="7951" max="7952" width="9" style="179" customWidth="1"/>
    <col min="7953" max="7953" width="9.140625" style="179" customWidth="1"/>
    <col min="7954" max="8175" width="9.140625" style="179"/>
    <col min="8176" max="8176" width="14.42578125" style="179" customWidth="1"/>
    <col min="8177" max="8177" width="20.5703125" style="179" bestFit="1" customWidth="1"/>
    <col min="8178" max="8178" width="3.7109375" style="179" customWidth="1"/>
    <col min="8179" max="8179" width="8.42578125" style="179" customWidth="1"/>
    <col min="8180" max="8180" width="20.5703125" style="179" customWidth="1"/>
    <col min="8181" max="8205" width="0" style="179" hidden="1" customWidth="1"/>
    <col min="8206" max="8206" width="1.7109375" style="179" customWidth="1"/>
    <col min="8207" max="8208" width="9" style="179" customWidth="1"/>
    <col min="8209" max="8209" width="9.140625" style="179" customWidth="1"/>
    <col min="8210" max="8431" width="9.140625" style="179"/>
    <col min="8432" max="8432" width="14.42578125" style="179" customWidth="1"/>
    <col min="8433" max="8433" width="20.5703125" style="179" bestFit="1" customWidth="1"/>
    <col min="8434" max="8434" width="3.7109375" style="179" customWidth="1"/>
    <col min="8435" max="8435" width="8.42578125" style="179" customWidth="1"/>
    <col min="8436" max="8436" width="20.5703125" style="179" customWidth="1"/>
    <col min="8437" max="8461" width="0" style="179" hidden="1" customWidth="1"/>
    <col min="8462" max="8462" width="1.7109375" style="179" customWidth="1"/>
    <col min="8463" max="8464" width="9" style="179" customWidth="1"/>
    <col min="8465" max="8465" width="9.140625" style="179" customWidth="1"/>
    <col min="8466" max="8687" width="9.140625" style="179"/>
    <col min="8688" max="8688" width="14.42578125" style="179" customWidth="1"/>
    <col min="8689" max="8689" width="20.5703125" style="179" bestFit="1" customWidth="1"/>
    <col min="8690" max="8690" width="3.7109375" style="179" customWidth="1"/>
    <col min="8691" max="8691" width="8.42578125" style="179" customWidth="1"/>
    <col min="8692" max="8692" width="20.5703125" style="179" customWidth="1"/>
    <col min="8693" max="8717" width="0" style="179" hidden="1" customWidth="1"/>
    <col min="8718" max="8718" width="1.7109375" style="179" customWidth="1"/>
    <col min="8719" max="8720" width="9" style="179" customWidth="1"/>
    <col min="8721" max="8721" width="9.140625" style="179" customWidth="1"/>
    <col min="8722" max="8943" width="9.140625" style="179"/>
    <col min="8944" max="8944" width="14.42578125" style="179" customWidth="1"/>
    <col min="8945" max="8945" width="20.5703125" style="179" bestFit="1" customWidth="1"/>
    <col min="8946" max="8946" width="3.7109375" style="179" customWidth="1"/>
    <col min="8947" max="8947" width="8.42578125" style="179" customWidth="1"/>
    <col min="8948" max="8948" width="20.5703125" style="179" customWidth="1"/>
    <col min="8949" max="8973" width="0" style="179" hidden="1" customWidth="1"/>
    <col min="8974" max="8974" width="1.7109375" style="179" customWidth="1"/>
    <col min="8975" max="8976" width="9" style="179" customWidth="1"/>
    <col min="8977" max="8977" width="9.140625" style="179" customWidth="1"/>
    <col min="8978" max="9199" width="9.140625" style="179"/>
    <col min="9200" max="9200" width="14.42578125" style="179" customWidth="1"/>
    <col min="9201" max="9201" width="20.5703125" style="179" bestFit="1" customWidth="1"/>
    <col min="9202" max="9202" width="3.7109375" style="179" customWidth="1"/>
    <col min="9203" max="9203" width="8.42578125" style="179" customWidth="1"/>
    <col min="9204" max="9204" width="20.5703125" style="179" customWidth="1"/>
    <col min="9205" max="9229" width="0" style="179" hidden="1" customWidth="1"/>
    <col min="9230" max="9230" width="1.7109375" style="179" customWidth="1"/>
    <col min="9231" max="9232" width="9" style="179" customWidth="1"/>
    <col min="9233" max="9233" width="9.140625" style="179" customWidth="1"/>
    <col min="9234" max="9455" width="9.140625" style="179"/>
    <col min="9456" max="9456" width="14.42578125" style="179" customWidth="1"/>
    <col min="9457" max="9457" width="20.5703125" style="179" bestFit="1" customWidth="1"/>
    <col min="9458" max="9458" width="3.7109375" style="179" customWidth="1"/>
    <col min="9459" max="9459" width="8.42578125" style="179" customWidth="1"/>
    <col min="9460" max="9460" width="20.5703125" style="179" customWidth="1"/>
    <col min="9461" max="9485" width="0" style="179" hidden="1" customWidth="1"/>
    <col min="9486" max="9486" width="1.7109375" style="179" customWidth="1"/>
    <col min="9487" max="9488" width="9" style="179" customWidth="1"/>
    <col min="9489" max="9489" width="9.140625" style="179" customWidth="1"/>
    <col min="9490" max="9711" width="9.140625" style="179"/>
    <col min="9712" max="9712" width="14.42578125" style="179" customWidth="1"/>
    <col min="9713" max="9713" width="20.5703125" style="179" bestFit="1" customWidth="1"/>
    <col min="9714" max="9714" width="3.7109375" style="179" customWidth="1"/>
    <col min="9715" max="9715" width="8.42578125" style="179" customWidth="1"/>
    <col min="9716" max="9716" width="20.5703125" style="179" customWidth="1"/>
    <col min="9717" max="9741" width="0" style="179" hidden="1" customWidth="1"/>
    <col min="9742" max="9742" width="1.7109375" style="179" customWidth="1"/>
    <col min="9743" max="9744" width="9" style="179" customWidth="1"/>
    <col min="9745" max="9745" width="9.140625" style="179" customWidth="1"/>
    <col min="9746" max="9967" width="9.140625" style="179"/>
    <col min="9968" max="9968" width="14.42578125" style="179" customWidth="1"/>
    <col min="9969" max="9969" width="20.5703125" style="179" bestFit="1" customWidth="1"/>
    <col min="9970" max="9970" width="3.7109375" style="179" customWidth="1"/>
    <col min="9971" max="9971" width="8.42578125" style="179" customWidth="1"/>
    <col min="9972" max="9972" width="20.5703125" style="179" customWidth="1"/>
    <col min="9973" max="9997" width="0" style="179" hidden="1" customWidth="1"/>
    <col min="9998" max="9998" width="1.7109375" style="179" customWidth="1"/>
    <col min="9999" max="10000" width="9" style="179" customWidth="1"/>
    <col min="10001" max="10001" width="9.140625" style="179" customWidth="1"/>
    <col min="10002" max="10223" width="9.140625" style="179"/>
    <col min="10224" max="10224" width="14.42578125" style="179" customWidth="1"/>
    <col min="10225" max="10225" width="20.5703125" style="179" bestFit="1" customWidth="1"/>
    <col min="10226" max="10226" width="3.7109375" style="179" customWidth="1"/>
    <col min="10227" max="10227" width="8.42578125" style="179" customWidth="1"/>
    <col min="10228" max="10228" width="20.5703125" style="179" customWidth="1"/>
    <col min="10229" max="10253" width="0" style="179" hidden="1" customWidth="1"/>
    <col min="10254" max="10254" width="1.7109375" style="179" customWidth="1"/>
    <col min="10255" max="10256" width="9" style="179" customWidth="1"/>
    <col min="10257" max="10257" width="9.140625" style="179" customWidth="1"/>
    <col min="10258" max="10479" width="9.140625" style="179"/>
    <col min="10480" max="10480" width="14.42578125" style="179" customWidth="1"/>
    <col min="10481" max="10481" width="20.5703125" style="179" bestFit="1" customWidth="1"/>
    <col min="10482" max="10482" width="3.7109375" style="179" customWidth="1"/>
    <col min="10483" max="10483" width="8.42578125" style="179" customWidth="1"/>
    <col min="10484" max="10484" width="20.5703125" style="179" customWidth="1"/>
    <col min="10485" max="10509" width="0" style="179" hidden="1" customWidth="1"/>
    <col min="10510" max="10510" width="1.7109375" style="179" customWidth="1"/>
    <col min="10511" max="10512" width="9" style="179" customWidth="1"/>
    <col min="10513" max="10513" width="9.140625" style="179" customWidth="1"/>
    <col min="10514" max="10735" width="9.140625" style="179"/>
    <col min="10736" max="10736" width="14.42578125" style="179" customWidth="1"/>
    <col min="10737" max="10737" width="20.5703125" style="179" bestFit="1" customWidth="1"/>
    <col min="10738" max="10738" width="3.7109375" style="179" customWidth="1"/>
    <col min="10739" max="10739" width="8.42578125" style="179" customWidth="1"/>
    <col min="10740" max="10740" width="20.5703125" style="179" customWidth="1"/>
    <col min="10741" max="10765" width="0" style="179" hidden="1" customWidth="1"/>
    <col min="10766" max="10766" width="1.7109375" style="179" customWidth="1"/>
    <col min="10767" max="10768" width="9" style="179" customWidth="1"/>
    <col min="10769" max="10769" width="9.140625" style="179" customWidth="1"/>
    <col min="10770" max="10991" width="9.140625" style="179"/>
    <col min="10992" max="10992" width="14.42578125" style="179" customWidth="1"/>
    <col min="10993" max="10993" width="20.5703125" style="179" bestFit="1" customWidth="1"/>
    <col min="10994" max="10994" width="3.7109375" style="179" customWidth="1"/>
    <col min="10995" max="10995" width="8.42578125" style="179" customWidth="1"/>
    <col min="10996" max="10996" width="20.5703125" style="179" customWidth="1"/>
    <col min="10997" max="11021" width="0" style="179" hidden="1" customWidth="1"/>
    <col min="11022" max="11022" width="1.7109375" style="179" customWidth="1"/>
    <col min="11023" max="11024" width="9" style="179" customWidth="1"/>
    <col min="11025" max="11025" width="9.140625" style="179" customWidth="1"/>
    <col min="11026" max="11247" width="9.140625" style="179"/>
    <col min="11248" max="11248" width="14.42578125" style="179" customWidth="1"/>
    <col min="11249" max="11249" width="20.5703125" style="179" bestFit="1" customWidth="1"/>
    <col min="11250" max="11250" width="3.7109375" style="179" customWidth="1"/>
    <col min="11251" max="11251" width="8.42578125" style="179" customWidth="1"/>
    <col min="11252" max="11252" width="20.5703125" style="179" customWidth="1"/>
    <col min="11253" max="11277" width="0" style="179" hidden="1" customWidth="1"/>
    <col min="11278" max="11278" width="1.7109375" style="179" customWidth="1"/>
    <col min="11279" max="11280" width="9" style="179" customWidth="1"/>
    <col min="11281" max="11281" width="9.140625" style="179" customWidth="1"/>
    <col min="11282" max="11503" width="9.140625" style="179"/>
    <col min="11504" max="11504" width="14.42578125" style="179" customWidth="1"/>
    <col min="11505" max="11505" width="20.5703125" style="179" bestFit="1" customWidth="1"/>
    <col min="11506" max="11506" width="3.7109375" style="179" customWidth="1"/>
    <col min="11507" max="11507" width="8.42578125" style="179" customWidth="1"/>
    <col min="11508" max="11508" width="20.5703125" style="179" customWidth="1"/>
    <col min="11509" max="11533" width="0" style="179" hidden="1" customWidth="1"/>
    <col min="11534" max="11534" width="1.7109375" style="179" customWidth="1"/>
    <col min="11535" max="11536" width="9" style="179" customWidth="1"/>
    <col min="11537" max="11537" width="9.140625" style="179" customWidth="1"/>
    <col min="11538" max="11759" width="9.140625" style="179"/>
    <col min="11760" max="11760" width="14.42578125" style="179" customWidth="1"/>
    <col min="11761" max="11761" width="20.5703125" style="179" bestFit="1" customWidth="1"/>
    <col min="11762" max="11762" width="3.7109375" style="179" customWidth="1"/>
    <col min="11763" max="11763" width="8.42578125" style="179" customWidth="1"/>
    <col min="11764" max="11764" width="20.5703125" style="179" customWidth="1"/>
    <col min="11765" max="11789" width="0" style="179" hidden="1" customWidth="1"/>
    <col min="11790" max="11790" width="1.7109375" style="179" customWidth="1"/>
    <col min="11791" max="11792" width="9" style="179" customWidth="1"/>
    <col min="11793" max="11793" width="9.140625" style="179" customWidth="1"/>
    <col min="11794" max="12015" width="9.140625" style="179"/>
    <col min="12016" max="12016" width="14.42578125" style="179" customWidth="1"/>
    <col min="12017" max="12017" width="20.5703125" style="179" bestFit="1" customWidth="1"/>
    <col min="12018" max="12018" width="3.7109375" style="179" customWidth="1"/>
    <col min="12019" max="12019" width="8.42578125" style="179" customWidth="1"/>
    <col min="12020" max="12020" width="20.5703125" style="179" customWidth="1"/>
    <col min="12021" max="12045" width="0" style="179" hidden="1" customWidth="1"/>
    <col min="12046" max="12046" width="1.7109375" style="179" customWidth="1"/>
    <col min="12047" max="12048" width="9" style="179" customWidth="1"/>
    <col min="12049" max="12049" width="9.140625" style="179" customWidth="1"/>
    <col min="12050" max="12271" width="9.140625" style="179"/>
    <col min="12272" max="12272" width="14.42578125" style="179" customWidth="1"/>
    <col min="12273" max="12273" width="20.5703125" style="179" bestFit="1" customWidth="1"/>
    <col min="12274" max="12274" width="3.7109375" style="179" customWidth="1"/>
    <col min="12275" max="12275" width="8.42578125" style="179" customWidth="1"/>
    <col min="12276" max="12276" width="20.5703125" style="179" customWidth="1"/>
    <col min="12277" max="12301" width="0" style="179" hidden="1" customWidth="1"/>
    <col min="12302" max="12302" width="1.7109375" style="179" customWidth="1"/>
    <col min="12303" max="12304" width="9" style="179" customWidth="1"/>
    <col min="12305" max="12305" width="9.140625" style="179" customWidth="1"/>
    <col min="12306" max="12527" width="9.140625" style="179"/>
    <col min="12528" max="12528" width="14.42578125" style="179" customWidth="1"/>
    <col min="12529" max="12529" width="20.5703125" style="179" bestFit="1" customWidth="1"/>
    <col min="12530" max="12530" width="3.7109375" style="179" customWidth="1"/>
    <col min="12531" max="12531" width="8.42578125" style="179" customWidth="1"/>
    <col min="12532" max="12532" width="20.5703125" style="179" customWidth="1"/>
    <col min="12533" max="12557" width="0" style="179" hidden="1" customWidth="1"/>
    <col min="12558" max="12558" width="1.7109375" style="179" customWidth="1"/>
    <col min="12559" max="12560" width="9" style="179" customWidth="1"/>
    <col min="12561" max="12561" width="9.140625" style="179" customWidth="1"/>
    <col min="12562" max="12783" width="9.140625" style="179"/>
    <col min="12784" max="12784" width="14.42578125" style="179" customWidth="1"/>
    <col min="12785" max="12785" width="20.5703125" style="179" bestFit="1" customWidth="1"/>
    <col min="12786" max="12786" width="3.7109375" style="179" customWidth="1"/>
    <col min="12787" max="12787" width="8.42578125" style="179" customWidth="1"/>
    <col min="12788" max="12788" width="20.5703125" style="179" customWidth="1"/>
    <col min="12789" max="12813" width="0" style="179" hidden="1" customWidth="1"/>
    <col min="12814" max="12814" width="1.7109375" style="179" customWidth="1"/>
    <col min="12815" max="12816" width="9" style="179" customWidth="1"/>
    <col min="12817" max="12817" width="9.140625" style="179" customWidth="1"/>
    <col min="12818" max="13039" width="9.140625" style="179"/>
    <col min="13040" max="13040" width="14.42578125" style="179" customWidth="1"/>
    <col min="13041" max="13041" width="20.5703125" style="179" bestFit="1" customWidth="1"/>
    <col min="13042" max="13042" width="3.7109375" style="179" customWidth="1"/>
    <col min="13043" max="13043" width="8.42578125" style="179" customWidth="1"/>
    <col min="13044" max="13044" width="20.5703125" style="179" customWidth="1"/>
    <col min="13045" max="13069" width="0" style="179" hidden="1" customWidth="1"/>
    <col min="13070" max="13070" width="1.7109375" style="179" customWidth="1"/>
    <col min="13071" max="13072" width="9" style="179" customWidth="1"/>
    <col min="13073" max="13073" width="9.140625" style="179" customWidth="1"/>
    <col min="13074" max="13295" width="9.140625" style="179"/>
    <col min="13296" max="13296" width="14.42578125" style="179" customWidth="1"/>
    <col min="13297" max="13297" width="20.5703125" style="179" bestFit="1" customWidth="1"/>
    <col min="13298" max="13298" width="3.7109375" style="179" customWidth="1"/>
    <col min="13299" max="13299" width="8.42578125" style="179" customWidth="1"/>
    <col min="13300" max="13300" width="20.5703125" style="179" customWidth="1"/>
    <col min="13301" max="13325" width="0" style="179" hidden="1" customWidth="1"/>
    <col min="13326" max="13326" width="1.7109375" style="179" customWidth="1"/>
    <col min="13327" max="13328" width="9" style="179" customWidth="1"/>
    <col min="13329" max="13329" width="9.140625" style="179" customWidth="1"/>
    <col min="13330" max="13551" width="9.140625" style="179"/>
    <col min="13552" max="13552" width="14.42578125" style="179" customWidth="1"/>
    <col min="13553" max="13553" width="20.5703125" style="179" bestFit="1" customWidth="1"/>
    <col min="13554" max="13554" width="3.7109375" style="179" customWidth="1"/>
    <col min="13555" max="13555" width="8.42578125" style="179" customWidth="1"/>
    <col min="13556" max="13556" width="20.5703125" style="179" customWidth="1"/>
    <col min="13557" max="13581" width="0" style="179" hidden="1" customWidth="1"/>
    <col min="13582" max="13582" width="1.7109375" style="179" customWidth="1"/>
    <col min="13583" max="13584" width="9" style="179" customWidth="1"/>
    <col min="13585" max="13585" width="9.140625" style="179" customWidth="1"/>
    <col min="13586" max="13807" width="9.140625" style="179"/>
    <col min="13808" max="13808" width="14.42578125" style="179" customWidth="1"/>
    <col min="13809" max="13809" width="20.5703125" style="179" bestFit="1" customWidth="1"/>
    <col min="13810" max="13810" width="3.7109375" style="179" customWidth="1"/>
    <col min="13811" max="13811" width="8.42578125" style="179" customWidth="1"/>
    <col min="13812" max="13812" width="20.5703125" style="179" customWidth="1"/>
    <col min="13813" max="13837" width="0" style="179" hidden="1" customWidth="1"/>
    <col min="13838" max="13838" width="1.7109375" style="179" customWidth="1"/>
    <col min="13839" max="13840" width="9" style="179" customWidth="1"/>
    <col min="13841" max="13841" width="9.140625" style="179" customWidth="1"/>
    <col min="13842" max="14063" width="9.140625" style="179"/>
    <col min="14064" max="14064" width="14.42578125" style="179" customWidth="1"/>
    <col min="14065" max="14065" width="20.5703125" style="179" bestFit="1" customWidth="1"/>
    <col min="14066" max="14066" width="3.7109375" style="179" customWidth="1"/>
    <col min="14067" max="14067" width="8.42578125" style="179" customWidth="1"/>
    <col min="14068" max="14068" width="20.5703125" style="179" customWidth="1"/>
    <col min="14069" max="14093" width="0" style="179" hidden="1" customWidth="1"/>
    <col min="14094" max="14094" width="1.7109375" style="179" customWidth="1"/>
    <col min="14095" max="14096" width="9" style="179" customWidth="1"/>
    <col min="14097" max="14097" width="9.140625" style="179" customWidth="1"/>
    <col min="14098" max="14319" width="9.140625" style="179"/>
    <col min="14320" max="14320" width="14.42578125" style="179" customWidth="1"/>
    <col min="14321" max="14321" width="20.5703125" style="179" bestFit="1" customWidth="1"/>
    <col min="14322" max="14322" width="3.7109375" style="179" customWidth="1"/>
    <col min="14323" max="14323" width="8.42578125" style="179" customWidth="1"/>
    <col min="14324" max="14324" width="20.5703125" style="179" customWidth="1"/>
    <col min="14325" max="14349" width="0" style="179" hidden="1" customWidth="1"/>
    <col min="14350" max="14350" width="1.7109375" style="179" customWidth="1"/>
    <col min="14351" max="14352" width="9" style="179" customWidth="1"/>
    <col min="14353" max="14353" width="9.140625" style="179" customWidth="1"/>
    <col min="14354" max="14575" width="9.140625" style="179"/>
    <col min="14576" max="14576" width="14.42578125" style="179" customWidth="1"/>
    <col min="14577" max="14577" width="20.5703125" style="179" bestFit="1" customWidth="1"/>
    <col min="14578" max="14578" width="3.7109375" style="179" customWidth="1"/>
    <col min="14579" max="14579" width="8.42578125" style="179" customWidth="1"/>
    <col min="14580" max="14580" width="20.5703125" style="179" customWidth="1"/>
    <col min="14581" max="14605" width="0" style="179" hidden="1" customWidth="1"/>
    <col min="14606" max="14606" width="1.7109375" style="179" customWidth="1"/>
    <col min="14607" max="14608" width="9" style="179" customWidth="1"/>
    <col min="14609" max="14609" width="9.140625" style="179" customWidth="1"/>
    <col min="14610" max="14831" width="9.140625" style="179"/>
    <col min="14832" max="14832" width="14.42578125" style="179" customWidth="1"/>
    <col min="14833" max="14833" width="20.5703125" style="179" bestFit="1" customWidth="1"/>
    <col min="14834" max="14834" width="3.7109375" style="179" customWidth="1"/>
    <col min="14835" max="14835" width="8.42578125" style="179" customWidth="1"/>
    <col min="14836" max="14836" width="20.5703125" style="179" customWidth="1"/>
    <col min="14837" max="14861" width="0" style="179" hidden="1" customWidth="1"/>
    <col min="14862" max="14862" width="1.7109375" style="179" customWidth="1"/>
    <col min="14863" max="14864" width="9" style="179" customWidth="1"/>
    <col min="14865" max="14865" width="9.140625" style="179" customWidth="1"/>
    <col min="14866" max="15087" width="9.140625" style="179"/>
    <col min="15088" max="15088" width="14.42578125" style="179" customWidth="1"/>
    <col min="15089" max="15089" width="20.5703125" style="179" bestFit="1" customWidth="1"/>
    <col min="15090" max="15090" width="3.7109375" style="179" customWidth="1"/>
    <col min="15091" max="15091" width="8.42578125" style="179" customWidth="1"/>
    <col min="15092" max="15092" width="20.5703125" style="179" customWidth="1"/>
    <col min="15093" max="15117" width="0" style="179" hidden="1" customWidth="1"/>
    <col min="15118" max="15118" width="1.7109375" style="179" customWidth="1"/>
    <col min="15119" max="15120" width="9" style="179" customWidth="1"/>
    <col min="15121" max="15121" width="9.140625" style="179" customWidth="1"/>
    <col min="15122" max="15343" width="9.140625" style="179"/>
    <col min="15344" max="15344" width="14.42578125" style="179" customWidth="1"/>
    <col min="15345" max="15345" width="20.5703125" style="179" bestFit="1" customWidth="1"/>
    <col min="15346" max="15346" width="3.7109375" style="179" customWidth="1"/>
    <col min="15347" max="15347" width="8.42578125" style="179" customWidth="1"/>
    <col min="15348" max="15348" width="20.5703125" style="179" customWidth="1"/>
    <col min="15349" max="15373" width="0" style="179" hidden="1" customWidth="1"/>
    <col min="15374" max="15374" width="1.7109375" style="179" customWidth="1"/>
    <col min="15375" max="15376" width="9" style="179" customWidth="1"/>
    <col min="15377" max="15377" width="9.140625" style="179" customWidth="1"/>
    <col min="15378" max="15599" width="9.140625" style="179"/>
    <col min="15600" max="15600" width="14.42578125" style="179" customWidth="1"/>
    <col min="15601" max="15601" width="20.5703125" style="179" bestFit="1" customWidth="1"/>
    <col min="15602" max="15602" width="3.7109375" style="179" customWidth="1"/>
    <col min="15603" max="15603" width="8.42578125" style="179" customWidth="1"/>
    <col min="15604" max="15604" width="20.5703125" style="179" customWidth="1"/>
    <col min="15605" max="15629" width="0" style="179" hidden="1" customWidth="1"/>
    <col min="15630" max="15630" width="1.7109375" style="179" customWidth="1"/>
    <col min="15631" max="15632" width="9" style="179" customWidth="1"/>
    <col min="15633" max="15633" width="9.140625" style="179" customWidth="1"/>
    <col min="15634" max="15855" width="9.140625" style="179"/>
    <col min="15856" max="15856" width="14.42578125" style="179" customWidth="1"/>
    <col min="15857" max="15857" width="20.5703125" style="179" bestFit="1" customWidth="1"/>
    <col min="15858" max="15858" width="3.7109375" style="179" customWidth="1"/>
    <col min="15859" max="15859" width="8.42578125" style="179" customWidth="1"/>
    <col min="15860" max="15860" width="20.5703125" style="179" customWidth="1"/>
    <col min="15861" max="15885" width="0" style="179" hidden="1" customWidth="1"/>
    <col min="15886" max="15886" width="1.7109375" style="179" customWidth="1"/>
    <col min="15887" max="15888" width="9" style="179" customWidth="1"/>
    <col min="15889" max="15889" width="9.140625" style="179" customWidth="1"/>
    <col min="15890" max="16111" width="9.140625" style="179"/>
    <col min="16112" max="16112" width="14.42578125" style="179" customWidth="1"/>
    <col min="16113" max="16113" width="20.5703125" style="179" bestFit="1" customWidth="1"/>
    <col min="16114" max="16114" width="3.7109375" style="179" customWidth="1"/>
    <col min="16115" max="16115" width="8.42578125" style="179" customWidth="1"/>
    <col min="16116" max="16116" width="20.5703125" style="179" customWidth="1"/>
    <col min="16117" max="16141" width="0" style="179" hidden="1" customWidth="1"/>
    <col min="16142" max="16142" width="1.7109375" style="179" customWidth="1"/>
    <col min="16143" max="16144" width="9" style="179" customWidth="1"/>
    <col min="16145" max="16145" width="9.140625" style="179" customWidth="1"/>
    <col min="16146" max="16384" width="9.140625" style="179"/>
  </cols>
  <sheetData>
    <row r="1" spans="1:18" ht="15" customHeight="1">
      <c r="C1" s="183"/>
      <c r="D1" s="183"/>
      <c r="E1" s="183"/>
      <c r="F1" s="183"/>
      <c r="G1" s="183"/>
      <c r="H1" s="183"/>
      <c r="I1" s="979" t="s">
        <v>574</v>
      </c>
      <c r="J1" s="979"/>
      <c r="K1" s="979"/>
      <c r="L1" s="198"/>
      <c r="M1" s="198"/>
      <c r="N1" s="198"/>
      <c r="O1" s="198"/>
      <c r="P1" s="198"/>
      <c r="Q1" s="183"/>
      <c r="R1" s="183"/>
    </row>
    <row r="2" spans="1:18" ht="9" customHeight="1">
      <c r="C2" s="183"/>
      <c r="D2" s="183"/>
      <c r="E2" s="183"/>
      <c r="F2" s="183"/>
      <c r="G2" s="183"/>
      <c r="H2" s="183"/>
      <c r="I2" s="183"/>
      <c r="J2" s="183"/>
      <c r="K2" s="183"/>
      <c r="L2" s="183"/>
      <c r="M2" s="183"/>
      <c r="N2" s="183"/>
      <c r="O2" s="183"/>
      <c r="P2" s="183"/>
      <c r="Q2" s="183"/>
      <c r="R2" s="183"/>
    </row>
    <row r="3" spans="1:18" s="186" customFormat="1" ht="83.25" customHeight="1">
      <c r="C3" s="246" t="s">
        <v>573</v>
      </c>
      <c r="D3" s="192" t="s">
        <v>572</v>
      </c>
      <c r="E3" s="192" t="s">
        <v>304</v>
      </c>
      <c r="F3" s="192" t="s">
        <v>571</v>
      </c>
      <c r="G3" s="192" t="s">
        <v>570</v>
      </c>
      <c r="H3" s="256"/>
      <c r="I3" s="185" t="s">
        <v>311</v>
      </c>
      <c r="J3" s="185" t="s">
        <v>515</v>
      </c>
      <c r="K3" s="185" t="s">
        <v>515</v>
      </c>
      <c r="L3" s="185"/>
      <c r="M3" s="336" t="s">
        <v>569</v>
      </c>
      <c r="N3" s="336" t="s">
        <v>568</v>
      </c>
      <c r="O3" s="336" t="s">
        <v>318</v>
      </c>
      <c r="P3" s="336" t="s">
        <v>319</v>
      </c>
      <c r="Q3" s="247" t="s">
        <v>567</v>
      </c>
      <c r="R3" s="247" t="s">
        <v>566</v>
      </c>
    </row>
    <row r="4" spans="1:18" s="186" customFormat="1" ht="13.5" thickBot="1">
      <c r="C4" s="246"/>
      <c r="D4" s="187" t="s">
        <v>233</v>
      </c>
      <c r="E4" s="187"/>
      <c r="F4" s="187"/>
      <c r="G4" s="187"/>
      <c r="H4" s="257"/>
      <c r="I4" s="188" t="str">
        <f>"100%"</f>
        <v>100%</v>
      </c>
      <c r="J4" s="188" t="str">
        <f>"75%"</f>
        <v>75%</v>
      </c>
      <c r="K4" s="188" t="str">
        <f>"50%"</f>
        <v>50%</v>
      </c>
      <c r="L4" s="188"/>
      <c r="M4" s="348"/>
      <c r="N4" s="348"/>
      <c r="O4" s="348"/>
      <c r="P4" s="348"/>
      <c r="Q4" s="187"/>
      <c r="R4" s="187"/>
    </row>
    <row r="5" spans="1:18" s="186" customFormat="1" ht="12.75">
      <c r="C5" s="246" t="s">
        <v>575</v>
      </c>
      <c r="D5" s="432"/>
      <c r="E5" s="432"/>
      <c r="F5" s="432"/>
      <c r="G5" s="432"/>
      <c r="H5" s="433"/>
      <c r="I5" s="435">
        <f>MAX(I6:I7)</f>
        <v>3.8</v>
      </c>
      <c r="J5" s="435">
        <f>MAX(J6:J7)</f>
        <v>2.9</v>
      </c>
      <c r="K5" s="435">
        <f>MAX(K6:K7)</f>
        <v>2.2000000000000002</v>
      </c>
      <c r="L5" s="435"/>
      <c r="M5" s="435">
        <f>MAX(M6:M7)</f>
        <v>2.9666666666666663</v>
      </c>
      <c r="N5" s="434"/>
      <c r="O5" s="434"/>
      <c r="P5" s="434"/>
      <c r="Q5" s="432"/>
      <c r="R5" s="432"/>
    </row>
    <row r="6" spans="1:18">
      <c r="A6" s="179">
        <v>1</v>
      </c>
      <c r="B6" s="179" t="str">
        <f>C5</f>
        <v>9-15kVA</v>
      </c>
      <c r="C6" s="184" t="s">
        <v>565</v>
      </c>
      <c r="D6" s="184" t="s">
        <v>514</v>
      </c>
      <c r="E6" s="184"/>
      <c r="F6" s="184"/>
      <c r="G6" s="191">
        <v>150</v>
      </c>
      <c r="H6" s="258"/>
      <c r="I6" s="191">
        <v>3.8</v>
      </c>
      <c r="J6" s="191">
        <v>2.9</v>
      </c>
      <c r="K6" s="219">
        <v>2.2000000000000002</v>
      </c>
      <c r="L6" s="219"/>
      <c r="M6" s="315">
        <f>SUM(K6,J6,I6)/3</f>
        <v>2.9666666666666663</v>
      </c>
      <c r="N6" s="276">
        <f>1-(M6/M$6)</f>
        <v>0</v>
      </c>
      <c r="O6" s="429" t="s">
        <v>345</v>
      </c>
      <c r="P6" s="276" t="s">
        <v>539</v>
      </c>
      <c r="Q6" s="184"/>
      <c r="R6" s="184"/>
    </row>
    <row r="7" spans="1:18" s="183" customFormat="1">
      <c r="A7" s="183">
        <f>IF(B7&gt;0,IF(A6&gt;0,A6+1,A5+1),0)</f>
        <v>2</v>
      </c>
      <c r="B7" s="183" t="str">
        <f>C5</f>
        <v>9-15kVA</v>
      </c>
      <c r="C7" s="248" t="s">
        <v>564</v>
      </c>
      <c r="D7" s="212" t="s">
        <v>563</v>
      </c>
      <c r="E7" s="189"/>
      <c r="F7" s="189"/>
      <c r="G7" s="190">
        <v>150</v>
      </c>
      <c r="H7" s="259"/>
      <c r="I7" s="190">
        <v>2.8</v>
      </c>
      <c r="J7" s="191">
        <v>2.1</v>
      </c>
      <c r="K7" s="219">
        <v>1.4</v>
      </c>
      <c r="L7" s="219"/>
      <c r="M7" s="315">
        <f>SUM(K7,J7,I7)/3</f>
        <v>2.1</v>
      </c>
      <c r="N7" s="290">
        <f>1-(M7/M$6)</f>
        <v>0.29213483146067409</v>
      </c>
      <c r="O7" s="429" t="s">
        <v>345</v>
      </c>
      <c r="P7" s="276" t="s">
        <v>456</v>
      </c>
      <c r="Q7" s="184"/>
      <c r="R7" s="184"/>
    </row>
    <row r="8" spans="1:18" s="183" customFormat="1" ht="12.75">
      <c r="A8" s="183">
        <f t="shared" ref="A8:A60" si="0">IF(B8&gt;0,IF(A7&gt;0,A7+1,A6+1),0)</f>
        <v>0</v>
      </c>
      <c r="C8" s="248" t="s">
        <v>576</v>
      </c>
      <c r="D8" s="212"/>
      <c r="E8" s="189"/>
      <c r="F8" s="189"/>
      <c r="G8" s="190"/>
      <c r="H8" s="259"/>
      <c r="I8" s="315">
        <f>MAX(I9:I11)</f>
        <v>6.3</v>
      </c>
      <c r="J8" s="315">
        <f>MAX(J9:J11)</f>
        <v>4.7</v>
      </c>
      <c r="K8" s="315">
        <f>MAX(K9:K11)</f>
        <v>3.4</v>
      </c>
      <c r="L8" s="315"/>
      <c r="M8" s="315">
        <f>MAX(M9:M11)</f>
        <v>4.7633333333333328</v>
      </c>
      <c r="N8" s="290"/>
      <c r="O8" s="290"/>
      <c r="P8" s="290"/>
      <c r="Q8" s="184"/>
      <c r="R8" s="184"/>
    </row>
    <row r="9" spans="1:18" s="183" customFormat="1">
      <c r="A9" s="183">
        <f t="shared" si="0"/>
        <v>3</v>
      </c>
      <c r="B9" s="183" t="str">
        <f>C8</f>
        <v>20kVA</v>
      </c>
      <c r="C9" s="249" t="s">
        <v>562</v>
      </c>
      <c r="D9" s="240" t="s">
        <v>561</v>
      </c>
      <c r="E9" s="241"/>
      <c r="F9" s="241"/>
      <c r="G9" s="242">
        <v>150</v>
      </c>
      <c r="H9" s="259"/>
      <c r="I9" s="242">
        <v>6.2</v>
      </c>
      <c r="J9" s="243">
        <v>4.7</v>
      </c>
      <c r="K9" s="243">
        <v>3.1</v>
      </c>
      <c r="L9" s="243"/>
      <c r="M9" s="306">
        <f>SUM(K9,J9,I9)/3</f>
        <v>4.666666666666667</v>
      </c>
      <c r="N9" s="244">
        <f>1-(M9/M10)</f>
        <v>2.0293911826451905E-2</v>
      </c>
      <c r="O9" s="429" t="s">
        <v>345</v>
      </c>
      <c r="P9" s="276" t="s">
        <v>539</v>
      </c>
      <c r="Q9" s="281"/>
      <c r="R9" s="281"/>
    </row>
    <row r="10" spans="1:18" s="183" customFormat="1" ht="12.75">
      <c r="A10" s="183">
        <f t="shared" si="0"/>
        <v>4</v>
      </c>
      <c r="B10" s="183" t="str">
        <f>C8</f>
        <v>20kVA</v>
      </c>
      <c r="C10" s="250" t="s">
        <v>560</v>
      </c>
      <c r="D10" s="240" t="s">
        <v>559</v>
      </c>
      <c r="E10" s="240"/>
      <c r="F10" s="240"/>
      <c r="G10" s="242">
        <v>153</v>
      </c>
      <c r="H10" s="259"/>
      <c r="I10" s="242">
        <v>6.19</v>
      </c>
      <c r="J10" s="243">
        <v>4.7</v>
      </c>
      <c r="K10" s="243">
        <v>3.4</v>
      </c>
      <c r="L10" s="243"/>
      <c r="M10" s="306">
        <f>SUM(K10,J10,I10)/3</f>
        <v>4.7633333333333328</v>
      </c>
      <c r="N10" s="245">
        <f>1-(M10/M$10)</f>
        <v>0</v>
      </c>
      <c r="O10" s="245"/>
      <c r="P10" s="245"/>
      <c r="Q10" s="281"/>
      <c r="R10" s="281" t="s">
        <v>558</v>
      </c>
    </row>
    <row r="11" spans="1:18" s="183" customFormat="1" ht="12.75">
      <c r="A11" s="183">
        <f t="shared" si="0"/>
        <v>5</v>
      </c>
      <c r="B11" s="183" t="str">
        <f>C8</f>
        <v>20kVA</v>
      </c>
      <c r="C11" s="250" t="s">
        <v>557</v>
      </c>
      <c r="D11" s="240" t="s">
        <v>556</v>
      </c>
      <c r="E11" s="240"/>
      <c r="F11" s="240"/>
      <c r="G11" s="242">
        <v>150</v>
      </c>
      <c r="H11" s="259"/>
      <c r="I11" s="242">
        <v>6.3</v>
      </c>
      <c r="J11" s="242">
        <v>4.7</v>
      </c>
      <c r="K11" s="242">
        <v>3.1</v>
      </c>
      <c r="L11" s="242"/>
      <c r="M11" s="306"/>
      <c r="N11" s="245"/>
      <c r="O11" s="245"/>
      <c r="P11" s="245"/>
      <c r="Q11" s="281"/>
      <c r="R11" s="281"/>
    </row>
    <row r="12" spans="1:18" s="183" customFormat="1" ht="12.75">
      <c r="A12" s="183">
        <f t="shared" si="0"/>
        <v>0</v>
      </c>
      <c r="C12" s="248" t="s">
        <v>577</v>
      </c>
      <c r="D12" s="436"/>
      <c r="E12" s="436"/>
      <c r="F12" s="436"/>
      <c r="G12" s="437"/>
      <c r="H12" s="437"/>
      <c r="I12" s="315">
        <f>MAX(I13:I14)</f>
        <v>6.8</v>
      </c>
      <c r="J12" s="315">
        <f>MAX(J13:J14)</f>
        <v>5.0999999999999996</v>
      </c>
      <c r="K12" s="315">
        <f>MAX(K13:K14)</f>
        <v>3.4</v>
      </c>
      <c r="L12" s="315"/>
      <c r="M12" s="315">
        <f>MAX(M13:M14)</f>
        <v>5.1000000000000005</v>
      </c>
      <c r="N12" s="276"/>
      <c r="O12" s="276"/>
      <c r="P12" s="276"/>
      <c r="Q12" s="438"/>
      <c r="R12" s="438"/>
    </row>
    <row r="13" spans="1:18" s="183" customFormat="1">
      <c r="A13" s="183">
        <f t="shared" si="0"/>
        <v>6</v>
      </c>
      <c r="B13" s="183" t="str">
        <f>C12</f>
        <v>27kVA</v>
      </c>
      <c r="C13" s="248" t="s">
        <v>555</v>
      </c>
      <c r="D13" s="212" t="s">
        <v>554</v>
      </c>
      <c r="E13" s="212"/>
      <c r="F13" s="212"/>
      <c r="G13" s="190">
        <v>150</v>
      </c>
      <c r="H13" s="259"/>
      <c r="I13" s="190">
        <v>6.8</v>
      </c>
      <c r="J13" s="190">
        <v>5.0999999999999996</v>
      </c>
      <c r="K13" s="239">
        <v>3.4</v>
      </c>
      <c r="L13" s="239"/>
      <c r="M13" s="315">
        <f>SUM(K13,J13,I13)/3</f>
        <v>5.1000000000000005</v>
      </c>
      <c r="N13" s="290"/>
      <c r="O13" s="429" t="s">
        <v>345</v>
      </c>
      <c r="P13" s="276" t="s">
        <v>539</v>
      </c>
      <c r="Q13" s="184"/>
      <c r="R13" s="184"/>
    </row>
    <row r="14" spans="1:18" s="183" customFormat="1">
      <c r="A14" s="183">
        <f t="shared" si="0"/>
        <v>7</v>
      </c>
      <c r="B14" s="183" t="str">
        <f>C12</f>
        <v>27kVA</v>
      </c>
      <c r="C14" s="251" t="s">
        <v>553</v>
      </c>
      <c r="D14" s="212" t="s">
        <v>552</v>
      </c>
      <c r="E14" s="212"/>
      <c r="F14" s="212"/>
      <c r="G14" s="190">
        <v>150</v>
      </c>
      <c r="H14" s="259"/>
      <c r="I14" s="190">
        <v>6.8</v>
      </c>
      <c r="J14" s="190">
        <v>5.0999999999999996</v>
      </c>
      <c r="K14" s="239">
        <v>3.4</v>
      </c>
      <c r="L14" s="239"/>
      <c r="M14" s="315">
        <f>SUM(K14,J14,I14)/3</f>
        <v>5.1000000000000005</v>
      </c>
      <c r="N14" s="290"/>
      <c r="O14" s="429" t="s">
        <v>345</v>
      </c>
      <c r="P14" s="276" t="s">
        <v>539</v>
      </c>
      <c r="Q14" s="184"/>
      <c r="R14" s="184"/>
    </row>
    <row r="15" spans="1:18" s="183" customFormat="1" ht="12.75">
      <c r="A15" s="183">
        <f t="shared" si="0"/>
        <v>0</v>
      </c>
      <c r="C15" s="248" t="s">
        <v>578</v>
      </c>
      <c r="D15" s="212"/>
      <c r="E15" s="212"/>
      <c r="F15" s="212"/>
      <c r="G15" s="190"/>
      <c r="H15" s="259"/>
      <c r="I15" s="315">
        <f>MAX(I16:I18)</f>
        <v>8.59</v>
      </c>
      <c r="J15" s="315">
        <f>MAX(J16:J18)</f>
        <v>6.56</v>
      </c>
      <c r="K15" s="315">
        <f>MAX(K16:K18)</f>
        <v>4.8</v>
      </c>
      <c r="L15" s="315"/>
      <c r="M15" s="315">
        <f>MAX(M16:M18)</f>
        <v>6.6499999999999995</v>
      </c>
      <c r="N15" s="290"/>
      <c r="O15" s="290"/>
      <c r="P15" s="290"/>
      <c r="Q15" s="184"/>
      <c r="R15" s="184"/>
    </row>
    <row r="16" spans="1:18" s="183" customFormat="1" ht="12.75">
      <c r="A16" s="183">
        <f t="shared" si="0"/>
        <v>8</v>
      </c>
      <c r="B16" s="183" t="str">
        <f>C15</f>
        <v>30kVA</v>
      </c>
      <c r="C16" s="252" t="s">
        <v>551</v>
      </c>
      <c r="D16" s="213" t="s">
        <v>550</v>
      </c>
      <c r="E16" s="253" t="s">
        <v>332</v>
      </c>
      <c r="F16" s="213" t="s">
        <v>549</v>
      </c>
      <c r="G16" s="214">
        <v>220</v>
      </c>
      <c r="H16" s="259"/>
      <c r="I16" s="214">
        <v>8.59</v>
      </c>
      <c r="J16" s="214">
        <v>6.56</v>
      </c>
      <c r="K16" s="214">
        <v>4.8</v>
      </c>
      <c r="L16" s="214"/>
      <c r="M16" s="268">
        <f>SUM(K16,J16,I16)/3</f>
        <v>6.6499999999999995</v>
      </c>
      <c r="N16" s="263">
        <f>1-(M16/M$16)</f>
        <v>0</v>
      </c>
      <c r="O16" s="263"/>
      <c r="P16" s="263"/>
      <c r="Q16" s="322"/>
      <c r="R16" s="322" t="s">
        <v>548</v>
      </c>
    </row>
    <row r="17" spans="1:18" s="183" customFormat="1">
      <c r="A17" s="183">
        <f t="shared" si="0"/>
        <v>9</v>
      </c>
      <c r="B17" s="183" t="str">
        <f>C15</f>
        <v>30kVA</v>
      </c>
      <c r="C17" s="200" t="s">
        <v>526</v>
      </c>
      <c r="D17" s="200" t="s">
        <v>513</v>
      </c>
      <c r="E17" s="200"/>
      <c r="F17" s="200"/>
      <c r="G17" s="201">
        <v>154</v>
      </c>
      <c r="H17" s="258"/>
      <c r="I17" s="201">
        <v>7.7</v>
      </c>
      <c r="J17" s="201">
        <v>5.8</v>
      </c>
      <c r="K17" s="201">
        <v>4.0999999999999996</v>
      </c>
      <c r="L17" s="201"/>
      <c r="M17" s="268">
        <f>SUM(K17,J17,I17)/3</f>
        <v>5.8666666666666663</v>
      </c>
      <c r="N17" s="344">
        <f>1-(M17/M$16)</f>
        <v>0.11779448621553879</v>
      </c>
      <c r="O17" s="429" t="s">
        <v>345</v>
      </c>
      <c r="P17" s="276" t="s">
        <v>456</v>
      </c>
      <c r="Q17" s="322"/>
      <c r="R17" s="322"/>
    </row>
    <row r="18" spans="1:18" s="183" customFormat="1">
      <c r="A18" s="183">
        <f t="shared" si="0"/>
        <v>10</v>
      </c>
      <c r="B18" s="183" t="str">
        <f>C15</f>
        <v>30kVA</v>
      </c>
      <c r="C18" s="200" t="s">
        <v>544</v>
      </c>
      <c r="D18" s="200" t="s">
        <v>512</v>
      </c>
      <c r="E18" s="200"/>
      <c r="F18" s="200"/>
      <c r="G18" s="201">
        <v>1150</v>
      </c>
      <c r="H18" s="258"/>
      <c r="I18" s="201">
        <v>7.7</v>
      </c>
      <c r="J18" s="201">
        <v>5.8</v>
      </c>
      <c r="K18" s="201">
        <v>4.0999999999999996</v>
      </c>
      <c r="L18" s="201"/>
      <c r="M18" s="268">
        <f>SUM(K18,J18,I18)/3</f>
        <v>5.8666666666666663</v>
      </c>
      <c r="N18" s="344">
        <f>1-(M18/M$16)</f>
        <v>0.11779448621553879</v>
      </c>
      <c r="O18" s="429" t="s">
        <v>345</v>
      </c>
      <c r="P18" s="276" t="s">
        <v>456</v>
      </c>
      <c r="Q18" s="322"/>
      <c r="R18" s="322"/>
    </row>
    <row r="19" spans="1:18" s="183" customFormat="1" ht="12.75">
      <c r="A19" s="183">
        <f t="shared" si="0"/>
        <v>0</v>
      </c>
      <c r="C19" s="248" t="s">
        <v>579</v>
      </c>
      <c r="D19" s="438"/>
      <c r="E19" s="438"/>
      <c r="F19" s="438"/>
      <c r="G19" s="439"/>
      <c r="H19" s="439"/>
      <c r="I19" s="315">
        <f>MAX(I20:I25)</f>
        <v>16.5</v>
      </c>
      <c r="J19" s="315">
        <f>MAX(J20:J25)</f>
        <v>12.4</v>
      </c>
      <c r="K19" s="315">
        <f>MAX(K20:K25)</f>
        <v>8.3000000000000007</v>
      </c>
      <c r="L19" s="315"/>
      <c r="M19" s="315">
        <f>MAX(M20:M25)</f>
        <v>12.4</v>
      </c>
      <c r="N19" s="290"/>
      <c r="O19" s="290"/>
      <c r="P19" s="290"/>
      <c r="Q19" s="438"/>
      <c r="R19" s="438"/>
    </row>
    <row r="20" spans="1:18" s="183" customFormat="1" ht="12.75">
      <c r="A20" s="183">
        <f t="shared" si="0"/>
        <v>11</v>
      </c>
      <c r="B20" s="183" t="str">
        <f>C19</f>
        <v>60kVA</v>
      </c>
      <c r="C20" s="216" t="s">
        <v>547</v>
      </c>
      <c r="D20" s="216" t="s">
        <v>546</v>
      </c>
      <c r="E20" s="216"/>
      <c r="F20" s="216"/>
      <c r="G20" s="203">
        <v>390</v>
      </c>
      <c r="H20" s="258"/>
      <c r="I20" s="203">
        <v>14.77</v>
      </c>
      <c r="J20" s="203">
        <v>11.27</v>
      </c>
      <c r="K20" s="203">
        <v>7.4</v>
      </c>
      <c r="L20" s="203"/>
      <c r="M20" s="315">
        <f t="shared" ref="M20:M25" si="1">SUM(K20,J20,I20)/3</f>
        <v>11.146666666666667</v>
      </c>
      <c r="N20" s="290">
        <f t="shared" ref="N20:N26" si="2">1-(M20/M$24)</f>
        <v>0.1010752688172043</v>
      </c>
      <c r="O20" s="290"/>
      <c r="P20" s="290"/>
      <c r="Q20" s="184"/>
      <c r="R20" s="184" t="s">
        <v>545</v>
      </c>
    </row>
    <row r="21" spans="1:18" s="183" customFormat="1">
      <c r="A21" s="183">
        <f t="shared" si="0"/>
        <v>12</v>
      </c>
      <c r="B21" s="183" t="str">
        <f>C19</f>
        <v>60kVA</v>
      </c>
      <c r="C21" s="202" t="s">
        <v>526</v>
      </c>
      <c r="D21" s="202" t="s">
        <v>511</v>
      </c>
      <c r="E21" s="202"/>
      <c r="F21" s="202"/>
      <c r="G21" s="203">
        <v>300</v>
      </c>
      <c r="H21" s="258"/>
      <c r="I21" s="203">
        <v>13.1</v>
      </c>
      <c r="J21" s="203">
        <v>10.3</v>
      </c>
      <c r="K21" s="203">
        <v>7.6</v>
      </c>
      <c r="L21" s="203"/>
      <c r="M21" s="315">
        <f t="shared" si="1"/>
        <v>10.333333333333334</v>
      </c>
      <c r="N21" s="290">
        <f t="shared" si="2"/>
        <v>0.16666666666666663</v>
      </c>
      <c r="O21" s="429" t="s">
        <v>345</v>
      </c>
      <c r="P21" s="276" t="s">
        <v>456</v>
      </c>
      <c r="Q21" s="184"/>
      <c r="R21" s="184"/>
    </row>
    <row r="22" spans="1:18" s="183" customFormat="1">
      <c r="A22" s="183">
        <f t="shared" si="0"/>
        <v>13</v>
      </c>
      <c r="B22" s="183" t="str">
        <f>C19</f>
        <v>60kVA</v>
      </c>
      <c r="C22" s="202" t="s">
        <v>544</v>
      </c>
      <c r="D22" s="202" t="s">
        <v>510</v>
      </c>
      <c r="E22" s="202"/>
      <c r="F22" s="202"/>
      <c r="G22" s="203">
        <v>1150</v>
      </c>
      <c r="H22" s="258"/>
      <c r="I22" s="203">
        <v>13.1</v>
      </c>
      <c r="J22" s="203">
        <v>10.3</v>
      </c>
      <c r="K22" s="203">
        <v>7.6</v>
      </c>
      <c r="L22" s="203"/>
      <c r="M22" s="315">
        <f t="shared" si="1"/>
        <v>10.333333333333334</v>
      </c>
      <c r="N22" s="290">
        <f t="shared" si="2"/>
        <v>0.16666666666666663</v>
      </c>
      <c r="O22" s="429" t="s">
        <v>345</v>
      </c>
      <c r="P22" s="276" t="s">
        <v>456</v>
      </c>
      <c r="Q22" s="184"/>
      <c r="R22" s="184"/>
    </row>
    <row r="23" spans="1:18" s="183" customFormat="1">
      <c r="A23" s="183">
        <f t="shared" si="0"/>
        <v>14</v>
      </c>
      <c r="B23" s="183" t="str">
        <f>C19</f>
        <v>60kVA</v>
      </c>
      <c r="C23" s="202" t="s">
        <v>535</v>
      </c>
      <c r="D23" s="202" t="s">
        <v>509</v>
      </c>
      <c r="E23" s="202"/>
      <c r="F23" s="202"/>
      <c r="G23" s="203">
        <v>100</v>
      </c>
      <c r="H23" s="258"/>
      <c r="I23" s="203">
        <v>12.6</v>
      </c>
      <c r="J23" s="203">
        <v>9</v>
      </c>
      <c r="K23" s="203">
        <v>7</v>
      </c>
      <c r="L23" s="203"/>
      <c r="M23" s="315">
        <f t="shared" si="1"/>
        <v>9.5333333333333332</v>
      </c>
      <c r="N23" s="290">
        <f t="shared" si="2"/>
        <v>0.23118279569892475</v>
      </c>
      <c r="O23" s="429" t="s">
        <v>345</v>
      </c>
      <c r="P23" s="276" t="s">
        <v>456</v>
      </c>
      <c r="Q23" s="184"/>
      <c r="R23" s="184"/>
    </row>
    <row r="24" spans="1:18" s="183" customFormat="1">
      <c r="A24" s="183">
        <f t="shared" si="0"/>
        <v>15</v>
      </c>
      <c r="B24" s="183" t="str">
        <f>C19</f>
        <v>60kVA</v>
      </c>
      <c r="C24" s="216" t="s">
        <v>543</v>
      </c>
      <c r="D24" s="202" t="s">
        <v>542</v>
      </c>
      <c r="E24" s="202"/>
      <c r="F24" s="202"/>
      <c r="G24" s="203">
        <v>320</v>
      </c>
      <c r="H24" s="258"/>
      <c r="I24" s="203">
        <v>16.5</v>
      </c>
      <c r="J24" s="203">
        <v>12.4</v>
      </c>
      <c r="K24" s="203">
        <v>8.3000000000000007</v>
      </c>
      <c r="L24" s="203"/>
      <c r="M24" s="315">
        <f t="shared" si="1"/>
        <v>12.4</v>
      </c>
      <c r="N24" s="276">
        <f t="shared" si="2"/>
        <v>0</v>
      </c>
      <c r="O24" s="429" t="s">
        <v>345</v>
      </c>
      <c r="P24" s="276" t="s">
        <v>539</v>
      </c>
      <c r="Q24" s="184"/>
      <c r="R24" s="184"/>
    </row>
    <row r="25" spans="1:18" s="183" customFormat="1">
      <c r="A25" s="183">
        <f t="shared" si="0"/>
        <v>16</v>
      </c>
      <c r="B25" s="183" t="str">
        <f>C19</f>
        <v>60kVA</v>
      </c>
      <c r="C25" s="202" t="s">
        <v>525</v>
      </c>
      <c r="D25" s="202" t="s">
        <v>508</v>
      </c>
      <c r="E25" s="202"/>
      <c r="F25" s="202"/>
      <c r="G25" s="203">
        <v>1110</v>
      </c>
      <c r="H25" s="258"/>
      <c r="I25" s="203">
        <v>13.1</v>
      </c>
      <c r="J25" s="203">
        <v>10.3</v>
      </c>
      <c r="K25" s="203">
        <v>7.6</v>
      </c>
      <c r="L25" s="203"/>
      <c r="M25" s="315">
        <f t="shared" si="1"/>
        <v>10.333333333333334</v>
      </c>
      <c r="N25" s="290">
        <f t="shared" si="2"/>
        <v>0.16666666666666663</v>
      </c>
      <c r="O25" s="429" t="s">
        <v>345</v>
      </c>
      <c r="P25" s="276" t="s">
        <v>456</v>
      </c>
      <c r="Q25" s="184"/>
      <c r="R25" s="184"/>
    </row>
    <row r="26" spans="1:18" s="183" customFormat="1" ht="12.75">
      <c r="A26" s="183">
        <f t="shared" si="0"/>
        <v>0</v>
      </c>
      <c r="C26" s="248" t="s">
        <v>580</v>
      </c>
      <c r="D26" s="202"/>
      <c r="E26" s="202"/>
      <c r="F26" s="202"/>
      <c r="G26" s="203"/>
      <c r="H26" s="258"/>
      <c r="I26" s="315">
        <f>MAX(I27:I29)</f>
        <v>26.5</v>
      </c>
      <c r="J26" s="315">
        <f>MAX(J27:J29)</f>
        <v>22.5</v>
      </c>
      <c r="K26" s="315">
        <f>MAX(K27:K29)</f>
        <v>15.45</v>
      </c>
      <c r="L26" s="315"/>
      <c r="M26" s="315">
        <f>MAX(M27:M29)</f>
        <v>21.483333333333334</v>
      </c>
      <c r="N26" s="290">
        <f t="shared" si="2"/>
        <v>-0.73252688172043023</v>
      </c>
      <c r="O26" s="290"/>
      <c r="P26" s="290"/>
      <c r="Q26" s="184"/>
      <c r="R26" s="184"/>
    </row>
    <row r="27" spans="1:18" s="183" customFormat="1">
      <c r="A27" s="183">
        <f t="shared" si="0"/>
        <v>17</v>
      </c>
      <c r="B27" s="183" t="str">
        <f>C26</f>
        <v>100kVA</v>
      </c>
      <c r="C27" s="210" t="s">
        <v>541</v>
      </c>
      <c r="D27" s="210" t="s">
        <v>540</v>
      </c>
      <c r="E27" s="210"/>
      <c r="F27" s="210"/>
      <c r="G27" s="211">
        <v>320</v>
      </c>
      <c r="H27" s="258"/>
      <c r="I27" s="211">
        <v>24.1</v>
      </c>
      <c r="J27" s="211">
        <v>19.8</v>
      </c>
      <c r="K27" s="211">
        <v>13.1</v>
      </c>
      <c r="L27" s="211"/>
      <c r="M27" s="267">
        <f>SUM(K27,J27,I27)/3</f>
        <v>19</v>
      </c>
      <c r="N27" s="228">
        <f>1-(M27/M$28)</f>
        <v>0.11559348332040342</v>
      </c>
      <c r="O27" s="429" t="s">
        <v>345</v>
      </c>
      <c r="P27" s="276" t="s">
        <v>539</v>
      </c>
      <c r="Q27" s="210"/>
      <c r="R27" s="210"/>
    </row>
    <row r="28" spans="1:18" s="183" customFormat="1" ht="12.75">
      <c r="A28" s="183">
        <f t="shared" si="0"/>
        <v>18</v>
      </c>
      <c r="B28" s="183" t="str">
        <f>C26</f>
        <v>100kVA</v>
      </c>
      <c r="C28" s="218" t="s">
        <v>538</v>
      </c>
      <c r="D28" s="218" t="s">
        <v>537</v>
      </c>
      <c r="E28" s="218"/>
      <c r="F28" s="218"/>
      <c r="G28" s="211">
        <v>516</v>
      </c>
      <c r="H28" s="258"/>
      <c r="I28" s="211">
        <v>26.5</v>
      </c>
      <c r="J28" s="211">
        <v>22.5</v>
      </c>
      <c r="K28" s="211">
        <v>15.45</v>
      </c>
      <c r="L28" s="211"/>
      <c r="M28" s="267">
        <f>SUM(K28,J28,I28)/3</f>
        <v>21.483333333333334</v>
      </c>
      <c r="N28" s="235">
        <f>1-(M28/M$28)</f>
        <v>0</v>
      </c>
      <c r="O28" s="235"/>
      <c r="P28" s="235"/>
      <c r="Q28" s="210"/>
      <c r="R28" s="210" t="s">
        <v>536</v>
      </c>
    </row>
    <row r="29" spans="1:18" s="183" customFormat="1">
      <c r="A29" s="183">
        <f t="shared" si="0"/>
        <v>19</v>
      </c>
      <c r="B29" s="183" t="str">
        <f>C26</f>
        <v>100kVA</v>
      </c>
      <c r="C29" s="210" t="s">
        <v>526</v>
      </c>
      <c r="D29" s="210" t="s">
        <v>507</v>
      </c>
      <c r="E29" s="210"/>
      <c r="F29" s="210"/>
      <c r="G29" s="211">
        <v>435</v>
      </c>
      <c r="H29" s="258"/>
      <c r="I29" s="211">
        <v>24.07</v>
      </c>
      <c r="J29" s="211">
        <v>17.79</v>
      </c>
      <c r="K29" s="211">
        <v>12.11</v>
      </c>
      <c r="L29" s="211"/>
      <c r="M29" s="267">
        <f>SUM(K29,J29,I29)/3</f>
        <v>17.989999999999998</v>
      </c>
      <c r="N29" s="228">
        <f>1-(M29/M$28)</f>
        <v>0.16260667183863475</v>
      </c>
      <c r="O29" s="429" t="s">
        <v>345</v>
      </c>
      <c r="P29" s="276" t="s">
        <v>456</v>
      </c>
      <c r="Q29" s="210"/>
      <c r="R29" s="210"/>
    </row>
    <row r="30" spans="1:18" s="183" customFormat="1" ht="12.75">
      <c r="A30" s="183">
        <f t="shared" si="0"/>
        <v>0</v>
      </c>
      <c r="C30" s="248" t="s">
        <v>581</v>
      </c>
      <c r="D30" s="210"/>
      <c r="E30" s="210"/>
      <c r="F30" s="210"/>
      <c r="G30" s="211"/>
      <c r="H30" s="258"/>
      <c r="I30" s="267">
        <f>MAX(I31:I34)</f>
        <v>27.6</v>
      </c>
      <c r="J30" s="267">
        <f>MAX(J31:J34)</f>
        <v>21.6</v>
      </c>
      <c r="K30" s="267">
        <f>MAX(K31:K34)</f>
        <v>15.36</v>
      </c>
      <c r="L30" s="267"/>
      <c r="M30" s="267">
        <f>MAX(M31:M34)</f>
        <v>21.5</v>
      </c>
      <c r="N30" s="228"/>
      <c r="O30" s="228"/>
      <c r="P30" s="228"/>
      <c r="Q30" s="210"/>
      <c r="R30" s="210"/>
    </row>
    <row r="31" spans="1:18" s="183" customFormat="1">
      <c r="A31" s="183">
        <f t="shared" si="0"/>
        <v>20</v>
      </c>
      <c r="B31" s="183" t="str">
        <f>C30</f>
        <v>125kVA</v>
      </c>
      <c r="C31" s="204" t="s">
        <v>526</v>
      </c>
      <c r="D31" s="204" t="s">
        <v>506</v>
      </c>
      <c r="E31" s="204"/>
      <c r="F31" s="204"/>
      <c r="G31" s="205">
        <v>336</v>
      </c>
      <c r="H31" s="258"/>
      <c r="I31" s="205">
        <v>27.6</v>
      </c>
      <c r="J31" s="205">
        <v>21.6</v>
      </c>
      <c r="K31" s="205">
        <v>15.3</v>
      </c>
      <c r="L31" s="205"/>
      <c r="M31" s="327">
        <f>SUM(K31,J31,I31)/3</f>
        <v>21.5</v>
      </c>
      <c r="N31" s="233">
        <f>1-(M31/M$31)</f>
        <v>0</v>
      </c>
      <c r="O31" s="429" t="s">
        <v>345</v>
      </c>
      <c r="P31" s="276" t="s">
        <v>456</v>
      </c>
      <c r="Q31" s="204"/>
      <c r="R31" s="204"/>
    </row>
    <row r="32" spans="1:18" s="183" customFormat="1">
      <c r="A32" s="183">
        <f t="shared" si="0"/>
        <v>21</v>
      </c>
      <c r="B32" s="183" t="str">
        <f>C30</f>
        <v>125kVA</v>
      </c>
      <c r="C32" s="204" t="s">
        <v>535</v>
      </c>
      <c r="D32" s="204" t="s">
        <v>505</v>
      </c>
      <c r="E32" s="204"/>
      <c r="F32" s="204"/>
      <c r="G32" s="205">
        <v>150</v>
      </c>
      <c r="H32" s="258"/>
      <c r="I32" s="205">
        <v>22.41</v>
      </c>
      <c r="J32" s="205">
        <v>16.73</v>
      </c>
      <c r="K32" s="205">
        <v>11.11</v>
      </c>
      <c r="L32" s="205"/>
      <c r="M32" s="327">
        <f>SUM(K32,J32,I32)/3</f>
        <v>16.75</v>
      </c>
      <c r="N32" s="232">
        <f>1-(M32/M$31)</f>
        <v>0.22093023255813948</v>
      </c>
      <c r="O32" s="429" t="s">
        <v>345</v>
      </c>
      <c r="P32" s="276" t="s">
        <v>456</v>
      </c>
      <c r="Q32" s="204"/>
      <c r="R32" s="204"/>
    </row>
    <row r="33" spans="1:18" s="183" customFormat="1">
      <c r="A33" s="183">
        <f t="shared" si="0"/>
        <v>22</v>
      </c>
      <c r="B33" s="183" t="str">
        <f>C30</f>
        <v>125kVA</v>
      </c>
      <c r="C33" s="204" t="s">
        <v>525</v>
      </c>
      <c r="D33" s="204" t="s">
        <v>504</v>
      </c>
      <c r="E33" s="204"/>
      <c r="F33" s="204"/>
      <c r="G33" s="205">
        <v>1130</v>
      </c>
      <c r="H33" s="258"/>
      <c r="I33" s="205">
        <v>26.2</v>
      </c>
      <c r="J33" s="205">
        <v>19.899999999999999</v>
      </c>
      <c r="K33" s="205">
        <v>15.36</v>
      </c>
      <c r="L33" s="205"/>
      <c r="M33" s="327">
        <f>SUM(K33,J33,I33)/3</f>
        <v>20.486666666666665</v>
      </c>
      <c r="N33" s="232">
        <f>1-(M33/M$31)</f>
        <v>4.71317829457365E-2</v>
      </c>
      <c r="O33" s="429" t="s">
        <v>345</v>
      </c>
      <c r="P33" s="276" t="s">
        <v>456</v>
      </c>
      <c r="Q33" s="204"/>
      <c r="R33" s="204"/>
    </row>
    <row r="34" spans="1:18" s="183" customFormat="1">
      <c r="A34" s="183">
        <f t="shared" si="0"/>
        <v>23</v>
      </c>
      <c r="B34" s="183" t="str">
        <f>C30</f>
        <v>125kVA</v>
      </c>
      <c r="C34" s="204" t="s">
        <v>534</v>
      </c>
      <c r="D34" s="204" t="s">
        <v>503</v>
      </c>
      <c r="E34" s="204"/>
      <c r="F34" s="204"/>
      <c r="G34" s="205">
        <v>750</v>
      </c>
      <c r="H34" s="258"/>
      <c r="I34" s="205">
        <v>26.2</v>
      </c>
      <c r="J34" s="205">
        <v>19.899999999999999</v>
      </c>
      <c r="K34" s="205">
        <v>15.36</v>
      </c>
      <c r="L34" s="205"/>
      <c r="M34" s="327">
        <f>SUM(K34,J34,I34)/3</f>
        <v>20.486666666666665</v>
      </c>
      <c r="N34" s="232">
        <f>1-(M34/M$31)</f>
        <v>4.71317829457365E-2</v>
      </c>
      <c r="O34" s="429" t="s">
        <v>345</v>
      </c>
      <c r="P34" s="276" t="s">
        <v>456</v>
      </c>
      <c r="Q34" s="204"/>
      <c r="R34" s="204"/>
    </row>
    <row r="35" spans="1:18" s="183" customFormat="1" ht="12.75">
      <c r="A35" s="183">
        <f t="shared" si="0"/>
        <v>0</v>
      </c>
      <c r="C35" s="248" t="s">
        <v>582</v>
      </c>
      <c r="D35" s="204"/>
      <c r="E35" s="204"/>
      <c r="F35" s="204"/>
      <c r="G35" s="205"/>
      <c r="H35" s="258"/>
      <c r="I35" s="327">
        <f>MAX(I36:I37)</f>
        <v>40</v>
      </c>
      <c r="J35" s="327">
        <f>MAX(J36:J37)</f>
        <v>30</v>
      </c>
      <c r="K35" s="327">
        <f>MAX(K36:K37)</f>
        <v>20</v>
      </c>
      <c r="L35" s="327"/>
      <c r="M35" s="327">
        <f>MAX(M36:M37)</f>
        <v>30</v>
      </c>
      <c r="N35" s="232">
        <f>1-(M35/M$31)</f>
        <v>-0.39534883720930236</v>
      </c>
      <c r="O35" s="232"/>
      <c r="P35" s="232"/>
      <c r="Q35" s="204"/>
      <c r="R35" s="204"/>
    </row>
    <row r="36" spans="1:18" s="183" customFormat="1">
      <c r="A36" s="183">
        <f t="shared" si="0"/>
        <v>24</v>
      </c>
      <c r="B36" s="183" t="str">
        <f>C35</f>
        <v>175kVA</v>
      </c>
      <c r="C36" s="206" t="s">
        <v>526</v>
      </c>
      <c r="D36" s="206" t="s">
        <v>502</v>
      </c>
      <c r="E36" s="206"/>
      <c r="F36" s="206"/>
      <c r="G36" s="207">
        <v>457</v>
      </c>
      <c r="H36" s="258"/>
      <c r="I36" s="207">
        <v>40</v>
      </c>
      <c r="J36" s="207">
        <v>30</v>
      </c>
      <c r="K36" s="217">
        <v>20</v>
      </c>
      <c r="L36" s="217"/>
      <c r="M36" s="288">
        <f>SUM(K36,J36,I36)/3</f>
        <v>30</v>
      </c>
      <c r="N36" s="231">
        <f>1-(M36/M$36)</f>
        <v>0</v>
      </c>
      <c r="O36" s="429" t="s">
        <v>345</v>
      </c>
      <c r="P36" s="276" t="s">
        <v>456</v>
      </c>
      <c r="Q36" s="342"/>
      <c r="R36" s="342"/>
    </row>
    <row r="37" spans="1:18" s="183" customFormat="1" ht="14.25" customHeight="1">
      <c r="A37" s="183">
        <f t="shared" si="0"/>
        <v>25</v>
      </c>
      <c r="B37" s="183" t="str">
        <f>C35</f>
        <v>175kVA</v>
      </c>
      <c r="C37" s="206" t="s">
        <v>525</v>
      </c>
      <c r="D37" s="206" t="s">
        <v>501</v>
      </c>
      <c r="E37" s="206"/>
      <c r="F37" s="206"/>
      <c r="G37" s="207">
        <v>1110</v>
      </c>
      <c r="H37" s="258"/>
      <c r="I37" s="207">
        <v>40</v>
      </c>
      <c r="J37" s="207">
        <v>30</v>
      </c>
      <c r="K37" s="217">
        <v>20</v>
      </c>
      <c r="L37" s="217"/>
      <c r="M37" s="288">
        <f>SUM(K37,J37,I37)/3</f>
        <v>30</v>
      </c>
      <c r="N37" s="234">
        <f>1-(M37/M$36)</f>
        <v>0</v>
      </c>
      <c r="O37" s="429" t="s">
        <v>345</v>
      </c>
      <c r="P37" s="276" t="s">
        <v>456</v>
      </c>
      <c r="Q37" s="342"/>
      <c r="R37" s="342"/>
    </row>
    <row r="38" spans="1:18" s="183" customFormat="1" ht="12.75">
      <c r="A38" s="183">
        <f t="shared" si="0"/>
        <v>0</v>
      </c>
      <c r="C38" s="248" t="s">
        <v>583</v>
      </c>
      <c r="D38" s="343"/>
      <c r="E38" s="206"/>
      <c r="F38" s="206"/>
      <c r="G38" s="207"/>
      <c r="H38" s="258"/>
      <c r="I38" s="288">
        <f>MAX(I39:I41)</f>
        <v>43.9</v>
      </c>
      <c r="J38" s="288">
        <f>MAX(J39:J41)</f>
        <v>34</v>
      </c>
      <c r="K38" s="288">
        <f>MAX(K39:K41)</f>
        <v>23.9</v>
      </c>
      <c r="L38" s="288"/>
      <c r="M38" s="288">
        <f>MAX(M39:M41)</f>
        <v>33.93333333333333</v>
      </c>
      <c r="N38" s="234"/>
      <c r="O38" s="234"/>
      <c r="P38" s="234"/>
      <c r="Q38" s="342"/>
      <c r="R38" s="342"/>
    </row>
    <row r="39" spans="1:18" s="183" customFormat="1">
      <c r="A39" s="183">
        <f t="shared" si="0"/>
        <v>26</v>
      </c>
      <c r="B39" s="183" t="str">
        <f>C38</f>
        <v>200kVA</v>
      </c>
      <c r="C39" s="222" t="s">
        <v>526</v>
      </c>
      <c r="D39" s="222" t="s">
        <v>500</v>
      </c>
      <c r="E39" s="222"/>
      <c r="F39" s="222"/>
      <c r="G39" s="220">
        <v>414</v>
      </c>
      <c r="H39" s="258"/>
      <c r="I39" s="220">
        <v>43.9</v>
      </c>
      <c r="J39" s="220">
        <v>34</v>
      </c>
      <c r="K39" s="220">
        <v>23.9</v>
      </c>
      <c r="L39" s="220"/>
      <c r="M39" s="286">
        <f>SUM(K39,J39,I39)/3</f>
        <v>33.93333333333333</v>
      </c>
      <c r="N39" s="237">
        <f>1-(M39/M$39)</f>
        <v>0</v>
      </c>
      <c r="O39" s="429" t="s">
        <v>345</v>
      </c>
      <c r="P39" s="276" t="s">
        <v>456</v>
      </c>
      <c r="Q39" s="222"/>
      <c r="R39" s="222"/>
    </row>
    <row r="40" spans="1:18" s="183" customFormat="1">
      <c r="A40" s="183">
        <f t="shared" si="0"/>
        <v>27</v>
      </c>
      <c r="B40" s="183" t="str">
        <f>C38</f>
        <v>200kVA</v>
      </c>
      <c r="C40" s="222" t="s">
        <v>525</v>
      </c>
      <c r="D40" s="222" t="s">
        <v>499</v>
      </c>
      <c r="E40" s="222"/>
      <c r="F40" s="222"/>
      <c r="G40" s="220">
        <v>990</v>
      </c>
      <c r="H40" s="258"/>
      <c r="I40" s="220">
        <v>42.1</v>
      </c>
      <c r="J40" s="220">
        <v>31.4</v>
      </c>
      <c r="K40" s="220">
        <v>21.3</v>
      </c>
      <c r="L40" s="220"/>
      <c r="M40" s="286">
        <f>SUM(K40,J40,I40)/3</f>
        <v>31.600000000000005</v>
      </c>
      <c r="N40" s="229">
        <f>1-(M40/M$39)</f>
        <v>6.8762278978388713E-2</v>
      </c>
      <c r="O40" s="429" t="s">
        <v>345</v>
      </c>
      <c r="P40" s="276" t="s">
        <v>456</v>
      </c>
      <c r="Q40" s="222"/>
      <c r="R40" s="222"/>
    </row>
    <row r="41" spans="1:18" s="183" customFormat="1" ht="12.75">
      <c r="A41" s="183">
        <f t="shared" si="0"/>
        <v>28</v>
      </c>
      <c r="B41" s="183" t="str">
        <f>C38</f>
        <v>200kVA</v>
      </c>
      <c r="C41" s="314" t="s">
        <v>533</v>
      </c>
      <c r="D41" s="314" t="s">
        <v>532</v>
      </c>
      <c r="E41" s="222"/>
      <c r="F41" s="222"/>
      <c r="G41" s="220">
        <v>961</v>
      </c>
      <c r="H41" s="258"/>
      <c r="I41" s="220">
        <v>40</v>
      </c>
      <c r="J41" s="220">
        <v>30.4</v>
      </c>
      <c r="K41" s="220">
        <v>20.3</v>
      </c>
      <c r="L41" s="220"/>
      <c r="M41" s="286">
        <f>SUM(K41,J41,I41)/3</f>
        <v>30.233333333333334</v>
      </c>
      <c r="N41" s="229">
        <f>1-(M41/M$39)</f>
        <v>0.10903732809430244</v>
      </c>
      <c r="O41" s="229"/>
      <c r="P41" s="229"/>
      <c r="Q41" s="222"/>
      <c r="R41" s="222"/>
    </row>
    <row r="42" spans="1:18" s="183" customFormat="1" ht="12.75">
      <c r="A42" s="183">
        <f t="shared" si="0"/>
        <v>0</v>
      </c>
      <c r="C42" s="248" t="s">
        <v>584</v>
      </c>
      <c r="D42" s="314"/>
      <c r="E42" s="222"/>
      <c r="F42" s="222"/>
      <c r="G42" s="220"/>
      <c r="H42" s="258"/>
      <c r="I42" s="286">
        <f>MAX(I43:I45)</f>
        <v>59.2</v>
      </c>
      <c r="J42" s="286">
        <f>MAX(J43:J45)</f>
        <v>49.4</v>
      </c>
      <c r="K42" s="286">
        <f>MAX(K43:K45)</f>
        <v>33.799999999999997</v>
      </c>
      <c r="L42" s="286"/>
      <c r="M42" s="286">
        <f>MAX(M43:M45)</f>
        <v>47.466666666666661</v>
      </c>
      <c r="N42" s="229"/>
      <c r="O42" s="229"/>
      <c r="P42" s="229"/>
      <c r="Q42" s="222"/>
      <c r="R42" s="222"/>
    </row>
    <row r="43" spans="1:18" s="183" customFormat="1" ht="12.75">
      <c r="A43" s="183">
        <f t="shared" si="0"/>
        <v>29</v>
      </c>
      <c r="B43" s="183" t="str">
        <f>C42</f>
        <v>250kVA</v>
      </c>
      <c r="C43" s="223" t="s">
        <v>531</v>
      </c>
      <c r="D43" s="223" t="s">
        <v>530</v>
      </c>
      <c r="E43" s="224"/>
      <c r="F43" s="224"/>
      <c r="G43" s="221">
        <v>1461</v>
      </c>
      <c r="H43" s="258"/>
      <c r="I43" s="221">
        <v>59.2</v>
      </c>
      <c r="J43" s="221">
        <v>49.4</v>
      </c>
      <c r="K43" s="221">
        <v>33.799999999999997</v>
      </c>
      <c r="L43" s="221"/>
      <c r="M43" s="316">
        <f>SUM(K43,J43,I43)/3</f>
        <v>47.466666666666661</v>
      </c>
      <c r="N43" s="236">
        <f>1-(M43/M$43)</f>
        <v>0</v>
      </c>
      <c r="O43" s="236"/>
      <c r="P43" s="236"/>
      <c r="Q43" s="224"/>
      <c r="R43" s="224"/>
    </row>
    <row r="44" spans="1:18" s="183" customFormat="1" ht="12.75">
      <c r="A44" s="183">
        <f t="shared" si="0"/>
        <v>30</v>
      </c>
      <c r="B44" s="183" t="str">
        <f>C42</f>
        <v>250kVA</v>
      </c>
      <c r="C44" s="223" t="s">
        <v>529</v>
      </c>
      <c r="D44" s="223" t="s">
        <v>528</v>
      </c>
      <c r="E44" s="223"/>
      <c r="F44" s="223"/>
      <c r="G44" s="221">
        <v>1000</v>
      </c>
      <c r="H44" s="258"/>
      <c r="I44" s="221">
        <v>57.85</v>
      </c>
      <c r="J44" s="221">
        <v>43.48</v>
      </c>
      <c r="K44" s="221">
        <v>30.2</v>
      </c>
      <c r="L44" s="221"/>
      <c r="M44" s="316">
        <f>SUM(K44,J44,I44)/3</f>
        <v>43.843333333333334</v>
      </c>
      <c r="N44" s="230">
        <f>1-(M44/M$43)</f>
        <v>7.6334269662921228E-2</v>
      </c>
      <c r="O44" s="230"/>
      <c r="P44" s="230"/>
      <c r="Q44" s="224"/>
      <c r="R44" s="224" t="s">
        <v>527</v>
      </c>
    </row>
    <row r="45" spans="1:18" s="183" customFormat="1">
      <c r="A45" s="183">
        <f t="shared" si="0"/>
        <v>31</v>
      </c>
      <c r="B45" s="183" t="str">
        <f>C42</f>
        <v>250kVA</v>
      </c>
      <c r="C45" s="224" t="s">
        <v>526</v>
      </c>
      <c r="D45" s="224" t="s">
        <v>498</v>
      </c>
      <c r="E45" s="224"/>
      <c r="F45" s="224"/>
      <c r="G45" s="221">
        <v>414</v>
      </c>
      <c r="H45" s="258"/>
      <c r="I45" s="221">
        <v>53.3</v>
      </c>
      <c r="J45" s="221">
        <v>41.7</v>
      </c>
      <c r="K45" s="221">
        <v>30.3</v>
      </c>
      <c r="L45" s="221"/>
      <c r="M45" s="316">
        <f>SUM(K45,J45,I45)/3</f>
        <v>41.766666666666666</v>
      </c>
      <c r="N45" s="230">
        <f>1-(M45/M$43)</f>
        <v>0.12008426966292129</v>
      </c>
      <c r="O45" s="429" t="s">
        <v>345</v>
      </c>
      <c r="P45" s="276" t="s">
        <v>456</v>
      </c>
      <c r="Q45" s="224"/>
      <c r="R45" s="224"/>
    </row>
    <row r="46" spans="1:18" s="183" customFormat="1" ht="12.75">
      <c r="A46" s="183">
        <f t="shared" si="0"/>
        <v>0</v>
      </c>
      <c r="C46" s="248" t="s">
        <v>585</v>
      </c>
      <c r="D46" s="224"/>
      <c r="E46" s="224"/>
      <c r="F46" s="224"/>
      <c r="G46" s="221"/>
      <c r="H46" s="258"/>
      <c r="I46" s="316">
        <f>MAX(I47:I48)</f>
        <v>67</v>
      </c>
      <c r="J46" s="316">
        <f>MAX(J47:J48)</f>
        <v>52</v>
      </c>
      <c r="K46" s="316">
        <f>MAX(K47:K48)</f>
        <v>37</v>
      </c>
      <c r="L46" s="316"/>
      <c r="M46" s="316">
        <f>MAX(M47:M48)</f>
        <v>52</v>
      </c>
      <c r="N46" s="230"/>
      <c r="O46" s="230"/>
      <c r="P46" s="230"/>
      <c r="Q46" s="224"/>
      <c r="R46" s="224"/>
    </row>
    <row r="47" spans="1:18" s="183" customFormat="1">
      <c r="A47" s="183">
        <f t="shared" si="0"/>
        <v>32</v>
      </c>
      <c r="B47" s="183" t="str">
        <f>C46</f>
        <v>320kVA</v>
      </c>
      <c r="C47" s="208" t="s">
        <v>526</v>
      </c>
      <c r="D47" s="208" t="s">
        <v>497</v>
      </c>
      <c r="E47" s="208"/>
      <c r="F47" s="208"/>
      <c r="G47" s="209">
        <v>422</v>
      </c>
      <c r="H47" s="258"/>
      <c r="I47" s="209">
        <v>67</v>
      </c>
      <c r="J47" s="209">
        <v>52</v>
      </c>
      <c r="K47" s="209">
        <v>37</v>
      </c>
      <c r="L47" s="209"/>
      <c r="M47" s="279">
        <f>SUM(K47,J47,I47)/3</f>
        <v>52</v>
      </c>
      <c r="N47" s="294">
        <f>1-(M47/M$47)</f>
        <v>0</v>
      </c>
      <c r="O47" s="429" t="s">
        <v>345</v>
      </c>
      <c r="P47" s="276" t="s">
        <v>456</v>
      </c>
      <c r="Q47" s="293"/>
      <c r="R47" s="293"/>
    </row>
    <row r="48" spans="1:18" s="183" customFormat="1">
      <c r="A48" s="183">
        <f t="shared" si="0"/>
        <v>33</v>
      </c>
      <c r="B48" s="183" t="str">
        <f>C46</f>
        <v>320kVA</v>
      </c>
      <c r="C48" s="208" t="s">
        <v>525</v>
      </c>
      <c r="D48" s="208" t="s">
        <v>496</v>
      </c>
      <c r="E48" s="208"/>
      <c r="F48" s="208"/>
      <c r="G48" s="209">
        <v>1000</v>
      </c>
      <c r="H48" s="258"/>
      <c r="I48" s="209">
        <v>62</v>
      </c>
      <c r="J48" s="209">
        <v>48</v>
      </c>
      <c r="K48" s="209">
        <v>35</v>
      </c>
      <c r="L48" s="209"/>
      <c r="M48" s="279">
        <f>SUM(K48,J48,I48)/3</f>
        <v>48.333333333333336</v>
      </c>
      <c r="N48" s="309">
        <f>1-(M48/M$47)</f>
        <v>7.0512820512820484E-2</v>
      </c>
      <c r="O48" s="429" t="s">
        <v>345</v>
      </c>
      <c r="P48" s="276" t="s">
        <v>456</v>
      </c>
      <c r="Q48" s="293"/>
      <c r="R48" s="293"/>
    </row>
    <row r="49" spans="1:18" s="183" customFormat="1" ht="12.75">
      <c r="A49" s="183">
        <f t="shared" si="0"/>
        <v>0</v>
      </c>
      <c r="C49" s="248" t="s">
        <v>586</v>
      </c>
      <c r="D49" s="208"/>
      <c r="E49" s="208"/>
      <c r="F49" s="208"/>
      <c r="G49" s="209"/>
      <c r="H49" s="258"/>
      <c r="I49" s="279">
        <f>I50</f>
        <v>64</v>
      </c>
      <c r="J49" s="279">
        <f>J50</f>
        <v>48.3</v>
      </c>
      <c r="K49" s="279">
        <f>K50</f>
        <v>35</v>
      </c>
      <c r="L49" s="279"/>
      <c r="M49" s="279">
        <f>M50</f>
        <v>49.1</v>
      </c>
      <c r="N49" s="309"/>
      <c r="O49" s="309"/>
      <c r="P49" s="309"/>
      <c r="Q49" s="293"/>
      <c r="R49" s="293"/>
    </row>
    <row r="50" spans="1:18" s="183" customFormat="1">
      <c r="A50" s="183">
        <f t="shared" si="0"/>
        <v>34</v>
      </c>
      <c r="B50" s="183" t="str">
        <f>C49</f>
        <v>350kVA</v>
      </c>
      <c r="C50" s="184" t="s">
        <v>524</v>
      </c>
      <c r="D50" s="184" t="s">
        <v>586</v>
      </c>
      <c r="E50" s="184"/>
      <c r="F50" s="184"/>
      <c r="G50" s="191">
        <v>930</v>
      </c>
      <c r="H50" s="258"/>
      <c r="I50" s="191">
        <v>64</v>
      </c>
      <c r="J50" s="191">
        <v>48.3</v>
      </c>
      <c r="K50" s="219">
        <v>35</v>
      </c>
      <c r="L50" s="219"/>
      <c r="M50" s="315">
        <f>SUM(K50,J50,I50)/3</f>
        <v>49.1</v>
      </c>
      <c r="N50" s="290"/>
      <c r="O50" s="429" t="s">
        <v>345</v>
      </c>
      <c r="P50" s="276" t="s">
        <v>456</v>
      </c>
      <c r="Q50" s="184"/>
      <c r="R50" s="184"/>
    </row>
    <row r="51" spans="1:18" s="183" customFormat="1">
      <c r="A51" s="183">
        <f t="shared" si="0"/>
        <v>0</v>
      </c>
      <c r="C51" s="184" t="s">
        <v>587</v>
      </c>
      <c r="D51" s="184"/>
      <c r="E51" s="184"/>
      <c r="F51" s="184"/>
      <c r="G51" s="191"/>
      <c r="H51" s="258"/>
      <c r="I51" s="315">
        <f>I52</f>
        <v>107</v>
      </c>
      <c r="J51" s="315">
        <f>J52</f>
        <v>82</v>
      </c>
      <c r="K51" s="315">
        <f>K52</f>
        <v>57</v>
      </c>
      <c r="L51" s="315"/>
      <c r="M51" s="315">
        <f>M52</f>
        <v>82</v>
      </c>
      <c r="N51" s="290"/>
      <c r="O51" s="429"/>
      <c r="P51" s="276"/>
      <c r="Q51" s="184"/>
      <c r="R51" s="184"/>
    </row>
    <row r="52" spans="1:18" s="183" customFormat="1">
      <c r="A52" s="183">
        <f t="shared" si="0"/>
        <v>35</v>
      </c>
      <c r="B52" s="183" t="str">
        <f>C51</f>
        <v>500kVA</v>
      </c>
      <c r="C52" s="184" t="s">
        <v>523</v>
      </c>
      <c r="D52" s="184" t="s">
        <v>587</v>
      </c>
      <c r="E52" s="184"/>
      <c r="F52" s="184"/>
      <c r="G52" s="191">
        <v>1253</v>
      </c>
      <c r="H52" s="258"/>
      <c r="I52" s="191">
        <v>107</v>
      </c>
      <c r="J52" s="191">
        <v>82</v>
      </c>
      <c r="K52" s="219">
        <v>57</v>
      </c>
      <c r="L52" s="219"/>
      <c r="M52" s="315">
        <f>SUM(K52,J52,I52)/3</f>
        <v>82</v>
      </c>
      <c r="N52" s="290"/>
      <c r="O52" s="429" t="s">
        <v>345</v>
      </c>
      <c r="P52" s="276" t="s">
        <v>456</v>
      </c>
      <c r="Q52" s="184"/>
      <c r="R52" s="184"/>
    </row>
    <row r="53" spans="1:18" s="183" customFormat="1">
      <c r="A53" s="183">
        <f t="shared" si="0"/>
        <v>0</v>
      </c>
      <c r="C53" s="184" t="s">
        <v>588</v>
      </c>
      <c r="D53" s="184"/>
      <c r="E53" s="184"/>
      <c r="F53" s="184"/>
      <c r="G53" s="191"/>
      <c r="H53" s="258"/>
      <c r="I53" s="315">
        <f>I54</f>
        <v>167</v>
      </c>
      <c r="J53" s="315">
        <f>J54</f>
        <v>128</v>
      </c>
      <c r="K53" s="315">
        <f>K54</f>
        <v>90</v>
      </c>
      <c r="L53" s="315"/>
      <c r="M53" s="315">
        <f>M54</f>
        <v>128.33333333333334</v>
      </c>
      <c r="N53" s="290"/>
      <c r="O53" s="429"/>
      <c r="P53" s="276"/>
      <c r="Q53" s="184"/>
      <c r="R53" s="184"/>
    </row>
    <row r="54" spans="1:18" s="183" customFormat="1">
      <c r="A54" s="183">
        <f t="shared" si="0"/>
        <v>36</v>
      </c>
      <c r="B54" s="183" t="str">
        <f>C53</f>
        <v>800kVA</v>
      </c>
      <c r="C54" s="184" t="s">
        <v>522</v>
      </c>
      <c r="D54" s="184" t="s">
        <v>588</v>
      </c>
      <c r="E54" s="184"/>
      <c r="F54" s="184"/>
      <c r="G54" s="191">
        <v>1288</v>
      </c>
      <c r="H54" s="258"/>
      <c r="I54" s="191">
        <v>167</v>
      </c>
      <c r="J54" s="191">
        <v>128</v>
      </c>
      <c r="K54" s="219">
        <v>90</v>
      </c>
      <c r="L54" s="219"/>
      <c r="M54" s="315">
        <f>SUM(K54,J54,I54)/3</f>
        <v>128.33333333333334</v>
      </c>
      <c r="N54" s="290"/>
      <c r="O54" s="429" t="s">
        <v>345</v>
      </c>
      <c r="P54" s="276" t="s">
        <v>456</v>
      </c>
      <c r="Q54" s="184"/>
      <c r="R54" s="184"/>
    </row>
    <row r="55" spans="1:18" s="183" customFormat="1">
      <c r="A55" s="183">
        <f t="shared" si="0"/>
        <v>0</v>
      </c>
      <c r="C55" s="184" t="s">
        <v>589</v>
      </c>
      <c r="D55" s="184"/>
      <c r="E55" s="184"/>
      <c r="F55" s="184"/>
      <c r="G55" s="191"/>
      <c r="H55" s="258"/>
      <c r="I55" s="315">
        <f>I56</f>
        <v>217</v>
      </c>
      <c r="J55" s="315">
        <f>J56</f>
        <v>168</v>
      </c>
      <c r="K55" s="315">
        <f>K56</f>
        <v>120</v>
      </c>
      <c r="L55" s="315"/>
      <c r="M55" s="315">
        <f>M56</f>
        <v>168.33333333333334</v>
      </c>
      <c r="N55" s="290"/>
      <c r="O55" s="429"/>
      <c r="P55" s="276"/>
      <c r="Q55" s="184"/>
      <c r="R55" s="184"/>
    </row>
    <row r="56" spans="1:18" s="183" customFormat="1">
      <c r="A56" s="183">
        <f t="shared" si="0"/>
        <v>37</v>
      </c>
      <c r="B56" s="183" t="str">
        <f>C55</f>
        <v>1000kVA</v>
      </c>
      <c r="C56" s="184" t="s">
        <v>521</v>
      </c>
      <c r="D56" s="184" t="s">
        <v>589</v>
      </c>
      <c r="E56" s="184"/>
      <c r="F56" s="184"/>
      <c r="G56" s="191">
        <v>1288</v>
      </c>
      <c r="H56" s="258"/>
      <c r="I56" s="191">
        <v>217</v>
      </c>
      <c r="J56" s="191">
        <v>168</v>
      </c>
      <c r="K56" s="219">
        <v>120</v>
      </c>
      <c r="L56" s="219"/>
      <c r="M56" s="315">
        <f>SUM(K56,J56,I56)/3</f>
        <v>168.33333333333334</v>
      </c>
      <c r="N56" s="290"/>
      <c r="O56" s="429" t="s">
        <v>345</v>
      </c>
      <c r="P56" s="276" t="s">
        <v>456</v>
      </c>
      <c r="Q56" s="184"/>
      <c r="R56" s="184"/>
    </row>
    <row r="57" spans="1:18" s="183" customFormat="1">
      <c r="A57" s="183">
        <f t="shared" si="0"/>
        <v>0</v>
      </c>
      <c r="C57" s="184" t="s">
        <v>590</v>
      </c>
      <c r="D57" s="184"/>
      <c r="E57" s="184"/>
      <c r="F57" s="184"/>
      <c r="G57" s="191"/>
      <c r="H57" s="258"/>
      <c r="I57" s="315">
        <f>I58</f>
        <v>263</v>
      </c>
      <c r="J57" s="315">
        <f>J58</f>
        <v>203</v>
      </c>
      <c r="K57" s="315">
        <f>K58</f>
        <v>143</v>
      </c>
      <c r="L57" s="315"/>
      <c r="M57" s="315">
        <f>M58</f>
        <v>203</v>
      </c>
      <c r="N57" s="290"/>
      <c r="O57" s="429"/>
      <c r="P57" s="276"/>
      <c r="Q57" s="184"/>
      <c r="R57" s="184"/>
    </row>
    <row r="58" spans="1:18" s="183" customFormat="1">
      <c r="A58" s="183">
        <f t="shared" si="0"/>
        <v>38</v>
      </c>
      <c r="B58" s="183" t="str">
        <f>C57</f>
        <v>1250kVA</v>
      </c>
      <c r="C58" s="184" t="s">
        <v>520</v>
      </c>
      <c r="D58" s="184" t="s">
        <v>590</v>
      </c>
      <c r="E58" s="184"/>
      <c r="F58" s="184"/>
      <c r="G58" s="191">
        <v>1288</v>
      </c>
      <c r="H58" s="258"/>
      <c r="I58" s="191">
        <v>263</v>
      </c>
      <c r="J58" s="191">
        <v>203</v>
      </c>
      <c r="K58" s="219">
        <v>143</v>
      </c>
      <c r="L58" s="219"/>
      <c r="M58" s="315">
        <f>SUM(K58,J58,I58)/3</f>
        <v>203</v>
      </c>
      <c r="N58" s="290"/>
      <c r="O58" s="429" t="s">
        <v>345</v>
      </c>
      <c r="P58" s="276" t="s">
        <v>456</v>
      </c>
      <c r="Q58" s="184"/>
      <c r="R58" s="184"/>
    </row>
    <row r="59" spans="1:18" s="183" customFormat="1">
      <c r="A59" s="183">
        <f t="shared" si="0"/>
        <v>0</v>
      </c>
      <c r="C59" s="184" t="s">
        <v>591</v>
      </c>
      <c r="D59" s="184"/>
      <c r="E59" s="184"/>
      <c r="F59" s="184"/>
      <c r="G59" s="191"/>
      <c r="H59" s="258"/>
      <c r="I59" s="315">
        <f>I60</f>
        <v>407</v>
      </c>
      <c r="J59" s="315">
        <f>J60</f>
        <v>305</v>
      </c>
      <c r="K59" s="315">
        <f>K60</f>
        <v>216</v>
      </c>
      <c r="L59" s="315"/>
      <c r="M59" s="315">
        <f>M60</f>
        <v>309.33333333333331</v>
      </c>
      <c r="N59" s="290"/>
      <c r="O59" s="429"/>
      <c r="P59" s="276"/>
      <c r="Q59" s="184"/>
      <c r="R59" s="184"/>
    </row>
    <row r="60" spans="1:18" s="183" customFormat="1">
      <c r="A60" s="183">
        <f t="shared" si="0"/>
        <v>39</v>
      </c>
      <c r="B60" s="183" t="str">
        <f>C59</f>
        <v>2100kVA</v>
      </c>
      <c r="C60" s="184" t="s">
        <v>519</v>
      </c>
      <c r="D60" s="184" t="s">
        <v>591</v>
      </c>
      <c r="E60" s="184"/>
      <c r="F60" s="184"/>
      <c r="G60" s="191">
        <v>3780</v>
      </c>
      <c r="H60" s="258"/>
      <c r="I60" s="191">
        <v>407</v>
      </c>
      <c r="J60" s="191">
        <v>305</v>
      </c>
      <c r="K60" s="219">
        <v>216</v>
      </c>
      <c r="L60" s="219"/>
      <c r="M60" s="315">
        <f>SUM(K60,J60,I60)/3</f>
        <v>309.33333333333331</v>
      </c>
      <c r="N60" s="290"/>
      <c r="O60" s="429" t="s">
        <v>345</v>
      </c>
      <c r="P60" s="276" t="s">
        <v>456</v>
      </c>
      <c r="Q60" s="184"/>
      <c r="R60" s="184"/>
    </row>
    <row r="61" spans="1:18" s="183" customFormat="1" ht="12" customHeight="1">
      <c r="C61" s="183" t="str">
        <f>" "</f>
        <v xml:space="preserve"> </v>
      </c>
      <c r="D61" s="193"/>
      <c r="E61" s="193"/>
      <c r="F61" s="193"/>
      <c r="G61" s="193"/>
      <c r="H61" s="193"/>
      <c r="I61" s="194"/>
      <c r="J61" s="196"/>
      <c r="K61" s="196"/>
      <c r="L61" s="196"/>
      <c r="M61" s="195"/>
      <c r="N61" s="195"/>
      <c r="O61" s="195"/>
      <c r="P61" s="195"/>
    </row>
    <row r="62" spans="1:18" s="183" customFormat="1" ht="12" customHeight="1">
      <c r="C62" s="183" t="str">
        <f>" "</f>
        <v xml:space="preserve"> </v>
      </c>
      <c r="D62" s="193"/>
      <c r="E62" s="193"/>
      <c r="F62" s="193"/>
      <c r="G62" s="193"/>
      <c r="H62" s="193"/>
      <c r="I62" s="194"/>
      <c r="J62" s="196"/>
      <c r="K62" s="196"/>
      <c r="L62" s="196"/>
      <c r="M62" s="195"/>
      <c r="N62" s="195"/>
      <c r="O62" s="195"/>
      <c r="P62" s="195"/>
    </row>
    <row r="63" spans="1:18" s="183" customFormat="1" ht="12" customHeight="1">
      <c r="C63" s="183" t="str">
        <f>" "</f>
        <v xml:space="preserve"> </v>
      </c>
      <c r="D63" s="193"/>
      <c r="E63" s="193"/>
      <c r="F63" s="193"/>
      <c r="G63" s="193"/>
      <c r="H63" s="193"/>
      <c r="I63" s="194"/>
      <c r="J63" s="196"/>
      <c r="K63" s="196"/>
      <c r="L63" s="196"/>
      <c r="M63" s="195"/>
      <c r="N63" s="195"/>
      <c r="O63" s="195"/>
      <c r="P63" s="195"/>
    </row>
    <row r="64" spans="1:18" s="183" customFormat="1" ht="12" customHeight="1">
      <c r="C64" s="255" t="s">
        <v>518</v>
      </c>
      <c r="D64" s="193"/>
      <c r="E64" s="193"/>
      <c r="F64" s="193"/>
      <c r="G64" s="215"/>
      <c r="H64" s="215"/>
      <c r="I64" s="194"/>
      <c r="J64" s="196"/>
      <c r="K64" s="196"/>
      <c r="L64" s="196"/>
      <c r="M64" s="195"/>
      <c r="N64" s="195"/>
      <c r="O64" s="195"/>
      <c r="P64" s="195"/>
    </row>
    <row r="65" spans="4:16" s="183" customFormat="1" ht="12" customHeight="1">
      <c r="D65" s="193"/>
      <c r="E65" s="193"/>
      <c r="F65" s="193"/>
      <c r="G65" s="193"/>
      <c r="H65" s="193"/>
      <c r="I65" s="225"/>
      <c r="J65" s="196"/>
      <c r="K65" s="196"/>
      <c r="L65" s="196"/>
      <c r="M65" s="195"/>
      <c r="N65" s="195"/>
      <c r="O65" s="195"/>
      <c r="P65" s="195"/>
    </row>
    <row r="66" spans="4:16" s="183" customFormat="1" ht="12" hidden="1" customHeight="1">
      <c r="D66" s="193"/>
      <c r="E66" s="193"/>
      <c r="F66" s="193"/>
      <c r="G66" s="193"/>
      <c r="H66" s="193"/>
      <c r="I66" s="194"/>
      <c r="J66" s="196"/>
      <c r="K66" s="196"/>
      <c r="L66" s="196"/>
      <c r="M66" s="195"/>
      <c r="N66" s="195"/>
      <c r="O66" s="195"/>
      <c r="P66" s="195"/>
    </row>
    <row r="67" spans="4:16" s="183" customFormat="1" ht="12" hidden="1" customHeight="1">
      <c r="D67" s="193"/>
      <c r="E67" s="193"/>
      <c r="F67" s="193"/>
      <c r="G67" s="193"/>
      <c r="H67" s="193"/>
      <c r="I67" s="194"/>
      <c r="J67" s="196"/>
      <c r="K67" s="196"/>
      <c r="L67" s="196"/>
      <c r="M67" s="195"/>
      <c r="N67" s="195"/>
      <c r="O67" s="195"/>
      <c r="P67" s="195"/>
    </row>
    <row r="68" spans="4:16" s="183" customFormat="1" ht="12" hidden="1" customHeight="1">
      <c r="D68" s="193"/>
      <c r="E68" s="193"/>
      <c r="F68" s="193"/>
      <c r="G68" s="193"/>
      <c r="H68" s="193"/>
      <c r="I68" s="194"/>
      <c r="J68" s="196"/>
      <c r="K68" s="196"/>
      <c r="L68" s="196"/>
      <c r="M68" s="195"/>
      <c r="N68" s="195"/>
      <c r="O68" s="195"/>
      <c r="P68" s="195"/>
    </row>
    <row r="69" spans="4:16" s="183" customFormat="1" ht="12" hidden="1" customHeight="1">
      <c r="D69" s="193"/>
      <c r="E69" s="193"/>
      <c r="F69" s="193"/>
      <c r="G69" s="193"/>
      <c r="H69" s="193"/>
      <c r="I69" s="194"/>
      <c r="J69" s="196"/>
      <c r="K69" s="196"/>
      <c r="L69" s="196"/>
      <c r="M69" s="195"/>
      <c r="N69" s="195"/>
      <c r="O69" s="195"/>
      <c r="P69" s="195"/>
    </row>
    <row r="70" spans="4:16" s="183" customFormat="1" ht="12" hidden="1" customHeight="1">
      <c r="D70" s="193"/>
      <c r="E70" s="193"/>
      <c r="F70" s="193"/>
      <c r="G70" s="193"/>
      <c r="H70" s="193"/>
      <c r="I70" s="194"/>
      <c r="J70" s="196"/>
      <c r="K70" s="196"/>
      <c r="L70" s="196"/>
      <c r="M70" s="195"/>
      <c r="N70" s="195"/>
      <c r="O70" s="195"/>
      <c r="P70" s="195"/>
    </row>
    <row r="71" spans="4:16" s="183" customFormat="1" ht="12" hidden="1" customHeight="1">
      <c r="D71" s="193"/>
      <c r="E71" s="193"/>
      <c r="F71" s="193"/>
      <c r="G71" s="193"/>
      <c r="H71" s="193"/>
      <c r="I71" s="194"/>
      <c r="J71" s="196"/>
      <c r="K71" s="196"/>
      <c r="L71" s="196"/>
      <c r="M71" s="195"/>
      <c r="N71" s="195"/>
      <c r="O71" s="195"/>
      <c r="P71" s="195"/>
    </row>
    <row r="72" spans="4:16" s="183" customFormat="1" ht="12.75" hidden="1"/>
    <row r="73" spans="4:16" s="183" customFormat="1" ht="12.75" hidden="1"/>
    <row r="74" spans="4:16" s="183" customFormat="1" ht="12.75" hidden="1"/>
    <row r="75" spans="4:16" s="183" customFormat="1" ht="12.75" hidden="1"/>
    <row r="76" spans="4:16" s="183" customFormat="1" ht="18" hidden="1">
      <c r="I76" s="979" t="s">
        <v>517</v>
      </c>
      <c r="J76" s="979"/>
      <c r="K76" s="979"/>
      <c r="L76" s="198"/>
      <c r="M76" s="198"/>
      <c r="N76" s="198"/>
      <c r="O76" s="198"/>
      <c r="P76" s="198"/>
    </row>
    <row r="77" spans="4:16" s="183" customFormat="1" ht="12.75" hidden="1"/>
    <row r="78" spans="4:16" s="186" customFormat="1" ht="39" hidden="1" customHeight="1">
      <c r="D78" s="192" t="s">
        <v>516</v>
      </c>
      <c r="E78" s="192"/>
      <c r="F78" s="192"/>
      <c r="G78" s="192"/>
      <c r="H78" s="192"/>
      <c r="I78" s="185" t="s">
        <v>515</v>
      </c>
      <c r="J78" s="185" t="s">
        <v>515</v>
      </c>
      <c r="K78" s="185" t="s">
        <v>515</v>
      </c>
      <c r="L78" s="226"/>
      <c r="M78" s="226"/>
      <c r="N78" s="226"/>
      <c r="O78" s="226"/>
      <c r="P78" s="226"/>
    </row>
    <row r="79" spans="4:16" s="186" customFormat="1" ht="13.5" hidden="1" thickBot="1">
      <c r="D79" s="187" t="s">
        <v>233</v>
      </c>
      <c r="E79" s="187"/>
      <c r="F79" s="187"/>
      <c r="G79" s="187"/>
      <c r="H79" s="187"/>
      <c r="I79" s="188">
        <v>1</v>
      </c>
      <c r="J79" s="188">
        <v>0.75</v>
      </c>
      <c r="K79" s="188">
        <v>0.5</v>
      </c>
      <c r="L79" s="199"/>
      <c r="M79" s="199"/>
      <c r="N79" s="199"/>
      <c r="O79" s="199"/>
      <c r="P79" s="199"/>
    </row>
    <row r="80" spans="4:16" s="183" customFormat="1" ht="12.75" hidden="1">
      <c r="D80" s="189" t="s">
        <v>514</v>
      </c>
      <c r="E80" s="189"/>
      <c r="F80" s="189"/>
      <c r="G80" s="189"/>
      <c r="H80" s="189"/>
      <c r="I80" s="190">
        <v>3.8</v>
      </c>
      <c r="J80" s="190">
        <v>2.9</v>
      </c>
      <c r="K80" s="190">
        <v>2.2000000000000002</v>
      </c>
      <c r="L80" s="194"/>
      <c r="M80" s="227"/>
      <c r="N80" s="227"/>
      <c r="O80" s="227"/>
      <c r="P80" s="227"/>
    </row>
    <row r="81" spans="4:16" s="183" customFormat="1" ht="12.75" hidden="1">
      <c r="D81" s="184" t="s">
        <v>513</v>
      </c>
      <c r="E81" s="184"/>
      <c r="F81" s="184"/>
      <c r="G81" s="184"/>
      <c r="H81" s="184"/>
      <c r="I81" s="191">
        <v>7.7</v>
      </c>
      <c r="J81" s="191">
        <v>5.8</v>
      </c>
      <c r="K81" s="191">
        <v>4.0999999999999996</v>
      </c>
      <c r="L81" s="194"/>
      <c r="M81" s="227"/>
      <c r="N81" s="227"/>
      <c r="O81" s="227"/>
      <c r="P81" s="227"/>
    </row>
    <row r="82" spans="4:16" s="183" customFormat="1" ht="12.75" hidden="1">
      <c r="D82" s="184" t="s">
        <v>512</v>
      </c>
      <c r="E82" s="184"/>
      <c r="F82" s="184"/>
      <c r="G82" s="184"/>
      <c r="H82" s="184"/>
      <c r="I82" s="191">
        <v>7.7</v>
      </c>
      <c r="J82" s="191">
        <v>5.8</v>
      </c>
      <c r="K82" s="191">
        <v>4.0999999999999996</v>
      </c>
      <c r="L82" s="194"/>
      <c r="M82" s="227"/>
      <c r="N82" s="227"/>
      <c r="O82" s="227"/>
      <c r="P82" s="227"/>
    </row>
    <row r="83" spans="4:16" s="183" customFormat="1" ht="12.75" hidden="1">
      <c r="D83" s="184" t="s">
        <v>511</v>
      </c>
      <c r="E83" s="184"/>
      <c r="F83" s="184"/>
      <c r="G83" s="184"/>
      <c r="H83" s="184"/>
      <c r="I83" s="191">
        <v>13.1</v>
      </c>
      <c r="J83" s="191">
        <v>10.3</v>
      </c>
      <c r="K83" s="191">
        <v>7.6</v>
      </c>
      <c r="L83" s="194"/>
      <c r="M83" s="227"/>
      <c r="N83" s="227"/>
      <c r="O83" s="227"/>
      <c r="P83" s="227"/>
    </row>
    <row r="84" spans="4:16" s="183" customFormat="1" ht="12.75" hidden="1">
      <c r="D84" s="184" t="s">
        <v>510</v>
      </c>
      <c r="E84" s="184"/>
      <c r="F84" s="184"/>
      <c r="G84" s="184"/>
      <c r="H84" s="184"/>
      <c r="I84" s="191">
        <v>13.1</v>
      </c>
      <c r="J84" s="191">
        <v>10.3</v>
      </c>
      <c r="K84" s="191">
        <v>7.6</v>
      </c>
      <c r="L84" s="194"/>
      <c r="M84" s="227"/>
      <c r="N84" s="227"/>
      <c r="O84" s="227"/>
      <c r="P84" s="227"/>
    </row>
    <row r="85" spans="4:16" s="183" customFormat="1" ht="12.75" hidden="1">
      <c r="D85" s="184" t="s">
        <v>509</v>
      </c>
      <c r="E85" s="184"/>
      <c r="F85" s="184"/>
      <c r="G85" s="184"/>
      <c r="H85" s="184"/>
      <c r="I85" s="191">
        <v>12.6</v>
      </c>
      <c r="J85" s="191">
        <v>9</v>
      </c>
      <c r="K85" s="191">
        <v>7</v>
      </c>
      <c r="L85" s="194"/>
      <c r="M85" s="227"/>
      <c r="N85" s="227"/>
      <c r="O85" s="227"/>
      <c r="P85" s="227"/>
    </row>
    <row r="86" spans="4:16" s="183" customFormat="1" ht="12.75" hidden="1">
      <c r="D86" s="184" t="s">
        <v>508</v>
      </c>
      <c r="E86" s="184"/>
      <c r="F86" s="184"/>
      <c r="G86" s="184"/>
      <c r="H86" s="184"/>
      <c r="I86" s="191">
        <v>13.1</v>
      </c>
      <c r="J86" s="191">
        <v>10.3</v>
      </c>
      <c r="K86" s="191">
        <v>7.6</v>
      </c>
      <c r="L86" s="194"/>
      <c r="M86" s="227"/>
      <c r="N86" s="227"/>
      <c r="O86" s="227"/>
      <c r="P86" s="227"/>
    </row>
    <row r="87" spans="4:16" s="183" customFormat="1" ht="12.75" hidden="1">
      <c r="D87" s="184" t="s">
        <v>507</v>
      </c>
      <c r="E87" s="184"/>
      <c r="F87" s="184"/>
      <c r="G87" s="184"/>
      <c r="H87" s="184"/>
      <c r="I87" s="191">
        <v>24.07</v>
      </c>
      <c r="J87" s="191">
        <v>17.79</v>
      </c>
      <c r="K87" s="191">
        <v>12.11</v>
      </c>
      <c r="L87" s="194"/>
      <c r="M87" s="227"/>
      <c r="N87" s="227"/>
      <c r="O87" s="227"/>
      <c r="P87" s="227"/>
    </row>
    <row r="88" spans="4:16" s="183" customFormat="1" ht="12.75" hidden="1">
      <c r="D88" s="184" t="s">
        <v>506</v>
      </c>
      <c r="E88" s="184"/>
      <c r="F88" s="184"/>
      <c r="G88" s="184"/>
      <c r="H88" s="184"/>
      <c r="I88" s="191">
        <v>27.6</v>
      </c>
      <c r="J88" s="191">
        <v>21.6</v>
      </c>
      <c r="K88" s="191">
        <v>15.3</v>
      </c>
      <c r="L88" s="194"/>
      <c r="M88" s="227"/>
      <c r="N88" s="227"/>
      <c r="O88" s="227"/>
      <c r="P88" s="227"/>
    </row>
    <row r="89" spans="4:16" s="183" customFormat="1" ht="12.75" hidden="1">
      <c r="D89" s="184" t="s">
        <v>505</v>
      </c>
      <c r="E89" s="184"/>
      <c r="F89" s="184"/>
      <c r="G89" s="184"/>
      <c r="H89" s="184"/>
      <c r="I89" s="191">
        <v>22.41</v>
      </c>
      <c r="J89" s="191">
        <v>16.73</v>
      </c>
      <c r="K89" s="191">
        <v>11.11</v>
      </c>
      <c r="L89" s="194"/>
      <c r="M89" s="227"/>
      <c r="N89" s="227"/>
      <c r="O89" s="227"/>
      <c r="P89" s="227"/>
    </row>
    <row r="90" spans="4:16" s="183" customFormat="1" ht="12.75" hidden="1">
      <c r="D90" s="184" t="s">
        <v>504</v>
      </c>
      <c r="E90" s="184"/>
      <c r="F90" s="184"/>
      <c r="G90" s="184"/>
      <c r="H90" s="184"/>
      <c r="I90" s="191">
        <v>26.2</v>
      </c>
      <c r="J90" s="191">
        <v>19.899999999999999</v>
      </c>
      <c r="K90" s="191">
        <v>15.36</v>
      </c>
      <c r="L90" s="194"/>
      <c r="M90" s="227"/>
      <c r="N90" s="227"/>
      <c r="O90" s="227"/>
      <c r="P90" s="227"/>
    </row>
    <row r="91" spans="4:16" s="183" customFormat="1" ht="12.75" hidden="1">
      <c r="D91" s="184" t="s">
        <v>503</v>
      </c>
      <c r="E91" s="184"/>
      <c r="F91" s="184"/>
      <c r="G91" s="184"/>
      <c r="H91" s="184"/>
      <c r="I91" s="191">
        <v>26.2</v>
      </c>
      <c r="J91" s="191">
        <v>19.899999999999999</v>
      </c>
      <c r="K91" s="191">
        <v>15.36</v>
      </c>
      <c r="L91" s="194"/>
      <c r="M91" s="227"/>
      <c r="N91" s="227"/>
      <c r="O91" s="227"/>
      <c r="P91" s="227"/>
    </row>
    <row r="92" spans="4:16" s="183" customFormat="1" ht="12.75" hidden="1">
      <c r="D92" s="184" t="s">
        <v>502</v>
      </c>
      <c r="E92" s="184"/>
      <c r="F92" s="184"/>
      <c r="G92" s="184"/>
      <c r="H92" s="184"/>
      <c r="I92" s="191">
        <v>40</v>
      </c>
      <c r="J92" s="191">
        <v>30</v>
      </c>
      <c r="K92" s="191">
        <v>20</v>
      </c>
      <c r="L92" s="194"/>
      <c r="M92" s="227"/>
      <c r="N92" s="227"/>
      <c r="O92" s="227"/>
      <c r="P92" s="227"/>
    </row>
    <row r="93" spans="4:16" s="183" customFormat="1" ht="12.75" hidden="1">
      <c r="D93" s="184" t="s">
        <v>501</v>
      </c>
      <c r="E93" s="184"/>
      <c r="F93" s="184"/>
      <c r="G93" s="184"/>
      <c r="H93" s="184"/>
      <c r="I93" s="191">
        <v>40</v>
      </c>
      <c r="J93" s="191">
        <v>30</v>
      </c>
      <c r="K93" s="191">
        <v>20</v>
      </c>
      <c r="L93" s="194"/>
      <c r="M93" s="227"/>
      <c r="N93" s="227"/>
      <c r="O93" s="227"/>
      <c r="P93" s="227"/>
    </row>
    <row r="94" spans="4:16" s="183" customFormat="1" ht="12.75" hidden="1">
      <c r="D94" s="184" t="s">
        <v>500</v>
      </c>
      <c r="E94" s="184"/>
      <c r="F94" s="184"/>
      <c r="G94" s="184"/>
      <c r="H94" s="184"/>
      <c r="I94" s="191">
        <v>43.9</v>
      </c>
      <c r="J94" s="191">
        <v>34</v>
      </c>
      <c r="K94" s="191">
        <v>23.9</v>
      </c>
      <c r="L94" s="194"/>
      <c r="M94" s="227"/>
      <c r="N94" s="227"/>
      <c r="O94" s="227"/>
      <c r="P94" s="227"/>
    </row>
    <row r="95" spans="4:16" s="183" customFormat="1" ht="12.75" hidden="1">
      <c r="D95" s="184" t="s">
        <v>499</v>
      </c>
      <c r="E95" s="184"/>
      <c r="F95" s="184"/>
      <c r="G95" s="184"/>
      <c r="H95" s="184"/>
      <c r="I95" s="191">
        <v>42.1</v>
      </c>
      <c r="J95" s="191">
        <v>31.4</v>
      </c>
      <c r="K95" s="191">
        <v>21.3</v>
      </c>
      <c r="L95" s="194"/>
      <c r="M95" s="227"/>
      <c r="N95" s="227"/>
      <c r="O95" s="227"/>
      <c r="P95" s="227"/>
    </row>
    <row r="96" spans="4:16" s="183" customFormat="1" ht="12.75" hidden="1">
      <c r="D96" s="184" t="s">
        <v>498</v>
      </c>
      <c r="E96" s="184"/>
      <c r="F96" s="184"/>
      <c r="G96" s="184"/>
      <c r="H96" s="184"/>
      <c r="I96" s="191">
        <v>53.3</v>
      </c>
      <c r="J96" s="191">
        <v>41.7</v>
      </c>
      <c r="K96" s="191">
        <v>30.3</v>
      </c>
      <c r="L96" s="194"/>
      <c r="M96" s="227"/>
      <c r="N96" s="227"/>
      <c r="O96" s="227"/>
      <c r="P96" s="227"/>
    </row>
    <row r="97" spans="4:16" s="183" customFormat="1" ht="12.75" hidden="1">
      <c r="D97" s="184" t="s">
        <v>497</v>
      </c>
      <c r="E97" s="184"/>
      <c r="F97" s="184"/>
      <c r="G97" s="184"/>
      <c r="H97" s="184"/>
      <c r="I97" s="191">
        <v>67</v>
      </c>
      <c r="J97" s="191">
        <v>52</v>
      </c>
      <c r="K97" s="191">
        <v>37</v>
      </c>
      <c r="L97" s="194"/>
      <c r="M97" s="227"/>
      <c r="N97" s="227"/>
      <c r="O97" s="227"/>
      <c r="P97" s="227"/>
    </row>
    <row r="98" spans="4:16" s="183" customFormat="1" ht="12.75" hidden="1">
      <c r="D98" s="184" t="s">
        <v>496</v>
      </c>
      <c r="E98" s="184"/>
      <c r="F98" s="184"/>
      <c r="G98" s="184"/>
      <c r="H98" s="184"/>
      <c r="I98" s="191">
        <v>62</v>
      </c>
      <c r="J98" s="191">
        <v>48</v>
      </c>
      <c r="K98" s="191">
        <v>35</v>
      </c>
      <c r="L98" s="194"/>
      <c r="M98" s="227"/>
      <c r="N98" s="227"/>
      <c r="O98" s="227"/>
      <c r="P98" s="227"/>
    </row>
    <row r="99" spans="4:16" s="183" customFormat="1" ht="12.75" hidden="1">
      <c r="D99" s="184" t="s">
        <v>495</v>
      </c>
      <c r="E99" s="184"/>
      <c r="F99" s="184"/>
      <c r="G99" s="184"/>
      <c r="H99" s="184"/>
      <c r="I99" s="191">
        <v>64</v>
      </c>
      <c r="J99" s="191">
        <v>48.3</v>
      </c>
      <c r="K99" s="191">
        <v>35</v>
      </c>
      <c r="L99" s="194"/>
      <c r="M99" s="227"/>
      <c r="N99" s="227"/>
      <c r="O99" s="227"/>
      <c r="P99" s="227"/>
    </row>
    <row r="100" spans="4:16" s="183" customFormat="1" ht="12.75" hidden="1">
      <c r="D100" s="184" t="s">
        <v>494</v>
      </c>
      <c r="E100" s="184"/>
      <c r="F100" s="184"/>
      <c r="G100" s="184"/>
      <c r="H100" s="184"/>
      <c r="I100" s="191">
        <v>107</v>
      </c>
      <c r="J100" s="191">
        <v>82</v>
      </c>
      <c r="K100" s="191">
        <v>57</v>
      </c>
      <c r="L100" s="194"/>
      <c r="M100" s="227"/>
      <c r="N100" s="227"/>
      <c r="O100" s="227"/>
      <c r="P100" s="227"/>
    </row>
    <row r="101" spans="4:16" s="183" customFormat="1" ht="12.75" hidden="1">
      <c r="D101" s="184" t="s">
        <v>493</v>
      </c>
      <c r="E101" s="184"/>
      <c r="F101" s="184"/>
      <c r="G101" s="184"/>
      <c r="H101" s="184"/>
      <c r="I101" s="191">
        <v>167</v>
      </c>
      <c r="J101" s="191">
        <v>128</v>
      </c>
      <c r="K101" s="191">
        <v>90</v>
      </c>
      <c r="L101" s="194"/>
      <c r="M101" s="227"/>
      <c r="N101" s="227"/>
      <c r="O101" s="227"/>
      <c r="P101" s="227"/>
    </row>
    <row r="102" spans="4:16" s="183" customFormat="1" ht="12.75" hidden="1">
      <c r="D102" s="184" t="s">
        <v>492</v>
      </c>
      <c r="E102" s="184"/>
      <c r="F102" s="184"/>
      <c r="G102" s="184"/>
      <c r="H102" s="184"/>
      <c r="I102" s="191">
        <v>217</v>
      </c>
      <c r="J102" s="191">
        <v>168</v>
      </c>
      <c r="K102" s="191">
        <v>120</v>
      </c>
      <c r="L102" s="194"/>
      <c r="M102" s="227"/>
      <c r="N102" s="227"/>
      <c r="O102" s="227"/>
      <c r="P102" s="227"/>
    </row>
    <row r="103" spans="4:16" s="183" customFormat="1" ht="12.75" hidden="1">
      <c r="D103" s="184" t="s">
        <v>491</v>
      </c>
      <c r="E103" s="184"/>
      <c r="F103" s="184"/>
      <c r="G103" s="184"/>
      <c r="H103" s="184"/>
      <c r="I103" s="191">
        <v>263</v>
      </c>
      <c r="J103" s="191">
        <v>203</v>
      </c>
      <c r="K103" s="191">
        <v>143</v>
      </c>
      <c r="L103" s="194"/>
      <c r="M103" s="227"/>
      <c r="N103" s="227"/>
      <c r="O103" s="227"/>
      <c r="P103" s="227"/>
    </row>
    <row r="104" spans="4:16" s="183" customFormat="1" ht="12.75" hidden="1">
      <c r="D104" s="184" t="s">
        <v>490</v>
      </c>
      <c r="E104" s="184"/>
      <c r="F104" s="184"/>
      <c r="G104" s="184"/>
      <c r="H104" s="184"/>
      <c r="I104" s="191">
        <v>407</v>
      </c>
      <c r="J104" s="191">
        <v>305</v>
      </c>
      <c r="K104" s="191">
        <v>316</v>
      </c>
      <c r="L104" s="194"/>
      <c r="M104" s="227"/>
      <c r="N104" s="227"/>
      <c r="O104" s="227"/>
      <c r="P104" s="227"/>
    </row>
    <row r="105" spans="4:16" s="183" customFormat="1" ht="12.75" hidden="1"/>
    <row r="106" spans="4:16" s="183" customFormat="1" ht="12.75" hidden="1"/>
    <row r="107" spans="4:16" s="183" customFormat="1" ht="12.75" hidden="1"/>
    <row r="108" spans="4:16" s="183" customFormat="1" ht="12.75" hidden="1"/>
    <row r="109" spans="4:16" s="183" customFormat="1" ht="12.75" hidden="1"/>
    <row r="110" spans="4:16" s="183" customFormat="1" ht="12.75" hidden="1"/>
    <row r="111" spans="4:16" s="183" customFormat="1" ht="12.75" hidden="1"/>
    <row r="112" spans="4:16" s="183" customFormat="1" ht="12.75" hidden="1"/>
    <row r="113" spans="3:18" s="183" customFormat="1" ht="12.75" hidden="1"/>
    <row r="114" spans="3:18" s="183" customFormat="1" ht="12.75" hidden="1"/>
    <row r="115" spans="3:18" s="183" customFormat="1" ht="12.75" hidden="1"/>
    <row r="116" spans="3:18" s="183" customFormat="1" ht="12.75" hidden="1"/>
    <row r="117" spans="3:18" s="183" customFormat="1" ht="18">
      <c r="C117" s="179"/>
      <c r="G117" s="238" t="s">
        <v>489</v>
      </c>
      <c r="H117" s="238"/>
      <c r="I117" s="979"/>
      <c r="J117" s="979"/>
      <c r="K117" s="979"/>
      <c r="L117" s="198"/>
      <c r="M117" s="198"/>
      <c r="N117" s="198"/>
      <c r="O117" s="198" t="s">
        <v>209</v>
      </c>
      <c r="P117" s="198"/>
    </row>
    <row r="118" spans="3:18">
      <c r="C118" s="183"/>
      <c r="D118" s="183"/>
      <c r="E118" s="183"/>
      <c r="F118" s="183"/>
      <c r="G118" s="183"/>
      <c r="H118" s="183"/>
      <c r="I118" s="183"/>
      <c r="J118" s="183"/>
      <c r="K118" s="183"/>
      <c r="L118" s="183"/>
      <c r="M118" s="183"/>
      <c r="N118" s="255">
        <v>1</v>
      </c>
      <c r="O118" s="255" t="str">
        <f>C5</f>
        <v>9-15kVA</v>
      </c>
      <c r="P118" s="255">
        <f>A6</f>
        <v>1</v>
      </c>
      <c r="Q118" s="255">
        <f>P119-P118</f>
        <v>2</v>
      </c>
      <c r="R118" s="183"/>
    </row>
    <row r="119" spans="3:18" s="186" customFormat="1" ht="12.75">
      <c r="C119" s="254"/>
      <c r="D119" s="183"/>
      <c r="E119" s="183"/>
      <c r="F119" s="183"/>
      <c r="G119" s="183"/>
      <c r="H119" s="183"/>
      <c r="I119" s="183"/>
      <c r="N119" s="254">
        <v>2</v>
      </c>
      <c r="O119" s="254" t="str">
        <f>C8</f>
        <v>20kVA</v>
      </c>
      <c r="P119" s="254">
        <f>A9</f>
        <v>3</v>
      </c>
      <c r="Q119" s="255">
        <f t="shared" ref="Q119:Q133" si="3">P120-P119</f>
        <v>3</v>
      </c>
    </row>
    <row r="120" spans="3:18" s="186" customFormat="1" ht="12.75">
      <c r="D120" s="183"/>
      <c r="E120" s="183"/>
      <c r="F120" s="183"/>
      <c r="G120" s="183"/>
      <c r="H120" s="183"/>
      <c r="I120" s="183"/>
      <c r="N120" s="254">
        <v>3</v>
      </c>
      <c r="O120" s="254" t="str">
        <f>C12</f>
        <v>27kVA</v>
      </c>
      <c r="P120" s="254">
        <f>A13</f>
        <v>6</v>
      </c>
      <c r="Q120" s="255">
        <f t="shared" si="3"/>
        <v>2</v>
      </c>
    </row>
    <row r="121" spans="3:18" s="183" customFormat="1" ht="12.75">
      <c r="C121" s="255" t="s">
        <v>488</v>
      </c>
      <c r="N121" s="255">
        <v>4</v>
      </c>
      <c r="O121" s="255" t="str">
        <f>C15</f>
        <v>30kVA</v>
      </c>
      <c r="P121" s="255">
        <f>A16</f>
        <v>8</v>
      </c>
      <c r="Q121" s="255">
        <f t="shared" si="3"/>
        <v>3</v>
      </c>
    </row>
    <row r="122" spans="3:18">
      <c r="N122" s="475">
        <v>5</v>
      </c>
      <c r="O122" s="475" t="str">
        <f>C19</f>
        <v>60kVA</v>
      </c>
      <c r="P122" s="475">
        <f>A20</f>
        <v>11</v>
      </c>
      <c r="Q122" s="255">
        <f t="shared" si="3"/>
        <v>6</v>
      </c>
    </row>
    <row r="123" spans="3:18">
      <c r="N123" s="475">
        <v>6</v>
      </c>
      <c r="O123" s="475" t="str">
        <f>C26</f>
        <v>100kVA</v>
      </c>
      <c r="P123" s="475">
        <f>A27</f>
        <v>17</v>
      </c>
      <c r="Q123" s="255">
        <f t="shared" si="3"/>
        <v>3</v>
      </c>
    </row>
    <row r="124" spans="3:18">
      <c r="N124" s="475">
        <v>7</v>
      </c>
      <c r="O124" s="475" t="str">
        <f>C30</f>
        <v>125kVA</v>
      </c>
      <c r="P124" s="475">
        <f>A31</f>
        <v>20</v>
      </c>
      <c r="Q124" s="255">
        <f t="shared" si="3"/>
        <v>4</v>
      </c>
    </row>
    <row r="125" spans="3:18">
      <c r="N125" s="475">
        <v>8</v>
      </c>
      <c r="O125" s="475" t="str">
        <f>C35</f>
        <v>175kVA</v>
      </c>
      <c r="P125" s="475">
        <f>A36</f>
        <v>24</v>
      </c>
      <c r="Q125" s="255">
        <f t="shared" si="3"/>
        <v>2</v>
      </c>
    </row>
    <row r="126" spans="3:18" s="183" customFormat="1">
      <c r="C126" s="980" t="s">
        <v>487</v>
      </c>
      <c r="D126" s="980"/>
      <c r="E126" s="980"/>
      <c r="F126" s="980"/>
      <c r="G126" s="980"/>
      <c r="H126" s="980"/>
      <c r="I126" s="980"/>
      <c r="N126" s="255">
        <v>9</v>
      </c>
      <c r="O126" s="255" t="str">
        <f>C38</f>
        <v>200kVA</v>
      </c>
      <c r="P126" s="255">
        <f>A39</f>
        <v>26</v>
      </c>
      <c r="Q126" s="255">
        <f t="shared" si="3"/>
        <v>3</v>
      </c>
    </row>
    <row r="127" spans="3:18">
      <c r="N127" s="475">
        <v>10</v>
      </c>
      <c r="O127" s="475" t="str">
        <f>C42</f>
        <v>250kVA</v>
      </c>
      <c r="P127" s="475">
        <f>A43</f>
        <v>29</v>
      </c>
      <c r="Q127" s="255">
        <f t="shared" si="3"/>
        <v>3</v>
      </c>
    </row>
    <row r="128" spans="3:18">
      <c r="N128" s="475">
        <v>11</v>
      </c>
      <c r="O128" s="475" t="str">
        <f>C46</f>
        <v>320kVA</v>
      </c>
      <c r="P128" s="475">
        <f>A47</f>
        <v>32</v>
      </c>
      <c r="Q128" s="255">
        <f t="shared" si="3"/>
        <v>2</v>
      </c>
    </row>
    <row r="129" spans="4:17">
      <c r="N129" s="475">
        <v>12</v>
      </c>
      <c r="O129" s="475" t="str">
        <f>C49</f>
        <v>350kVA</v>
      </c>
      <c r="P129" s="475">
        <f>A50</f>
        <v>34</v>
      </c>
      <c r="Q129" s="255">
        <f t="shared" si="3"/>
        <v>1</v>
      </c>
    </row>
    <row r="130" spans="4:17">
      <c r="N130" s="475">
        <v>13</v>
      </c>
      <c r="O130" s="475" t="str">
        <f>C51</f>
        <v>500kVA</v>
      </c>
      <c r="P130" s="475">
        <f>A52</f>
        <v>35</v>
      </c>
      <c r="Q130" s="255">
        <f t="shared" si="3"/>
        <v>1</v>
      </c>
    </row>
    <row r="131" spans="4:17">
      <c r="N131" s="475">
        <v>14</v>
      </c>
      <c r="O131" s="475" t="str">
        <f>C53</f>
        <v>800kVA</v>
      </c>
      <c r="P131" s="475">
        <f>A54</f>
        <v>36</v>
      </c>
      <c r="Q131" s="255">
        <f t="shared" si="3"/>
        <v>1</v>
      </c>
    </row>
    <row r="132" spans="4:17" s="183" customFormat="1" ht="23.25">
      <c r="D132" s="197"/>
      <c r="E132" s="197"/>
      <c r="F132" s="197"/>
      <c r="G132" s="197"/>
      <c r="H132" s="197"/>
      <c r="N132" s="255">
        <v>15</v>
      </c>
      <c r="O132" s="475" t="str">
        <f>C55</f>
        <v>1000kVA</v>
      </c>
      <c r="P132" s="255">
        <f>A56</f>
        <v>37</v>
      </c>
      <c r="Q132" s="255">
        <f t="shared" si="3"/>
        <v>1</v>
      </c>
    </row>
    <row r="133" spans="4:17" s="183" customFormat="1" ht="23.25">
      <c r="D133" s="197"/>
      <c r="E133" s="197"/>
      <c r="F133" s="197"/>
      <c r="G133" s="197"/>
      <c r="H133" s="197"/>
      <c r="N133" s="255">
        <v>16</v>
      </c>
      <c r="O133" s="475" t="str">
        <f>C57</f>
        <v>1250kVA</v>
      </c>
      <c r="P133" s="255">
        <f>A58</f>
        <v>38</v>
      </c>
      <c r="Q133" s="255">
        <f t="shared" si="3"/>
        <v>1</v>
      </c>
    </row>
    <row r="134" spans="4:17">
      <c r="N134" s="475">
        <v>17</v>
      </c>
      <c r="O134" s="475" t="str">
        <f>C59</f>
        <v>2100kVA</v>
      </c>
      <c r="P134" s="475">
        <f>A60</f>
        <v>39</v>
      </c>
      <c r="Q134" s="255">
        <v>1</v>
      </c>
    </row>
    <row r="137" spans="4:17" s="183" customFormat="1" ht="12.75"/>
    <row r="143" spans="4:17" s="183" customFormat="1" ht="12.75"/>
    <row r="144" spans="4:17" s="183" customFormat="1" ht="12.75"/>
    <row r="145" s="183" customFormat="1" ht="12.75"/>
    <row r="146" s="183" customFormat="1" ht="12.75"/>
    <row r="147" s="183" customFormat="1" ht="12.75"/>
    <row r="148" s="183" customFormat="1" ht="12.75"/>
    <row r="152" s="183" customFormat="1" ht="12.75"/>
    <row r="153" s="183" customFormat="1" ht="12.75"/>
    <row r="154" s="183" customFormat="1" ht="12.75"/>
    <row r="155" s="183" customFormat="1" ht="12.75"/>
    <row r="156" s="183" customFormat="1" ht="12.75"/>
    <row r="157" s="183" customFormat="1" ht="12.75"/>
    <row r="158" s="183" customFormat="1" ht="12.75"/>
    <row r="159" s="183" customFormat="1" ht="12.75" hidden="1"/>
    <row r="160" s="183" customFormat="1" ht="12.75" hidden="1"/>
    <row r="161" spans="3:18" s="183" customFormat="1" ht="12.75" hidden="1"/>
    <row r="162" spans="3:18" s="186" customFormat="1" ht="39" hidden="1" customHeight="1">
      <c r="D162" s="183"/>
      <c r="E162" s="183"/>
      <c r="F162" s="183"/>
      <c r="G162" s="183"/>
      <c r="H162" s="183"/>
      <c r="I162" s="183"/>
    </row>
    <row r="163" spans="3:18" s="186" customFormat="1" ht="12.75" hidden="1">
      <c r="D163" s="183"/>
      <c r="E163" s="183"/>
      <c r="F163" s="183"/>
      <c r="G163" s="183"/>
      <c r="H163" s="183"/>
      <c r="I163" s="183"/>
    </row>
    <row r="164" spans="3:18" s="183" customFormat="1" ht="12.75" hidden="1"/>
    <row r="165" spans="3:18" s="183" customFormat="1" ht="12.75" hidden="1"/>
    <row r="166" spans="3:18" s="183" customFormat="1" ht="12.75" hidden="1"/>
    <row r="167" spans="3:18" s="183" customFormat="1" ht="12.75" hidden="1"/>
    <row r="168" spans="3:18" s="183" customFormat="1">
      <c r="C168" s="179"/>
    </row>
    <row r="169" spans="3:18">
      <c r="C169" s="183"/>
      <c r="D169" s="183"/>
      <c r="E169" s="183"/>
      <c r="F169" s="183"/>
      <c r="G169" s="183"/>
      <c r="H169" s="183"/>
      <c r="I169" s="183"/>
      <c r="J169" s="183"/>
      <c r="K169" s="183"/>
      <c r="L169" s="183"/>
      <c r="M169" s="183"/>
      <c r="N169" s="183"/>
      <c r="O169" s="183"/>
      <c r="P169" s="183"/>
      <c r="Q169" s="183"/>
      <c r="R169" s="183"/>
    </row>
  </sheetData>
  <mergeCells count="4">
    <mergeCell ref="I1:K1"/>
    <mergeCell ref="I76:K76"/>
    <mergeCell ref="I117:K117"/>
    <mergeCell ref="C126:I126"/>
  </mergeCells>
  <hyperlinks>
    <hyperlink ref="G117" r:id="rId1"/>
    <hyperlink ref="O6" display="http://directorates.crossrail.co.uk/sites/Technical/SandC/Environment/Energy/Forms/AllItems.aspx?RootFolder=%2Fsites%2FTechnical%2FSandC%2FEnvironment%2FEnergy%2FPlant%20Equipment%20information&amp;FolderCTID=0x012000AD56E73FD1EB4E4A8F503AB31C1D527B&amp;View=%7b7"/>
    <hyperlink ref="O17" display="http://directorates.crossrail.co.uk/sites/Technical/SandC/Environment/Energy/Forms/AllItems.aspx?RootFolder=%2Fsites%2FTechnical%2FSandC%2FEnvironment%2FEnergy%2FPlant%20Equipment%20information&amp;FolderCTID=0x012000AD56E73FD1EB4E4A8F503AB31C1D527B&amp;View=%7b7"/>
    <hyperlink ref="O18" display="http://directorates.crossrail.co.uk/sites/Technical/SandC/Environment/Energy/Forms/AllItems.aspx?RootFolder=%2Fsites%2FTechnical%2FSandC%2FEnvironment%2FEnergy%2FPlant%20Equipment%20information&amp;FolderCTID=0x012000AD56E73FD1EB4E4A8F503AB31C1D527B&amp;View=%7b7"/>
    <hyperlink ref="O21" display="http://directorates.crossrail.co.uk/sites/Technical/SandC/Environment/Energy/Forms/AllItems.aspx?RootFolder=%2Fsites%2FTechnical%2FSandC%2FEnvironment%2FEnergy%2FPlant%20Equipment%20information&amp;FolderCTID=0x012000AD56E73FD1EB4E4A8F503AB31C1D527B&amp;View=%7b7"/>
    <hyperlink ref="O22" display="http://directorates.crossrail.co.uk/sites/Technical/SandC/Environment/Energy/Forms/AllItems.aspx?RootFolder=%2Fsites%2FTechnical%2FSandC%2FEnvironment%2FEnergy%2FPlant%20Equipment%20information&amp;FolderCTID=0x012000AD56E73FD1EB4E4A8F503AB31C1D527B&amp;View=%7b7"/>
    <hyperlink ref="O23" display="http://directorates.crossrail.co.uk/sites/Technical/SandC/Environment/Energy/Forms/AllItems.aspx?RootFolder=%2Fsites%2FTechnical%2FSandC%2FEnvironment%2FEnergy%2FPlant%20Equipment%20information&amp;FolderCTID=0x012000AD56E73FD1EB4E4A8F503AB31C1D527B&amp;View=%7b7"/>
    <hyperlink ref="O25" display="http://directorates.crossrail.co.uk/sites/Technical/SandC/Environment/Energy/Forms/AllItems.aspx?RootFolder=%2Fsites%2FTechnical%2FSandC%2FEnvironment%2FEnergy%2FPlant%20Equipment%20information&amp;FolderCTID=0x012000AD56E73FD1EB4E4A8F503AB31C1D527B&amp;View=%7b7"/>
    <hyperlink ref="O29" display="http://directorates.crossrail.co.uk/sites/Technical/SandC/Environment/Energy/Forms/AllItems.aspx?RootFolder=%2Fsites%2FTechnical%2FSandC%2FEnvironment%2FEnergy%2FPlant%20Equipment%20information&amp;FolderCTID=0x012000AD56E73FD1EB4E4A8F503AB31C1D527B&amp;View=%7b7"/>
    <hyperlink ref="O31" display="http://directorates.crossrail.co.uk/sites/Technical/SandC/Environment/Energy/Forms/AllItems.aspx?RootFolder=%2Fsites%2FTechnical%2FSandC%2FEnvironment%2FEnergy%2FPlant%20Equipment%20information&amp;FolderCTID=0x012000AD56E73FD1EB4E4A8F503AB31C1D527B&amp;View=%7b7"/>
    <hyperlink ref="O32" display="http://directorates.crossrail.co.uk/sites/Technical/SandC/Environment/Energy/Forms/AllItems.aspx?RootFolder=%2Fsites%2FTechnical%2FSandC%2FEnvironment%2FEnergy%2FPlant%20Equipment%20information&amp;FolderCTID=0x012000AD56E73FD1EB4E4A8F503AB31C1D527B&amp;View=%7b7"/>
    <hyperlink ref="O33" display="http://directorates.crossrail.co.uk/sites/Technical/SandC/Environment/Energy/Forms/AllItems.aspx?RootFolder=%2Fsites%2FTechnical%2FSandC%2FEnvironment%2FEnergy%2FPlant%20Equipment%20information&amp;FolderCTID=0x012000AD56E73FD1EB4E4A8F503AB31C1D527B&amp;View=%7b7"/>
    <hyperlink ref="O34" display="http://directorates.crossrail.co.uk/sites/Technical/SandC/Environment/Energy/Forms/AllItems.aspx?RootFolder=%2Fsites%2FTechnical%2FSandC%2FEnvironment%2FEnergy%2FPlant%20Equipment%20information&amp;FolderCTID=0x012000AD56E73FD1EB4E4A8F503AB31C1D527B&amp;View=%7b7"/>
    <hyperlink ref="O36" display="http://directorates.crossrail.co.uk/sites/Technical/SandC/Environment/Energy/Forms/AllItems.aspx?RootFolder=%2Fsites%2FTechnical%2FSandC%2FEnvironment%2FEnergy%2FPlant%20Equipment%20information&amp;FolderCTID=0x012000AD56E73FD1EB4E4A8F503AB31C1D527B&amp;View=%7b7"/>
    <hyperlink ref="O37" display="http://directorates.crossrail.co.uk/sites/Technical/SandC/Environment/Energy/Forms/AllItems.aspx?RootFolder=%2Fsites%2FTechnical%2FSandC%2FEnvironment%2FEnergy%2FPlant%20Equipment%20information&amp;FolderCTID=0x012000AD56E73FD1EB4E4A8F503AB31C1D527B&amp;View=%7b7"/>
    <hyperlink ref="O39" display="http://directorates.crossrail.co.uk/sites/Technical/SandC/Environment/Energy/Forms/AllItems.aspx?RootFolder=%2Fsites%2FTechnical%2FSandC%2FEnvironment%2FEnergy%2FPlant%20Equipment%20information&amp;FolderCTID=0x012000AD56E73FD1EB4E4A8F503AB31C1D527B&amp;View=%7b7"/>
    <hyperlink ref="O40" display="http://directorates.crossrail.co.uk/sites/Technical/SandC/Environment/Energy/Forms/AllItems.aspx?RootFolder=%2Fsites%2FTechnical%2FSandC%2FEnvironment%2FEnergy%2FPlant%20Equipment%20information&amp;FolderCTID=0x012000AD56E73FD1EB4E4A8F503AB31C1D527B&amp;View=%7b7"/>
    <hyperlink ref="O45" display="http://directorates.crossrail.co.uk/sites/Technical/SandC/Environment/Energy/Forms/AllItems.aspx?RootFolder=%2Fsites%2FTechnical%2FSandC%2FEnvironment%2FEnergy%2FPlant%20Equipment%20information&amp;FolderCTID=0x012000AD56E73FD1EB4E4A8F503AB31C1D527B&amp;View=%7b7"/>
    <hyperlink ref="O47" display="http://directorates.crossrail.co.uk/sites/Technical/SandC/Environment/Energy/Forms/AllItems.aspx?RootFolder=%2Fsites%2FTechnical%2FSandC%2FEnvironment%2FEnergy%2FPlant%20Equipment%20information&amp;FolderCTID=0x012000AD56E73FD1EB4E4A8F503AB31C1D527B&amp;View=%7b7"/>
    <hyperlink ref="O48" display="http://directorates.crossrail.co.uk/sites/Technical/SandC/Environment/Energy/Forms/AllItems.aspx?RootFolder=%2Fsites%2FTechnical%2FSandC%2FEnvironment%2FEnergy%2FPlant%20Equipment%20information&amp;FolderCTID=0x012000AD56E73FD1EB4E4A8F503AB31C1D527B&amp;View=%7b7"/>
    <hyperlink ref="O50" display="http://directorates.crossrail.co.uk/sites/Technical/SandC/Environment/Energy/Forms/AllItems.aspx?RootFolder=%2Fsites%2FTechnical%2FSandC%2FEnvironment%2FEnergy%2FPlant%20Equipment%20information&amp;FolderCTID=0x012000AD56E73FD1EB4E4A8F503AB31C1D527B&amp;View=%7b7"/>
    <hyperlink ref="O52" display="http://directorates.crossrail.co.uk/sites/Technical/SandC/Environment/Energy/Forms/AllItems.aspx?RootFolder=%2Fsites%2FTechnical%2FSandC%2FEnvironment%2FEnergy%2FPlant%20Equipment%20information&amp;FolderCTID=0x012000AD56E73FD1EB4E4A8F503AB31C1D527B&amp;View=%7b7"/>
    <hyperlink ref="O54" display="http://directorates.crossrail.co.uk/sites/Technical/SandC/Environment/Energy/Forms/AllItems.aspx?RootFolder=%2Fsites%2FTechnical%2FSandC%2FEnvironment%2FEnergy%2FPlant%20Equipment%20information&amp;FolderCTID=0x012000AD56E73FD1EB4E4A8F503AB31C1D527B&amp;View=%7b7"/>
    <hyperlink ref="O56" display="http://directorates.crossrail.co.uk/sites/Technical/SandC/Environment/Energy/Forms/AllItems.aspx?RootFolder=%2Fsites%2FTechnical%2FSandC%2FEnvironment%2FEnergy%2FPlant%20Equipment%20information&amp;FolderCTID=0x012000AD56E73FD1EB4E4A8F503AB31C1D527B&amp;View=%7b7"/>
    <hyperlink ref="O58" display="http://directorates.crossrail.co.uk/sites/Technical/SandC/Environment/Energy/Forms/AllItems.aspx?RootFolder=%2Fsites%2FTechnical%2FSandC%2FEnvironment%2FEnergy%2FPlant%20Equipment%20information&amp;FolderCTID=0x012000AD56E73FD1EB4E4A8F503AB31C1D527B&amp;View=%7b7"/>
    <hyperlink ref="O60" display="http://directorates.crossrail.co.uk/sites/Technical/SandC/Environment/Energy/Forms/AllItems.aspx?RootFolder=%2Fsites%2FTechnical%2FSandC%2FEnvironment%2FEnergy%2FPlant%20Equipment%20information&amp;FolderCTID=0x012000AD56E73FD1EB4E4A8F503AB31C1D527B&amp;View=%7b7"/>
    <hyperlink ref="O7" display="http://directorates.crossrail.co.uk/sites/Technical/SandC/Environment/Energy/Forms/AllItems.aspx?RootFolder=%2Fsites%2FTechnical%2FSandC%2FEnvironment%2FEnergy%2FPlant%20Equipment%20information&amp;FolderCTID=0x012000AD56E73FD1EB4E4A8F503AB31C1D527B&amp;View=%7b7"/>
    <hyperlink ref="O9" display="http://directorates.crossrail.co.uk/sites/Technical/SandC/Environment/Energy/Forms/AllItems.aspx?RootFolder=%2Fsites%2FTechnical%2FSandC%2FEnvironment%2FEnergy%2FPlant%20Equipment%20information&amp;FolderCTID=0x012000AD56E73FD1EB4E4A8F503AB31C1D527B&amp;View=%7b7"/>
    <hyperlink ref="O13" display="http://directorates.crossrail.co.uk/sites/Technical/SandC/Environment/Energy/Forms/AllItems.aspx?RootFolder=%2Fsites%2FTechnical%2FSandC%2FEnvironment%2FEnergy%2FPlant%20Equipment%20information&amp;FolderCTID=0x012000AD56E73FD1EB4E4A8F503AB31C1D527B&amp;View=%7b7"/>
    <hyperlink ref="O14" display="http://directorates.crossrail.co.uk/sites/Technical/SandC/Environment/Energy/Forms/AllItems.aspx?RootFolder=%2Fsites%2FTechnical%2FSandC%2FEnvironment%2FEnergy%2FPlant%20Equipment%20information&amp;FolderCTID=0x012000AD56E73FD1EB4E4A8F503AB31C1D527B&amp;View=%7b7"/>
    <hyperlink ref="O24" display="http://directorates.crossrail.co.uk/sites/Technical/SandC/Environment/Energy/Forms/AllItems.aspx?RootFolder=%2Fsites%2FTechnical%2FSandC%2FEnvironment%2FEnergy%2FPlant%20Equipment%20information&amp;FolderCTID=0x012000AD56E73FD1EB4E4A8F503AB31C1D527B&amp;View=%7b7"/>
    <hyperlink ref="O27" display="http://directorates.crossrail.co.uk/sites/Technical/SandC/Environment/Energy/Forms/AllItems.aspx?RootFolder=%2Fsites%2FTechnical%2FSandC%2FEnvironment%2FEnergy%2FPlant%20Equipment%20information&amp;FolderCTID=0x012000AD56E73FD1EB4E4A8F503AB31C1D527B&amp;View=%7b7"/>
  </hyperlinks>
  <pageMargins left="0.19685039370078741" right="0.19685039370078741" top="0.39370078740157483" bottom="0.19685039370078741" header="0" footer="0"/>
  <pageSetup paperSize="8" scale="90" orientation="portrait" verticalDpi="4"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V94"/>
  <sheetViews>
    <sheetView topLeftCell="C1" zoomScale="85" zoomScaleNormal="85" workbookViewId="0">
      <selection activeCell="M35" sqref="M35"/>
    </sheetView>
  </sheetViews>
  <sheetFormatPr defaultRowHeight="14.25"/>
  <cols>
    <col min="1" max="2" width="9.140625" style="359" hidden="1" customWidth="1"/>
    <col min="3" max="3" width="15.5703125" style="359" customWidth="1"/>
    <col min="4" max="6" width="14.28515625" style="359" customWidth="1"/>
    <col min="7" max="7" width="9.140625" style="359"/>
    <col min="8" max="8" width="37.5703125" style="359" customWidth="1"/>
    <col min="9" max="12" width="9.140625" style="359"/>
    <col min="13" max="13" width="11.85546875" style="359" bestFit="1" customWidth="1"/>
    <col min="14" max="16384" width="9.140625" style="359"/>
  </cols>
  <sheetData>
    <row r="1" spans="3:18">
      <c r="C1" s="363" t="s">
        <v>645</v>
      </c>
    </row>
    <row r="4" spans="3:18" ht="28.5">
      <c r="C4" s="365" t="s">
        <v>302</v>
      </c>
      <c r="D4" s="365" t="s">
        <v>303</v>
      </c>
      <c r="E4" s="365" t="s">
        <v>646</v>
      </c>
      <c r="F4" s="365" t="s">
        <v>647</v>
      </c>
      <c r="G4" s="365" t="s">
        <v>648</v>
      </c>
      <c r="H4" s="365" t="s">
        <v>649</v>
      </c>
      <c r="I4" s="365" t="s">
        <v>650</v>
      </c>
      <c r="J4" s="365" t="s">
        <v>651</v>
      </c>
      <c r="K4" s="365" t="s">
        <v>652</v>
      </c>
      <c r="L4" s="365" t="s">
        <v>653</v>
      </c>
      <c r="M4" s="365" t="s">
        <v>568</v>
      </c>
      <c r="R4" s="359" t="s">
        <v>654</v>
      </c>
    </row>
    <row r="5" spans="3:18" ht="15">
      <c r="C5" s="423" t="s">
        <v>656</v>
      </c>
      <c r="D5" s="423" t="s">
        <v>657</v>
      </c>
      <c r="E5" s="366">
        <v>6.4</v>
      </c>
      <c r="F5" s="367" t="s">
        <v>658</v>
      </c>
      <c r="G5" s="359" t="s">
        <v>659</v>
      </c>
      <c r="H5" s="359">
        <v>24</v>
      </c>
      <c r="I5" s="359">
        <v>225</v>
      </c>
      <c r="J5" s="359">
        <f t="shared" ref="J5:J7" si="0">H5*I5</f>
        <v>5400</v>
      </c>
      <c r="K5" s="368">
        <f>J5/1000</f>
        <v>5.4</v>
      </c>
      <c r="L5" s="392">
        <f>0.44548*K5</f>
        <v>2.405592</v>
      </c>
      <c r="M5" s="393">
        <f>1-(L5/L$5)</f>
        <v>0</v>
      </c>
      <c r="O5" s="359" t="s">
        <v>660</v>
      </c>
    </row>
    <row r="6" spans="3:18" ht="15">
      <c r="C6" s="359" t="s">
        <v>661</v>
      </c>
      <c r="E6" s="366"/>
      <c r="F6" s="367"/>
      <c r="K6" s="368">
        <f>AVERAGE(K5:K5)</f>
        <v>5.4</v>
      </c>
      <c r="L6" s="392">
        <f t="shared" ref="L6:L24" si="1">0.44548*K6</f>
        <v>2.405592</v>
      </c>
      <c r="M6" s="405">
        <f>1-(L6/L$5)</f>
        <v>0</v>
      </c>
    </row>
    <row r="7" spans="3:18" ht="15">
      <c r="C7" s="369" t="s">
        <v>662</v>
      </c>
      <c r="D7" s="369" t="s">
        <v>663</v>
      </c>
      <c r="E7" s="370">
        <v>7.6</v>
      </c>
      <c r="F7" s="371" t="s">
        <v>655</v>
      </c>
      <c r="G7" s="369" t="s">
        <v>664</v>
      </c>
      <c r="H7" s="369">
        <v>24</v>
      </c>
      <c r="I7" s="369">
        <v>225</v>
      </c>
      <c r="J7" s="369">
        <f t="shared" si="0"/>
        <v>5400</v>
      </c>
      <c r="K7" s="372">
        <f>J7/1000</f>
        <v>5.4</v>
      </c>
      <c r="L7" s="394">
        <f t="shared" si="1"/>
        <v>2.405592</v>
      </c>
      <c r="M7" s="395">
        <f>1-(K7/K$7)</f>
        <v>0</v>
      </c>
      <c r="O7" s="359" t="s">
        <v>660</v>
      </c>
    </row>
    <row r="8" spans="3:18" ht="15">
      <c r="C8" s="369" t="s">
        <v>665</v>
      </c>
      <c r="D8" s="369" t="s">
        <v>666</v>
      </c>
      <c r="E8" s="370">
        <v>7.9</v>
      </c>
      <c r="F8" s="371" t="s">
        <v>667</v>
      </c>
      <c r="G8" s="369" t="s">
        <v>668</v>
      </c>
      <c r="H8" s="369">
        <v>24</v>
      </c>
      <c r="I8" s="369">
        <v>225</v>
      </c>
      <c r="J8" s="369">
        <f>H8*I8</f>
        <v>5400</v>
      </c>
      <c r="K8" s="372">
        <f>J8/1000</f>
        <v>5.4</v>
      </c>
      <c r="L8" s="394">
        <f t="shared" si="1"/>
        <v>2.405592</v>
      </c>
      <c r="M8" s="406">
        <f>1-(K8/K$7)</f>
        <v>0</v>
      </c>
    </row>
    <row r="9" spans="3:18" ht="15">
      <c r="C9" s="369" t="s">
        <v>669</v>
      </c>
      <c r="D9" s="369" t="s">
        <v>670</v>
      </c>
      <c r="E9" s="370">
        <v>7.9</v>
      </c>
      <c r="F9" s="371" t="s">
        <v>671</v>
      </c>
      <c r="G9" s="369" t="s">
        <v>668</v>
      </c>
      <c r="H9" s="369">
        <v>24</v>
      </c>
      <c r="I9" s="369">
        <v>225</v>
      </c>
      <c r="J9" s="369">
        <f t="shared" ref="J9:J23" si="2">H9*I9</f>
        <v>5400</v>
      </c>
      <c r="K9" s="372">
        <f t="shared" ref="K9:K23" si="3">J9/1000</f>
        <v>5.4</v>
      </c>
      <c r="L9" s="394">
        <f t="shared" si="1"/>
        <v>2.405592</v>
      </c>
      <c r="M9" s="406">
        <f>1-(K9/K$7)</f>
        <v>0</v>
      </c>
    </row>
    <row r="10" spans="3:18" ht="15">
      <c r="C10" s="369" t="s">
        <v>672</v>
      </c>
      <c r="D10" s="369" t="s">
        <v>673</v>
      </c>
      <c r="E10" s="370">
        <v>8</v>
      </c>
      <c r="F10" s="371"/>
      <c r="G10" s="369"/>
      <c r="H10" s="369">
        <v>24</v>
      </c>
      <c r="I10" s="369">
        <v>220</v>
      </c>
      <c r="J10" s="369">
        <f t="shared" si="2"/>
        <v>5280</v>
      </c>
      <c r="K10" s="372">
        <f t="shared" si="3"/>
        <v>5.28</v>
      </c>
      <c r="L10" s="394">
        <f t="shared" si="1"/>
        <v>2.3521344000000002</v>
      </c>
      <c r="M10" s="406">
        <f>1-(K10/K$7)</f>
        <v>2.2222222222222254E-2</v>
      </c>
    </row>
    <row r="11" spans="3:18" ht="15">
      <c r="C11" s="369" t="s">
        <v>661</v>
      </c>
      <c r="D11" s="369"/>
      <c r="E11" s="370"/>
      <c r="F11" s="371"/>
      <c r="G11" s="369"/>
      <c r="H11" s="369"/>
      <c r="I11" s="369"/>
      <c r="J11" s="369"/>
      <c r="K11" s="372">
        <f>AVERAGE(K7:K10)</f>
        <v>5.370000000000001</v>
      </c>
      <c r="L11" s="394">
        <f t="shared" si="1"/>
        <v>2.3922276000000005</v>
      </c>
      <c r="M11" s="406">
        <f>1-(K11/K$7)</f>
        <v>5.5555555555554248E-3</v>
      </c>
    </row>
    <row r="12" spans="3:18" ht="15">
      <c r="C12" s="423" t="s">
        <v>674</v>
      </c>
      <c r="D12" s="423" t="s">
        <v>675</v>
      </c>
      <c r="E12" s="366">
        <v>8.5</v>
      </c>
      <c r="F12" s="367" t="s">
        <v>676</v>
      </c>
      <c r="G12" s="361"/>
      <c r="H12" s="359">
        <v>24</v>
      </c>
      <c r="I12" s="359">
        <v>255</v>
      </c>
      <c r="J12" s="359">
        <f>H12*I12</f>
        <v>6120</v>
      </c>
      <c r="K12" s="368">
        <f>J12/1000</f>
        <v>6.12</v>
      </c>
      <c r="L12" s="392">
        <f t="shared" si="1"/>
        <v>2.7263375999999999</v>
      </c>
      <c r="M12" s="396">
        <f>1-(L12/L12)</f>
        <v>0</v>
      </c>
      <c r="R12" s="359" t="s">
        <v>677</v>
      </c>
    </row>
    <row r="13" spans="3:18" ht="15">
      <c r="C13" s="382" t="s">
        <v>661</v>
      </c>
      <c r="E13" s="366"/>
      <c r="F13" s="367"/>
      <c r="G13" s="361"/>
      <c r="K13" s="368">
        <f>AVERAGE(K12)</f>
        <v>6.12</v>
      </c>
      <c r="L13" s="392">
        <f t="shared" si="1"/>
        <v>2.7263375999999999</v>
      </c>
      <c r="M13" s="407">
        <f>1-(L13/L13)</f>
        <v>0</v>
      </c>
    </row>
    <row r="14" spans="3:18" ht="15">
      <c r="C14" s="424" t="s">
        <v>679</v>
      </c>
      <c r="D14" s="424" t="s">
        <v>680</v>
      </c>
      <c r="E14" s="374">
        <v>9.9</v>
      </c>
      <c r="F14" s="375" t="s">
        <v>655</v>
      </c>
      <c r="G14" s="373" t="s">
        <v>668</v>
      </c>
      <c r="H14" s="373">
        <v>24</v>
      </c>
      <c r="I14" s="373">
        <v>225</v>
      </c>
      <c r="J14" s="373">
        <f t="shared" si="2"/>
        <v>5400</v>
      </c>
      <c r="K14" s="376">
        <f t="shared" si="3"/>
        <v>5.4</v>
      </c>
      <c r="L14" s="397">
        <f t="shared" si="1"/>
        <v>2.405592</v>
      </c>
      <c r="M14" s="408">
        <f>1-(L14/L$16)</f>
        <v>0.5</v>
      </c>
    </row>
    <row r="15" spans="3:18" ht="15">
      <c r="C15" s="424" t="s">
        <v>681</v>
      </c>
      <c r="D15" s="424" t="s">
        <v>682</v>
      </c>
      <c r="E15" s="374">
        <v>9.8000000000000007</v>
      </c>
      <c r="F15" s="375" t="s">
        <v>683</v>
      </c>
      <c r="G15" s="373" t="s">
        <v>668</v>
      </c>
      <c r="H15" s="373">
        <v>24</v>
      </c>
      <c r="I15" s="373">
        <v>225</v>
      </c>
      <c r="J15" s="373">
        <f t="shared" si="2"/>
        <v>5400</v>
      </c>
      <c r="K15" s="376">
        <f t="shared" si="3"/>
        <v>5.4</v>
      </c>
      <c r="L15" s="397">
        <f t="shared" si="1"/>
        <v>2.405592</v>
      </c>
      <c r="M15" s="408">
        <f>1-(L15/L$16)</f>
        <v>0.5</v>
      </c>
    </row>
    <row r="16" spans="3:18" ht="15">
      <c r="C16" s="424" t="s">
        <v>684</v>
      </c>
      <c r="D16" s="424" t="s">
        <v>685</v>
      </c>
      <c r="E16" s="374">
        <v>9.6999999999999993</v>
      </c>
      <c r="F16" s="375" t="s">
        <v>686</v>
      </c>
      <c r="G16" s="373" t="s">
        <v>687</v>
      </c>
      <c r="H16" s="373">
        <v>48</v>
      </c>
      <c r="I16" s="373">
        <v>225</v>
      </c>
      <c r="J16" s="373">
        <f t="shared" si="2"/>
        <v>10800</v>
      </c>
      <c r="K16" s="376">
        <f t="shared" si="3"/>
        <v>10.8</v>
      </c>
      <c r="L16" s="397">
        <f t="shared" si="1"/>
        <v>4.8111839999999999</v>
      </c>
      <c r="M16" s="398">
        <f>1-(L16/L$16)</f>
        <v>0</v>
      </c>
      <c r="O16" s="359" t="s">
        <v>688</v>
      </c>
    </row>
    <row r="17" spans="1:15" ht="15">
      <c r="C17" s="373" t="s">
        <v>661</v>
      </c>
      <c r="D17" s="373"/>
      <c r="E17" s="374"/>
      <c r="F17" s="375"/>
      <c r="G17" s="373"/>
      <c r="H17" s="373"/>
      <c r="I17" s="373"/>
      <c r="J17" s="373"/>
      <c r="K17" s="376">
        <f>AVERAGE(K14:K16)</f>
        <v>7.2</v>
      </c>
      <c r="L17" s="397">
        <f t="shared" si="1"/>
        <v>3.2074560000000001</v>
      </c>
      <c r="M17" s="408">
        <f>1-(L17/L$16)</f>
        <v>0.33333333333333326</v>
      </c>
    </row>
    <row r="18" spans="1:15" ht="15">
      <c r="C18" s="425" t="s">
        <v>689</v>
      </c>
      <c r="D18" s="425" t="s">
        <v>690</v>
      </c>
      <c r="E18" s="378">
        <v>12</v>
      </c>
      <c r="F18" s="379"/>
      <c r="G18" s="377"/>
      <c r="H18" s="377">
        <v>24</v>
      </c>
      <c r="I18" s="377">
        <v>220</v>
      </c>
      <c r="J18" s="377">
        <f t="shared" si="2"/>
        <v>5280</v>
      </c>
      <c r="K18" s="380">
        <f t="shared" si="3"/>
        <v>5.28</v>
      </c>
      <c r="L18" s="399">
        <f t="shared" si="1"/>
        <v>2.3521344000000002</v>
      </c>
      <c r="M18" s="409">
        <f>1-(L18/L$21)</f>
        <v>0.51111111111111107</v>
      </c>
    </row>
    <row r="19" spans="1:15" ht="15">
      <c r="C19" s="425" t="s">
        <v>691</v>
      </c>
      <c r="D19" s="425" t="s">
        <v>692</v>
      </c>
      <c r="E19" s="378">
        <v>11.5</v>
      </c>
      <c r="F19" s="379" t="s">
        <v>655</v>
      </c>
      <c r="G19" s="377" t="s">
        <v>668</v>
      </c>
      <c r="H19" s="377">
        <v>24</v>
      </c>
      <c r="I19" s="377">
        <v>225</v>
      </c>
      <c r="J19" s="377">
        <f t="shared" si="2"/>
        <v>5400</v>
      </c>
      <c r="K19" s="380">
        <f t="shared" si="3"/>
        <v>5.4</v>
      </c>
      <c r="L19" s="399">
        <f t="shared" si="1"/>
        <v>2.405592</v>
      </c>
      <c r="M19" s="409">
        <f>1-(L19/L$21)</f>
        <v>0.5</v>
      </c>
    </row>
    <row r="20" spans="1:15" ht="15">
      <c r="C20" s="425" t="s">
        <v>693</v>
      </c>
      <c r="D20" s="425" t="s">
        <v>694</v>
      </c>
      <c r="E20" s="378">
        <v>11.5</v>
      </c>
      <c r="F20" s="379" t="s">
        <v>695</v>
      </c>
      <c r="G20" s="377" t="s">
        <v>668</v>
      </c>
      <c r="H20" s="377">
        <v>24</v>
      </c>
      <c r="I20" s="377">
        <v>225</v>
      </c>
      <c r="J20" s="377">
        <f t="shared" si="2"/>
        <v>5400</v>
      </c>
      <c r="K20" s="380">
        <f t="shared" si="3"/>
        <v>5.4</v>
      </c>
      <c r="L20" s="399">
        <f t="shared" si="1"/>
        <v>2.405592</v>
      </c>
      <c r="M20" s="409">
        <f>1-(L20/L$21)</f>
        <v>0.5</v>
      </c>
    </row>
    <row r="21" spans="1:15" ht="15">
      <c r="C21" s="425" t="s">
        <v>696</v>
      </c>
      <c r="D21" s="425" t="s">
        <v>697</v>
      </c>
      <c r="E21" s="378">
        <v>11.9</v>
      </c>
      <c r="F21" s="379" t="s">
        <v>698</v>
      </c>
      <c r="G21" s="377" t="s">
        <v>687</v>
      </c>
      <c r="H21" s="377">
        <v>48</v>
      </c>
      <c r="I21" s="377">
        <v>225</v>
      </c>
      <c r="J21" s="377">
        <f t="shared" si="2"/>
        <v>10800</v>
      </c>
      <c r="K21" s="380">
        <f t="shared" si="3"/>
        <v>10.8</v>
      </c>
      <c r="L21" s="399">
        <f t="shared" si="1"/>
        <v>4.8111839999999999</v>
      </c>
      <c r="M21" s="400">
        <f>1-(L21/L$21)</f>
        <v>0</v>
      </c>
      <c r="O21" s="359" t="s">
        <v>688</v>
      </c>
    </row>
    <row r="22" spans="1:15" ht="15">
      <c r="C22" s="377" t="s">
        <v>661</v>
      </c>
      <c r="D22" s="377"/>
      <c r="E22" s="378"/>
      <c r="F22" s="379"/>
      <c r="G22" s="377"/>
      <c r="H22" s="377"/>
      <c r="I22" s="377"/>
      <c r="J22" s="377"/>
      <c r="K22" s="380">
        <f>AVERAGE(K18:K21)</f>
        <v>6.72</v>
      </c>
      <c r="L22" s="399">
        <f t="shared" si="1"/>
        <v>2.9936255999999997</v>
      </c>
      <c r="M22" s="409">
        <f>1-(L22/L$21)</f>
        <v>0.37777777777777788</v>
      </c>
    </row>
    <row r="23" spans="1:15" ht="15">
      <c r="C23" s="423" t="s">
        <v>699</v>
      </c>
      <c r="D23" s="423" t="s">
        <v>700</v>
      </c>
      <c r="E23" s="366">
        <v>14</v>
      </c>
      <c r="F23" s="367" t="s">
        <v>678</v>
      </c>
      <c r="H23" s="359">
        <v>24</v>
      </c>
      <c r="I23" s="359">
        <v>255</v>
      </c>
      <c r="J23" s="359">
        <f t="shared" si="2"/>
        <v>6120</v>
      </c>
      <c r="K23" s="368">
        <f t="shared" si="3"/>
        <v>6.12</v>
      </c>
      <c r="L23" s="392">
        <f t="shared" si="1"/>
        <v>2.7263375999999999</v>
      </c>
      <c r="M23" s="396">
        <f>1-(L23/L$23)</f>
        <v>0</v>
      </c>
    </row>
    <row r="24" spans="1:15" ht="15">
      <c r="C24" s="383" t="s">
        <v>661</v>
      </c>
      <c r="K24" s="368">
        <f>AVERAGE(K23)</f>
        <v>6.12</v>
      </c>
      <c r="L24" s="392">
        <f t="shared" si="1"/>
        <v>2.7263375999999999</v>
      </c>
      <c r="M24" s="407">
        <f>1-(L24/L$23)</f>
        <v>0</v>
      </c>
    </row>
    <row r="26" spans="1:15">
      <c r="C26" s="363" t="s">
        <v>701</v>
      </c>
    </row>
    <row r="28" spans="1:15" ht="71.25">
      <c r="C28" s="364" t="s">
        <v>302</v>
      </c>
      <c r="D28" s="364" t="s">
        <v>303</v>
      </c>
      <c r="E28" s="364" t="s">
        <v>702</v>
      </c>
      <c r="F28" s="364" t="s">
        <v>646</v>
      </c>
      <c r="G28" s="364" t="s">
        <v>647</v>
      </c>
      <c r="H28" s="364" t="s">
        <v>703</v>
      </c>
      <c r="I28" s="364" t="s">
        <v>704</v>
      </c>
      <c r="J28" s="364" t="s">
        <v>570</v>
      </c>
      <c r="K28" s="364" t="s">
        <v>705</v>
      </c>
      <c r="L28" s="364" t="s">
        <v>706</v>
      </c>
      <c r="M28" s="364" t="s">
        <v>568</v>
      </c>
    </row>
    <row r="29" spans="1:15">
      <c r="C29" s="360"/>
      <c r="D29" s="360"/>
      <c r="E29" s="360"/>
      <c r="F29" s="360"/>
      <c r="G29" s="360"/>
      <c r="H29" s="360"/>
      <c r="I29" s="360"/>
      <c r="J29" s="360"/>
      <c r="K29" s="360"/>
      <c r="L29" s="360"/>
    </row>
    <row r="30" spans="1:15" ht="15">
      <c r="C30" s="440" t="s">
        <v>734</v>
      </c>
      <c r="D30" s="387"/>
      <c r="E30" s="387"/>
      <c r="F30" s="410"/>
      <c r="G30" s="387"/>
      <c r="H30" s="387"/>
      <c r="I30" s="387"/>
      <c r="J30" s="387"/>
      <c r="K30" s="387">
        <f>MAX(K31:K32)</f>
        <v>5.5</v>
      </c>
      <c r="L30" s="404"/>
      <c r="M30" s="411"/>
    </row>
    <row r="31" spans="1:15" ht="15">
      <c r="A31" s="359">
        <v>1</v>
      </c>
      <c r="B31" s="359" t="str">
        <f>C30</f>
        <v>10m</v>
      </c>
      <c r="C31" s="426" t="s">
        <v>708</v>
      </c>
      <c r="D31" s="426" t="s">
        <v>709</v>
      </c>
      <c r="E31" s="384" t="s">
        <v>707</v>
      </c>
      <c r="F31" s="412">
        <v>10.06</v>
      </c>
      <c r="G31" s="384">
        <v>1020</v>
      </c>
      <c r="H31" s="385" t="s">
        <v>710</v>
      </c>
      <c r="I31" s="384"/>
      <c r="J31" s="384">
        <v>113</v>
      </c>
      <c r="K31" s="384">
        <v>5.5</v>
      </c>
      <c r="L31" s="401">
        <f t="shared" ref="L31:L37" si="4">2.6705*K31</f>
        <v>14.687750000000001</v>
      </c>
      <c r="M31" s="395">
        <f>1-(L31/L$31)</f>
        <v>0</v>
      </c>
      <c r="O31" s="359" t="s">
        <v>711</v>
      </c>
    </row>
    <row r="32" spans="1:15" ht="15">
      <c r="A32" s="359">
        <f>IF(B32&gt;0,IF(A31&gt;0,A31+1,A30+1),0)</f>
        <v>2</v>
      </c>
      <c r="B32" s="359" t="str">
        <f>C30</f>
        <v>10m</v>
      </c>
      <c r="C32" s="426" t="s">
        <v>712</v>
      </c>
      <c r="D32" s="426" t="s">
        <v>713</v>
      </c>
      <c r="E32" s="384" t="s">
        <v>707</v>
      </c>
      <c r="F32" s="412">
        <v>10</v>
      </c>
      <c r="G32" s="384">
        <v>567</v>
      </c>
      <c r="H32" s="385" t="s">
        <v>714</v>
      </c>
      <c r="I32" s="384"/>
      <c r="J32" s="384">
        <v>86.9</v>
      </c>
      <c r="K32" s="384">
        <v>5.36</v>
      </c>
      <c r="L32" s="401">
        <f t="shared" si="4"/>
        <v>14.313880000000001</v>
      </c>
      <c r="M32" s="406">
        <f>1-(L32/L$31)</f>
        <v>2.5454545454545507E-2</v>
      </c>
    </row>
    <row r="33" spans="1:15" ht="15">
      <c r="A33" s="359">
        <f t="shared" ref="A33:A36" si="5">IF(B33&gt;0,IF(A32&gt;0,A32+1,A31+1),0)</f>
        <v>0</v>
      </c>
      <c r="C33" s="441" t="s">
        <v>735</v>
      </c>
      <c r="D33" s="384"/>
      <c r="E33" s="384"/>
      <c r="F33" s="412"/>
      <c r="G33" s="384"/>
      <c r="H33" s="385"/>
      <c r="I33" s="384"/>
      <c r="J33" s="384"/>
      <c r="K33" s="384">
        <f>MAX(K34:K34)</f>
        <v>5.77</v>
      </c>
      <c r="L33" s="401"/>
      <c r="M33" s="406"/>
    </row>
    <row r="34" spans="1:15" ht="15">
      <c r="A34" s="359">
        <f t="shared" si="5"/>
        <v>3</v>
      </c>
      <c r="B34" s="359" t="str">
        <f>C33</f>
        <v>11m</v>
      </c>
      <c r="C34" s="424" t="s">
        <v>715</v>
      </c>
      <c r="D34" s="386" t="s">
        <v>716</v>
      </c>
      <c r="E34" s="373" t="s">
        <v>707</v>
      </c>
      <c r="F34" s="413">
        <v>11</v>
      </c>
      <c r="G34" s="373">
        <v>909</v>
      </c>
      <c r="H34" s="373" t="s">
        <v>717</v>
      </c>
      <c r="I34" s="373"/>
      <c r="J34" s="373">
        <v>49.2</v>
      </c>
      <c r="K34" s="373">
        <v>5.77</v>
      </c>
      <c r="L34" s="402">
        <f t="shared" si="4"/>
        <v>15.408785</v>
      </c>
      <c r="M34" s="398">
        <f>1-(L34/L$34)</f>
        <v>0</v>
      </c>
    </row>
    <row r="35" spans="1:15" ht="15">
      <c r="A35" s="359">
        <f t="shared" si="5"/>
        <v>0</v>
      </c>
      <c r="C35" s="442" t="s">
        <v>736</v>
      </c>
      <c r="D35" s="377"/>
      <c r="E35" s="377"/>
      <c r="F35" s="414"/>
      <c r="G35" s="377"/>
      <c r="H35" s="377"/>
      <c r="I35" s="377"/>
      <c r="J35" s="377"/>
      <c r="K35" s="377">
        <f>MAX(K36)</f>
        <v>5.5</v>
      </c>
      <c r="L35" s="403"/>
      <c r="M35" s="409"/>
    </row>
    <row r="36" spans="1:15" ht="15">
      <c r="A36" s="359">
        <f t="shared" si="5"/>
        <v>4</v>
      </c>
      <c r="B36" s="359" t="str">
        <f>C35</f>
        <v>13m</v>
      </c>
      <c r="C36" s="423" t="s">
        <v>718</v>
      </c>
      <c r="D36" s="423" t="s">
        <v>719</v>
      </c>
      <c r="E36" s="359" t="s">
        <v>707</v>
      </c>
      <c r="F36" s="415">
        <v>13.11</v>
      </c>
      <c r="G36" s="359">
        <v>680</v>
      </c>
      <c r="H36" s="362" t="s">
        <v>710</v>
      </c>
      <c r="J36" s="359">
        <v>113</v>
      </c>
      <c r="K36" s="359">
        <v>5.5</v>
      </c>
      <c r="L36" s="391">
        <f t="shared" si="4"/>
        <v>14.687750000000001</v>
      </c>
      <c r="M36" s="393">
        <f>1-(L36/L$36)</f>
        <v>0</v>
      </c>
      <c r="O36" s="359" t="s">
        <v>711</v>
      </c>
    </row>
    <row r="37" spans="1:15" ht="15">
      <c r="C37" s="359" t="str">
        <f>" "</f>
        <v xml:space="preserve"> </v>
      </c>
      <c r="F37" s="415"/>
      <c r="L37" s="391">
        <f t="shared" si="4"/>
        <v>0</v>
      </c>
      <c r="M37" s="405"/>
    </row>
    <row r="38" spans="1:15">
      <c r="C38" s="359" t="str">
        <f t="shared" ref="C38:C94" si="6">" "</f>
        <v xml:space="preserve"> </v>
      </c>
    </row>
    <row r="39" spans="1:15">
      <c r="C39" s="359" t="str">
        <f t="shared" si="6"/>
        <v xml:space="preserve"> </v>
      </c>
    </row>
    <row r="40" spans="1:15">
      <c r="C40" s="359" t="str">
        <f t="shared" si="6"/>
        <v xml:space="preserve"> </v>
      </c>
    </row>
    <row r="41" spans="1:15">
      <c r="C41" s="359" t="str">
        <f t="shared" si="6"/>
        <v xml:space="preserve"> </v>
      </c>
      <c r="D41" s="359" t="s">
        <v>720</v>
      </c>
      <c r="F41" s="359">
        <v>10</v>
      </c>
      <c r="G41" s="359" t="s">
        <v>721</v>
      </c>
      <c r="J41" s="359" t="s">
        <v>733</v>
      </c>
    </row>
    <row r="42" spans="1:15">
      <c r="C42" s="359" t="str">
        <f t="shared" si="6"/>
        <v xml:space="preserve"> </v>
      </c>
      <c r="D42" s="359" t="s">
        <v>722</v>
      </c>
      <c r="F42" s="359">
        <v>12</v>
      </c>
      <c r="G42" s="359" t="s">
        <v>723</v>
      </c>
      <c r="I42" s="359">
        <v>1</v>
      </c>
      <c r="J42" s="359" t="str">
        <f>C30</f>
        <v>10m</v>
      </c>
      <c r="K42" s="359">
        <f>A31</f>
        <v>1</v>
      </c>
      <c r="L42" s="359">
        <f>K43-K42</f>
        <v>2</v>
      </c>
    </row>
    <row r="43" spans="1:15">
      <c r="C43" s="359" t="str">
        <f t="shared" si="6"/>
        <v xml:space="preserve"> </v>
      </c>
      <c r="D43" s="359" t="s">
        <v>724</v>
      </c>
      <c r="F43" s="359">
        <v>12</v>
      </c>
      <c r="G43" s="359" t="s">
        <v>725</v>
      </c>
      <c r="I43" s="359">
        <v>2</v>
      </c>
      <c r="J43" s="359" t="str">
        <f>C33</f>
        <v>11m</v>
      </c>
      <c r="K43" s="359">
        <f>A34</f>
        <v>3</v>
      </c>
      <c r="L43" s="359">
        <f t="shared" ref="L43" si="7">K44-K43</f>
        <v>1</v>
      </c>
    </row>
    <row r="44" spans="1:15">
      <c r="C44" s="359" t="str">
        <f t="shared" si="6"/>
        <v xml:space="preserve"> </v>
      </c>
      <c r="D44" s="359" t="s">
        <v>726</v>
      </c>
      <c r="F44" s="359">
        <v>12</v>
      </c>
      <c r="G44" s="359" t="s">
        <v>725</v>
      </c>
      <c r="I44" s="359">
        <v>3</v>
      </c>
      <c r="J44" s="359" t="str">
        <f>C35</f>
        <v>13m</v>
      </c>
      <c r="K44" s="359">
        <f>A36</f>
        <v>4</v>
      </c>
      <c r="L44" s="359">
        <v>1</v>
      </c>
    </row>
    <row r="45" spans="1:15">
      <c r="C45" s="359" t="str">
        <f t="shared" si="6"/>
        <v xml:space="preserve"> </v>
      </c>
    </row>
    <row r="46" spans="1:15">
      <c r="C46" s="359" t="str">
        <f t="shared" si="6"/>
        <v xml:space="preserve"> </v>
      </c>
    </row>
    <row r="47" spans="1:15">
      <c r="C47" s="359" t="str">
        <f t="shared" si="6"/>
        <v xml:space="preserve"> </v>
      </c>
    </row>
    <row r="48" spans="1:15">
      <c r="C48" s="359" t="str">
        <f t="shared" si="6"/>
        <v xml:space="preserve"> </v>
      </c>
      <c r="D48" s="359" t="s">
        <v>727</v>
      </c>
    </row>
    <row r="49" spans="3:22">
      <c r="C49" s="359" t="str">
        <f t="shared" si="6"/>
        <v xml:space="preserve"> </v>
      </c>
      <c r="D49" s="388" t="s">
        <v>728</v>
      </c>
      <c r="E49" s="388"/>
      <c r="F49" s="388"/>
      <c r="G49" s="388"/>
      <c r="H49" s="388"/>
      <c r="I49" s="388"/>
      <c r="J49" s="388"/>
      <c r="K49" s="388"/>
      <c r="L49" s="388"/>
      <c r="M49" s="388"/>
      <c r="N49" s="388"/>
      <c r="O49" s="388"/>
      <c r="P49" s="388"/>
      <c r="Q49" s="388"/>
      <c r="R49" s="388"/>
      <c r="S49" s="388"/>
      <c r="T49" s="388"/>
      <c r="U49" s="388"/>
      <c r="V49" s="388"/>
    </row>
    <row r="50" spans="3:22">
      <c r="C50" s="359" t="str">
        <f t="shared" si="6"/>
        <v xml:space="preserve"> </v>
      </c>
      <c r="D50" s="381"/>
      <c r="E50" s="389"/>
      <c r="F50" s="389"/>
      <c r="G50" s="389"/>
      <c r="H50" s="390"/>
      <c r="I50" s="389"/>
      <c r="J50" s="389"/>
      <c r="K50" s="389"/>
      <c r="L50" s="389"/>
      <c r="M50" s="389"/>
      <c r="N50" s="389"/>
      <c r="O50" s="389"/>
      <c r="P50" s="389"/>
      <c r="Q50" s="389"/>
      <c r="R50" s="389"/>
      <c r="S50" s="389"/>
      <c r="T50" s="981"/>
      <c r="U50" s="981"/>
      <c r="V50" s="389"/>
    </row>
    <row r="51" spans="3:22">
      <c r="C51" s="359" t="str">
        <f t="shared" si="6"/>
        <v xml:space="preserve"> </v>
      </c>
      <c r="D51" s="381"/>
      <c r="E51" s="389"/>
      <c r="F51" s="389"/>
      <c r="G51" s="389"/>
      <c r="H51" s="389"/>
      <c r="I51" s="389"/>
      <c r="J51" s="389"/>
      <c r="K51" s="389"/>
      <c r="L51" s="389"/>
      <c r="M51" s="389"/>
      <c r="N51" s="389"/>
      <c r="O51" s="389"/>
      <c r="P51" s="389"/>
      <c r="Q51" s="389"/>
      <c r="R51" s="389"/>
      <c r="S51" s="389"/>
      <c r="T51" s="981"/>
      <c r="U51" s="981"/>
      <c r="V51" s="389"/>
    </row>
    <row r="52" spans="3:22">
      <c r="C52" s="359" t="str">
        <f t="shared" si="6"/>
        <v xml:space="preserve"> </v>
      </c>
      <c r="D52" s="381"/>
      <c r="E52" s="389"/>
      <c r="F52" s="389"/>
      <c r="G52" s="389"/>
      <c r="H52" s="389"/>
      <c r="I52" s="389"/>
      <c r="J52" s="389"/>
      <c r="K52" s="389"/>
      <c r="L52" s="389"/>
      <c r="M52" s="389"/>
      <c r="N52" s="389"/>
      <c r="O52" s="389"/>
      <c r="P52" s="389"/>
      <c r="Q52" s="389"/>
      <c r="R52" s="389"/>
      <c r="S52" s="389"/>
      <c r="T52" s="981"/>
      <c r="U52" s="981"/>
      <c r="V52" s="389"/>
    </row>
    <row r="53" spans="3:22">
      <c r="C53" s="359" t="str">
        <f t="shared" si="6"/>
        <v xml:space="preserve"> </v>
      </c>
      <c r="D53" s="388"/>
      <c r="E53" s="388"/>
      <c r="F53" s="388"/>
      <c r="G53" s="388"/>
      <c r="H53" s="388"/>
      <c r="I53" s="388"/>
      <c r="J53" s="388"/>
      <c r="K53" s="388"/>
      <c r="L53" s="388"/>
      <c r="M53" s="388"/>
      <c r="N53" s="388"/>
      <c r="O53" s="388"/>
      <c r="P53" s="388"/>
      <c r="Q53" s="388"/>
      <c r="R53" s="388"/>
      <c r="S53" s="388"/>
      <c r="T53" s="388"/>
      <c r="U53" s="388"/>
      <c r="V53" s="388"/>
    </row>
    <row r="54" spans="3:22">
      <c r="C54" s="359" t="str">
        <f t="shared" si="6"/>
        <v xml:space="preserve"> </v>
      </c>
      <c r="D54" s="388"/>
      <c r="E54" s="388"/>
      <c r="F54" s="388"/>
      <c r="G54" s="388"/>
      <c r="H54" s="388"/>
      <c r="I54" s="388"/>
      <c r="J54" s="388"/>
      <c r="K54" s="388"/>
      <c r="L54" s="388"/>
      <c r="M54" s="388"/>
      <c r="N54" s="388"/>
      <c r="O54" s="388"/>
      <c r="P54" s="388"/>
      <c r="Q54" s="388"/>
      <c r="R54" s="388"/>
      <c r="S54" s="388"/>
      <c r="T54" s="388"/>
      <c r="U54" s="388"/>
      <c r="V54" s="388"/>
    </row>
    <row r="55" spans="3:22">
      <c r="C55" s="359" t="str">
        <f t="shared" si="6"/>
        <v xml:space="preserve"> </v>
      </c>
    </row>
    <row r="56" spans="3:22">
      <c r="C56" s="359" t="str">
        <f t="shared" si="6"/>
        <v xml:space="preserve"> </v>
      </c>
    </row>
    <row r="57" spans="3:22">
      <c r="C57" s="359" t="str">
        <f t="shared" si="6"/>
        <v xml:space="preserve"> </v>
      </c>
    </row>
    <row r="58" spans="3:22">
      <c r="C58" s="359" t="str">
        <f t="shared" si="6"/>
        <v xml:space="preserve"> </v>
      </c>
    </row>
    <row r="59" spans="3:22">
      <c r="C59" s="359" t="str">
        <f t="shared" si="6"/>
        <v xml:space="preserve"> </v>
      </c>
    </row>
    <row r="60" spans="3:22">
      <c r="C60" s="359" t="str">
        <f t="shared" si="6"/>
        <v xml:space="preserve"> </v>
      </c>
    </row>
    <row r="61" spans="3:22">
      <c r="C61" s="359" t="str">
        <f t="shared" si="6"/>
        <v xml:space="preserve"> </v>
      </c>
    </row>
    <row r="62" spans="3:22">
      <c r="C62" s="359" t="str">
        <f t="shared" si="6"/>
        <v xml:space="preserve"> </v>
      </c>
    </row>
    <row r="63" spans="3:22">
      <c r="C63" s="359" t="str">
        <f t="shared" si="6"/>
        <v xml:space="preserve"> </v>
      </c>
    </row>
    <row r="64" spans="3:22">
      <c r="C64" s="359" t="str">
        <f t="shared" si="6"/>
        <v xml:space="preserve"> </v>
      </c>
    </row>
    <row r="65" spans="3:3">
      <c r="C65" s="359" t="str">
        <f t="shared" si="6"/>
        <v xml:space="preserve"> </v>
      </c>
    </row>
    <row r="66" spans="3:3">
      <c r="C66" s="359" t="str">
        <f t="shared" si="6"/>
        <v xml:space="preserve"> </v>
      </c>
    </row>
    <row r="67" spans="3:3">
      <c r="C67" s="359" t="str">
        <f t="shared" si="6"/>
        <v xml:space="preserve"> </v>
      </c>
    </row>
    <row r="68" spans="3:3">
      <c r="C68" s="359" t="str">
        <f t="shared" si="6"/>
        <v xml:space="preserve"> </v>
      </c>
    </row>
    <row r="69" spans="3:3">
      <c r="C69" s="359" t="str">
        <f t="shared" si="6"/>
        <v xml:space="preserve"> </v>
      </c>
    </row>
    <row r="70" spans="3:3">
      <c r="C70" s="359" t="str">
        <f t="shared" si="6"/>
        <v xml:space="preserve"> </v>
      </c>
    </row>
    <row r="71" spans="3:3">
      <c r="C71" s="359" t="str">
        <f t="shared" si="6"/>
        <v xml:space="preserve"> </v>
      </c>
    </row>
    <row r="72" spans="3:3">
      <c r="C72" s="359" t="str">
        <f t="shared" si="6"/>
        <v xml:space="preserve"> </v>
      </c>
    </row>
    <row r="73" spans="3:3">
      <c r="C73" s="359" t="str">
        <f t="shared" si="6"/>
        <v xml:space="preserve"> </v>
      </c>
    </row>
    <row r="74" spans="3:3">
      <c r="C74" s="359" t="str">
        <f t="shared" si="6"/>
        <v xml:space="preserve"> </v>
      </c>
    </row>
    <row r="75" spans="3:3">
      <c r="C75" s="359" t="str">
        <f t="shared" si="6"/>
        <v xml:space="preserve"> </v>
      </c>
    </row>
    <row r="76" spans="3:3">
      <c r="C76" s="359" t="str">
        <f t="shared" si="6"/>
        <v xml:space="preserve"> </v>
      </c>
    </row>
    <row r="77" spans="3:3">
      <c r="C77" s="359" t="str">
        <f t="shared" si="6"/>
        <v xml:space="preserve"> </v>
      </c>
    </row>
    <row r="78" spans="3:3">
      <c r="C78" s="359" t="str">
        <f t="shared" si="6"/>
        <v xml:space="preserve"> </v>
      </c>
    </row>
    <row r="79" spans="3:3">
      <c r="C79" s="359" t="str">
        <f t="shared" si="6"/>
        <v xml:space="preserve"> </v>
      </c>
    </row>
    <row r="80" spans="3:3">
      <c r="C80" s="359" t="str">
        <f t="shared" si="6"/>
        <v xml:space="preserve"> </v>
      </c>
    </row>
    <row r="81" spans="3:3">
      <c r="C81" s="359" t="str">
        <f t="shared" si="6"/>
        <v xml:space="preserve"> </v>
      </c>
    </row>
    <row r="82" spans="3:3">
      <c r="C82" s="359" t="str">
        <f t="shared" si="6"/>
        <v xml:space="preserve"> </v>
      </c>
    </row>
    <row r="83" spans="3:3">
      <c r="C83" s="359" t="str">
        <f t="shared" si="6"/>
        <v xml:space="preserve"> </v>
      </c>
    </row>
    <row r="84" spans="3:3">
      <c r="C84" s="359" t="str">
        <f t="shared" si="6"/>
        <v xml:space="preserve"> </v>
      </c>
    </row>
    <row r="85" spans="3:3">
      <c r="C85" s="359" t="str">
        <f t="shared" si="6"/>
        <v xml:space="preserve"> </v>
      </c>
    </row>
    <row r="86" spans="3:3">
      <c r="C86" s="359" t="str">
        <f t="shared" si="6"/>
        <v xml:space="preserve"> </v>
      </c>
    </row>
    <row r="87" spans="3:3">
      <c r="C87" s="359" t="str">
        <f t="shared" si="6"/>
        <v xml:space="preserve"> </v>
      </c>
    </row>
    <row r="88" spans="3:3">
      <c r="C88" s="359" t="str">
        <f t="shared" si="6"/>
        <v xml:space="preserve"> </v>
      </c>
    </row>
    <row r="89" spans="3:3">
      <c r="C89" s="359" t="str">
        <f t="shared" si="6"/>
        <v xml:space="preserve"> </v>
      </c>
    </row>
    <row r="90" spans="3:3">
      <c r="C90" s="359" t="str">
        <f t="shared" si="6"/>
        <v xml:space="preserve"> </v>
      </c>
    </row>
    <row r="91" spans="3:3">
      <c r="C91" s="359" t="str">
        <f t="shared" si="6"/>
        <v xml:space="preserve"> </v>
      </c>
    </row>
    <row r="92" spans="3:3">
      <c r="C92" s="359" t="str">
        <f t="shared" si="6"/>
        <v xml:space="preserve"> </v>
      </c>
    </row>
    <row r="93" spans="3:3">
      <c r="C93" s="359" t="str">
        <f t="shared" si="6"/>
        <v xml:space="preserve"> </v>
      </c>
    </row>
    <row r="94" spans="3:3">
      <c r="C94" s="359" t="str">
        <f t="shared" si="6"/>
        <v xml:space="preserve"> </v>
      </c>
    </row>
  </sheetData>
  <mergeCells count="3">
    <mergeCell ref="T50:U50"/>
    <mergeCell ref="T51:U51"/>
    <mergeCell ref="T52:U52"/>
  </mergeCells>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F123"/>
  <sheetViews>
    <sheetView zoomScale="70" zoomScaleNormal="70" zoomScaleSheetLayoutView="75" workbookViewId="0">
      <pane xSplit="1" ySplit="4" topLeftCell="AH5" activePane="bottomRight" state="frozen"/>
      <selection pane="topRight" activeCell="B1" sqref="B1"/>
      <selection pane="bottomLeft" activeCell="A4" sqref="A4"/>
      <selection pane="bottomRight" activeCell="D57" sqref="D57:D81"/>
    </sheetView>
  </sheetViews>
  <sheetFormatPr defaultColWidth="10.140625" defaultRowHeight="14.25"/>
  <cols>
    <col min="1" max="1" width="14.85546875" style="19" customWidth="1"/>
    <col min="2" max="3" width="16.7109375" style="19" customWidth="1"/>
    <col min="4" max="4" width="16.7109375" style="676" customWidth="1"/>
    <col min="5" max="5" width="16.7109375" style="790" customWidth="1"/>
    <col min="6" max="6" width="16.7109375" style="764" customWidth="1"/>
    <col min="7" max="7" width="22.7109375" style="764" customWidth="1"/>
    <col min="8" max="8" width="19.42578125" style="764" customWidth="1"/>
    <col min="9" max="9" width="16.7109375" style="764" customWidth="1"/>
    <col min="10" max="10" width="16.7109375" style="676" customWidth="1"/>
    <col min="11" max="11" width="16.7109375" style="791" customWidth="1"/>
    <col min="12" max="12" width="19.42578125" style="792" customWidth="1"/>
    <col min="13" max="13" width="25.28515625" style="792" customWidth="1"/>
    <col min="14" max="14" width="24.7109375" style="764" customWidth="1"/>
    <col min="15" max="15" width="20.42578125" style="764" customWidth="1"/>
    <col min="16" max="16" width="10.140625" style="19"/>
    <col min="17" max="18" width="16.85546875" style="19" customWidth="1"/>
    <col min="19" max="19" width="10.140625" style="19"/>
    <col min="20" max="20" width="16.7109375" style="19" customWidth="1"/>
    <col min="21" max="21" width="10.28515625" style="19" bestFit="1" customWidth="1"/>
    <col min="22" max="22" width="10.5703125" style="19" bestFit="1" customWidth="1"/>
    <col min="23" max="23" width="10.28515625" style="19" bestFit="1" customWidth="1"/>
    <col min="24" max="25" width="10.28515625" style="19" customWidth="1"/>
    <col min="26" max="26" width="10.5703125" style="19" bestFit="1" customWidth="1"/>
    <col min="27" max="31" width="10.28515625" style="19" bestFit="1" customWidth="1"/>
    <col min="32" max="33" width="15.5703125" style="676" customWidth="1"/>
    <col min="34" max="34" width="16.28515625" style="19" customWidth="1"/>
    <col min="35" max="36" width="10.140625" style="19"/>
    <col min="37" max="37" width="12.42578125" style="19" customWidth="1"/>
    <col min="38" max="38" width="10.140625" style="19"/>
    <col min="39" max="39" width="13.85546875" style="19" bestFit="1" customWidth="1"/>
    <col min="40" max="40" width="14.7109375" style="19" bestFit="1" customWidth="1"/>
    <col min="41" max="41" width="11.5703125" style="19" customWidth="1"/>
    <col min="42" max="42" width="13.85546875" style="19" bestFit="1" customWidth="1"/>
    <col min="43" max="43" width="13.140625" style="19" bestFit="1" customWidth="1"/>
    <col min="44" max="44" width="10.140625" style="19"/>
    <col min="45" max="45" width="13" style="19" bestFit="1" customWidth="1"/>
    <col min="46" max="46" width="12.85546875" style="19" customWidth="1"/>
    <col min="47" max="47" width="12.5703125" style="19" customWidth="1"/>
    <col min="48" max="48" width="7.140625" style="19" bestFit="1" customWidth="1"/>
    <col min="49" max="49" width="14" style="19" customWidth="1"/>
    <col min="50" max="50" width="11.42578125" style="19" customWidth="1"/>
    <col min="51" max="51" width="12.42578125" style="19" customWidth="1"/>
    <col min="52" max="52" width="10.140625" style="19"/>
    <col min="53" max="53" width="12.28515625" style="19" customWidth="1"/>
    <col min="54" max="54" width="9.28515625" style="19" bestFit="1" customWidth="1"/>
    <col min="55" max="57" width="10.140625" style="19"/>
    <col min="58" max="58" width="13.42578125" style="19" bestFit="1" customWidth="1"/>
    <col min="59" max="16384" width="10.140625" style="19"/>
  </cols>
  <sheetData>
    <row r="1" spans="1:58">
      <c r="A1" s="19">
        <f>COLUMN()</f>
        <v>1</v>
      </c>
      <c r="B1" s="19">
        <f>COLUMN()</f>
        <v>2</v>
      </c>
      <c r="C1" s="19">
        <f>COLUMN()</f>
        <v>3</v>
      </c>
      <c r="D1" s="19">
        <f>COLUMN()</f>
        <v>4</v>
      </c>
      <c r="E1" s="19">
        <f>COLUMN()</f>
        <v>5</v>
      </c>
      <c r="F1" s="19">
        <f>COLUMN()</f>
        <v>6</v>
      </c>
      <c r="G1" s="19">
        <f>COLUMN()</f>
        <v>7</v>
      </c>
      <c r="H1" s="19">
        <f>COLUMN()</f>
        <v>8</v>
      </c>
      <c r="I1" s="19">
        <f>COLUMN()</f>
        <v>9</v>
      </c>
      <c r="J1" s="19">
        <f>COLUMN()</f>
        <v>10</v>
      </c>
      <c r="K1" s="19">
        <f>COLUMN()</f>
        <v>11</v>
      </c>
      <c r="L1" s="19">
        <f>COLUMN()</f>
        <v>12</v>
      </c>
      <c r="M1" s="19">
        <f>COLUMN()</f>
        <v>13</v>
      </c>
      <c r="N1" s="19">
        <f>COLUMN()</f>
        <v>14</v>
      </c>
      <c r="O1" s="19">
        <f>COLUMN()</f>
        <v>15</v>
      </c>
      <c r="P1" s="19">
        <f>COLUMN()</f>
        <v>16</v>
      </c>
      <c r="Q1" s="19">
        <f>COLUMN()</f>
        <v>17</v>
      </c>
      <c r="R1" s="19">
        <f>COLUMN()</f>
        <v>18</v>
      </c>
      <c r="S1" s="19">
        <f>COLUMN()</f>
        <v>19</v>
      </c>
      <c r="T1" s="19">
        <f>COLUMN()</f>
        <v>20</v>
      </c>
      <c r="U1" s="19">
        <f>COLUMN()</f>
        <v>21</v>
      </c>
      <c r="V1" s="19">
        <f>COLUMN()</f>
        <v>22</v>
      </c>
      <c r="W1" s="19">
        <f>COLUMN()</f>
        <v>23</v>
      </c>
      <c r="X1" s="19">
        <f>COLUMN()</f>
        <v>24</v>
      </c>
      <c r="Y1" s="19">
        <f>COLUMN()</f>
        <v>25</v>
      </c>
      <c r="Z1" s="19">
        <f>COLUMN()</f>
        <v>26</v>
      </c>
      <c r="AA1" s="19">
        <f>COLUMN()</f>
        <v>27</v>
      </c>
      <c r="AB1" s="19">
        <f>COLUMN()</f>
        <v>28</v>
      </c>
      <c r="AC1" s="19">
        <f>COLUMN()</f>
        <v>29</v>
      </c>
      <c r="AD1" s="19">
        <f>COLUMN()</f>
        <v>30</v>
      </c>
      <c r="AE1" s="19">
        <f>COLUMN()</f>
        <v>31</v>
      </c>
      <c r="AF1" s="19">
        <f>COLUMN()</f>
        <v>32</v>
      </c>
      <c r="AG1" s="19">
        <f>COLUMN()</f>
        <v>33</v>
      </c>
      <c r="AH1" s="19">
        <f>COLUMN()</f>
        <v>34</v>
      </c>
      <c r="AI1" s="19">
        <f>COLUMN()</f>
        <v>35</v>
      </c>
      <c r="AJ1" s="19">
        <f>COLUMN()</f>
        <v>36</v>
      </c>
      <c r="AK1" s="19">
        <f>COLUMN()</f>
        <v>37</v>
      </c>
      <c r="AL1" s="19">
        <f>COLUMN()</f>
        <v>38</v>
      </c>
      <c r="AM1" s="19">
        <f>COLUMN()</f>
        <v>39</v>
      </c>
      <c r="AN1" s="19">
        <f>COLUMN()</f>
        <v>40</v>
      </c>
      <c r="AO1" s="19">
        <f>COLUMN()</f>
        <v>41</v>
      </c>
      <c r="AP1" s="19">
        <f>COLUMN()</f>
        <v>42</v>
      </c>
      <c r="AQ1" s="19">
        <f>COLUMN()</f>
        <v>43</v>
      </c>
      <c r="AR1" s="19">
        <f>COLUMN()</f>
        <v>44</v>
      </c>
      <c r="AS1" s="19">
        <f>COLUMN()</f>
        <v>45</v>
      </c>
      <c r="AT1" s="19">
        <f>COLUMN()</f>
        <v>46</v>
      </c>
      <c r="AU1" s="19">
        <f>COLUMN()</f>
        <v>47</v>
      </c>
      <c r="AV1" s="19">
        <f>COLUMN()</f>
        <v>48</v>
      </c>
      <c r="AW1" s="19">
        <f>COLUMN()</f>
        <v>49</v>
      </c>
      <c r="AX1" s="19">
        <f>COLUMN()</f>
        <v>50</v>
      </c>
      <c r="AY1" s="19">
        <f>COLUMN()</f>
        <v>51</v>
      </c>
      <c r="AZ1" s="19">
        <f>COLUMN()</f>
        <v>52</v>
      </c>
      <c r="BA1" s="19">
        <f>COLUMN()</f>
        <v>53</v>
      </c>
      <c r="BB1" s="19">
        <f>COLUMN()</f>
        <v>54</v>
      </c>
      <c r="BC1" s="19">
        <f>COLUMN()</f>
        <v>55</v>
      </c>
      <c r="BD1" s="19">
        <f>COLUMN()</f>
        <v>56</v>
      </c>
      <c r="BE1" s="19">
        <f>COLUMN()</f>
        <v>57</v>
      </c>
      <c r="BF1" s="19">
        <f>COLUMN()</f>
        <v>58</v>
      </c>
    </row>
    <row r="2" spans="1:58" s="762" customFormat="1" ht="37.5">
      <c r="A2" s="763"/>
      <c r="B2" s="799" t="s">
        <v>1083</v>
      </c>
      <c r="C2" s="799" t="s">
        <v>1084</v>
      </c>
      <c r="D2" s="800" t="s">
        <v>1079</v>
      </c>
      <c r="E2" s="801" t="s">
        <v>1080</v>
      </c>
      <c r="F2" s="801" t="s">
        <v>1086</v>
      </c>
      <c r="G2" s="801" t="s">
        <v>1094</v>
      </c>
      <c r="H2" s="801" t="s">
        <v>1081</v>
      </c>
      <c r="I2" s="801" t="s">
        <v>1085</v>
      </c>
      <c r="J2" s="802" t="s">
        <v>1087</v>
      </c>
      <c r="K2" s="803" t="s">
        <v>1072</v>
      </c>
      <c r="L2" s="801" t="s">
        <v>1088</v>
      </c>
      <c r="M2" s="803" t="s">
        <v>1089</v>
      </c>
      <c r="N2" s="803" t="s">
        <v>1090</v>
      </c>
      <c r="O2" s="803" t="s">
        <v>1091</v>
      </c>
      <c r="P2" s="808"/>
      <c r="Q2" s="804" t="s">
        <v>1092</v>
      </c>
      <c r="R2" s="804" t="s">
        <v>1082</v>
      </c>
      <c r="S2" s="808"/>
      <c r="T2" s="808"/>
      <c r="AF2" s="804" t="s">
        <v>1100</v>
      </c>
      <c r="AG2" s="804" t="s">
        <v>1101</v>
      </c>
      <c r="AM2" s="915" t="s">
        <v>1025</v>
      </c>
      <c r="AN2" s="911" t="s">
        <v>1026</v>
      </c>
      <c r="AO2" s="912"/>
      <c r="AP2" s="912"/>
      <c r="AQ2" s="912"/>
      <c r="AR2" s="913"/>
      <c r="AS2" s="6"/>
      <c r="AT2" s="914" t="s">
        <v>1025</v>
      </c>
      <c r="AU2" s="918" t="s">
        <v>1026</v>
      </c>
      <c r="AV2" s="918"/>
      <c r="AW2" s="918"/>
      <c r="AX2" s="918"/>
      <c r="AY2" s="918"/>
      <c r="AZ2" s="918"/>
      <c r="BA2" s="918"/>
      <c r="BB2" s="918"/>
      <c r="BC2" s="918"/>
      <c r="BD2" s="918"/>
      <c r="BE2" s="918"/>
      <c r="BF2" s="918"/>
    </row>
    <row r="3" spans="1:58" s="699" customFormat="1" ht="18.75">
      <c r="B3" s="680"/>
      <c r="C3" s="680"/>
      <c r="D3" s="681"/>
      <c r="E3" s="765"/>
      <c r="F3" s="766"/>
      <c r="G3" s="766"/>
      <c r="H3" s="766"/>
      <c r="I3" s="766"/>
      <c r="J3" s="796"/>
      <c r="K3" s="767"/>
      <c r="L3" s="768"/>
      <c r="M3" s="769"/>
      <c r="N3" s="770" t="s">
        <v>1040</v>
      </c>
      <c r="O3" s="770"/>
      <c r="U3" s="910" t="s">
        <v>1008</v>
      </c>
      <c r="V3" s="910"/>
      <c r="W3" s="910"/>
      <c r="X3" s="910"/>
      <c r="Y3" s="910"/>
      <c r="Z3" s="910"/>
      <c r="AA3" s="910"/>
      <c r="AB3" s="910"/>
      <c r="AC3" s="910"/>
      <c r="AD3" s="910"/>
      <c r="AE3" s="910"/>
      <c r="AF3" s="678"/>
      <c r="AG3" s="678"/>
      <c r="AM3" s="916"/>
      <c r="AN3" s="919" t="s">
        <v>1027</v>
      </c>
      <c r="AO3" s="920" t="s">
        <v>1005</v>
      </c>
      <c r="AP3" s="919" t="s">
        <v>1036</v>
      </c>
      <c r="AQ3" s="919"/>
      <c r="AR3" s="919"/>
      <c r="AS3" s="908" t="s">
        <v>1093</v>
      </c>
      <c r="AT3" s="914"/>
      <c r="AU3" s="924" t="s">
        <v>1028</v>
      </c>
      <c r="AV3" s="906" t="s">
        <v>1004</v>
      </c>
      <c r="AW3" s="906" t="s">
        <v>823</v>
      </c>
      <c r="AX3" s="906" t="s">
        <v>1006</v>
      </c>
      <c r="AY3" s="906" t="s">
        <v>144</v>
      </c>
      <c r="AZ3" s="906" t="s">
        <v>860</v>
      </c>
      <c r="BA3" s="906" t="s">
        <v>1037</v>
      </c>
      <c r="BB3" s="906" t="s">
        <v>205</v>
      </c>
      <c r="BC3" s="921" t="s">
        <v>1036</v>
      </c>
      <c r="BD3" s="922"/>
      <c r="BE3" s="923"/>
      <c r="BF3" s="906" t="s">
        <v>1021</v>
      </c>
    </row>
    <row r="4" spans="1:58" s="26" customFormat="1" ht="96" customHeight="1">
      <c r="A4" s="693" t="s">
        <v>123</v>
      </c>
      <c r="B4" s="27" t="s">
        <v>106</v>
      </c>
      <c r="C4" s="820" t="s">
        <v>1078</v>
      </c>
      <c r="D4" s="675" t="s">
        <v>107</v>
      </c>
      <c r="E4" s="771" t="s">
        <v>1017</v>
      </c>
      <c r="F4" s="772" t="s">
        <v>1029</v>
      </c>
      <c r="G4" s="773" t="s">
        <v>108</v>
      </c>
      <c r="H4" s="773" t="s">
        <v>1018</v>
      </c>
      <c r="I4" s="773" t="s">
        <v>109</v>
      </c>
      <c r="J4" s="797" t="s">
        <v>110</v>
      </c>
      <c r="K4" s="774" t="s">
        <v>111</v>
      </c>
      <c r="L4" s="775" t="s">
        <v>1095</v>
      </c>
      <c r="M4" s="775" t="s">
        <v>1096</v>
      </c>
      <c r="N4" s="773" t="s">
        <v>1097</v>
      </c>
      <c r="O4" s="773" t="s">
        <v>1098</v>
      </c>
      <c r="Q4" s="27" t="s">
        <v>1038</v>
      </c>
      <c r="R4" s="27" t="s">
        <v>1039</v>
      </c>
      <c r="T4" s="12" t="s">
        <v>1099</v>
      </c>
      <c r="U4" s="793" t="s">
        <v>1002</v>
      </c>
      <c r="V4" s="632" t="s">
        <v>1003</v>
      </c>
      <c r="W4" s="632" t="s">
        <v>1004</v>
      </c>
      <c r="X4" s="632" t="s">
        <v>144</v>
      </c>
      <c r="Y4" s="632" t="s">
        <v>860</v>
      </c>
      <c r="Z4" s="632" t="s">
        <v>1037</v>
      </c>
      <c r="AA4" s="632" t="s">
        <v>823</v>
      </c>
      <c r="AB4" s="632" t="s">
        <v>1005</v>
      </c>
      <c r="AC4" s="632" t="s">
        <v>1006</v>
      </c>
      <c r="AD4" s="622" t="s">
        <v>205</v>
      </c>
      <c r="AE4" s="632" t="s">
        <v>1007</v>
      </c>
      <c r="AF4" s="675" t="s">
        <v>1019</v>
      </c>
      <c r="AG4" s="817" t="s">
        <v>1077</v>
      </c>
      <c r="AH4" s="14"/>
      <c r="AI4" s="26" t="s">
        <v>30</v>
      </c>
      <c r="AJ4" s="27" t="s">
        <v>1001</v>
      </c>
      <c r="AK4" s="27" t="s">
        <v>1015</v>
      </c>
      <c r="AL4" s="27" t="s">
        <v>1073</v>
      </c>
      <c r="AM4" s="917"/>
      <c r="AN4" s="919"/>
      <c r="AO4" s="920"/>
      <c r="AP4" s="701" t="str">
        <f>IF('Additional Initiatives'!L45="Scope 1",'Additional Initiatives'!M45,"N/A")</f>
        <v>N/A</v>
      </c>
      <c r="AQ4" s="701" t="str">
        <f>IF('Additional Initiatives'!L46="Scope 1",'Additional Initiatives'!M46,"N/A")</f>
        <v>N/A</v>
      </c>
      <c r="AR4" s="701" t="str">
        <f>IF('Additional Initiatives'!L47="Scope 1",'Additional Initiatives'!M47,"N/A")</f>
        <v>N/A</v>
      </c>
      <c r="AS4" s="909"/>
      <c r="AT4" s="914"/>
      <c r="AU4" s="925"/>
      <c r="AV4" s="907"/>
      <c r="AW4" s="907"/>
      <c r="AX4" s="907"/>
      <c r="AY4" s="907"/>
      <c r="AZ4" s="907"/>
      <c r="BA4" s="907"/>
      <c r="BB4" s="907"/>
      <c r="BC4" s="698" t="str">
        <f>IF('Additional Initiatives'!O45="Scope 2",'Additional Initiatives'!P45,"N/A")</f>
        <v>N/A</v>
      </c>
      <c r="BD4" s="698" t="str">
        <f>IF('Additional Initiatives'!O46="Scope 2",'Additional Initiatives'!P46,"N/A")</f>
        <v>N/A</v>
      </c>
      <c r="BE4" s="698" t="str">
        <f>IF('Additional Initiatives'!O47="Scope 2",'Additional Initiatives'!P47,"N/A")</f>
        <v>N/A</v>
      </c>
      <c r="BF4" s="907"/>
    </row>
    <row r="5" spans="1:58">
      <c r="A5" s="21" t="s">
        <v>31</v>
      </c>
      <c r="B5" s="672">
        <f>'Data Entry Fuel'!B4*'Data Entry Fuel'!B156
+'Data Entry Fuel'!C4*'Data Entry Fuel'!C156
+'Data Entry Fuel'!D4*'Data Entry Fuel'!D156
+'Data Entry Fuel'!E4*'Data Entry Fuel'!E156
+'Data Entry Fuel'!F4*'Data Entry Fuel'!F156
+'Data Entry Fuel'!G4*'Data Entry Fuel'!G156
+'Data Entry Fuel'!H4*'Data Entry Fuel'!H156
+'Data Entry Fuel'!I4*'Data Entry Fuel'!I156
+'Data Entry Fuel'!J4*'Data Entry Fuel'!J156</f>
        <v>0</v>
      </c>
      <c r="C5" s="672">
        <f>'Data Entry Fuel'!B4*'Data Entry Fuel'!B156
+'Data Entry Fuel'!C4*'Data Entry Fuel'!C156
+'Data Entry Fuel'!D4*'Data Entry Fuel'!D156
+'Data Entry Fuel'!E4*'Data Entry Fuel'!E156
+'Data Entry Fuel'!F4*'Data Entry Fuel'!F156
+'Data Entry Fuel'!G4*'Data Entry Fuel'!G156
+'Data Entry Fuel'!H4*'Data Entry Fuel'!H156
+'Data Entry Fuel'!I4*'Data Entry Fuel'!C156 *   (1 -  0.13 * 'Data Entry Fuel'!I$3)
+'Data Entry Fuel'!J4*'Data Entry Fuel'!J156</f>
        <v>0</v>
      </c>
      <c r="D5" s="677">
        <f>'Data Entry Electricity'!B4*'Data Entry Electricity'!L4+'Data Entry Electricity'!C4*'Data Entry Electricity'!M4+'Data Entry Electricity'!D4*'Data Entry Electricity'!N4+'Data Entry Electricity'!E4*'Data Entry Electricity'!O4</f>
        <v>0</v>
      </c>
      <c r="E5" s="776">
        <f>'Data Entry Electricity'!B4*'Data Entry Electricity'!L4+'Data Entry Electricity'!C4*'Data Entry Electricity'!L4+'Data Entry Electricity'!D4*'Data Entry Electricity'!N4+'Data Entry Electricity'!E4*'Data Entry Electricity'!O4</f>
        <v>0</v>
      </c>
      <c r="F5" s="777">
        <f>(SUM('Fuel Equipment Savings Calculat'!$B2:$S2))+(SUM('Efficient Site Offices DD &amp; Cal'!$B38:$F38))+'PFC Calculations'!$G3+(SUM('Behaviour Calculations'!$E9,'Behaviour Calculations'!$J9,'Behaviour Calculations'!$O9))+(SUM('Reduced Power Lighting Calculat'!$B3:$F3)+SUM('Hybrid Lighting Calculations'!$B7:$F7)+('PIR Lighting Calculations'!$H3)+SUM('Water Calculations'!$B3:$G3)+'Additional Initiatives'!$H16)</f>
        <v>0</v>
      </c>
      <c r="G5" s="778">
        <f t="shared" ref="G5:G36" si="0">(B5+D5)</f>
        <v>0</v>
      </c>
      <c r="H5" s="778">
        <f>C5+E5</f>
        <v>0</v>
      </c>
      <c r="I5" s="778">
        <f t="shared" ref="I5:I36" si="1">H5+F5</f>
        <v>0</v>
      </c>
      <c r="J5" s="798">
        <f>G5</f>
        <v>0</v>
      </c>
      <c r="K5" s="779">
        <f>I5</f>
        <v>0</v>
      </c>
      <c r="L5" s="780">
        <f t="shared" ref="L5:L36" si="2">IFERROR(1-(G5/I5),0)</f>
        <v>0</v>
      </c>
      <c r="M5" s="780">
        <f t="shared" ref="M5:M36" si="3">IFERROR(1-(J5/K5),0)</f>
        <v>0</v>
      </c>
      <c r="N5" s="781">
        <f t="shared" ref="N5:N36" si="4">I5-G5</f>
        <v>0</v>
      </c>
      <c r="O5" s="781">
        <f>N5</f>
        <v>0</v>
      </c>
      <c r="Q5" s="683">
        <f>B5</f>
        <v>0</v>
      </c>
      <c r="R5" s="683">
        <f>D5</f>
        <v>0</v>
      </c>
      <c r="T5" s="673">
        <f>SUM(U5:AE5)</f>
        <v>0</v>
      </c>
      <c r="U5" s="674">
        <f>'Fuel Equipment Savings Calculat'!$V2</f>
        <v>0</v>
      </c>
      <c r="V5" s="674">
        <f>'Efficient Site Offices DD &amp; Cal'!$H38</f>
        <v>0</v>
      </c>
      <c r="W5" s="674">
        <f>'PFC Calculations'!$G3</f>
        <v>0</v>
      </c>
      <c r="X5" s="674">
        <f>'Behaviour Calculations'!$E9</f>
        <v>0</v>
      </c>
      <c r="Y5" s="674">
        <f>'Behaviour Calculations'!$J9</f>
        <v>0</v>
      </c>
      <c r="Z5" s="674">
        <f>'Behaviour Calculations'!$O9</f>
        <v>0</v>
      </c>
      <c r="AA5" s="674">
        <f>'Reduced Power Lighting Calculat'!$H3</f>
        <v>0</v>
      </c>
      <c r="AB5" s="674">
        <f>'Hybrid Lighting Calculations'!H7</f>
        <v>0</v>
      </c>
      <c r="AC5" s="674">
        <f>'PIR Lighting Calculations'!$H3</f>
        <v>0</v>
      </c>
      <c r="AD5" s="674">
        <f>'Water Calculations'!$I3</f>
        <v>0</v>
      </c>
      <c r="AE5" s="674">
        <f>'Additional Initiatives'!$H16</f>
        <v>0</v>
      </c>
      <c r="AF5" s="679">
        <f>E5-D5</f>
        <v>0</v>
      </c>
      <c r="AG5" s="679">
        <f>(C5-B5) - (0.13 * 'Data Entry Fuel'!I$3) * (U5+AB5)</f>
        <v>0</v>
      </c>
      <c r="AH5" s="5"/>
      <c r="AI5" s="19">
        <v>1001</v>
      </c>
      <c r="AJ5" s="19">
        <f>IF(AI5&lt;=1002,2009,IF(AI5&lt;=1102,2010,IF(AI5&lt;=1202,2011,IF(AI5&lt;=1302,2012,IF(AI5&lt;=1402,2013,IF(AI5&lt;=1502,2014,IF(AI5&lt;=1602,2015,IF(AI5&lt;=1702,2016,IF(AI5&lt;=1802,2017,IF(AI5&lt;=1902,2018,0))))))))))</f>
        <v>2009</v>
      </c>
      <c r="AK5" s="19">
        <f>IF(AI5&lt;=1002,3,IF(AI5&lt;=1102,4,IF(AI5&lt;=1202,5,IF(AI5&lt;=1302,6,IF(AI5&lt;=1402,7,IF(AI5&lt;=1502,8,IF(AI5&lt;=1602,9,IF(AI5&lt;=1702,10,IF(AI5&lt;=1802,11,IF(AI5&lt;=1902,12,0))))))))))</f>
        <v>3</v>
      </c>
      <c r="AL5" s="19">
        <v>1</v>
      </c>
      <c r="AM5" s="697">
        <f>B5</f>
        <v>0</v>
      </c>
      <c r="AN5" s="697">
        <f>U5</f>
        <v>0</v>
      </c>
      <c r="AO5" s="697">
        <f>AB5</f>
        <v>0</v>
      </c>
      <c r="AP5" s="697">
        <f>IF(AP$4='Additional Initiatives'!$B$163,'Additional Initiatives'!$B164,IF(AP$4='Additional Initiatives'!$C$163,'Additional Initiatives'!$C164,IF(AP$4='Additional Initiatives'!$D$163,'Additional Initiatives'!$D164,IF(AP$4='Additional Initiatives'!$E$163,'Additional Initiatives'!$E164,IF(AP$4='Additional Initiatives'!$F$163,'Additional Initiatives'!$F164,0)))))</f>
        <v>0</v>
      </c>
      <c r="AQ5" s="697">
        <f>IF(AQ$4='Additional Initiatives'!$B$163,'Additional Initiatives'!$B164,IF(AQ$4='Additional Initiatives'!$C$163,'Additional Initiatives'!$C164,IF(AQ$4='Additional Initiatives'!$D$163,'Additional Initiatives'!$D164,IF(AQ$4='Additional Initiatives'!$E$163,'Additional Initiatives'!$E164,IF(AQ$4='Additional Initiatives'!$F$163,'Additional Initiatives'!$F164,0)))))</f>
        <v>0</v>
      </c>
      <c r="AR5" s="697">
        <f>IF(AR$4='Additional Initiatives'!$B$163,'Additional Initiatives'!$B164,IF(AR$4='Additional Initiatives'!$C$163,'Additional Initiatives'!$C164,IF(AR$4='Additional Initiatives'!$D$163,'Additional Initiatives'!$D164,IF(AR$4='Additional Initiatives'!$E$163,'Additional Initiatives'!$E164,IF(AR$4='Additional Initiatives'!$F$163,'Additional Initiatives'!$F164,0)))))</f>
        <v>0</v>
      </c>
      <c r="AS5" s="697">
        <f>AG5</f>
        <v>0</v>
      </c>
      <c r="AT5" s="696">
        <f>D5</f>
        <v>0</v>
      </c>
      <c r="AU5" s="696">
        <f>V5</f>
        <v>0</v>
      </c>
      <c r="AV5" s="696">
        <f>W5</f>
        <v>0</v>
      </c>
      <c r="AW5" s="696">
        <f>AA5</f>
        <v>0</v>
      </c>
      <c r="AX5" s="696">
        <f>AC5</f>
        <v>0</v>
      </c>
      <c r="AY5" s="696">
        <f>X5</f>
        <v>0</v>
      </c>
      <c r="AZ5" s="696">
        <f>Y5</f>
        <v>0</v>
      </c>
      <c r="BA5" s="696">
        <f>Z5</f>
        <v>0</v>
      </c>
      <c r="BB5" s="696">
        <f>AD5</f>
        <v>0</v>
      </c>
      <c r="BC5" s="696">
        <f>IF(BC$4='Additional Initiatives'!$B$163,'Additional Initiatives'!$B164,IF(BC$4='Additional Initiatives'!$C$163,'Additional Initiatives'!$C164,IF(BC$4='Additional Initiatives'!$D$163,'Additional Initiatives'!$D164,IF(BC$4='Additional Initiatives'!$E$163,'Additional Initiatives'!$E164,IF(BC$4='Additional Initiatives'!$F$163,'Additional Initiatives'!$F164,0)))))</f>
        <v>0</v>
      </c>
      <c r="BD5" s="696">
        <f>IF(BD$4='Additional Initiatives'!$B$163,'Additional Initiatives'!$B164,IF(BD$4='Additional Initiatives'!$C$163,'Additional Initiatives'!$C164,IF(BD$4='Additional Initiatives'!$D$163,'Additional Initiatives'!$D164,IF(BD$4='Additional Initiatives'!$E$163,'Additional Initiatives'!$E164,IF(BD$4='Additional Initiatives'!$F$163,'Additional Initiatives'!$F164,0)))))</f>
        <v>0</v>
      </c>
      <c r="BE5" s="696">
        <f>IF(BE$4='Additional Initiatives'!$B$163,'Additional Initiatives'!$B164,IF(BE$4='Additional Initiatives'!$C$163,'Additional Initiatives'!$C164,IF(BE$4='Additional Initiatives'!$D$163,'Additional Initiatives'!$D164,IF(BE$4='Additional Initiatives'!$E$163,'Additional Initiatives'!$E164,IF(BE$4='Additional Initiatives'!$F$163,'Additional Initiatives'!$F164,0)))))</f>
        <v>0</v>
      </c>
      <c r="BF5" s="696">
        <f>AF5</f>
        <v>0</v>
      </c>
    </row>
    <row r="6" spans="1:58">
      <c r="A6" s="21" t="s">
        <v>32</v>
      </c>
      <c r="B6" s="672">
        <f>'Data Entry Fuel'!B5*'Data Entry Fuel'!B157
+'Data Entry Fuel'!C5*'Data Entry Fuel'!C157
+'Data Entry Fuel'!D5*'Data Entry Fuel'!D157
+'Data Entry Fuel'!E5*'Data Entry Fuel'!E157
+'Data Entry Fuel'!F5*'Data Entry Fuel'!F157
+'Data Entry Fuel'!G5*'Data Entry Fuel'!G157
+'Data Entry Fuel'!H5*'Data Entry Fuel'!H157
+'Data Entry Fuel'!I5*'Data Entry Fuel'!I157
+'Data Entry Fuel'!J5*'Data Entry Fuel'!J157</f>
        <v>0</v>
      </c>
      <c r="C6" s="672">
        <f>'Data Entry Fuel'!B5*'Data Entry Fuel'!B157
+'Data Entry Fuel'!C5*'Data Entry Fuel'!C157
+'Data Entry Fuel'!D5*'Data Entry Fuel'!D157
+'Data Entry Fuel'!E5*'Data Entry Fuel'!E157
+'Data Entry Fuel'!F5*'Data Entry Fuel'!F157
+'Data Entry Fuel'!G5*'Data Entry Fuel'!G157
+'Data Entry Fuel'!H5*'Data Entry Fuel'!H157
+'Data Entry Fuel'!I5*'Data Entry Fuel'!C157 *   (1 -  0.13 * 'Data Entry Fuel'!I$3)
+'Data Entry Fuel'!J5*'Data Entry Fuel'!J157</f>
        <v>0</v>
      </c>
      <c r="D6" s="677">
        <f>'Data Entry Electricity'!B5*'Data Entry Electricity'!L5+'Data Entry Electricity'!C5*'Data Entry Electricity'!M5+'Data Entry Electricity'!D5*'Data Entry Electricity'!N5+'Data Entry Electricity'!E5*'Data Entry Electricity'!O5</f>
        <v>0</v>
      </c>
      <c r="E6" s="776">
        <f>'Data Entry Electricity'!B5*'Data Entry Electricity'!L5+'Data Entry Electricity'!C5*'Data Entry Electricity'!L5+'Data Entry Electricity'!D5*'Data Entry Electricity'!N5+'Data Entry Electricity'!E5*'Data Entry Electricity'!O5</f>
        <v>0</v>
      </c>
      <c r="F6" s="777">
        <f>(SUM('Fuel Equipment Savings Calculat'!$B3:$S3))+(SUM('Efficient Site Offices DD &amp; Cal'!$B39:$F39))+'PFC Calculations'!$G4+(SUM('Behaviour Calculations'!$E10,'Behaviour Calculations'!$J10,'Behaviour Calculations'!$O10))+(SUM('Reduced Power Lighting Calculat'!$B4:$F4)+SUM('Hybrid Lighting Calculations'!$B8:$F8)+('PIR Lighting Calculations'!$H4)+SUM('Water Calculations'!$B4:$G4)+'Additional Initiatives'!$H17)</f>
        <v>0</v>
      </c>
      <c r="G6" s="778">
        <f t="shared" si="0"/>
        <v>0</v>
      </c>
      <c r="H6" s="778">
        <f t="shared" ref="H6:H69" si="5">C6+E6</f>
        <v>0</v>
      </c>
      <c r="I6" s="778">
        <f t="shared" si="1"/>
        <v>0</v>
      </c>
      <c r="J6" s="798">
        <f t="shared" ref="J6:J37" si="6">G6+J5</f>
        <v>0</v>
      </c>
      <c r="K6" s="779">
        <f t="shared" ref="K6:K37" si="7">I6+K5</f>
        <v>0</v>
      </c>
      <c r="L6" s="780">
        <f t="shared" si="2"/>
        <v>0</v>
      </c>
      <c r="M6" s="780">
        <f t="shared" si="3"/>
        <v>0</v>
      </c>
      <c r="N6" s="781">
        <f t="shared" si="4"/>
        <v>0</v>
      </c>
      <c r="O6" s="781">
        <f>N6+O5</f>
        <v>0</v>
      </c>
      <c r="Q6" s="683">
        <f t="shared" ref="Q6:Q37" si="8">B6+Q5</f>
        <v>0</v>
      </c>
      <c r="R6" s="683">
        <f t="shared" ref="R6:R37" si="9">D6+R5</f>
        <v>0</v>
      </c>
      <c r="T6" s="673">
        <f t="shared" ref="T6:T69" si="10">SUM(U6:AE6)</f>
        <v>0</v>
      </c>
      <c r="U6" s="674">
        <f>'Fuel Equipment Savings Calculat'!$V3</f>
        <v>0</v>
      </c>
      <c r="V6" s="674">
        <f>'Efficient Site Offices DD &amp; Cal'!$H39</f>
        <v>0</v>
      </c>
      <c r="W6" s="674">
        <f>'PFC Calculations'!$G4</f>
        <v>0</v>
      </c>
      <c r="X6" s="674">
        <f>'Behaviour Calculations'!$E10</f>
        <v>0</v>
      </c>
      <c r="Y6" s="674">
        <f>'Behaviour Calculations'!$J10</f>
        <v>0</v>
      </c>
      <c r="Z6" s="674">
        <f>'Behaviour Calculations'!$O10</f>
        <v>0</v>
      </c>
      <c r="AA6" s="674">
        <f>'Reduced Power Lighting Calculat'!$H4</f>
        <v>0</v>
      </c>
      <c r="AB6" s="674">
        <f>'Hybrid Lighting Calculations'!H8</f>
        <v>0</v>
      </c>
      <c r="AC6" s="674">
        <f>'PIR Lighting Calculations'!$H4</f>
        <v>0</v>
      </c>
      <c r="AD6" s="674">
        <f>'Water Calculations'!$I4</f>
        <v>0</v>
      </c>
      <c r="AE6" s="674">
        <f>'Additional Initiatives'!$H17</f>
        <v>0</v>
      </c>
      <c r="AF6" s="679">
        <f t="shared" ref="AF6:AF69" si="11">E6-D6</f>
        <v>0</v>
      </c>
      <c r="AG6" s="679">
        <f>(C6-B6) - (0.13 * 'Data Entry Fuel'!I$3) * (U6+AB6)</f>
        <v>0</v>
      </c>
      <c r="AH6" s="5"/>
      <c r="AI6" s="19">
        <v>1002</v>
      </c>
      <c r="AJ6" s="19">
        <f t="shared" ref="AJ6:AJ69" si="12">IF(AI6&lt;=1002,2009,IF(AI6&lt;=1102,2010,IF(AI6&lt;=1202,2011,IF(AI6&lt;=1302,2012,IF(AI6&lt;=1402,2013,IF(AI6&lt;=1502,2014,IF(AI6&lt;=1602,2015,IF(AI6&lt;=1702,2016,IF(AI6&lt;=1802,2017,IF(AI6&lt;=1902,2018,0))))))))))</f>
        <v>2009</v>
      </c>
      <c r="AK6" s="19">
        <f t="shared" ref="AK6:AK69" si="13">IF(AI6&lt;=1002,3,IF(AI6&lt;=1102,4,IF(AI6&lt;=1202,5,IF(AI6&lt;=1302,6,IF(AI6&lt;=1402,7,IF(AI6&lt;=1502,8,IF(AI6&lt;=1602,9,IF(AI6&lt;=1702,10,IF(AI6&lt;=1802,11,IF(AI6&lt;=1902,12,0))))))))))</f>
        <v>3</v>
      </c>
      <c r="AL6" s="19">
        <v>2</v>
      </c>
      <c r="AM6" s="697">
        <f t="shared" ref="AM6:AM37" si="14">AM5+B6</f>
        <v>0</v>
      </c>
      <c r="AN6" s="697">
        <f>AN5+U6</f>
        <v>0</v>
      </c>
      <c r="AO6" s="697">
        <f>AO5+AB6</f>
        <v>0</v>
      </c>
      <c r="AP6" s="697">
        <f>IF(AP$4='Additional Initiatives'!$B$163,'Additional Initiatives'!$B165,IF(AP$4='Additional Initiatives'!$C$163,'Additional Initiatives'!$C165,IF(AP$4='Additional Initiatives'!$D$163,'Additional Initiatives'!$D165,IF(AP$4='Additional Initiatives'!$E$163,'Additional Initiatives'!$E165,IF(AP$4='Additional Initiatives'!$F$163,'Additional Initiatives'!$F165,0)))))+AP5</f>
        <v>0</v>
      </c>
      <c r="AQ6" s="697">
        <f>IF(AQ$4='Additional Initiatives'!$B$163,'Additional Initiatives'!$B165,IF(AQ$4='Additional Initiatives'!$C$163,'Additional Initiatives'!$C165,IF(AQ$4='Additional Initiatives'!$D$163,'Additional Initiatives'!$D165,IF(AQ$4='Additional Initiatives'!$E$163,'Additional Initiatives'!$E165,IF(AQ$4='Additional Initiatives'!$F$163,'Additional Initiatives'!$F165,0)))))+AQ5</f>
        <v>0</v>
      </c>
      <c r="AR6" s="697">
        <f>IF(AR$4='Additional Initiatives'!$B$163,'Additional Initiatives'!$B165,IF(AR$4='Additional Initiatives'!$C$163,'Additional Initiatives'!$C165,IF(AR$4='Additional Initiatives'!$D$163,'Additional Initiatives'!$D165,IF(AR$4='Additional Initiatives'!$E$163,'Additional Initiatives'!$E165,IF(AR$4='Additional Initiatives'!$F$163,'Additional Initiatives'!$F165,0)))))+AR5</f>
        <v>0</v>
      </c>
      <c r="AS6" s="697">
        <f>AG6+AS5</f>
        <v>0</v>
      </c>
      <c r="AT6" s="696">
        <f t="shared" ref="AT6:AT37" si="15">D6+AT5</f>
        <v>0</v>
      </c>
      <c r="AU6" s="696">
        <f>V6+AU5</f>
        <v>0</v>
      </c>
      <c r="AV6" s="696">
        <f>W6</f>
        <v>0</v>
      </c>
      <c r="AW6" s="696">
        <f>AA6+AW5</f>
        <v>0</v>
      </c>
      <c r="AX6" s="696">
        <f>AC6+AX5</f>
        <v>0</v>
      </c>
      <c r="AY6" s="696">
        <f>X6+AY5</f>
        <v>0</v>
      </c>
      <c r="AZ6" s="696">
        <f>Y6+AZ5</f>
        <v>0</v>
      </c>
      <c r="BA6" s="696">
        <f>Z6+BA5</f>
        <v>0</v>
      </c>
      <c r="BB6" s="696">
        <f>AD6+BB5</f>
        <v>0</v>
      </c>
      <c r="BC6" s="696">
        <f>IF(BC$4='Additional Initiatives'!$B$163,'Additional Initiatives'!$B165,IF(BC$4='Additional Initiatives'!$C$163,'Additional Initiatives'!$C165,IF(BC$4='Additional Initiatives'!$D$163,'Additional Initiatives'!$D165,IF(BC$4='Additional Initiatives'!$E$163,'Additional Initiatives'!$E165,IF(BC$4='Additional Initiatives'!$F$163,'Additional Initiatives'!$F165,0)))))+BC5</f>
        <v>0</v>
      </c>
      <c r="BD6" s="696">
        <f>IF(BD$4='Additional Initiatives'!$B$163,'Additional Initiatives'!$B165,IF(BD$4='Additional Initiatives'!$C$163,'Additional Initiatives'!$C165,IF(BD$4='Additional Initiatives'!$D$163,'Additional Initiatives'!$D165,IF(BD$4='Additional Initiatives'!$E$163,'Additional Initiatives'!$E165,IF(BD$4='Additional Initiatives'!$F$163,'Additional Initiatives'!$F165,0)))))+BD5</f>
        <v>0</v>
      </c>
      <c r="BE6" s="696">
        <f>IF(BE$4='Additional Initiatives'!$B$163,'Additional Initiatives'!$B165,IF(BE$4='Additional Initiatives'!$C$163,'Additional Initiatives'!$C165,IF(BE$4='Additional Initiatives'!$D$163,'Additional Initiatives'!$D165,IF(BE$4='Additional Initiatives'!$E$163,'Additional Initiatives'!$E165,IF(BE$4='Additional Initiatives'!$F$163,'Additional Initiatives'!$F165,0)))))+BE5</f>
        <v>0</v>
      </c>
      <c r="BF6" s="696">
        <f>AF6+BF5</f>
        <v>0</v>
      </c>
    </row>
    <row r="7" spans="1:58">
      <c r="A7" s="21" t="s">
        <v>33</v>
      </c>
      <c r="B7" s="672">
        <f>'Data Entry Fuel'!B6*'Data Entry Fuel'!B158
+'Data Entry Fuel'!C6*'Data Entry Fuel'!C158
+'Data Entry Fuel'!D6*'Data Entry Fuel'!D158
+'Data Entry Fuel'!E6*'Data Entry Fuel'!E158
+'Data Entry Fuel'!F6*'Data Entry Fuel'!F158
+'Data Entry Fuel'!G6*'Data Entry Fuel'!G158
+'Data Entry Fuel'!H6*'Data Entry Fuel'!H158
+'Data Entry Fuel'!I6*'Data Entry Fuel'!I158
+'Data Entry Fuel'!J6*'Data Entry Fuel'!J158</f>
        <v>0</v>
      </c>
      <c r="C7" s="672">
        <f>'Data Entry Fuel'!B6*'Data Entry Fuel'!B158
+'Data Entry Fuel'!C6*'Data Entry Fuel'!C158
+'Data Entry Fuel'!D6*'Data Entry Fuel'!D158
+'Data Entry Fuel'!E6*'Data Entry Fuel'!E158
+'Data Entry Fuel'!F6*'Data Entry Fuel'!F158
+'Data Entry Fuel'!G6*'Data Entry Fuel'!G158
+'Data Entry Fuel'!H6*'Data Entry Fuel'!H158
+'Data Entry Fuel'!I6*'Data Entry Fuel'!C158 *   (1 -  0.13 * 'Data Entry Fuel'!I$3)
+'Data Entry Fuel'!J6*'Data Entry Fuel'!J158</f>
        <v>0</v>
      </c>
      <c r="D7" s="677">
        <f>'Data Entry Electricity'!B6*'Data Entry Electricity'!L6+'Data Entry Electricity'!C6*'Data Entry Electricity'!M6+'Data Entry Electricity'!D6*'Data Entry Electricity'!N6+'Data Entry Electricity'!E6*'Data Entry Electricity'!O6</f>
        <v>0</v>
      </c>
      <c r="E7" s="776">
        <f>'Data Entry Electricity'!B6*'Data Entry Electricity'!L6+'Data Entry Electricity'!C6*'Data Entry Electricity'!L6+'Data Entry Electricity'!D6*'Data Entry Electricity'!N6+'Data Entry Electricity'!E6*'Data Entry Electricity'!O6</f>
        <v>0</v>
      </c>
      <c r="F7" s="777">
        <f>(SUM('Fuel Equipment Savings Calculat'!$B4:$S4))+(SUM('Efficient Site Offices DD &amp; Cal'!$B40:$F40))+'PFC Calculations'!$G5+(SUM('Behaviour Calculations'!$E11,'Behaviour Calculations'!$J11,'Behaviour Calculations'!$O11))+(SUM('Reduced Power Lighting Calculat'!$B5:$F5)+SUM('Hybrid Lighting Calculations'!$B9:$F9)+('PIR Lighting Calculations'!$H5)+SUM('Water Calculations'!$B5:$G5)+'Additional Initiatives'!$H18)</f>
        <v>0</v>
      </c>
      <c r="G7" s="778">
        <f t="shared" si="0"/>
        <v>0</v>
      </c>
      <c r="H7" s="778">
        <f t="shared" si="5"/>
        <v>0</v>
      </c>
      <c r="I7" s="778">
        <f t="shared" si="1"/>
        <v>0</v>
      </c>
      <c r="J7" s="798">
        <f t="shared" si="6"/>
        <v>0</v>
      </c>
      <c r="K7" s="779">
        <f t="shared" si="7"/>
        <v>0</v>
      </c>
      <c r="L7" s="780">
        <f t="shared" si="2"/>
        <v>0</v>
      </c>
      <c r="M7" s="780">
        <f t="shared" si="3"/>
        <v>0</v>
      </c>
      <c r="N7" s="781">
        <f t="shared" si="4"/>
        <v>0</v>
      </c>
      <c r="O7" s="781">
        <f t="shared" ref="O7:O70" si="16">N7+O6</f>
        <v>0</v>
      </c>
      <c r="Q7" s="683">
        <f t="shared" si="8"/>
        <v>0</v>
      </c>
      <c r="R7" s="683">
        <f t="shared" si="9"/>
        <v>0</v>
      </c>
      <c r="T7" s="673">
        <f t="shared" si="10"/>
        <v>0</v>
      </c>
      <c r="U7" s="674">
        <f>'Fuel Equipment Savings Calculat'!$V4</f>
        <v>0</v>
      </c>
      <c r="V7" s="674">
        <f>'Efficient Site Offices DD &amp; Cal'!$H40</f>
        <v>0</v>
      </c>
      <c r="W7" s="674">
        <f>'PFC Calculations'!$G5</f>
        <v>0</v>
      </c>
      <c r="X7" s="674">
        <f>'Behaviour Calculations'!$E11</f>
        <v>0</v>
      </c>
      <c r="Y7" s="674">
        <f>'Behaviour Calculations'!$J11</f>
        <v>0</v>
      </c>
      <c r="Z7" s="674">
        <f>'Behaviour Calculations'!$O11</f>
        <v>0</v>
      </c>
      <c r="AA7" s="674">
        <f>'Reduced Power Lighting Calculat'!$H5</f>
        <v>0</v>
      </c>
      <c r="AB7" s="674">
        <f>'Hybrid Lighting Calculations'!H9</f>
        <v>0</v>
      </c>
      <c r="AC7" s="674">
        <f>'PIR Lighting Calculations'!$H5</f>
        <v>0</v>
      </c>
      <c r="AD7" s="674">
        <f>'Water Calculations'!$I5</f>
        <v>0</v>
      </c>
      <c r="AE7" s="674">
        <f>'Additional Initiatives'!$H18</f>
        <v>0</v>
      </c>
      <c r="AF7" s="679">
        <f t="shared" si="11"/>
        <v>0</v>
      </c>
      <c r="AG7" s="679">
        <f>(C7-B7) - (0.13 * 'Data Entry Fuel'!I$3) * (U7+AB7)</f>
        <v>0</v>
      </c>
      <c r="AH7" s="5"/>
      <c r="AI7" s="19">
        <v>1003</v>
      </c>
      <c r="AJ7" s="19">
        <f t="shared" si="12"/>
        <v>2010</v>
      </c>
      <c r="AK7" s="19">
        <f t="shared" si="13"/>
        <v>4</v>
      </c>
      <c r="AL7" s="19">
        <v>3</v>
      </c>
      <c r="AM7" s="697">
        <f t="shared" si="14"/>
        <v>0</v>
      </c>
      <c r="AN7" s="697">
        <f t="shared" ref="AN7:AN70" si="17">AN6+U7</f>
        <v>0</v>
      </c>
      <c r="AO7" s="697">
        <f t="shared" ref="AO7:AO70" si="18">AO6+AB7</f>
        <v>0</v>
      </c>
      <c r="AP7" s="697">
        <f>IF(AP$4='Additional Initiatives'!$B$163,'Additional Initiatives'!$B166,IF(AP$4='Additional Initiatives'!$C$163,'Additional Initiatives'!$C166,IF(AP$4='Additional Initiatives'!$D$163,'Additional Initiatives'!$D166,IF(AP$4='Additional Initiatives'!$E$163,'Additional Initiatives'!$E166,IF(AP$4='Additional Initiatives'!$F$163,'Additional Initiatives'!$F166,0)))))+AP6</f>
        <v>0</v>
      </c>
      <c r="AQ7" s="697">
        <f>IF(AQ$4='Additional Initiatives'!$B$163,'Additional Initiatives'!$B166,IF(AQ$4='Additional Initiatives'!$C$163,'Additional Initiatives'!$C166,IF(AQ$4='Additional Initiatives'!$D$163,'Additional Initiatives'!$D166,IF(AQ$4='Additional Initiatives'!$E$163,'Additional Initiatives'!$E166,IF(AQ$4='Additional Initiatives'!$F$163,'Additional Initiatives'!$F166,0)))))+AQ6</f>
        <v>0</v>
      </c>
      <c r="AR7" s="697">
        <f>IF(AR$4='Additional Initiatives'!$B$163,'Additional Initiatives'!$B166,IF(AR$4='Additional Initiatives'!$C$163,'Additional Initiatives'!$C166,IF(AR$4='Additional Initiatives'!$D$163,'Additional Initiatives'!$D166,IF(AR$4='Additional Initiatives'!$E$163,'Additional Initiatives'!$E166,IF(AR$4='Additional Initiatives'!$F$163,'Additional Initiatives'!$F166,0)))))+AR6</f>
        <v>0</v>
      </c>
      <c r="AS7" s="697">
        <f t="shared" ref="AS7:AS70" si="19">AG7+AS6</f>
        <v>0</v>
      </c>
      <c r="AT7" s="696">
        <f t="shared" si="15"/>
        <v>0</v>
      </c>
      <c r="AU7" s="696">
        <f t="shared" ref="AU7:AU70" si="20">V7+AU6</f>
        <v>0</v>
      </c>
      <c r="AV7" s="696">
        <f t="shared" ref="AV7:AV70" si="21">W7</f>
        <v>0</v>
      </c>
      <c r="AW7" s="696">
        <f t="shared" ref="AW7:AW70" si="22">AA7+AW6</f>
        <v>0</v>
      </c>
      <c r="AX7" s="696">
        <f t="shared" ref="AX7:AX70" si="23">AC7+AX6</f>
        <v>0</v>
      </c>
      <c r="AY7" s="696">
        <f t="shared" ref="AY7:AY70" si="24">X7+AY6</f>
        <v>0</v>
      </c>
      <c r="AZ7" s="696">
        <f t="shared" ref="AZ7:AZ70" si="25">Y7+AZ6</f>
        <v>0</v>
      </c>
      <c r="BA7" s="696">
        <f t="shared" ref="BA7:BA70" si="26">Z7+BA6</f>
        <v>0</v>
      </c>
      <c r="BB7" s="696">
        <f t="shared" ref="BB7:BB70" si="27">AD7+BB6</f>
        <v>0</v>
      </c>
      <c r="BC7" s="696">
        <f>IF(BC$4='Additional Initiatives'!$B$163,'Additional Initiatives'!$B166,IF(BC$4='Additional Initiatives'!$C$163,'Additional Initiatives'!$C166,IF(BC$4='Additional Initiatives'!$D$163,'Additional Initiatives'!$D166,IF(BC$4='Additional Initiatives'!$E$163,'Additional Initiatives'!$E166,IF(BC$4='Additional Initiatives'!$F$163,'Additional Initiatives'!$F166,0)))))+BC6</f>
        <v>0</v>
      </c>
      <c r="BD7" s="696">
        <f>IF(BD$4='Additional Initiatives'!$B$163,'Additional Initiatives'!$B166,IF(BD$4='Additional Initiatives'!$C$163,'Additional Initiatives'!$C166,IF(BD$4='Additional Initiatives'!$D$163,'Additional Initiatives'!$D166,IF(BD$4='Additional Initiatives'!$E$163,'Additional Initiatives'!$E166,IF(BD$4='Additional Initiatives'!$F$163,'Additional Initiatives'!$F166,0)))))+BD6</f>
        <v>0</v>
      </c>
      <c r="BE7" s="696">
        <f>IF(BE$4='Additional Initiatives'!$B$163,'Additional Initiatives'!$B166,IF(BE$4='Additional Initiatives'!$C$163,'Additional Initiatives'!$C166,IF(BE$4='Additional Initiatives'!$D$163,'Additional Initiatives'!$D166,IF(BE$4='Additional Initiatives'!$E$163,'Additional Initiatives'!$E166,IF(BE$4='Additional Initiatives'!$F$163,'Additional Initiatives'!$F166,0)))))+BE6</f>
        <v>0</v>
      </c>
      <c r="BF7" s="696">
        <f t="shared" ref="BF7:BF70" si="28">AF7+BF6</f>
        <v>0</v>
      </c>
    </row>
    <row r="8" spans="1:58">
      <c r="A8" s="21" t="s">
        <v>34</v>
      </c>
      <c r="B8" s="672">
        <f>'Data Entry Fuel'!B7*'Data Entry Fuel'!B159
+'Data Entry Fuel'!C7*'Data Entry Fuel'!C159
+'Data Entry Fuel'!D7*'Data Entry Fuel'!D159
+'Data Entry Fuel'!E7*'Data Entry Fuel'!E159
+'Data Entry Fuel'!F7*'Data Entry Fuel'!F159
+'Data Entry Fuel'!G7*'Data Entry Fuel'!G159
+'Data Entry Fuel'!H7*'Data Entry Fuel'!H159
+'Data Entry Fuel'!I7*'Data Entry Fuel'!I159
+'Data Entry Fuel'!J7*'Data Entry Fuel'!J159</f>
        <v>0</v>
      </c>
      <c r="C8" s="672">
        <f>'Data Entry Fuel'!B7*'Data Entry Fuel'!B159
+'Data Entry Fuel'!C7*'Data Entry Fuel'!C159
+'Data Entry Fuel'!D7*'Data Entry Fuel'!D159
+'Data Entry Fuel'!E7*'Data Entry Fuel'!E159
+'Data Entry Fuel'!F7*'Data Entry Fuel'!F159
+'Data Entry Fuel'!G7*'Data Entry Fuel'!G159
+'Data Entry Fuel'!H7*'Data Entry Fuel'!H159
+'Data Entry Fuel'!I7*'Data Entry Fuel'!C159 *   (1 -  0.13 * 'Data Entry Fuel'!I$3)
+'Data Entry Fuel'!J7*'Data Entry Fuel'!J159</f>
        <v>0</v>
      </c>
      <c r="D8" s="677">
        <f>'Data Entry Electricity'!B7*'Data Entry Electricity'!L7+'Data Entry Electricity'!C7*'Data Entry Electricity'!M7+'Data Entry Electricity'!D7*'Data Entry Electricity'!N7+'Data Entry Electricity'!E7*'Data Entry Electricity'!O7</f>
        <v>0</v>
      </c>
      <c r="E8" s="776">
        <f>'Data Entry Electricity'!B7*'Data Entry Electricity'!L7+'Data Entry Electricity'!C7*'Data Entry Electricity'!L7+'Data Entry Electricity'!D7*'Data Entry Electricity'!N7+'Data Entry Electricity'!E7*'Data Entry Electricity'!O7</f>
        <v>0</v>
      </c>
      <c r="F8" s="777">
        <f>(SUM('Fuel Equipment Savings Calculat'!$B5:$S5))+(SUM('Efficient Site Offices DD &amp; Cal'!$B41:$F41))+'PFC Calculations'!$G6+(SUM('Behaviour Calculations'!$E12,'Behaviour Calculations'!$J12,'Behaviour Calculations'!$O12))+(SUM('Reduced Power Lighting Calculat'!$B6:$F6)+SUM('Hybrid Lighting Calculations'!$B10:$F10)+('PIR Lighting Calculations'!$H6)+SUM('Water Calculations'!$B6:$G6)+'Additional Initiatives'!$H19)</f>
        <v>0</v>
      </c>
      <c r="G8" s="778">
        <f t="shared" si="0"/>
        <v>0</v>
      </c>
      <c r="H8" s="778">
        <f t="shared" si="5"/>
        <v>0</v>
      </c>
      <c r="I8" s="778">
        <f t="shared" si="1"/>
        <v>0</v>
      </c>
      <c r="J8" s="798">
        <f t="shared" si="6"/>
        <v>0</v>
      </c>
      <c r="K8" s="779">
        <f t="shared" si="7"/>
        <v>0</v>
      </c>
      <c r="L8" s="780">
        <f t="shared" si="2"/>
        <v>0</v>
      </c>
      <c r="M8" s="780">
        <f t="shared" si="3"/>
        <v>0</v>
      </c>
      <c r="N8" s="781">
        <f t="shared" si="4"/>
        <v>0</v>
      </c>
      <c r="O8" s="781">
        <f t="shared" si="16"/>
        <v>0</v>
      </c>
      <c r="Q8" s="683">
        <f t="shared" si="8"/>
        <v>0</v>
      </c>
      <c r="R8" s="683">
        <f t="shared" si="9"/>
        <v>0</v>
      </c>
      <c r="T8" s="673">
        <f t="shared" si="10"/>
        <v>0</v>
      </c>
      <c r="U8" s="674">
        <f>'Fuel Equipment Savings Calculat'!$V5</f>
        <v>0</v>
      </c>
      <c r="V8" s="674">
        <f>'Efficient Site Offices DD &amp; Cal'!$H41</f>
        <v>0</v>
      </c>
      <c r="W8" s="674">
        <f>'PFC Calculations'!$G6</f>
        <v>0</v>
      </c>
      <c r="X8" s="674">
        <f>'Behaviour Calculations'!$E12</f>
        <v>0</v>
      </c>
      <c r="Y8" s="674">
        <f>'Behaviour Calculations'!$J12</f>
        <v>0</v>
      </c>
      <c r="Z8" s="674">
        <f>'Behaviour Calculations'!$O12</f>
        <v>0</v>
      </c>
      <c r="AA8" s="674">
        <f>'Reduced Power Lighting Calculat'!$H6</f>
        <v>0</v>
      </c>
      <c r="AB8" s="674">
        <f>'Hybrid Lighting Calculations'!H10</f>
        <v>0</v>
      </c>
      <c r="AC8" s="674">
        <f>'PIR Lighting Calculations'!$H6</f>
        <v>0</v>
      </c>
      <c r="AD8" s="674">
        <f>'Water Calculations'!$I6</f>
        <v>0</v>
      </c>
      <c r="AE8" s="674">
        <f>'Additional Initiatives'!$H19</f>
        <v>0</v>
      </c>
      <c r="AF8" s="679">
        <f t="shared" si="11"/>
        <v>0</v>
      </c>
      <c r="AG8" s="679">
        <f>(C8-B8) - (0.13 * 'Data Entry Fuel'!I$3) * (U8+AB8)</f>
        <v>0</v>
      </c>
      <c r="AH8" s="5"/>
      <c r="AI8" s="19">
        <v>1004</v>
      </c>
      <c r="AJ8" s="19">
        <f t="shared" si="12"/>
        <v>2010</v>
      </c>
      <c r="AK8" s="19">
        <f t="shared" si="13"/>
        <v>4</v>
      </c>
      <c r="AL8" s="19">
        <v>4</v>
      </c>
      <c r="AM8" s="697">
        <f t="shared" si="14"/>
        <v>0</v>
      </c>
      <c r="AN8" s="697">
        <f t="shared" si="17"/>
        <v>0</v>
      </c>
      <c r="AO8" s="697">
        <f t="shared" si="18"/>
        <v>0</v>
      </c>
      <c r="AP8" s="697">
        <f>IF(AP$4='Additional Initiatives'!$B$163,'Additional Initiatives'!$B167,IF(AP$4='Additional Initiatives'!$C$163,'Additional Initiatives'!$C167,IF(AP$4='Additional Initiatives'!$D$163,'Additional Initiatives'!$D167,IF(AP$4='Additional Initiatives'!$E$163,'Additional Initiatives'!$E167,IF(AP$4='Additional Initiatives'!$F$163,'Additional Initiatives'!$F167,0)))))+AP7</f>
        <v>0</v>
      </c>
      <c r="AQ8" s="697">
        <f>IF(AQ$4='Additional Initiatives'!$B$163,'Additional Initiatives'!$B167,IF(AQ$4='Additional Initiatives'!$C$163,'Additional Initiatives'!$C167,IF(AQ$4='Additional Initiatives'!$D$163,'Additional Initiatives'!$D167,IF(AQ$4='Additional Initiatives'!$E$163,'Additional Initiatives'!$E167,IF(AQ$4='Additional Initiatives'!$F$163,'Additional Initiatives'!$F167,0)))))+AQ7</f>
        <v>0</v>
      </c>
      <c r="AR8" s="697">
        <f>IF(AR$4='Additional Initiatives'!$B$163,'Additional Initiatives'!$B167,IF(AR$4='Additional Initiatives'!$C$163,'Additional Initiatives'!$C167,IF(AR$4='Additional Initiatives'!$D$163,'Additional Initiatives'!$D167,IF(AR$4='Additional Initiatives'!$E$163,'Additional Initiatives'!$E167,IF(AR$4='Additional Initiatives'!$F$163,'Additional Initiatives'!$F167,0)))))+AR7</f>
        <v>0</v>
      </c>
      <c r="AS8" s="697">
        <f t="shared" si="19"/>
        <v>0</v>
      </c>
      <c r="AT8" s="696">
        <f t="shared" si="15"/>
        <v>0</v>
      </c>
      <c r="AU8" s="696">
        <f t="shared" si="20"/>
        <v>0</v>
      </c>
      <c r="AV8" s="696">
        <f t="shared" si="21"/>
        <v>0</v>
      </c>
      <c r="AW8" s="696">
        <f t="shared" si="22"/>
        <v>0</v>
      </c>
      <c r="AX8" s="696">
        <f t="shared" si="23"/>
        <v>0</v>
      </c>
      <c r="AY8" s="696">
        <f t="shared" si="24"/>
        <v>0</v>
      </c>
      <c r="AZ8" s="696">
        <f t="shared" si="25"/>
        <v>0</v>
      </c>
      <c r="BA8" s="696">
        <f t="shared" si="26"/>
        <v>0</v>
      </c>
      <c r="BB8" s="696">
        <f t="shared" si="27"/>
        <v>0</v>
      </c>
      <c r="BC8" s="696">
        <f>IF(BC$4='Additional Initiatives'!$B$163,'Additional Initiatives'!$B167,IF(BC$4='Additional Initiatives'!$C$163,'Additional Initiatives'!$C167,IF(BC$4='Additional Initiatives'!$D$163,'Additional Initiatives'!$D167,IF(BC$4='Additional Initiatives'!$E$163,'Additional Initiatives'!$E167,IF(BC$4='Additional Initiatives'!$F$163,'Additional Initiatives'!$F167,0)))))+BC7</f>
        <v>0</v>
      </c>
      <c r="BD8" s="696">
        <f>IF(BD$4='Additional Initiatives'!$B$163,'Additional Initiatives'!$B167,IF(BD$4='Additional Initiatives'!$C$163,'Additional Initiatives'!$C167,IF(BD$4='Additional Initiatives'!$D$163,'Additional Initiatives'!$D167,IF(BD$4='Additional Initiatives'!$E$163,'Additional Initiatives'!$E167,IF(BD$4='Additional Initiatives'!$F$163,'Additional Initiatives'!$F167,0)))))+BD7</f>
        <v>0</v>
      </c>
      <c r="BE8" s="696">
        <f>IF(BE$4='Additional Initiatives'!$B$163,'Additional Initiatives'!$B167,IF(BE$4='Additional Initiatives'!$C$163,'Additional Initiatives'!$C167,IF(BE$4='Additional Initiatives'!$D$163,'Additional Initiatives'!$D167,IF(BE$4='Additional Initiatives'!$E$163,'Additional Initiatives'!$E167,IF(BE$4='Additional Initiatives'!$F$163,'Additional Initiatives'!$F167,0)))))+BE7</f>
        <v>0</v>
      </c>
      <c r="BF8" s="696">
        <f t="shared" si="28"/>
        <v>0</v>
      </c>
    </row>
    <row r="9" spans="1:58">
      <c r="A9" s="21" t="s">
        <v>35</v>
      </c>
      <c r="B9" s="672">
        <f>'Data Entry Fuel'!B8*'Data Entry Fuel'!B160
+'Data Entry Fuel'!C8*'Data Entry Fuel'!C160
+'Data Entry Fuel'!D8*'Data Entry Fuel'!D160
+'Data Entry Fuel'!E8*'Data Entry Fuel'!E160
+'Data Entry Fuel'!F8*'Data Entry Fuel'!F160
+'Data Entry Fuel'!G8*'Data Entry Fuel'!G160
+'Data Entry Fuel'!H8*'Data Entry Fuel'!H160
+'Data Entry Fuel'!I8*'Data Entry Fuel'!I160
+'Data Entry Fuel'!J8*'Data Entry Fuel'!J160</f>
        <v>0</v>
      </c>
      <c r="C9" s="672">
        <f>'Data Entry Fuel'!B8*'Data Entry Fuel'!B160
+'Data Entry Fuel'!C8*'Data Entry Fuel'!C160
+'Data Entry Fuel'!D8*'Data Entry Fuel'!D160
+'Data Entry Fuel'!E8*'Data Entry Fuel'!E160
+'Data Entry Fuel'!F8*'Data Entry Fuel'!F160
+'Data Entry Fuel'!G8*'Data Entry Fuel'!G160
+'Data Entry Fuel'!H8*'Data Entry Fuel'!H160
+'Data Entry Fuel'!I8*'Data Entry Fuel'!C160 *   (1 -  0.13 * 'Data Entry Fuel'!I$3)
+'Data Entry Fuel'!J8*'Data Entry Fuel'!J160</f>
        <v>0</v>
      </c>
      <c r="D9" s="677">
        <f>'Data Entry Electricity'!B8*'Data Entry Electricity'!L8+'Data Entry Electricity'!C8*'Data Entry Electricity'!M8+'Data Entry Electricity'!D8*'Data Entry Electricity'!N8+'Data Entry Electricity'!E8*'Data Entry Electricity'!O8</f>
        <v>0</v>
      </c>
      <c r="E9" s="776">
        <f>'Data Entry Electricity'!B8*'Data Entry Electricity'!L8+'Data Entry Electricity'!C8*'Data Entry Electricity'!L8+'Data Entry Electricity'!D8*'Data Entry Electricity'!N8+'Data Entry Electricity'!E8*'Data Entry Electricity'!O8</f>
        <v>0</v>
      </c>
      <c r="F9" s="777">
        <f>(SUM('Fuel Equipment Savings Calculat'!$B6:$S6))+(SUM('Efficient Site Offices DD &amp; Cal'!$B42:$F42))+'PFC Calculations'!$G7+(SUM('Behaviour Calculations'!$E13,'Behaviour Calculations'!$J13,'Behaviour Calculations'!$O13))+(SUM('Reduced Power Lighting Calculat'!$B7:$F7)+SUM('Hybrid Lighting Calculations'!$B11:$F11)+('PIR Lighting Calculations'!$H7)+SUM('Water Calculations'!$B7:$G7)+'Additional Initiatives'!$H20)</f>
        <v>0</v>
      </c>
      <c r="G9" s="778">
        <f t="shared" si="0"/>
        <v>0</v>
      </c>
      <c r="H9" s="778">
        <f t="shared" si="5"/>
        <v>0</v>
      </c>
      <c r="I9" s="778">
        <f t="shared" si="1"/>
        <v>0</v>
      </c>
      <c r="J9" s="798">
        <f t="shared" si="6"/>
        <v>0</v>
      </c>
      <c r="K9" s="779">
        <f t="shared" si="7"/>
        <v>0</v>
      </c>
      <c r="L9" s="780">
        <f t="shared" si="2"/>
        <v>0</v>
      </c>
      <c r="M9" s="780">
        <f t="shared" si="3"/>
        <v>0</v>
      </c>
      <c r="N9" s="781">
        <f t="shared" si="4"/>
        <v>0</v>
      </c>
      <c r="O9" s="781">
        <f t="shared" si="16"/>
        <v>0</v>
      </c>
      <c r="Q9" s="683">
        <f t="shared" si="8"/>
        <v>0</v>
      </c>
      <c r="R9" s="683">
        <f t="shared" si="9"/>
        <v>0</v>
      </c>
      <c r="T9" s="673">
        <f t="shared" si="10"/>
        <v>0</v>
      </c>
      <c r="U9" s="674">
        <f>'Fuel Equipment Savings Calculat'!$V6</f>
        <v>0</v>
      </c>
      <c r="V9" s="674">
        <f>'Efficient Site Offices DD &amp; Cal'!$H42</f>
        <v>0</v>
      </c>
      <c r="W9" s="674">
        <f>'PFC Calculations'!$G7</f>
        <v>0</v>
      </c>
      <c r="X9" s="674">
        <f>'Behaviour Calculations'!$E13</f>
        <v>0</v>
      </c>
      <c r="Y9" s="674">
        <f>'Behaviour Calculations'!$J13</f>
        <v>0</v>
      </c>
      <c r="Z9" s="674">
        <f>'Behaviour Calculations'!$O13</f>
        <v>0</v>
      </c>
      <c r="AA9" s="674">
        <f>'Reduced Power Lighting Calculat'!$H7</f>
        <v>0</v>
      </c>
      <c r="AB9" s="674">
        <f>'Hybrid Lighting Calculations'!H11</f>
        <v>0</v>
      </c>
      <c r="AC9" s="674">
        <f>'PIR Lighting Calculations'!$H7</f>
        <v>0</v>
      </c>
      <c r="AD9" s="674">
        <f>'Water Calculations'!$I7</f>
        <v>0</v>
      </c>
      <c r="AE9" s="674">
        <f>'Additional Initiatives'!$H20</f>
        <v>0</v>
      </c>
      <c r="AF9" s="679">
        <f t="shared" si="11"/>
        <v>0</v>
      </c>
      <c r="AG9" s="679">
        <f>(C9-B9) - (0.13 * 'Data Entry Fuel'!I$3) * (U9+AB9)</f>
        <v>0</v>
      </c>
      <c r="AH9" s="5"/>
      <c r="AI9" s="19">
        <v>1005</v>
      </c>
      <c r="AJ9" s="19">
        <f t="shared" si="12"/>
        <v>2010</v>
      </c>
      <c r="AK9" s="19">
        <f t="shared" si="13"/>
        <v>4</v>
      </c>
      <c r="AL9" s="19">
        <v>5</v>
      </c>
      <c r="AM9" s="697">
        <f t="shared" si="14"/>
        <v>0</v>
      </c>
      <c r="AN9" s="697">
        <f t="shared" si="17"/>
        <v>0</v>
      </c>
      <c r="AO9" s="697">
        <f t="shared" si="18"/>
        <v>0</v>
      </c>
      <c r="AP9" s="697">
        <f>IF(AP$4='Additional Initiatives'!$B$163,'Additional Initiatives'!$B168,IF(AP$4='Additional Initiatives'!$C$163,'Additional Initiatives'!$C168,IF(AP$4='Additional Initiatives'!$D$163,'Additional Initiatives'!$D168,IF(AP$4='Additional Initiatives'!$E$163,'Additional Initiatives'!$E168,IF(AP$4='Additional Initiatives'!$F$163,'Additional Initiatives'!$F168,0)))))+AP8</f>
        <v>0</v>
      </c>
      <c r="AQ9" s="697">
        <f>IF(AQ$4='Additional Initiatives'!$B$163,'Additional Initiatives'!$B168,IF(AQ$4='Additional Initiatives'!$C$163,'Additional Initiatives'!$C168,IF(AQ$4='Additional Initiatives'!$D$163,'Additional Initiatives'!$D168,IF(AQ$4='Additional Initiatives'!$E$163,'Additional Initiatives'!$E168,IF(AQ$4='Additional Initiatives'!$F$163,'Additional Initiatives'!$F168,0)))))+AQ8</f>
        <v>0</v>
      </c>
      <c r="AR9" s="697">
        <f>IF(AR$4='Additional Initiatives'!$B$163,'Additional Initiatives'!$B168,IF(AR$4='Additional Initiatives'!$C$163,'Additional Initiatives'!$C168,IF(AR$4='Additional Initiatives'!$D$163,'Additional Initiatives'!$D168,IF(AR$4='Additional Initiatives'!$E$163,'Additional Initiatives'!$E168,IF(AR$4='Additional Initiatives'!$F$163,'Additional Initiatives'!$F168,0)))))+AR8</f>
        <v>0</v>
      </c>
      <c r="AS9" s="697">
        <f t="shared" si="19"/>
        <v>0</v>
      </c>
      <c r="AT9" s="696">
        <f t="shared" si="15"/>
        <v>0</v>
      </c>
      <c r="AU9" s="696">
        <f t="shared" si="20"/>
        <v>0</v>
      </c>
      <c r="AV9" s="696">
        <f t="shared" si="21"/>
        <v>0</v>
      </c>
      <c r="AW9" s="696">
        <f t="shared" si="22"/>
        <v>0</v>
      </c>
      <c r="AX9" s="696">
        <f t="shared" si="23"/>
        <v>0</v>
      </c>
      <c r="AY9" s="696">
        <f t="shared" si="24"/>
        <v>0</v>
      </c>
      <c r="AZ9" s="696">
        <f t="shared" si="25"/>
        <v>0</v>
      </c>
      <c r="BA9" s="696">
        <f t="shared" si="26"/>
        <v>0</v>
      </c>
      <c r="BB9" s="696">
        <f t="shared" si="27"/>
        <v>0</v>
      </c>
      <c r="BC9" s="696">
        <f>IF(BC$4='Additional Initiatives'!$B$163,'Additional Initiatives'!$B168,IF(BC$4='Additional Initiatives'!$C$163,'Additional Initiatives'!$C168,IF(BC$4='Additional Initiatives'!$D$163,'Additional Initiatives'!$D168,IF(BC$4='Additional Initiatives'!$E$163,'Additional Initiatives'!$E168,IF(BC$4='Additional Initiatives'!$F$163,'Additional Initiatives'!$F168,0)))))+BC8</f>
        <v>0</v>
      </c>
      <c r="BD9" s="696">
        <f>IF(BD$4='Additional Initiatives'!$B$163,'Additional Initiatives'!$B168,IF(BD$4='Additional Initiatives'!$C$163,'Additional Initiatives'!$C168,IF(BD$4='Additional Initiatives'!$D$163,'Additional Initiatives'!$D168,IF(BD$4='Additional Initiatives'!$E$163,'Additional Initiatives'!$E168,IF(BD$4='Additional Initiatives'!$F$163,'Additional Initiatives'!$F168,0)))))+BD8</f>
        <v>0</v>
      </c>
      <c r="BE9" s="696">
        <f>IF(BE$4='Additional Initiatives'!$B$163,'Additional Initiatives'!$B168,IF(BE$4='Additional Initiatives'!$C$163,'Additional Initiatives'!$C168,IF(BE$4='Additional Initiatives'!$D$163,'Additional Initiatives'!$D168,IF(BE$4='Additional Initiatives'!$E$163,'Additional Initiatives'!$E168,IF(BE$4='Additional Initiatives'!$F$163,'Additional Initiatives'!$F168,0)))))+BE8</f>
        <v>0</v>
      </c>
      <c r="BF9" s="696">
        <f t="shared" si="28"/>
        <v>0</v>
      </c>
    </row>
    <row r="10" spans="1:58">
      <c r="A10" s="21" t="s">
        <v>36</v>
      </c>
      <c r="B10" s="672">
        <f>'Data Entry Fuel'!B9*'Data Entry Fuel'!B161
+'Data Entry Fuel'!C9*'Data Entry Fuel'!C161
+'Data Entry Fuel'!D9*'Data Entry Fuel'!D161
+'Data Entry Fuel'!E9*'Data Entry Fuel'!E161
+'Data Entry Fuel'!F9*'Data Entry Fuel'!F161
+'Data Entry Fuel'!G9*'Data Entry Fuel'!G161
+'Data Entry Fuel'!H9*'Data Entry Fuel'!H161
+'Data Entry Fuel'!I9*'Data Entry Fuel'!I161
+'Data Entry Fuel'!J9*'Data Entry Fuel'!J161</f>
        <v>0</v>
      </c>
      <c r="C10" s="672">
        <f>'Data Entry Fuel'!B9*'Data Entry Fuel'!B161
+'Data Entry Fuel'!C9*'Data Entry Fuel'!C161
+'Data Entry Fuel'!D9*'Data Entry Fuel'!D161
+'Data Entry Fuel'!E9*'Data Entry Fuel'!E161
+'Data Entry Fuel'!F9*'Data Entry Fuel'!F161
+'Data Entry Fuel'!G9*'Data Entry Fuel'!G161
+'Data Entry Fuel'!H9*'Data Entry Fuel'!H161
+'Data Entry Fuel'!I9*'Data Entry Fuel'!C161 *   (1 -  0.13 * 'Data Entry Fuel'!I$3)
+'Data Entry Fuel'!J9*'Data Entry Fuel'!J161</f>
        <v>0</v>
      </c>
      <c r="D10" s="677">
        <f>'Data Entry Electricity'!B9*'Data Entry Electricity'!L9+'Data Entry Electricity'!C9*'Data Entry Electricity'!M9+'Data Entry Electricity'!D9*'Data Entry Electricity'!N9+'Data Entry Electricity'!E9*'Data Entry Electricity'!O9</f>
        <v>0</v>
      </c>
      <c r="E10" s="776">
        <f>'Data Entry Electricity'!B9*'Data Entry Electricity'!L9+'Data Entry Electricity'!C9*'Data Entry Electricity'!L9+'Data Entry Electricity'!D9*'Data Entry Electricity'!N9+'Data Entry Electricity'!E9*'Data Entry Electricity'!O9</f>
        <v>0</v>
      </c>
      <c r="F10" s="777">
        <f>(SUM('Fuel Equipment Savings Calculat'!$B7:$S7))+(SUM('Efficient Site Offices DD &amp; Cal'!$B43:$F43))+'PFC Calculations'!$G8+(SUM('Behaviour Calculations'!$E14,'Behaviour Calculations'!$J14,'Behaviour Calculations'!$O14))+(SUM('Reduced Power Lighting Calculat'!$B8:$F8)+SUM('Hybrid Lighting Calculations'!$B12:$F12)+('PIR Lighting Calculations'!$H8)+SUM('Water Calculations'!$B8:$G8)+'Additional Initiatives'!$H21)</f>
        <v>0</v>
      </c>
      <c r="G10" s="778">
        <f t="shared" si="0"/>
        <v>0</v>
      </c>
      <c r="H10" s="778">
        <f t="shared" si="5"/>
        <v>0</v>
      </c>
      <c r="I10" s="778">
        <f t="shared" si="1"/>
        <v>0</v>
      </c>
      <c r="J10" s="798">
        <f t="shared" si="6"/>
        <v>0</v>
      </c>
      <c r="K10" s="779">
        <f t="shared" si="7"/>
        <v>0</v>
      </c>
      <c r="L10" s="780">
        <f t="shared" si="2"/>
        <v>0</v>
      </c>
      <c r="M10" s="780">
        <f t="shared" si="3"/>
        <v>0</v>
      </c>
      <c r="N10" s="781">
        <f t="shared" si="4"/>
        <v>0</v>
      </c>
      <c r="O10" s="781">
        <f t="shared" si="16"/>
        <v>0</v>
      </c>
      <c r="Q10" s="683">
        <f t="shared" si="8"/>
        <v>0</v>
      </c>
      <c r="R10" s="683">
        <f t="shared" si="9"/>
        <v>0</v>
      </c>
      <c r="T10" s="673">
        <f t="shared" si="10"/>
        <v>0</v>
      </c>
      <c r="U10" s="674">
        <f>'Fuel Equipment Savings Calculat'!$V7</f>
        <v>0</v>
      </c>
      <c r="V10" s="674">
        <f>'Efficient Site Offices DD &amp; Cal'!$H43</f>
        <v>0</v>
      </c>
      <c r="W10" s="674">
        <f>'PFC Calculations'!$G8</f>
        <v>0</v>
      </c>
      <c r="X10" s="674">
        <f>'Behaviour Calculations'!$E14</f>
        <v>0</v>
      </c>
      <c r="Y10" s="674">
        <f>'Behaviour Calculations'!$J14</f>
        <v>0</v>
      </c>
      <c r="Z10" s="674">
        <f>'Behaviour Calculations'!$O14</f>
        <v>0</v>
      </c>
      <c r="AA10" s="674">
        <f>'Reduced Power Lighting Calculat'!$H8</f>
        <v>0</v>
      </c>
      <c r="AB10" s="674">
        <f>'Hybrid Lighting Calculations'!H12</f>
        <v>0</v>
      </c>
      <c r="AC10" s="674">
        <f>'PIR Lighting Calculations'!$H8</f>
        <v>0</v>
      </c>
      <c r="AD10" s="674">
        <f>'Water Calculations'!$I8</f>
        <v>0</v>
      </c>
      <c r="AE10" s="674">
        <f>'Additional Initiatives'!$H21</f>
        <v>0</v>
      </c>
      <c r="AF10" s="679">
        <f t="shared" si="11"/>
        <v>0</v>
      </c>
      <c r="AG10" s="679">
        <f>(C10-B10) - (0.13 * 'Data Entry Fuel'!I$3) * (U10+AB10)</f>
        <v>0</v>
      </c>
      <c r="AH10" s="5"/>
      <c r="AI10" s="19">
        <v>1006</v>
      </c>
      <c r="AJ10" s="19">
        <f t="shared" si="12"/>
        <v>2010</v>
      </c>
      <c r="AK10" s="19">
        <f t="shared" si="13"/>
        <v>4</v>
      </c>
      <c r="AL10" s="19">
        <v>6</v>
      </c>
      <c r="AM10" s="697">
        <f t="shared" si="14"/>
        <v>0</v>
      </c>
      <c r="AN10" s="697">
        <f t="shared" si="17"/>
        <v>0</v>
      </c>
      <c r="AO10" s="697">
        <f t="shared" si="18"/>
        <v>0</v>
      </c>
      <c r="AP10" s="697">
        <f>IF(AP$4='Additional Initiatives'!$B$163,'Additional Initiatives'!$B169,IF(AP$4='Additional Initiatives'!$C$163,'Additional Initiatives'!$C169,IF(AP$4='Additional Initiatives'!$D$163,'Additional Initiatives'!$D169,IF(AP$4='Additional Initiatives'!$E$163,'Additional Initiatives'!$E169,IF(AP$4='Additional Initiatives'!$F$163,'Additional Initiatives'!$F169,0)))))+AP9</f>
        <v>0</v>
      </c>
      <c r="AQ10" s="697">
        <f>IF(AQ$4='Additional Initiatives'!$B$163,'Additional Initiatives'!$B169,IF(AQ$4='Additional Initiatives'!$C$163,'Additional Initiatives'!$C169,IF(AQ$4='Additional Initiatives'!$D$163,'Additional Initiatives'!$D169,IF(AQ$4='Additional Initiatives'!$E$163,'Additional Initiatives'!$E169,IF(AQ$4='Additional Initiatives'!$F$163,'Additional Initiatives'!$F169,0)))))+AQ9</f>
        <v>0</v>
      </c>
      <c r="AR10" s="697">
        <f>IF(AR$4='Additional Initiatives'!$B$163,'Additional Initiatives'!$B169,IF(AR$4='Additional Initiatives'!$C$163,'Additional Initiatives'!$C169,IF(AR$4='Additional Initiatives'!$D$163,'Additional Initiatives'!$D169,IF(AR$4='Additional Initiatives'!$E$163,'Additional Initiatives'!$E169,IF(AR$4='Additional Initiatives'!$F$163,'Additional Initiatives'!$F169,0)))))+AR9</f>
        <v>0</v>
      </c>
      <c r="AS10" s="697">
        <f t="shared" si="19"/>
        <v>0</v>
      </c>
      <c r="AT10" s="696">
        <f t="shared" si="15"/>
        <v>0</v>
      </c>
      <c r="AU10" s="696">
        <f t="shared" si="20"/>
        <v>0</v>
      </c>
      <c r="AV10" s="696">
        <f t="shared" si="21"/>
        <v>0</v>
      </c>
      <c r="AW10" s="696">
        <f t="shared" si="22"/>
        <v>0</v>
      </c>
      <c r="AX10" s="696">
        <f t="shared" si="23"/>
        <v>0</v>
      </c>
      <c r="AY10" s="696">
        <f t="shared" si="24"/>
        <v>0</v>
      </c>
      <c r="AZ10" s="696">
        <f t="shared" si="25"/>
        <v>0</v>
      </c>
      <c r="BA10" s="696">
        <f t="shared" si="26"/>
        <v>0</v>
      </c>
      <c r="BB10" s="696">
        <f t="shared" si="27"/>
        <v>0</v>
      </c>
      <c r="BC10" s="696">
        <f>IF(BC$4='Additional Initiatives'!$B$163,'Additional Initiatives'!$B169,IF(BC$4='Additional Initiatives'!$C$163,'Additional Initiatives'!$C169,IF(BC$4='Additional Initiatives'!$D$163,'Additional Initiatives'!$D169,IF(BC$4='Additional Initiatives'!$E$163,'Additional Initiatives'!$E169,IF(BC$4='Additional Initiatives'!$F$163,'Additional Initiatives'!$F169,0)))))+BC9</f>
        <v>0</v>
      </c>
      <c r="BD10" s="696">
        <f>IF(BD$4='Additional Initiatives'!$B$163,'Additional Initiatives'!$B169,IF(BD$4='Additional Initiatives'!$C$163,'Additional Initiatives'!$C169,IF(BD$4='Additional Initiatives'!$D$163,'Additional Initiatives'!$D169,IF(BD$4='Additional Initiatives'!$E$163,'Additional Initiatives'!$E169,IF(BD$4='Additional Initiatives'!$F$163,'Additional Initiatives'!$F169,0)))))+BD9</f>
        <v>0</v>
      </c>
      <c r="BE10" s="696">
        <f>IF(BE$4='Additional Initiatives'!$B$163,'Additional Initiatives'!$B169,IF(BE$4='Additional Initiatives'!$C$163,'Additional Initiatives'!$C169,IF(BE$4='Additional Initiatives'!$D$163,'Additional Initiatives'!$D169,IF(BE$4='Additional Initiatives'!$E$163,'Additional Initiatives'!$E169,IF(BE$4='Additional Initiatives'!$F$163,'Additional Initiatives'!$F169,0)))))+BE9</f>
        <v>0</v>
      </c>
      <c r="BF10" s="696">
        <f t="shared" si="28"/>
        <v>0</v>
      </c>
    </row>
    <row r="11" spans="1:58">
      <c r="A11" s="21" t="s">
        <v>37</v>
      </c>
      <c r="B11" s="672">
        <f>'Data Entry Fuel'!B10*'Data Entry Fuel'!B162
+'Data Entry Fuel'!C10*'Data Entry Fuel'!C162
+'Data Entry Fuel'!D10*'Data Entry Fuel'!D162
+'Data Entry Fuel'!E10*'Data Entry Fuel'!E162
+'Data Entry Fuel'!F10*'Data Entry Fuel'!F162
+'Data Entry Fuel'!G10*'Data Entry Fuel'!G162
+'Data Entry Fuel'!H10*'Data Entry Fuel'!H162
+'Data Entry Fuel'!I10*'Data Entry Fuel'!I162
+'Data Entry Fuel'!J10*'Data Entry Fuel'!J162</f>
        <v>0</v>
      </c>
      <c r="C11" s="672">
        <f>'Data Entry Fuel'!B10*'Data Entry Fuel'!B162
+'Data Entry Fuel'!C10*'Data Entry Fuel'!C162
+'Data Entry Fuel'!D10*'Data Entry Fuel'!D162
+'Data Entry Fuel'!E10*'Data Entry Fuel'!E162
+'Data Entry Fuel'!F10*'Data Entry Fuel'!F162
+'Data Entry Fuel'!G10*'Data Entry Fuel'!G162
+'Data Entry Fuel'!H10*'Data Entry Fuel'!H162
+'Data Entry Fuel'!I10*'Data Entry Fuel'!C162 *   (1 -  0.13 * 'Data Entry Fuel'!I$3)
+'Data Entry Fuel'!J10*'Data Entry Fuel'!J162</f>
        <v>0</v>
      </c>
      <c r="D11" s="677">
        <f>'Data Entry Electricity'!B10*'Data Entry Electricity'!L10+'Data Entry Electricity'!C10*'Data Entry Electricity'!M10+'Data Entry Electricity'!D10*'Data Entry Electricity'!N10+'Data Entry Electricity'!E10*'Data Entry Electricity'!O10</f>
        <v>0</v>
      </c>
      <c r="E11" s="776">
        <f>'Data Entry Electricity'!B10*'Data Entry Electricity'!L10+'Data Entry Electricity'!C10*'Data Entry Electricity'!L10+'Data Entry Electricity'!D10*'Data Entry Electricity'!N10+'Data Entry Electricity'!E10*'Data Entry Electricity'!O10</f>
        <v>0</v>
      </c>
      <c r="F11" s="777">
        <f>(SUM('Fuel Equipment Savings Calculat'!$B8:$S8))+(SUM('Efficient Site Offices DD &amp; Cal'!$B44:$F44))+'PFC Calculations'!$G9+(SUM('Behaviour Calculations'!$E15,'Behaviour Calculations'!$J15,'Behaviour Calculations'!$O15))+(SUM('Reduced Power Lighting Calculat'!$B9:$F9)+SUM('Hybrid Lighting Calculations'!$B13:$F13)+('PIR Lighting Calculations'!$H9)+SUM('Water Calculations'!$B9:$G9)+'Additional Initiatives'!$H22)</f>
        <v>0</v>
      </c>
      <c r="G11" s="778">
        <f t="shared" si="0"/>
        <v>0</v>
      </c>
      <c r="H11" s="778">
        <f t="shared" si="5"/>
        <v>0</v>
      </c>
      <c r="I11" s="778">
        <f t="shared" si="1"/>
        <v>0</v>
      </c>
      <c r="J11" s="798">
        <f t="shared" si="6"/>
        <v>0</v>
      </c>
      <c r="K11" s="779">
        <f t="shared" si="7"/>
        <v>0</v>
      </c>
      <c r="L11" s="780">
        <f t="shared" si="2"/>
        <v>0</v>
      </c>
      <c r="M11" s="780">
        <f t="shared" si="3"/>
        <v>0</v>
      </c>
      <c r="N11" s="781">
        <f t="shared" si="4"/>
        <v>0</v>
      </c>
      <c r="O11" s="781">
        <f t="shared" si="16"/>
        <v>0</v>
      </c>
      <c r="Q11" s="683">
        <f t="shared" si="8"/>
        <v>0</v>
      </c>
      <c r="R11" s="683">
        <f t="shared" si="9"/>
        <v>0</v>
      </c>
      <c r="T11" s="673">
        <f t="shared" si="10"/>
        <v>0</v>
      </c>
      <c r="U11" s="674">
        <f>'Fuel Equipment Savings Calculat'!$V8</f>
        <v>0</v>
      </c>
      <c r="V11" s="674">
        <f>'Efficient Site Offices DD &amp; Cal'!$H44</f>
        <v>0</v>
      </c>
      <c r="W11" s="674">
        <f>'PFC Calculations'!$G9</f>
        <v>0</v>
      </c>
      <c r="X11" s="674">
        <f>'Behaviour Calculations'!$E15</f>
        <v>0</v>
      </c>
      <c r="Y11" s="674">
        <f>'Behaviour Calculations'!$J15</f>
        <v>0</v>
      </c>
      <c r="Z11" s="674">
        <f>'Behaviour Calculations'!$O15</f>
        <v>0</v>
      </c>
      <c r="AA11" s="674">
        <f>'Reduced Power Lighting Calculat'!$H9</f>
        <v>0</v>
      </c>
      <c r="AB11" s="674">
        <f>'Hybrid Lighting Calculations'!H13</f>
        <v>0</v>
      </c>
      <c r="AC11" s="674">
        <f>'PIR Lighting Calculations'!$H9</f>
        <v>0</v>
      </c>
      <c r="AD11" s="674">
        <f>'Water Calculations'!$I9</f>
        <v>0</v>
      </c>
      <c r="AE11" s="674">
        <f>'Additional Initiatives'!$H22</f>
        <v>0</v>
      </c>
      <c r="AF11" s="679">
        <f t="shared" si="11"/>
        <v>0</v>
      </c>
      <c r="AG11" s="679">
        <f>(C11-B11) - (0.13 * 'Data Entry Fuel'!I$3) * (U11+AB11)</f>
        <v>0</v>
      </c>
      <c r="AH11" s="5"/>
      <c r="AI11" s="19">
        <v>1007</v>
      </c>
      <c r="AJ11" s="19">
        <f t="shared" si="12"/>
        <v>2010</v>
      </c>
      <c r="AK11" s="19">
        <f t="shared" si="13"/>
        <v>4</v>
      </c>
      <c r="AL11" s="19">
        <v>7</v>
      </c>
      <c r="AM11" s="697">
        <f t="shared" si="14"/>
        <v>0</v>
      </c>
      <c r="AN11" s="697">
        <f t="shared" si="17"/>
        <v>0</v>
      </c>
      <c r="AO11" s="697">
        <f t="shared" si="18"/>
        <v>0</v>
      </c>
      <c r="AP11" s="697">
        <f>IF(AP$4='Additional Initiatives'!$B$163,'Additional Initiatives'!$B170,IF(AP$4='Additional Initiatives'!$C$163,'Additional Initiatives'!$C170,IF(AP$4='Additional Initiatives'!$D$163,'Additional Initiatives'!$D170,IF(AP$4='Additional Initiatives'!$E$163,'Additional Initiatives'!$E170,IF(AP$4='Additional Initiatives'!$F$163,'Additional Initiatives'!$F170,0)))))+AP10</f>
        <v>0</v>
      </c>
      <c r="AQ11" s="697">
        <f>IF(AQ$4='Additional Initiatives'!$B$163,'Additional Initiatives'!$B170,IF(AQ$4='Additional Initiatives'!$C$163,'Additional Initiatives'!$C170,IF(AQ$4='Additional Initiatives'!$D$163,'Additional Initiatives'!$D170,IF(AQ$4='Additional Initiatives'!$E$163,'Additional Initiatives'!$E170,IF(AQ$4='Additional Initiatives'!$F$163,'Additional Initiatives'!$F170,0)))))+AQ10</f>
        <v>0</v>
      </c>
      <c r="AR11" s="697">
        <f>IF(AR$4='Additional Initiatives'!$B$163,'Additional Initiatives'!$B170,IF(AR$4='Additional Initiatives'!$C$163,'Additional Initiatives'!$C170,IF(AR$4='Additional Initiatives'!$D$163,'Additional Initiatives'!$D170,IF(AR$4='Additional Initiatives'!$E$163,'Additional Initiatives'!$E170,IF(AR$4='Additional Initiatives'!$F$163,'Additional Initiatives'!$F170,0)))))+AR10</f>
        <v>0</v>
      </c>
      <c r="AS11" s="697">
        <f t="shared" si="19"/>
        <v>0</v>
      </c>
      <c r="AT11" s="696">
        <f t="shared" si="15"/>
        <v>0</v>
      </c>
      <c r="AU11" s="696">
        <f t="shared" si="20"/>
        <v>0</v>
      </c>
      <c r="AV11" s="696">
        <f t="shared" si="21"/>
        <v>0</v>
      </c>
      <c r="AW11" s="696">
        <f t="shared" si="22"/>
        <v>0</v>
      </c>
      <c r="AX11" s="696">
        <f t="shared" si="23"/>
        <v>0</v>
      </c>
      <c r="AY11" s="696">
        <f t="shared" si="24"/>
        <v>0</v>
      </c>
      <c r="AZ11" s="696">
        <f t="shared" si="25"/>
        <v>0</v>
      </c>
      <c r="BA11" s="696">
        <f t="shared" si="26"/>
        <v>0</v>
      </c>
      <c r="BB11" s="696">
        <f t="shared" si="27"/>
        <v>0</v>
      </c>
      <c r="BC11" s="696">
        <f>IF(BC$4='Additional Initiatives'!$B$163,'Additional Initiatives'!$B170,IF(BC$4='Additional Initiatives'!$C$163,'Additional Initiatives'!$C170,IF(BC$4='Additional Initiatives'!$D$163,'Additional Initiatives'!$D170,IF(BC$4='Additional Initiatives'!$E$163,'Additional Initiatives'!$E170,IF(BC$4='Additional Initiatives'!$F$163,'Additional Initiatives'!$F170,0)))))+BC10</f>
        <v>0</v>
      </c>
      <c r="BD11" s="696">
        <f>IF(BD$4='Additional Initiatives'!$B$163,'Additional Initiatives'!$B170,IF(BD$4='Additional Initiatives'!$C$163,'Additional Initiatives'!$C170,IF(BD$4='Additional Initiatives'!$D$163,'Additional Initiatives'!$D170,IF(BD$4='Additional Initiatives'!$E$163,'Additional Initiatives'!$E170,IF(BD$4='Additional Initiatives'!$F$163,'Additional Initiatives'!$F170,0)))))+BD10</f>
        <v>0</v>
      </c>
      <c r="BE11" s="696">
        <f>IF(BE$4='Additional Initiatives'!$B$163,'Additional Initiatives'!$B170,IF(BE$4='Additional Initiatives'!$C$163,'Additional Initiatives'!$C170,IF(BE$4='Additional Initiatives'!$D$163,'Additional Initiatives'!$D170,IF(BE$4='Additional Initiatives'!$E$163,'Additional Initiatives'!$E170,IF(BE$4='Additional Initiatives'!$F$163,'Additional Initiatives'!$F170,0)))))+BE10</f>
        <v>0</v>
      </c>
      <c r="BF11" s="696">
        <f t="shared" si="28"/>
        <v>0</v>
      </c>
    </row>
    <row r="12" spans="1:58">
      <c r="A12" s="21" t="s">
        <v>38</v>
      </c>
      <c r="B12" s="672">
        <f>'Data Entry Fuel'!B11*'Data Entry Fuel'!B163
+'Data Entry Fuel'!C11*'Data Entry Fuel'!C163
+'Data Entry Fuel'!D11*'Data Entry Fuel'!D163
+'Data Entry Fuel'!E11*'Data Entry Fuel'!E163
+'Data Entry Fuel'!F11*'Data Entry Fuel'!F163
+'Data Entry Fuel'!G11*'Data Entry Fuel'!G163
+'Data Entry Fuel'!H11*'Data Entry Fuel'!H163
+'Data Entry Fuel'!I11*'Data Entry Fuel'!I163
+'Data Entry Fuel'!J11*'Data Entry Fuel'!J163</f>
        <v>0</v>
      </c>
      <c r="C12" s="672">
        <f>'Data Entry Fuel'!B11*'Data Entry Fuel'!B163
+'Data Entry Fuel'!C11*'Data Entry Fuel'!C163
+'Data Entry Fuel'!D11*'Data Entry Fuel'!D163
+'Data Entry Fuel'!E11*'Data Entry Fuel'!E163
+'Data Entry Fuel'!F11*'Data Entry Fuel'!F163
+'Data Entry Fuel'!G11*'Data Entry Fuel'!G163
+'Data Entry Fuel'!H11*'Data Entry Fuel'!H163
+'Data Entry Fuel'!I11*'Data Entry Fuel'!C163 *   (1 -  0.13 * 'Data Entry Fuel'!I$3)
+'Data Entry Fuel'!J11*'Data Entry Fuel'!J163</f>
        <v>0</v>
      </c>
      <c r="D12" s="677">
        <f>'Data Entry Electricity'!B11*'Data Entry Electricity'!L11+'Data Entry Electricity'!C11*'Data Entry Electricity'!M11+'Data Entry Electricity'!D11*'Data Entry Electricity'!N11+'Data Entry Electricity'!E11*'Data Entry Electricity'!O11</f>
        <v>0</v>
      </c>
      <c r="E12" s="776">
        <f>'Data Entry Electricity'!B11*'Data Entry Electricity'!L11+'Data Entry Electricity'!C11*'Data Entry Electricity'!L11+'Data Entry Electricity'!D11*'Data Entry Electricity'!N11+'Data Entry Electricity'!E11*'Data Entry Electricity'!O11</f>
        <v>0</v>
      </c>
      <c r="F12" s="777">
        <f>(SUM('Fuel Equipment Savings Calculat'!$B9:$S9))+(SUM('Efficient Site Offices DD &amp; Cal'!$B45:$F45))+'PFC Calculations'!$G10+(SUM('Behaviour Calculations'!$E16,'Behaviour Calculations'!$J16,'Behaviour Calculations'!$O16))+(SUM('Reduced Power Lighting Calculat'!$B10:$F10)+SUM('Hybrid Lighting Calculations'!$B14:$F14)+('PIR Lighting Calculations'!$H10)+SUM('Water Calculations'!$B10:$G10)+'Additional Initiatives'!$H23)</f>
        <v>0</v>
      </c>
      <c r="G12" s="778">
        <f t="shared" si="0"/>
        <v>0</v>
      </c>
      <c r="H12" s="778">
        <f t="shared" si="5"/>
        <v>0</v>
      </c>
      <c r="I12" s="778">
        <f t="shared" si="1"/>
        <v>0</v>
      </c>
      <c r="J12" s="798">
        <f t="shared" si="6"/>
        <v>0</v>
      </c>
      <c r="K12" s="779">
        <f t="shared" si="7"/>
        <v>0</v>
      </c>
      <c r="L12" s="780">
        <f t="shared" si="2"/>
        <v>0</v>
      </c>
      <c r="M12" s="780">
        <f t="shared" si="3"/>
        <v>0</v>
      </c>
      <c r="N12" s="781">
        <f t="shared" si="4"/>
        <v>0</v>
      </c>
      <c r="O12" s="781">
        <f t="shared" si="16"/>
        <v>0</v>
      </c>
      <c r="Q12" s="683">
        <f t="shared" si="8"/>
        <v>0</v>
      </c>
      <c r="R12" s="683">
        <f t="shared" si="9"/>
        <v>0</v>
      </c>
      <c r="T12" s="673">
        <f t="shared" si="10"/>
        <v>0</v>
      </c>
      <c r="U12" s="674">
        <f>'Fuel Equipment Savings Calculat'!$V9</f>
        <v>0</v>
      </c>
      <c r="V12" s="674">
        <f>'Efficient Site Offices DD &amp; Cal'!$H45</f>
        <v>0</v>
      </c>
      <c r="W12" s="674">
        <f>'PFC Calculations'!$G10</f>
        <v>0</v>
      </c>
      <c r="X12" s="674">
        <f>'Behaviour Calculations'!$E16</f>
        <v>0</v>
      </c>
      <c r="Y12" s="674">
        <f>'Behaviour Calculations'!$J16</f>
        <v>0</v>
      </c>
      <c r="Z12" s="674">
        <f>'Behaviour Calculations'!$O16</f>
        <v>0</v>
      </c>
      <c r="AA12" s="674">
        <f>'Reduced Power Lighting Calculat'!$H10</f>
        <v>0</v>
      </c>
      <c r="AB12" s="674">
        <f>'Hybrid Lighting Calculations'!H14</f>
        <v>0</v>
      </c>
      <c r="AC12" s="674">
        <f>'PIR Lighting Calculations'!$H10</f>
        <v>0</v>
      </c>
      <c r="AD12" s="674">
        <f>'Water Calculations'!$I10</f>
        <v>0</v>
      </c>
      <c r="AE12" s="674">
        <f>'Additional Initiatives'!$H23</f>
        <v>0</v>
      </c>
      <c r="AF12" s="679">
        <f t="shared" si="11"/>
        <v>0</v>
      </c>
      <c r="AG12" s="679">
        <f>(C12-B12) - (0.13 * 'Data Entry Fuel'!I$3) * (U12+AB12)</f>
        <v>0</v>
      </c>
      <c r="AH12" s="5"/>
      <c r="AI12" s="19">
        <v>1008</v>
      </c>
      <c r="AJ12" s="19">
        <f t="shared" si="12"/>
        <v>2010</v>
      </c>
      <c r="AK12" s="19">
        <f t="shared" si="13"/>
        <v>4</v>
      </c>
      <c r="AL12" s="19">
        <v>8</v>
      </c>
      <c r="AM12" s="697">
        <f t="shared" si="14"/>
        <v>0</v>
      </c>
      <c r="AN12" s="697">
        <f t="shared" si="17"/>
        <v>0</v>
      </c>
      <c r="AO12" s="697">
        <f t="shared" si="18"/>
        <v>0</v>
      </c>
      <c r="AP12" s="697">
        <f>IF(AP$4='Additional Initiatives'!$B$163,'Additional Initiatives'!$B171,IF(AP$4='Additional Initiatives'!$C$163,'Additional Initiatives'!$C171,IF(AP$4='Additional Initiatives'!$D$163,'Additional Initiatives'!$D171,IF(AP$4='Additional Initiatives'!$E$163,'Additional Initiatives'!$E171,IF(AP$4='Additional Initiatives'!$F$163,'Additional Initiatives'!$F171,0)))))+AP11</f>
        <v>0</v>
      </c>
      <c r="AQ12" s="697">
        <f>IF(AQ$4='Additional Initiatives'!$B$163,'Additional Initiatives'!$B171,IF(AQ$4='Additional Initiatives'!$C$163,'Additional Initiatives'!$C171,IF(AQ$4='Additional Initiatives'!$D$163,'Additional Initiatives'!$D171,IF(AQ$4='Additional Initiatives'!$E$163,'Additional Initiatives'!$E171,IF(AQ$4='Additional Initiatives'!$F$163,'Additional Initiatives'!$F171,0)))))+AQ11</f>
        <v>0</v>
      </c>
      <c r="AR12" s="697">
        <f>IF(AR$4='Additional Initiatives'!$B$163,'Additional Initiatives'!$B171,IF(AR$4='Additional Initiatives'!$C$163,'Additional Initiatives'!$C171,IF(AR$4='Additional Initiatives'!$D$163,'Additional Initiatives'!$D171,IF(AR$4='Additional Initiatives'!$E$163,'Additional Initiatives'!$E171,IF(AR$4='Additional Initiatives'!$F$163,'Additional Initiatives'!$F171,0)))))+AR11</f>
        <v>0</v>
      </c>
      <c r="AS12" s="697">
        <f t="shared" si="19"/>
        <v>0</v>
      </c>
      <c r="AT12" s="696">
        <f t="shared" si="15"/>
        <v>0</v>
      </c>
      <c r="AU12" s="696">
        <f t="shared" si="20"/>
        <v>0</v>
      </c>
      <c r="AV12" s="696">
        <f t="shared" si="21"/>
        <v>0</v>
      </c>
      <c r="AW12" s="696">
        <f t="shared" si="22"/>
        <v>0</v>
      </c>
      <c r="AX12" s="696">
        <f t="shared" si="23"/>
        <v>0</v>
      </c>
      <c r="AY12" s="696">
        <f t="shared" si="24"/>
        <v>0</v>
      </c>
      <c r="AZ12" s="696">
        <f t="shared" si="25"/>
        <v>0</v>
      </c>
      <c r="BA12" s="696">
        <f t="shared" si="26"/>
        <v>0</v>
      </c>
      <c r="BB12" s="696">
        <f t="shared" si="27"/>
        <v>0</v>
      </c>
      <c r="BC12" s="696">
        <f>IF(BC$4='Additional Initiatives'!$B$163,'Additional Initiatives'!$B171,IF(BC$4='Additional Initiatives'!$C$163,'Additional Initiatives'!$C171,IF(BC$4='Additional Initiatives'!$D$163,'Additional Initiatives'!$D171,IF(BC$4='Additional Initiatives'!$E$163,'Additional Initiatives'!$E171,IF(BC$4='Additional Initiatives'!$F$163,'Additional Initiatives'!$F171,0)))))+BC11</f>
        <v>0</v>
      </c>
      <c r="BD12" s="696">
        <f>IF(BD$4='Additional Initiatives'!$B$163,'Additional Initiatives'!$B171,IF(BD$4='Additional Initiatives'!$C$163,'Additional Initiatives'!$C171,IF(BD$4='Additional Initiatives'!$D$163,'Additional Initiatives'!$D171,IF(BD$4='Additional Initiatives'!$E$163,'Additional Initiatives'!$E171,IF(BD$4='Additional Initiatives'!$F$163,'Additional Initiatives'!$F171,0)))))+BD11</f>
        <v>0</v>
      </c>
      <c r="BE12" s="696">
        <f>IF(BE$4='Additional Initiatives'!$B$163,'Additional Initiatives'!$B171,IF(BE$4='Additional Initiatives'!$C$163,'Additional Initiatives'!$C171,IF(BE$4='Additional Initiatives'!$D$163,'Additional Initiatives'!$D171,IF(BE$4='Additional Initiatives'!$E$163,'Additional Initiatives'!$E171,IF(BE$4='Additional Initiatives'!$F$163,'Additional Initiatives'!$F171,0)))))+BE11</f>
        <v>0</v>
      </c>
      <c r="BF12" s="696">
        <f t="shared" si="28"/>
        <v>0</v>
      </c>
    </row>
    <row r="13" spans="1:58">
      <c r="A13" s="21" t="s">
        <v>39</v>
      </c>
      <c r="B13" s="672">
        <f>'Data Entry Fuel'!B12*'Data Entry Fuel'!B164
+'Data Entry Fuel'!C12*'Data Entry Fuel'!C164
+'Data Entry Fuel'!D12*'Data Entry Fuel'!D164
+'Data Entry Fuel'!E12*'Data Entry Fuel'!E164
+'Data Entry Fuel'!F12*'Data Entry Fuel'!F164
+'Data Entry Fuel'!G12*'Data Entry Fuel'!G164
+'Data Entry Fuel'!H12*'Data Entry Fuel'!H164
+'Data Entry Fuel'!I12*'Data Entry Fuel'!I164
+'Data Entry Fuel'!J12*'Data Entry Fuel'!J164</f>
        <v>0</v>
      </c>
      <c r="C13" s="672">
        <f>'Data Entry Fuel'!B12*'Data Entry Fuel'!B164
+'Data Entry Fuel'!C12*'Data Entry Fuel'!C164
+'Data Entry Fuel'!D12*'Data Entry Fuel'!D164
+'Data Entry Fuel'!E12*'Data Entry Fuel'!E164
+'Data Entry Fuel'!F12*'Data Entry Fuel'!F164
+'Data Entry Fuel'!G12*'Data Entry Fuel'!G164
+'Data Entry Fuel'!H12*'Data Entry Fuel'!H164
+'Data Entry Fuel'!I12*'Data Entry Fuel'!C164 *   (1 -  0.13 * 'Data Entry Fuel'!I$3)
+'Data Entry Fuel'!J12*'Data Entry Fuel'!J164</f>
        <v>0</v>
      </c>
      <c r="D13" s="677">
        <f>'Data Entry Electricity'!B12*'Data Entry Electricity'!L12+'Data Entry Electricity'!C12*'Data Entry Electricity'!M12+'Data Entry Electricity'!D12*'Data Entry Electricity'!N12+'Data Entry Electricity'!E12*'Data Entry Electricity'!O12</f>
        <v>0</v>
      </c>
      <c r="E13" s="776">
        <f>'Data Entry Electricity'!B12*'Data Entry Electricity'!L12+'Data Entry Electricity'!C12*'Data Entry Electricity'!L12+'Data Entry Electricity'!D12*'Data Entry Electricity'!N12+'Data Entry Electricity'!E12*'Data Entry Electricity'!O12</f>
        <v>0</v>
      </c>
      <c r="F13" s="777">
        <f>(SUM('Fuel Equipment Savings Calculat'!$B10:$S10))+(SUM('Efficient Site Offices DD &amp; Cal'!$B46:$F46))+'PFC Calculations'!$G11+(SUM('Behaviour Calculations'!$E17,'Behaviour Calculations'!$J17,'Behaviour Calculations'!$O17))+(SUM('Reduced Power Lighting Calculat'!$B11:$F11)+SUM('Hybrid Lighting Calculations'!$B15:$F15)+('PIR Lighting Calculations'!$H11)+SUM('Water Calculations'!$B11:$G11)+'Additional Initiatives'!$H24)</f>
        <v>0</v>
      </c>
      <c r="G13" s="778">
        <f t="shared" si="0"/>
        <v>0</v>
      </c>
      <c r="H13" s="778">
        <f t="shared" si="5"/>
        <v>0</v>
      </c>
      <c r="I13" s="778">
        <f t="shared" si="1"/>
        <v>0</v>
      </c>
      <c r="J13" s="798">
        <f t="shared" si="6"/>
        <v>0</v>
      </c>
      <c r="K13" s="779">
        <f t="shared" si="7"/>
        <v>0</v>
      </c>
      <c r="L13" s="780">
        <f t="shared" si="2"/>
        <v>0</v>
      </c>
      <c r="M13" s="780">
        <f t="shared" si="3"/>
        <v>0</v>
      </c>
      <c r="N13" s="781">
        <f t="shared" si="4"/>
        <v>0</v>
      </c>
      <c r="O13" s="781">
        <f t="shared" si="16"/>
        <v>0</v>
      </c>
      <c r="Q13" s="683">
        <f t="shared" si="8"/>
        <v>0</v>
      </c>
      <c r="R13" s="683">
        <f t="shared" si="9"/>
        <v>0</v>
      </c>
      <c r="T13" s="673">
        <f t="shared" si="10"/>
        <v>0</v>
      </c>
      <c r="U13" s="674">
        <f>'Fuel Equipment Savings Calculat'!$V10</f>
        <v>0</v>
      </c>
      <c r="V13" s="674">
        <f>'Efficient Site Offices DD &amp; Cal'!$H46</f>
        <v>0</v>
      </c>
      <c r="W13" s="674">
        <f>'PFC Calculations'!$G11</f>
        <v>0</v>
      </c>
      <c r="X13" s="674">
        <f>'Behaviour Calculations'!$E17</f>
        <v>0</v>
      </c>
      <c r="Y13" s="674">
        <f>'Behaviour Calculations'!$J17</f>
        <v>0</v>
      </c>
      <c r="Z13" s="674">
        <f>'Behaviour Calculations'!$O17</f>
        <v>0</v>
      </c>
      <c r="AA13" s="674">
        <f>'Reduced Power Lighting Calculat'!$H11</f>
        <v>0</v>
      </c>
      <c r="AB13" s="674">
        <f>'Hybrid Lighting Calculations'!H15</f>
        <v>0</v>
      </c>
      <c r="AC13" s="674">
        <f>'PIR Lighting Calculations'!$H11</f>
        <v>0</v>
      </c>
      <c r="AD13" s="674">
        <f>'Water Calculations'!$I11</f>
        <v>0</v>
      </c>
      <c r="AE13" s="674">
        <f>'Additional Initiatives'!$H24</f>
        <v>0</v>
      </c>
      <c r="AF13" s="679">
        <f t="shared" si="11"/>
        <v>0</v>
      </c>
      <c r="AG13" s="679">
        <f>(C13-B13) - (0.13 * 'Data Entry Fuel'!I$3) * (U13+AB13)</f>
        <v>0</v>
      </c>
      <c r="AH13" s="5"/>
      <c r="AI13" s="19">
        <v>1009</v>
      </c>
      <c r="AJ13" s="19">
        <f t="shared" si="12"/>
        <v>2010</v>
      </c>
      <c r="AK13" s="19">
        <f t="shared" si="13"/>
        <v>4</v>
      </c>
      <c r="AL13" s="19">
        <v>9</v>
      </c>
      <c r="AM13" s="697">
        <f t="shared" si="14"/>
        <v>0</v>
      </c>
      <c r="AN13" s="697">
        <f t="shared" si="17"/>
        <v>0</v>
      </c>
      <c r="AO13" s="697">
        <f t="shared" si="18"/>
        <v>0</v>
      </c>
      <c r="AP13" s="697">
        <f>IF(AP$4='Additional Initiatives'!$B$163,'Additional Initiatives'!$B172,IF(AP$4='Additional Initiatives'!$C$163,'Additional Initiatives'!$C172,IF(AP$4='Additional Initiatives'!$D$163,'Additional Initiatives'!$D172,IF(AP$4='Additional Initiatives'!$E$163,'Additional Initiatives'!$E172,IF(AP$4='Additional Initiatives'!$F$163,'Additional Initiatives'!$F172,0)))))+AP12</f>
        <v>0</v>
      </c>
      <c r="AQ13" s="697">
        <f>IF(AQ$4='Additional Initiatives'!$B$163,'Additional Initiatives'!$B172,IF(AQ$4='Additional Initiatives'!$C$163,'Additional Initiatives'!$C172,IF(AQ$4='Additional Initiatives'!$D$163,'Additional Initiatives'!$D172,IF(AQ$4='Additional Initiatives'!$E$163,'Additional Initiatives'!$E172,IF(AQ$4='Additional Initiatives'!$F$163,'Additional Initiatives'!$F172,0)))))+AQ12</f>
        <v>0</v>
      </c>
      <c r="AR13" s="697">
        <f>IF(AR$4='Additional Initiatives'!$B$163,'Additional Initiatives'!$B172,IF(AR$4='Additional Initiatives'!$C$163,'Additional Initiatives'!$C172,IF(AR$4='Additional Initiatives'!$D$163,'Additional Initiatives'!$D172,IF(AR$4='Additional Initiatives'!$E$163,'Additional Initiatives'!$E172,IF(AR$4='Additional Initiatives'!$F$163,'Additional Initiatives'!$F172,0)))))+AR12</f>
        <v>0</v>
      </c>
      <c r="AS13" s="697">
        <f t="shared" si="19"/>
        <v>0</v>
      </c>
      <c r="AT13" s="696">
        <f t="shared" si="15"/>
        <v>0</v>
      </c>
      <c r="AU13" s="696">
        <f t="shared" si="20"/>
        <v>0</v>
      </c>
      <c r="AV13" s="696">
        <f t="shared" si="21"/>
        <v>0</v>
      </c>
      <c r="AW13" s="696">
        <f t="shared" si="22"/>
        <v>0</v>
      </c>
      <c r="AX13" s="696">
        <f t="shared" si="23"/>
        <v>0</v>
      </c>
      <c r="AY13" s="696">
        <f t="shared" si="24"/>
        <v>0</v>
      </c>
      <c r="AZ13" s="696">
        <f t="shared" si="25"/>
        <v>0</v>
      </c>
      <c r="BA13" s="696">
        <f t="shared" si="26"/>
        <v>0</v>
      </c>
      <c r="BB13" s="696">
        <f t="shared" si="27"/>
        <v>0</v>
      </c>
      <c r="BC13" s="696">
        <f>IF(BC$4='Additional Initiatives'!$B$163,'Additional Initiatives'!$B172,IF(BC$4='Additional Initiatives'!$C$163,'Additional Initiatives'!$C172,IF(BC$4='Additional Initiatives'!$D$163,'Additional Initiatives'!$D172,IF(BC$4='Additional Initiatives'!$E$163,'Additional Initiatives'!$E172,IF(BC$4='Additional Initiatives'!$F$163,'Additional Initiatives'!$F172,0)))))+BC12</f>
        <v>0</v>
      </c>
      <c r="BD13" s="696">
        <f>IF(BD$4='Additional Initiatives'!$B$163,'Additional Initiatives'!$B172,IF(BD$4='Additional Initiatives'!$C$163,'Additional Initiatives'!$C172,IF(BD$4='Additional Initiatives'!$D$163,'Additional Initiatives'!$D172,IF(BD$4='Additional Initiatives'!$E$163,'Additional Initiatives'!$E172,IF(BD$4='Additional Initiatives'!$F$163,'Additional Initiatives'!$F172,0)))))+BD12</f>
        <v>0</v>
      </c>
      <c r="BE13" s="696">
        <f>IF(BE$4='Additional Initiatives'!$B$163,'Additional Initiatives'!$B172,IF(BE$4='Additional Initiatives'!$C$163,'Additional Initiatives'!$C172,IF(BE$4='Additional Initiatives'!$D$163,'Additional Initiatives'!$D172,IF(BE$4='Additional Initiatives'!$E$163,'Additional Initiatives'!$E172,IF(BE$4='Additional Initiatives'!$F$163,'Additional Initiatives'!$F172,0)))))+BE12</f>
        <v>0</v>
      </c>
      <c r="BF13" s="696">
        <f t="shared" si="28"/>
        <v>0</v>
      </c>
    </row>
    <row r="14" spans="1:58">
      <c r="A14" s="21" t="s">
        <v>25</v>
      </c>
      <c r="B14" s="672">
        <f>'Data Entry Fuel'!B13*'Data Entry Fuel'!B165
+'Data Entry Fuel'!C13*'Data Entry Fuel'!C165
+'Data Entry Fuel'!D13*'Data Entry Fuel'!D165
+'Data Entry Fuel'!E13*'Data Entry Fuel'!E165
+'Data Entry Fuel'!F13*'Data Entry Fuel'!F165
+'Data Entry Fuel'!G13*'Data Entry Fuel'!G165
+'Data Entry Fuel'!H13*'Data Entry Fuel'!H165
+'Data Entry Fuel'!I13*'Data Entry Fuel'!I165
+'Data Entry Fuel'!J13*'Data Entry Fuel'!J165</f>
        <v>0</v>
      </c>
      <c r="C14" s="672">
        <f>'Data Entry Fuel'!B13*'Data Entry Fuel'!B165
+'Data Entry Fuel'!C13*'Data Entry Fuel'!C165
+'Data Entry Fuel'!D13*'Data Entry Fuel'!D165
+'Data Entry Fuel'!E13*'Data Entry Fuel'!E165
+'Data Entry Fuel'!F13*'Data Entry Fuel'!F165
+'Data Entry Fuel'!G13*'Data Entry Fuel'!G165
+'Data Entry Fuel'!H13*'Data Entry Fuel'!H165
+'Data Entry Fuel'!I13*'Data Entry Fuel'!C165 *   (1 -  0.13 * 'Data Entry Fuel'!I$3)
+'Data Entry Fuel'!J13*'Data Entry Fuel'!J165</f>
        <v>0</v>
      </c>
      <c r="D14" s="677">
        <f>'Data Entry Electricity'!B13*'Data Entry Electricity'!L13+'Data Entry Electricity'!C13*'Data Entry Electricity'!M13+'Data Entry Electricity'!D13*'Data Entry Electricity'!N13+'Data Entry Electricity'!E13*'Data Entry Electricity'!O13</f>
        <v>0</v>
      </c>
      <c r="E14" s="776">
        <f>'Data Entry Electricity'!B13*'Data Entry Electricity'!L13+'Data Entry Electricity'!C13*'Data Entry Electricity'!L13+'Data Entry Electricity'!D13*'Data Entry Electricity'!N13+'Data Entry Electricity'!E13*'Data Entry Electricity'!O13</f>
        <v>0</v>
      </c>
      <c r="F14" s="777">
        <f>(SUM('Fuel Equipment Savings Calculat'!$B11:$S11))+(SUM('Efficient Site Offices DD &amp; Cal'!$B47:$F47))+'PFC Calculations'!$G12+(SUM('Behaviour Calculations'!$E18,'Behaviour Calculations'!$J18,'Behaviour Calculations'!$O18))+(SUM('Reduced Power Lighting Calculat'!$B12:$F12)+SUM('Hybrid Lighting Calculations'!$B16:$F16)+('PIR Lighting Calculations'!$H12)+SUM('Water Calculations'!$B12:$G12)+'Additional Initiatives'!$H25)</f>
        <v>0</v>
      </c>
      <c r="G14" s="778">
        <f t="shared" si="0"/>
        <v>0</v>
      </c>
      <c r="H14" s="778">
        <f t="shared" si="5"/>
        <v>0</v>
      </c>
      <c r="I14" s="778">
        <f t="shared" si="1"/>
        <v>0</v>
      </c>
      <c r="J14" s="798">
        <f t="shared" si="6"/>
        <v>0</v>
      </c>
      <c r="K14" s="779">
        <f t="shared" si="7"/>
        <v>0</v>
      </c>
      <c r="L14" s="780">
        <f t="shared" si="2"/>
        <v>0</v>
      </c>
      <c r="M14" s="780">
        <f t="shared" si="3"/>
        <v>0</v>
      </c>
      <c r="N14" s="781">
        <f t="shared" si="4"/>
        <v>0</v>
      </c>
      <c r="O14" s="781">
        <f t="shared" si="16"/>
        <v>0</v>
      </c>
      <c r="Q14" s="683">
        <f t="shared" si="8"/>
        <v>0</v>
      </c>
      <c r="R14" s="683">
        <f t="shared" si="9"/>
        <v>0</v>
      </c>
      <c r="T14" s="673">
        <f t="shared" si="10"/>
        <v>0</v>
      </c>
      <c r="U14" s="674">
        <f>'Fuel Equipment Savings Calculat'!$V11</f>
        <v>0</v>
      </c>
      <c r="V14" s="674">
        <f>'Efficient Site Offices DD &amp; Cal'!$H47</f>
        <v>0</v>
      </c>
      <c r="W14" s="674">
        <f>'PFC Calculations'!$G12</f>
        <v>0</v>
      </c>
      <c r="X14" s="674">
        <f>'Behaviour Calculations'!$E18</f>
        <v>0</v>
      </c>
      <c r="Y14" s="674">
        <f>'Behaviour Calculations'!$J18</f>
        <v>0</v>
      </c>
      <c r="Z14" s="674">
        <f>'Behaviour Calculations'!$O18</f>
        <v>0</v>
      </c>
      <c r="AA14" s="674">
        <f>'Reduced Power Lighting Calculat'!$H12</f>
        <v>0</v>
      </c>
      <c r="AB14" s="674">
        <f>'Hybrid Lighting Calculations'!H16</f>
        <v>0</v>
      </c>
      <c r="AC14" s="674">
        <f>'PIR Lighting Calculations'!$H12</f>
        <v>0</v>
      </c>
      <c r="AD14" s="674">
        <f>'Water Calculations'!$I12</f>
        <v>0</v>
      </c>
      <c r="AE14" s="674">
        <f>'Additional Initiatives'!$H25</f>
        <v>0</v>
      </c>
      <c r="AF14" s="679">
        <f t="shared" si="11"/>
        <v>0</v>
      </c>
      <c r="AG14" s="679">
        <f>(C14-B14) - (0.13 * 'Data Entry Fuel'!I$3) * (U14+AB14)</f>
        <v>0</v>
      </c>
      <c r="AH14" s="5"/>
      <c r="AI14" s="19">
        <v>1010</v>
      </c>
      <c r="AJ14" s="19">
        <f t="shared" si="12"/>
        <v>2010</v>
      </c>
      <c r="AK14" s="19">
        <f t="shared" si="13"/>
        <v>4</v>
      </c>
      <c r="AL14" s="19">
        <v>10</v>
      </c>
      <c r="AM14" s="697">
        <f t="shared" si="14"/>
        <v>0</v>
      </c>
      <c r="AN14" s="697">
        <f t="shared" si="17"/>
        <v>0</v>
      </c>
      <c r="AO14" s="697">
        <f t="shared" si="18"/>
        <v>0</v>
      </c>
      <c r="AP14" s="697">
        <f>IF(AP$4='Additional Initiatives'!$B$163,'Additional Initiatives'!$B173,IF(AP$4='Additional Initiatives'!$C$163,'Additional Initiatives'!$C173,IF(AP$4='Additional Initiatives'!$D$163,'Additional Initiatives'!$D173,IF(AP$4='Additional Initiatives'!$E$163,'Additional Initiatives'!$E173,IF(AP$4='Additional Initiatives'!$F$163,'Additional Initiatives'!$F173,0)))))+AP13</f>
        <v>0</v>
      </c>
      <c r="AQ14" s="697">
        <f>IF(AQ$4='Additional Initiatives'!$B$163,'Additional Initiatives'!$B173,IF(AQ$4='Additional Initiatives'!$C$163,'Additional Initiatives'!$C173,IF(AQ$4='Additional Initiatives'!$D$163,'Additional Initiatives'!$D173,IF(AQ$4='Additional Initiatives'!$E$163,'Additional Initiatives'!$E173,IF(AQ$4='Additional Initiatives'!$F$163,'Additional Initiatives'!$F173,0)))))+AQ13</f>
        <v>0</v>
      </c>
      <c r="AR14" s="697">
        <f>IF(AR$4='Additional Initiatives'!$B$163,'Additional Initiatives'!$B173,IF(AR$4='Additional Initiatives'!$C$163,'Additional Initiatives'!$C173,IF(AR$4='Additional Initiatives'!$D$163,'Additional Initiatives'!$D173,IF(AR$4='Additional Initiatives'!$E$163,'Additional Initiatives'!$E173,IF(AR$4='Additional Initiatives'!$F$163,'Additional Initiatives'!$F173,0)))))+AR13</f>
        <v>0</v>
      </c>
      <c r="AS14" s="697">
        <f t="shared" si="19"/>
        <v>0</v>
      </c>
      <c r="AT14" s="696">
        <f t="shared" si="15"/>
        <v>0</v>
      </c>
      <c r="AU14" s="696">
        <f t="shared" si="20"/>
        <v>0</v>
      </c>
      <c r="AV14" s="696">
        <f t="shared" si="21"/>
        <v>0</v>
      </c>
      <c r="AW14" s="696">
        <f t="shared" si="22"/>
        <v>0</v>
      </c>
      <c r="AX14" s="696">
        <f t="shared" si="23"/>
        <v>0</v>
      </c>
      <c r="AY14" s="696">
        <f t="shared" si="24"/>
        <v>0</v>
      </c>
      <c r="AZ14" s="696">
        <f t="shared" si="25"/>
        <v>0</v>
      </c>
      <c r="BA14" s="696">
        <f t="shared" si="26"/>
        <v>0</v>
      </c>
      <c r="BB14" s="696">
        <f t="shared" si="27"/>
        <v>0</v>
      </c>
      <c r="BC14" s="696">
        <f>IF(BC$4='Additional Initiatives'!$B$163,'Additional Initiatives'!$B173,IF(BC$4='Additional Initiatives'!$C$163,'Additional Initiatives'!$C173,IF(BC$4='Additional Initiatives'!$D$163,'Additional Initiatives'!$D173,IF(BC$4='Additional Initiatives'!$E$163,'Additional Initiatives'!$E173,IF(BC$4='Additional Initiatives'!$F$163,'Additional Initiatives'!$F173,0)))))+BC13</f>
        <v>0</v>
      </c>
      <c r="BD14" s="696">
        <f>IF(BD$4='Additional Initiatives'!$B$163,'Additional Initiatives'!$B173,IF(BD$4='Additional Initiatives'!$C$163,'Additional Initiatives'!$C173,IF(BD$4='Additional Initiatives'!$D$163,'Additional Initiatives'!$D173,IF(BD$4='Additional Initiatives'!$E$163,'Additional Initiatives'!$E173,IF(BD$4='Additional Initiatives'!$F$163,'Additional Initiatives'!$F173,0)))))+BD13</f>
        <v>0</v>
      </c>
      <c r="BE14" s="696">
        <f>IF(BE$4='Additional Initiatives'!$B$163,'Additional Initiatives'!$B173,IF(BE$4='Additional Initiatives'!$C$163,'Additional Initiatives'!$C173,IF(BE$4='Additional Initiatives'!$D$163,'Additional Initiatives'!$D173,IF(BE$4='Additional Initiatives'!$E$163,'Additional Initiatives'!$E173,IF(BE$4='Additional Initiatives'!$F$163,'Additional Initiatives'!$F173,0)))))+BE13</f>
        <v>0</v>
      </c>
      <c r="BF14" s="696">
        <f t="shared" si="28"/>
        <v>0</v>
      </c>
    </row>
    <row r="15" spans="1:58">
      <c r="A15" s="21" t="s">
        <v>26</v>
      </c>
      <c r="B15" s="672">
        <f>'Data Entry Fuel'!B14*'Data Entry Fuel'!B166
+'Data Entry Fuel'!C14*'Data Entry Fuel'!C166
+'Data Entry Fuel'!D14*'Data Entry Fuel'!D166
+'Data Entry Fuel'!E14*'Data Entry Fuel'!E166
+'Data Entry Fuel'!F14*'Data Entry Fuel'!F166
+'Data Entry Fuel'!G14*'Data Entry Fuel'!G166
+'Data Entry Fuel'!H14*'Data Entry Fuel'!H166
+'Data Entry Fuel'!I14*'Data Entry Fuel'!I166
+'Data Entry Fuel'!J14*'Data Entry Fuel'!J166</f>
        <v>0</v>
      </c>
      <c r="C15" s="672">
        <f>'Data Entry Fuel'!B14*'Data Entry Fuel'!B166
+'Data Entry Fuel'!C14*'Data Entry Fuel'!C166
+'Data Entry Fuel'!D14*'Data Entry Fuel'!D166
+'Data Entry Fuel'!E14*'Data Entry Fuel'!E166
+'Data Entry Fuel'!F14*'Data Entry Fuel'!F166
+'Data Entry Fuel'!G14*'Data Entry Fuel'!G166
+'Data Entry Fuel'!H14*'Data Entry Fuel'!H166
+'Data Entry Fuel'!I14*'Data Entry Fuel'!C166 *   (1 -  0.13 * 'Data Entry Fuel'!I$3)
+'Data Entry Fuel'!J14*'Data Entry Fuel'!J166</f>
        <v>0</v>
      </c>
      <c r="D15" s="677">
        <f>'Data Entry Electricity'!B14*'Data Entry Electricity'!L14+'Data Entry Electricity'!C14*'Data Entry Electricity'!M14+'Data Entry Electricity'!D14*'Data Entry Electricity'!N14+'Data Entry Electricity'!E14*'Data Entry Electricity'!O14</f>
        <v>0</v>
      </c>
      <c r="E15" s="776">
        <f>'Data Entry Electricity'!B14*'Data Entry Electricity'!L14+'Data Entry Electricity'!C14*'Data Entry Electricity'!L14+'Data Entry Electricity'!D14*'Data Entry Electricity'!N14+'Data Entry Electricity'!E14*'Data Entry Electricity'!O14</f>
        <v>0</v>
      </c>
      <c r="F15" s="777">
        <f>(SUM('Fuel Equipment Savings Calculat'!$B12:$S12))+(SUM('Efficient Site Offices DD &amp; Cal'!$B48:$F48))+'PFC Calculations'!$G13+(SUM('Behaviour Calculations'!$E19,'Behaviour Calculations'!$J19,'Behaviour Calculations'!$O19))+(SUM('Reduced Power Lighting Calculat'!$B13:$F13)+SUM('Hybrid Lighting Calculations'!$B17:$F17)+('PIR Lighting Calculations'!$H13)+SUM('Water Calculations'!$B13:$G13)+'Additional Initiatives'!$H26)</f>
        <v>0</v>
      </c>
      <c r="G15" s="778">
        <f t="shared" si="0"/>
        <v>0</v>
      </c>
      <c r="H15" s="778">
        <f t="shared" si="5"/>
        <v>0</v>
      </c>
      <c r="I15" s="778">
        <f t="shared" si="1"/>
        <v>0</v>
      </c>
      <c r="J15" s="798">
        <f t="shared" si="6"/>
        <v>0</v>
      </c>
      <c r="K15" s="779">
        <f t="shared" si="7"/>
        <v>0</v>
      </c>
      <c r="L15" s="780">
        <f t="shared" si="2"/>
        <v>0</v>
      </c>
      <c r="M15" s="780">
        <f t="shared" si="3"/>
        <v>0</v>
      </c>
      <c r="N15" s="781">
        <f t="shared" si="4"/>
        <v>0</v>
      </c>
      <c r="O15" s="781">
        <f t="shared" si="16"/>
        <v>0</v>
      </c>
      <c r="Q15" s="683">
        <f t="shared" si="8"/>
        <v>0</v>
      </c>
      <c r="R15" s="683">
        <f t="shared" si="9"/>
        <v>0</v>
      </c>
      <c r="T15" s="673">
        <f t="shared" si="10"/>
        <v>0</v>
      </c>
      <c r="U15" s="674">
        <f>'Fuel Equipment Savings Calculat'!$V12</f>
        <v>0</v>
      </c>
      <c r="V15" s="674">
        <f>'Efficient Site Offices DD &amp; Cal'!$H48</f>
        <v>0</v>
      </c>
      <c r="W15" s="674">
        <f>'PFC Calculations'!$G13</f>
        <v>0</v>
      </c>
      <c r="X15" s="674">
        <f>'Behaviour Calculations'!$E19</f>
        <v>0</v>
      </c>
      <c r="Y15" s="674">
        <f>'Behaviour Calculations'!$J19</f>
        <v>0</v>
      </c>
      <c r="Z15" s="674">
        <f>'Behaviour Calculations'!$O19</f>
        <v>0</v>
      </c>
      <c r="AA15" s="674">
        <f>'Reduced Power Lighting Calculat'!$H13</f>
        <v>0</v>
      </c>
      <c r="AB15" s="674">
        <f>'Hybrid Lighting Calculations'!H17</f>
        <v>0</v>
      </c>
      <c r="AC15" s="674">
        <f>'PIR Lighting Calculations'!$H13</f>
        <v>0</v>
      </c>
      <c r="AD15" s="674">
        <f>'Water Calculations'!$I13</f>
        <v>0</v>
      </c>
      <c r="AE15" s="674">
        <f>'Additional Initiatives'!$H26</f>
        <v>0</v>
      </c>
      <c r="AF15" s="679">
        <f t="shared" si="11"/>
        <v>0</v>
      </c>
      <c r="AG15" s="679">
        <f>(C15-B15) - (0.13 * 'Data Entry Fuel'!I$3) * (U15+AB15)</f>
        <v>0</v>
      </c>
      <c r="AH15" s="5"/>
      <c r="AI15" s="19">
        <v>1011</v>
      </c>
      <c r="AJ15" s="19">
        <f t="shared" si="12"/>
        <v>2010</v>
      </c>
      <c r="AK15" s="19">
        <f t="shared" si="13"/>
        <v>4</v>
      </c>
      <c r="AL15" s="19">
        <v>11</v>
      </c>
      <c r="AM15" s="697">
        <f t="shared" si="14"/>
        <v>0</v>
      </c>
      <c r="AN15" s="697">
        <f t="shared" si="17"/>
        <v>0</v>
      </c>
      <c r="AO15" s="697">
        <f t="shared" si="18"/>
        <v>0</v>
      </c>
      <c r="AP15" s="697">
        <f>IF(AP$4='Additional Initiatives'!$B$163,'Additional Initiatives'!$B174,IF(AP$4='Additional Initiatives'!$C$163,'Additional Initiatives'!$C174,IF(AP$4='Additional Initiatives'!$D$163,'Additional Initiatives'!$D174,IF(AP$4='Additional Initiatives'!$E$163,'Additional Initiatives'!$E174,IF(AP$4='Additional Initiatives'!$F$163,'Additional Initiatives'!$F174,0)))))+AP14</f>
        <v>0</v>
      </c>
      <c r="AQ15" s="697">
        <f>IF(AQ$4='Additional Initiatives'!$B$163,'Additional Initiatives'!$B174,IF(AQ$4='Additional Initiatives'!$C$163,'Additional Initiatives'!$C174,IF(AQ$4='Additional Initiatives'!$D$163,'Additional Initiatives'!$D174,IF(AQ$4='Additional Initiatives'!$E$163,'Additional Initiatives'!$E174,IF(AQ$4='Additional Initiatives'!$F$163,'Additional Initiatives'!$F174,0)))))+AQ14</f>
        <v>0</v>
      </c>
      <c r="AR15" s="697">
        <f>IF(AR$4='Additional Initiatives'!$B$163,'Additional Initiatives'!$B174,IF(AR$4='Additional Initiatives'!$C$163,'Additional Initiatives'!$C174,IF(AR$4='Additional Initiatives'!$D$163,'Additional Initiatives'!$D174,IF(AR$4='Additional Initiatives'!$E$163,'Additional Initiatives'!$E174,IF(AR$4='Additional Initiatives'!$F$163,'Additional Initiatives'!$F174,0)))))+AR14</f>
        <v>0</v>
      </c>
      <c r="AS15" s="697">
        <f t="shared" si="19"/>
        <v>0</v>
      </c>
      <c r="AT15" s="696">
        <f t="shared" si="15"/>
        <v>0</v>
      </c>
      <c r="AU15" s="696">
        <f t="shared" si="20"/>
        <v>0</v>
      </c>
      <c r="AV15" s="696">
        <f t="shared" si="21"/>
        <v>0</v>
      </c>
      <c r="AW15" s="696">
        <f t="shared" si="22"/>
        <v>0</v>
      </c>
      <c r="AX15" s="696">
        <f t="shared" si="23"/>
        <v>0</v>
      </c>
      <c r="AY15" s="696">
        <f t="shared" si="24"/>
        <v>0</v>
      </c>
      <c r="AZ15" s="696">
        <f t="shared" si="25"/>
        <v>0</v>
      </c>
      <c r="BA15" s="696">
        <f t="shared" si="26"/>
        <v>0</v>
      </c>
      <c r="BB15" s="696">
        <f t="shared" si="27"/>
        <v>0</v>
      </c>
      <c r="BC15" s="696">
        <f>IF(BC$4='Additional Initiatives'!$B$163,'Additional Initiatives'!$B174,IF(BC$4='Additional Initiatives'!$C$163,'Additional Initiatives'!$C174,IF(BC$4='Additional Initiatives'!$D$163,'Additional Initiatives'!$D174,IF(BC$4='Additional Initiatives'!$E$163,'Additional Initiatives'!$E174,IF(BC$4='Additional Initiatives'!$F$163,'Additional Initiatives'!$F174,0)))))+BC14</f>
        <v>0</v>
      </c>
      <c r="BD15" s="696">
        <f>IF(BD$4='Additional Initiatives'!$B$163,'Additional Initiatives'!$B174,IF(BD$4='Additional Initiatives'!$C$163,'Additional Initiatives'!$C174,IF(BD$4='Additional Initiatives'!$D$163,'Additional Initiatives'!$D174,IF(BD$4='Additional Initiatives'!$E$163,'Additional Initiatives'!$E174,IF(BD$4='Additional Initiatives'!$F$163,'Additional Initiatives'!$F174,0)))))+BD14</f>
        <v>0</v>
      </c>
      <c r="BE15" s="696">
        <f>IF(BE$4='Additional Initiatives'!$B$163,'Additional Initiatives'!$B174,IF(BE$4='Additional Initiatives'!$C$163,'Additional Initiatives'!$C174,IF(BE$4='Additional Initiatives'!$D$163,'Additional Initiatives'!$D174,IF(BE$4='Additional Initiatives'!$E$163,'Additional Initiatives'!$E174,IF(BE$4='Additional Initiatives'!$F$163,'Additional Initiatives'!$F174,0)))))+BE14</f>
        <v>0</v>
      </c>
      <c r="BF15" s="696">
        <f t="shared" si="28"/>
        <v>0</v>
      </c>
    </row>
    <row r="16" spans="1:58">
      <c r="A16" s="21" t="s">
        <v>27</v>
      </c>
      <c r="B16" s="672">
        <f>'Data Entry Fuel'!B15*'Data Entry Fuel'!B167
+'Data Entry Fuel'!C15*'Data Entry Fuel'!C167
+'Data Entry Fuel'!D15*'Data Entry Fuel'!D167
+'Data Entry Fuel'!E15*'Data Entry Fuel'!E167
+'Data Entry Fuel'!F15*'Data Entry Fuel'!F167
+'Data Entry Fuel'!G15*'Data Entry Fuel'!G167
+'Data Entry Fuel'!H15*'Data Entry Fuel'!H167
+'Data Entry Fuel'!I15*'Data Entry Fuel'!I167
+'Data Entry Fuel'!J15*'Data Entry Fuel'!J167</f>
        <v>0</v>
      </c>
      <c r="C16" s="672">
        <f>'Data Entry Fuel'!B15*'Data Entry Fuel'!B167
+'Data Entry Fuel'!C15*'Data Entry Fuel'!C167
+'Data Entry Fuel'!D15*'Data Entry Fuel'!D167
+'Data Entry Fuel'!E15*'Data Entry Fuel'!E167
+'Data Entry Fuel'!F15*'Data Entry Fuel'!F167
+'Data Entry Fuel'!G15*'Data Entry Fuel'!G167
+'Data Entry Fuel'!H15*'Data Entry Fuel'!H167
+'Data Entry Fuel'!I15*'Data Entry Fuel'!C167 *   (1 -  0.13 * 'Data Entry Fuel'!I$3)
+'Data Entry Fuel'!J15*'Data Entry Fuel'!J167</f>
        <v>0</v>
      </c>
      <c r="D16" s="677">
        <f>'Data Entry Electricity'!B15*'Data Entry Electricity'!L15+'Data Entry Electricity'!C15*'Data Entry Electricity'!M15+'Data Entry Electricity'!D15*'Data Entry Electricity'!N15+'Data Entry Electricity'!E15*'Data Entry Electricity'!O15</f>
        <v>0</v>
      </c>
      <c r="E16" s="776">
        <f>'Data Entry Electricity'!B15*'Data Entry Electricity'!L15+'Data Entry Electricity'!C15*'Data Entry Electricity'!L15+'Data Entry Electricity'!D15*'Data Entry Electricity'!N15+'Data Entry Electricity'!E15*'Data Entry Electricity'!O15</f>
        <v>0</v>
      </c>
      <c r="F16" s="777">
        <f>(SUM('Fuel Equipment Savings Calculat'!$B13:$S13))+(SUM('Efficient Site Offices DD &amp; Cal'!$B49:$F49))+'PFC Calculations'!$G14+(SUM('Behaviour Calculations'!$E20,'Behaviour Calculations'!$J20,'Behaviour Calculations'!$O20))+(SUM('Reduced Power Lighting Calculat'!$B14:$F14)+SUM('Hybrid Lighting Calculations'!$B18:$F18)+('PIR Lighting Calculations'!$H14)+SUM('Water Calculations'!$B14:$G14)+'Additional Initiatives'!$H27)</f>
        <v>0</v>
      </c>
      <c r="G16" s="778">
        <f t="shared" si="0"/>
        <v>0</v>
      </c>
      <c r="H16" s="778">
        <f t="shared" si="5"/>
        <v>0</v>
      </c>
      <c r="I16" s="778">
        <f t="shared" si="1"/>
        <v>0</v>
      </c>
      <c r="J16" s="798">
        <f t="shared" si="6"/>
        <v>0</v>
      </c>
      <c r="K16" s="779">
        <f t="shared" si="7"/>
        <v>0</v>
      </c>
      <c r="L16" s="780">
        <f t="shared" si="2"/>
        <v>0</v>
      </c>
      <c r="M16" s="780">
        <f t="shared" si="3"/>
        <v>0</v>
      </c>
      <c r="N16" s="781">
        <f t="shared" si="4"/>
        <v>0</v>
      </c>
      <c r="O16" s="781">
        <f t="shared" si="16"/>
        <v>0</v>
      </c>
      <c r="Q16" s="683">
        <f t="shared" si="8"/>
        <v>0</v>
      </c>
      <c r="R16" s="683">
        <f t="shared" si="9"/>
        <v>0</v>
      </c>
      <c r="T16" s="673">
        <f t="shared" si="10"/>
        <v>0</v>
      </c>
      <c r="U16" s="674">
        <f>'Fuel Equipment Savings Calculat'!$V13</f>
        <v>0</v>
      </c>
      <c r="V16" s="674">
        <f>'Efficient Site Offices DD &amp; Cal'!$H49</f>
        <v>0</v>
      </c>
      <c r="W16" s="674">
        <f>'PFC Calculations'!$G14</f>
        <v>0</v>
      </c>
      <c r="X16" s="674">
        <f>'Behaviour Calculations'!$E20</f>
        <v>0</v>
      </c>
      <c r="Y16" s="674">
        <f>'Behaviour Calculations'!$J20</f>
        <v>0</v>
      </c>
      <c r="Z16" s="674">
        <f>'Behaviour Calculations'!$O20</f>
        <v>0</v>
      </c>
      <c r="AA16" s="674">
        <f>'Reduced Power Lighting Calculat'!$H14</f>
        <v>0</v>
      </c>
      <c r="AB16" s="674">
        <f>'Hybrid Lighting Calculations'!H18</f>
        <v>0</v>
      </c>
      <c r="AC16" s="674">
        <f>'PIR Lighting Calculations'!$H14</f>
        <v>0</v>
      </c>
      <c r="AD16" s="674">
        <f>'Water Calculations'!$I14</f>
        <v>0</v>
      </c>
      <c r="AE16" s="674">
        <f>'Additional Initiatives'!$H27</f>
        <v>0</v>
      </c>
      <c r="AF16" s="679">
        <f t="shared" si="11"/>
        <v>0</v>
      </c>
      <c r="AG16" s="679">
        <f>(C16-B16) - (0.13 * 'Data Entry Fuel'!I$3) * (U16+AB16)</f>
        <v>0</v>
      </c>
      <c r="AH16" s="5"/>
      <c r="AI16" s="19">
        <v>1012</v>
      </c>
      <c r="AJ16" s="19">
        <f t="shared" si="12"/>
        <v>2010</v>
      </c>
      <c r="AK16" s="19">
        <f t="shared" si="13"/>
        <v>4</v>
      </c>
      <c r="AL16" s="19">
        <v>12</v>
      </c>
      <c r="AM16" s="697">
        <f t="shared" si="14"/>
        <v>0</v>
      </c>
      <c r="AN16" s="697">
        <f t="shared" si="17"/>
        <v>0</v>
      </c>
      <c r="AO16" s="697">
        <f t="shared" si="18"/>
        <v>0</v>
      </c>
      <c r="AP16" s="697">
        <f>IF(AP$4='Additional Initiatives'!$B$163,'Additional Initiatives'!$B175,IF(AP$4='Additional Initiatives'!$C$163,'Additional Initiatives'!$C175,IF(AP$4='Additional Initiatives'!$D$163,'Additional Initiatives'!$D175,IF(AP$4='Additional Initiatives'!$E$163,'Additional Initiatives'!$E175,IF(AP$4='Additional Initiatives'!$F$163,'Additional Initiatives'!$F175,0)))))+AP15</f>
        <v>0</v>
      </c>
      <c r="AQ16" s="697">
        <f>IF(AQ$4='Additional Initiatives'!$B$163,'Additional Initiatives'!$B175,IF(AQ$4='Additional Initiatives'!$C$163,'Additional Initiatives'!$C175,IF(AQ$4='Additional Initiatives'!$D$163,'Additional Initiatives'!$D175,IF(AQ$4='Additional Initiatives'!$E$163,'Additional Initiatives'!$E175,IF(AQ$4='Additional Initiatives'!$F$163,'Additional Initiatives'!$F175,0)))))+AQ15</f>
        <v>0</v>
      </c>
      <c r="AR16" s="697">
        <f>IF(AR$4='Additional Initiatives'!$B$163,'Additional Initiatives'!$B175,IF(AR$4='Additional Initiatives'!$C$163,'Additional Initiatives'!$C175,IF(AR$4='Additional Initiatives'!$D$163,'Additional Initiatives'!$D175,IF(AR$4='Additional Initiatives'!$E$163,'Additional Initiatives'!$E175,IF(AR$4='Additional Initiatives'!$F$163,'Additional Initiatives'!$F175,0)))))+AR15</f>
        <v>0</v>
      </c>
      <c r="AS16" s="697">
        <f t="shared" si="19"/>
        <v>0</v>
      </c>
      <c r="AT16" s="696">
        <f t="shared" si="15"/>
        <v>0</v>
      </c>
      <c r="AU16" s="696">
        <f t="shared" si="20"/>
        <v>0</v>
      </c>
      <c r="AV16" s="696">
        <f t="shared" si="21"/>
        <v>0</v>
      </c>
      <c r="AW16" s="696">
        <f t="shared" si="22"/>
        <v>0</v>
      </c>
      <c r="AX16" s="696">
        <f t="shared" si="23"/>
        <v>0</v>
      </c>
      <c r="AY16" s="696">
        <f t="shared" si="24"/>
        <v>0</v>
      </c>
      <c r="AZ16" s="696">
        <f t="shared" si="25"/>
        <v>0</v>
      </c>
      <c r="BA16" s="696">
        <f t="shared" si="26"/>
        <v>0</v>
      </c>
      <c r="BB16" s="696">
        <f t="shared" si="27"/>
        <v>0</v>
      </c>
      <c r="BC16" s="696">
        <f>IF(BC$4='Additional Initiatives'!$B$163,'Additional Initiatives'!$B175,IF(BC$4='Additional Initiatives'!$C$163,'Additional Initiatives'!$C175,IF(BC$4='Additional Initiatives'!$D$163,'Additional Initiatives'!$D175,IF(BC$4='Additional Initiatives'!$E$163,'Additional Initiatives'!$E175,IF(BC$4='Additional Initiatives'!$F$163,'Additional Initiatives'!$F175,0)))))+BC15</f>
        <v>0</v>
      </c>
      <c r="BD16" s="696">
        <f>IF(BD$4='Additional Initiatives'!$B$163,'Additional Initiatives'!$B175,IF(BD$4='Additional Initiatives'!$C$163,'Additional Initiatives'!$C175,IF(BD$4='Additional Initiatives'!$D$163,'Additional Initiatives'!$D175,IF(BD$4='Additional Initiatives'!$E$163,'Additional Initiatives'!$E175,IF(BD$4='Additional Initiatives'!$F$163,'Additional Initiatives'!$F175,0)))))+BD15</f>
        <v>0</v>
      </c>
      <c r="BE16" s="696">
        <f>IF(BE$4='Additional Initiatives'!$B$163,'Additional Initiatives'!$B175,IF(BE$4='Additional Initiatives'!$C$163,'Additional Initiatives'!$C175,IF(BE$4='Additional Initiatives'!$D$163,'Additional Initiatives'!$D175,IF(BE$4='Additional Initiatives'!$E$163,'Additional Initiatives'!$E175,IF(BE$4='Additional Initiatives'!$F$163,'Additional Initiatives'!$F175,0)))))+BE15</f>
        <v>0</v>
      </c>
      <c r="BF16" s="696">
        <f t="shared" si="28"/>
        <v>0</v>
      </c>
    </row>
    <row r="17" spans="1:58">
      <c r="A17" s="21" t="s">
        <v>24</v>
      </c>
      <c r="B17" s="672">
        <f>'Data Entry Fuel'!B16*'Data Entry Fuel'!B168
+'Data Entry Fuel'!C16*'Data Entry Fuel'!C168
+'Data Entry Fuel'!D16*'Data Entry Fuel'!D168
+'Data Entry Fuel'!E16*'Data Entry Fuel'!E168
+'Data Entry Fuel'!F16*'Data Entry Fuel'!F168
+'Data Entry Fuel'!G16*'Data Entry Fuel'!G168
+'Data Entry Fuel'!H16*'Data Entry Fuel'!H168
+'Data Entry Fuel'!I16*'Data Entry Fuel'!I168
+'Data Entry Fuel'!J16*'Data Entry Fuel'!J168</f>
        <v>0</v>
      </c>
      <c r="C17" s="672">
        <f>'Data Entry Fuel'!B16*'Data Entry Fuel'!B168
+'Data Entry Fuel'!C16*'Data Entry Fuel'!C168
+'Data Entry Fuel'!D16*'Data Entry Fuel'!D168
+'Data Entry Fuel'!E16*'Data Entry Fuel'!E168
+'Data Entry Fuel'!F16*'Data Entry Fuel'!F168
+'Data Entry Fuel'!G16*'Data Entry Fuel'!G168
+'Data Entry Fuel'!H16*'Data Entry Fuel'!H168
+'Data Entry Fuel'!I16*'Data Entry Fuel'!C168 *   (1 -  0.13 * 'Data Entry Fuel'!I$3)
+'Data Entry Fuel'!J16*'Data Entry Fuel'!J168</f>
        <v>0</v>
      </c>
      <c r="D17" s="677">
        <f>'Data Entry Electricity'!B16*'Data Entry Electricity'!L16+'Data Entry Electricity'!C16*'Data Entry Electricity'!M16+'Data Entry Electricity'!D16*'Data Entry Electricity'!N16+'Data Entry Electricity'!E16*'Data Entry Electricity'!O16</f>
        <v>0</v>
      </c>
      <c r="E17" s="776">
        <f>'Data Entry Electricity'!B16*'Data Entry Electricity'!L16+'Data Entry Electricity'!C16*'Data Entry Electricity'!L16+'Data Entry Electricity'!D16*'Data Entry Electricity'!N16+'Data Entry Electricity'!E16*'Data Entry Electricity'!O16</f>
        <v>0</v>
      </c>
      <c r="F17" s="777">
        <f>(SUM('Fuel Equipment Savings Calculat'!$B14:$S14))+(SUM('Efficient Site Offices DD &amp; Cal'!$B50:$F50))+'PFC Calculations'!$G15+(SUM('Behaviour Calculations'!$E21,'Behaviour Calculations'!$J21,'Behaviour Calculations'!$O21))+(SUM('Reduced Power Lighting Calculat'!$B15:$F15)+SUM('Hybrid Lighting Calculations'!$B19:$F19)+('PIR Lighting Calculations'!$H15)+SUM('Water Calculations'!$B15:$G15)+'Additional Initiatives'!$H28)</f>
        <v>0</v>
      </c>
      <c r="G17" s="778">
        <f t="shared" si="0"/>
        <v>0</v>
      </c>
      <c r="H17" s="778">
        <f t="shared" si="5"/>
        <v>0</v>
      </c>
      <c r="I17" s="778">
        <f t="shared" si="1"/>
        <v>0</v>
      </c>
      <c r="J17" s="798">
        <f t="shared" si="6"/>
        <v>0</v>
      </c>
      <c r="K17" s="779">
        <f t="shared" si="7"/>
        <v>0</v>
      </c>
      <c r="L17" s="780">
        <f t="shared" si="2"/>
        <v>0</v>
      </c>
      <c r="M17" s="780">
        <f t="shared" si="3"/>
        <v>0</v>
      </c>
      <c r="N17" s="781">
        <f t="shared" si="4"/>
        <v>0</v>
      </c>
      <c r="O17" s="781">
        <f t="shared" si="16"/>
        <v>0</v>
      </c>
      <c r="Q17" s="683">
        <f t="shared" si="8"/>
        <v>0</v>
      </c>
      <c r="R17" s="683">
        <f t="shared" si="9"/>
        <v>0</v>
      </c>
      <c r="T17" s="673">
        <f t="shared" si="10"/>
        <v>0</v>
      </c>
      <c r="U17" s="674">
        <f>'Fuel Equipment Savings Calculat'!$V14</f>
        <v>0</v>
      </c>
      <c r="V17" s="674">
        <f>'Efficient Site Offices DD &amp; Cal'!$H50</f>
        <v>0</v>
      </c>
      <c r="W17" s="674">
        <f>'PFC Calculations'!$G15</f>
        <v>0</v>
      </c>
      <c r="X17" s="674">
        <f>'Behaviour Calculations'!$E21</f>
        <v>0</v>
      </c>
      <c r="Y17" s="674">
        <f>'Behaviour Calculations'!$J21</f>
        <v>0</v>
      </c>
      <c r="Z17" s="674">
        <f>'Behaviour Calculations'!$O21</f>
        <v>0</v>
      </c>
      <c r="AA17" s="674">
        <f>'Reduced Power Lighting Calculat'!$H15</f>
        <v>0</v>
      </c>
      <c r="AB17" s="674">
        <f>'Hybrid Lighting Calculations'!H19</f>
        <v>0</v>
      </c>
      <c r="AC17" s="674">
        <f>'PIR Lighting Calculations'!$H15</f>
        <v>0</v>
      </c>
      <c r="AD17" s="674">
        <f>'Water Calculations'!$I15</f>
        <v>0</v>
      </c>
      <c r="AE17" s="674">
        <f>'Additional Initiatives'!$H28</f>
        <v>0</v>
      </c>
      <c r="AF17" s="679">
        <f t="shared" si="11"/>
        <v>0</v>
      </c>
      <c r="AG17" s="679">
        <f>(C17-B17) - (0.13 * 'Data Entry Fuel'!I$3) * (U17+AB17)</f>
        <v>0</v>
      </c>
      <c r="AH17" s="5"/>
      <c r="AI17" s="19">
        <v>1013</v>
      </c>
      <c r="AJ17" s="19">
        <f t="shared" si="12"/>
        <v>2010</v>
      </c>
      <c r="AK17" s="19">
        <f t="shared" si="13"/>
        <v>4</v>
      </c>
      <c r="AL17" s="19">
        <v>13</v>
      </c>
      <c r="AM17" s="697">
        <f t="shared" si="14"/>
        <v>0</v>
      </c>
      <c r="AN17" s="697">
        <f t="shared" si="17"/>
        <v>0</v>
      </c>
      <c r="AO17" s="697">
        <f t="shared" si="18"/>
        <v>0</v>
      </c>
      <c r="AP17" s="697">
        <f>IF(AP$4='Additional Initiatives'!$B$163,'Additional Initiatives'!$B176,IF(AP$4='Additional Initiatives'!$C$163,'Additional Initiatives'!$C176,IF(AP$4='Additional Initiatives'!$D$163,'Additional Initiatives'!$D176,IF(AP$4='Additional Initiatives'!$E$163,'Additional Initiatives'!$E176,IF(AP$4='Additional Initiatives'!$F$163,'Additional Initiatives'!$F176,0)))))+AP16</f>
        <v>0</v>
      </c>
      <c r="AQ17" s="697">
        <f>IF(AQ$4='Additional Initiatives'!$B$163,'Additional Initiatives'!$B176,IF(AQ$4='Additional Initiatives'!$C$163,'Additional Initiatives'!$C176,IF(AQ$4='Additional Initiatives'!$D$163,'Additional Initiatives'!$D176,IF(AQ$4='Additional Initiatives'!$E$163,'Additional Initiatives'!$E176,IF(AQ$4='Additional Initiatives'!$F$163,'Additional Initiatives'!$F176,0)))))+AQ16</f>
        <v>0</v>
      </c>
      <c r="AR17" s="697">
        <f>IF(AR$4='Additional Initiatives'!$B$163,'Additional Initiatives'!$B176,IF(AR$4='Additional Initiatives'!$C$163,'Additional Initiatives'!$C176,IF(AR$4='Additional Initiatives'!$D$163,'Additional Initiatives'!$D176,IF(AR$4='Additional Initiatives'!$E$163,'Additional Initiatives'!$E176,IF(AR$4='Additional Initiatives'!$F$163,'Additional Initiatives'!$F176,0)))))+AR16</f>
        <v>0</v>
      </c>
      <c r="AS17" s="697">
        <f t="shared" si="19"/>
        <v>0</v>
      </c>
      <c r="AT17" s="696">
        <f t="shared" si="15"/>
        <v>0</v>
      </c>
      <c r="AU17" s="696">
        <f t="shared" si="20"/>
        <v>0</v>
      </c>
      <c r="AV17" s="696">
        <f t="shared" si="21"/>
        <v>0</v>
      </c>
      <c r="AW17" s="696">
        <f t="shared" si="22"/>
        <v>0</v>
      </c>
      <c r="AX17" s="696">
        <f t="shared" si="23"/>
        <v>0</v>
      </c>
      <c r="AY17" s="696">
        <f t="shared" si="24"/>
        <v>0</v>
      </c>
      <c r="AZ17" s="696">
        <f t="shared" si="25"/>
        <v>0</v>
      </c>
      <c r="BA17" s="696">
        <f t="shared" si="26"/>
        <v>0</v>
      </c>
      <c r="BB17" s="696">
        <f t="shared" si="27"/>
        <v>0</v>
      </c>
      <c r="BC17" s="696">
        <f>IF(BC$4='Additional Initiatives'!$B$163,'Additional Initiatives'!$B176,IF(BC$4='Additional Initiatives'!$C$163,'Additional Initiatives'!$C176,IF(BC$4='Additional Initiatives'!$D$163,'Additional Initiatives'!$D176,IF(BC$4='Additional Initiatives'!$E$163,'Additional Initiatives'!$E176,IF(BC$4='Additional Initiatives'!$F$163,'Additional Initiatives'!$F176,0)))))+BC16</f>
        <v>0</v>
      </c>
      <c r="BD17" s="696">
        <f>IF(BD$4='Additional Initiatives'!$B$163,'Additional Initiatives'!$B176,IF(BD$4='Additional Initiatives'!$C$163,'Additional Initiatives'!$C176,IF(BD$4='Additional Initiatives'!$D$163,'Additional Initiatives'!$D176,IF(BD$4='Additional Initiatives'!$E$163,'Additional Initiatives'!$E176,IF(BD$4='Additional Initiatives'!$F$163,'Additional Initiatives'!$F176,0)))))+BD16</f>
        <v>0</v>
      </c>
      <c r="BE17" s="696">
        <f>IF(BE$4='Additional Initiatives'!$B$163,'Additional Initiatives'!$B176,IF(BE$4='Additional Initiatives'!$C$163,'Additional Initiatives'!$C176,IF(BE$4='Additional Initiatives'!$D$163,'Additional Initiatives'!$D176,IF(BE$4='Additional Initiatives'!$E$163,'Additional Initiatives'!$E176,IF(BE$4='Additional Initiatives'!$F$163,'Additional Initiatives'!$F176,0)))))+BE16</f>
        <v>0</v>
      </c>
      <c r="BF17" s="696">
        <f t="shared" si="28"/>
        <v>0</v>
      </c>
    </row>
    <row r="18" spans="1:58">
      <c r="A18" s="21" t="s">
        <v>40</v>
      </c>
      <c r="B18" s="672">
        <f>'Data Entry Fuel'!B17*'Data Entry Fuel'!B169
+'Data Entry Fuel'!C17*'Data Entry Fuel'!C169
+'Data Entry Fuel'!D17*'Data Entry Fuel'!D169
+'Data Entry Fuel'!E17*'Data Entry Fuel'!E169
+'Data Entry Fuel'!F17*'Data Entry Fuel'!F169
+'Data Entry Fuel'!G17*'Data Entry Fuel'!G169
+'Data Entry Fuel'!H17*'Data Entry Fuel'!H169
+'Data Entry Fuel'!I17*'Data Entry Fuel'!I169
+'Data Entry Fuel'!J17*'Data Entry Fuel'!J169</f>
        <v>0</v>
      </c>
      <c r="C18" s="672">
        <f>'Data Entry Fuel'!B17*'Data Entry Fuel'!B169
+'Data Entry Fuel'!C17*'Data Entry Fuel'!C169
+'Data Entry Fuel'!D17*'Data Entry Fuel'!D169
+'Data Entry Fuel'!E17*'Data Entry Fuel'!E169
+'Data Entry Fuel'!F17*'Data Entry Fuel'!F169
+'Data Entry Fuel'!G17*'Data Entry Fuel'!G169
+'Data Entry Fuel'!H17*'Data Entry Fuel'!H169
+'Data Entry Fuel'!I17*'Data Entry Fuel'!C169 *   (1 -  0.13 * 'Data Entry Fuel'!I$3)
+'Data Entry Fuel'!J17*'Data Entry Fuel'!J169</f>
        <v>0</v>
      </c>
      <c r="D18" s="677">
        <f>'Data Entry Electricity'!B17*'Data Entry Electricity'!L17+'Data Entry Electricity'!C17*'Data Entry Electricity'!M17+'Data Entry Electricity'!D17*'Data Entry Electricity'!N17+'Data Entry Electricity'!E17*'Data Entry Electricity'!O17</f>
        <v>0</v>
      </c>
      <c r="E18" s="776">
        <f>'Data Entry Electricity'!B17*'Data Entry Electricity'!L17+'Data Entry Electricity'!C17*'Data Entry Electricity'!L17+'Data Entry Electricity'!D17*'Data Entry Electricity'!N17+'Data Entry Electricity'!E17*'Data Entry Electricity'!O17</f>
        <v>0</v>
      </c>
      <c r="F18" s="777">
        <f>(SUM('Fuel Equipment Savings Calculat'!$B15:$S15))+(SUM('Efficient Site Offices DD &amp; Cal'!$B51:$F51))+'PFC Calculations'!$G16+(SUM('Behaviour Calculations'!$E22,'Behaviour Calculations'!$J22,'Behaviour Calculations'!$O22))+(SUM('Reduced Power Lighting Calculat'!$B16:$F16)+SUM('Hybrid Lighting Calculations'!$B20:$F20)+('PIR Lighting Calculations'!$H16)+SUM('Water Calculations'!$B16:$G16)+'Additional Initiatives'!$H29)</f>
        <v>0</v>
      </c>
      <c r="G18" s="778">
        <f t="shared" si="0"/>
        <v>0</v>
      </c>
      <c r="H18" s="778">
        <f t="shared" si="5"/>
        <v>0</v>
      </c>
      <c r="I18" s="778">
        <f t="shared" si="1"/>
        <v>0</v>
      </c>
      <c r="J18" s="798">
        <f t="shared" si="6"/>
        <v>0</v>
      </c>
      <c r="K18" s="779">
        <f t="shared" si="7"/>
        <v>0</v>
      </c>
      <c r="L18" s="780">
        <f t="shared" si="2"/>
        <v>0</v>
      </c>
      <c r="M18" s="780">
        <f t="shared" si="3"/>
        <v>0</v>
      </c>
      <c r="N18" s="781">
        <f t="shared" si="4"/>
        <v>0</v>
      </c>
      <c r="O18" s="781">
        <f t="shared" si="16"/>
        <v>0</v>
      </c>
      <c r="Q18" s="683">
        <f t="shared" si="8"/>
        <v>0</v>
      </c>
      <c r="R18" s="683">
        <f t="shared" si="9"/>
        <v>0</v>
      </c>
      <c r="T18" s="673">
        <f t="shared" si="10"/>
        <v>0</v>
      </c>
      <c r="U18" s="674">
        <f>'Fuel Equipment Savings Calculat'!$V15</f>
        <v>0</v>
      </c>
      <c r="V18" s="674">
        <f>'Efficient Site Offices DD &amp; Cal'!$H51</f>
        <v>0</v>
      </c>
      <c r="W18" s="674">
        <f>'PFC Calculations'!$G16</f>
        <v>0</v>
      </c>
      <c r="X18" s="674">
        <f>'Behaviour Calculations'!$E22</f>
        <v>0</v>
      </c>
      <c r="Y18" s="674">
        <f>'Behaviour Calculations'!$J22</f>
        <v>0</v>
      </c>
      <c r="Z18" s="674">
        <f>'Behaviour Calculations'!$O22</f>
        <v>0</v>
      </c>
      <c r="AA18" s="674">
        <f>'Reduced Power Lighting Calculat'!$H16</f>
        <v>0</v>
      </c>
      <c r="AB18" s="674">
        <f>'Hybrid Lighting Calculations'!H20</f>
        <v>0</v>
      </c>
      <c r="AC18" s="674">
        <f>'PIR Lighting Calculations'!$H16</f>
        <v>0</v>
      </c>
      <c r="AD18" s="674">
        <f>'Water Calculations'!$I16</f>
        <v>0</v>
      </c>
      <c r="AE18" s="674">
        <f>'Additional Initiatives'!$H29</f>
        <v>0</v>
      </c>
      <c r="AF18" s="679">
        <f t="shared" si="11"/>
        <v>0</v>
      </c>
      <c r="AG18" s="679">
        <f>(C18-B18) - (0.13 * 'Data Entry Fuel'!I$3) * (U18+AB18)</f>
        <v>0</v>
      </c>
      <c r="AH18" s="5"/>
      <c r="AI18" s="19">
        <v>1101</v>
      </c>
      <c r="AJ18" s="19">
        <f t="shared" si="12"/>
        <v>2010</v>
      </c>
      <c r="AK18" s="19">
        <f t="shared" si="13"/>
        <v>4</v>
      </c>
      <c r="AL18" s="19">
        <v>14</v>
      </c>
      <c r="AM18" s="697">
        <f t="shared" si="14"/>
        <v>0</v>
      </c>
      <c r="AN18" s="697">
        <f t="shared" si="17"/>
        <v>0</v>
      </c>
      <c r="AO18" s="697">
        <f t="shared" si="18"/>
        <v>0</v>
      </c>
      <c r="AP18" s="697">
        <f>IF(AP$4='Additional Initiatives'!$B$163,'Additional Initiatives'!$B177,IF(AP$4='Additional Initiatives'!$C$163,'Additional Initiatives'!$C177,IF(AP$4='Additional Initiatives'!$D$163,'Additional Initiatives'!$D177,IF(AP$4='Additional Initiatives'!$E$163,'Additional Initiatives'!$E177,IF(AP$4='Additional Initiatives'!$F$163,'Additional Initiatives'!$F177,0)))))+AP17</f>
        <v>0</v>
      </c>
      <c r="AQ18" s="697">
        <f>IF(AQ$4='Additional Initiatives'!$B$163,'Additional Initiatives'!$B177,IF(AQ$4='Additional Initiatives'!$C$163,'Additional Initiatives'!$C177,IF(AQ$4='Additional Initiatives'!$D$163,'Additional Initiatives'!$D177,IF(AQ$4='Additional Initiatives'!$E$163,'Additional Initiatives'!$E177,IF(AQ$4='Additional Initiatives'!$F$163,'Additional Initiatives'!$F177,0)))))+AQ17</f>
        <v>0</v>
      </c>
      <c r="AR18" s="697">
        <f>IF(AR$4='Additional Initiatives'!$B$163,'Additional Initiatives'!$B177,IF(AR$4='Additional Initiatives'!$C$163,'Additional Initiatives'!$C177,IF(AR$4='Additional Initiatives'!$D$163,'Additional Initiatives'!$D177,IF(AR$4='Additional Initiatives'!$E$163,'Additional Initiatives'!$E177,IF(AR$4='Additional Initiatives'!$F$163,'Additional Initiatives'!$F177,0)))))+AR17</f>
        <v>0</v>
      </c>
      <c r="AS18" s="697">
        <f t="shared" si="19"/>
        <v>0</v>
      </c>
      <c r="AT18" s="696">
        <f t="shared" si="15"/>
        <v>0</v>
      </c>
      <c r="AU18" s="696">
        <f t="shared" si="20"/>
        <v>0</v>
      </c>
      <c r="AV18" s="696">
        <f t="shared" si="21"/>
        <v>0</v>
      </c>
      <c r="AW18" s="696">
        <f t="shared" si="22"/>
        <v>0</v>
      </c>
      <c r="AX18" s="696">
        <f t="shared" si="23"/>
        <v>0</v>
      </c>
      <c r="AY18" s="696">
        <f t="shared" si="24"/>
        <v>0</v>
      </c>
      <c r="AZ18" s="696">
        <f t="shared" si="25"/>
        <v>0</v>
      </c>
      <c r="BA18" s="696">
        <f t="shared" si="26"/>
        <v>0</v>
      </c>
      <c r="BB18" s="696">
        <f t="shared" si="27"/>
        <v>0</v>
      </c>
      <c r="BC18" s="696">
        <f>IF(BC$4='Additional Initiatives'!$B$163,'Additional Initiatives'!$B177,IF(BC$4='Additional Initiatives'!$C$163,'Additional Initiatives'!$C177,IF(BC$4='Additional Initiatives'!$D$163,'Additional Initiatives'!$D177,IF(BC$4='Additional Initiatives'!$E$163,'Additional Initiatives'!$E177,IF(BC$4='Additional Initiatives'!$F$163,'Additional Initiatives'!$F177,0)))))+BC17</f>
        <v>0</v>
      </c>
      <c r="BD18" s="696">
        <f>IF(BD$4='Additional Initiatives'!$B$163,'Additional Initiatives'!$B177,IF(BD$4='Additional Initiatives'!$C$163,'Additional Initiatives'!$C177,IF(BD$4='Additional Initiatives'!$D$163,'Additional Initiatives'!$D177,IF(BD$4='Additional Initiatives'!$E$163,'Additional Initiatives'!$E177,IF(BD$4='Additional Initiatives'!$F$163,'Additional Initiatives'!$F177,0)))))+BD17</f>
        <v>0</v>
      </c>
      <c r="BE18" s="696">
        <f>IF(BE$4='Additional Initiatives'!$B$163,'Additional Initiatives'!$B177,IF(BE$4='Additional Initiatives'!$C$163,'Additional Initiatives'!$C177,IF(BE$4='Additional Initiatives'!$D$163,'Additional Initiatives'!$D177,IF(BE$4='Additional Initiatives'!$E$163,'Additional Initiatives'!$E177,IF(BE$4='Additional Initiatives'!$F$163,'Additional Initiatives'!$F177,0)))))+BE17</f>
        <v>0</v>
      </c>
      <c r="BF18" s="696">
        <f t="shared" si="28"/>
        <v>0</v>
      </c>
    </row>
    <row r="19" spans="1:58">
      <c r="A19" s="21" t="s">
        <v>41</v>
      </c>
      <c r="B19" s="672">
        <f>'Data Entry Fuel'!B18*'Data Entry Fuel'!B170
+'Data Entry Fuel'!C18*'Data Entry Fuel'!C170
+'Data Entry Fuel'!D18*'Data Entry Fuel'!D170
+'Data Entry Fuel'!E18*'Data Entry Fuel'!E170
+'Data Entry Fuel'!F18*'Data Entry Fuel'!F170
+'Data Entry Fuel'!G18*'Data Entry Fuel'!G170
+'Data Entry Fuel'!H18*'Data Entry Fuel'!H170
+'Data Entry Fuel'!I18*'Data Entry Fuel'!I170
+'Data Entry Fuel'!J18*'Data Entry Fuel'!J170</f>
        <v>0</v>
      </c>
      <c r="C19" s="672">
        <f>'Data Entry Fuel'!B18*'Data Entry Fuel'!B170
+'Data Entry Fuel'!C18*'Data Entry Fuel'!C170
+'Data Entry Fuel'!D18*'Data Entry Fuel'!D170
+'Data Entry Fuel'!E18*'Data Entry Fuel'!E170
+'Data Entry Fuel'!F18*'Data Entry Fuel'!F170
+'Data Entry Fuel'!G18*'Data Entry Fuel'!G170
+'Data Entry Fuel'!H18*'Data Entry Fuel'!H170
+'Data Entry Fuel'!I18*'Data Entry Fuel'!C170 *   (1 -  0.13 * 'Data Entry Fuel'!I$3)
+'Data Entry Fuel'!J18*'Data Entry Fuel'!J170</f>
        <v>0</v>
      </c>
      <c r="D19" s="677">
        <f>'Data Entry Electricity'!B18*'Data Entry Electricity'!L18+'Data Entry Electricity'!C18*'Data Entry Electricity'!M18+'Data Entry Electricity'!D18*'Data Entry Electricity'!N18+'Data Entry Electricity'!E18*'Data Entry Electricity'!O18</f>
        <v>0</v>
      </c>
      <c r="E19" s="776">
        <f>'Data Entry Electricity'!B18*'Data Entry Electricity'!L18+'Data Entry Electricity'!C18*'Data Entry Electricity'!L18+'Data Entry Electricity'!D18*'Data Entry Electricity'!N18+'Data Entry Electricity'!E18*'Data Entry Electricity'!O18</f>
        <v>0</v>
      </c>
      <c r="F19" s="777">
        <f>(SUM('Fuel Equipment Savings Calculat'!$B16:$S16))+(SUM('Efficient Site Offices DD &amp; Cal'!$B52:$F52))+'PFC Calculations'!$G17+(SUM('Behaviour Calculations'!$E23,'Behaviour Calculations'!$J23,'Behaviour Calculations'!$O23))+(SUM('Reduced Power Lighting Calculat'!$B17:$F17)+SUM('Hybrid Lighting Calculations'!$B21:$F21)+('PIR Lighting Calculations'!$H17)+SUM('Water Calculations'!$B17:$G17)+'Additional Initiatives'!$H30)</f>
        <v>0</v>
      </c>
      <c r="G19" s="778">
        <f t="shared" si="0"/>
        <v>0</v>
      </c>
      <c r="H19" s="778">
        <f t="shared" si="5"/>
        <v>0</v>
      </c>
      <c r="I19" s="778">
        <f t="shared" si="1"/>
        <v>0</v>
      </c>
      <c r="J19" s="798">
        <f t="shared" si="6"/>
        <v>0</v>
      </c>
      <c r="K19" s="779">
        <f t="shared" si="7"/>
        <v>0</v>
      </c>
      <c r="L19" s="780">
        <f t="shared" si="2"/>
        <v>0</v>
      </c>
      <c r="M19" s="780">
        <f t="shared" si="3"/>
        <v>0</v>
      </c>
      <c r="N19" s="781">
        <f t="shared" si="4"/>
        <v>0</v>
      </c>
      <c r="O19" s="781">
        <f t="shared" si="16"/>
        <v>0</v>
      </c>
      <c r="Q19" s="683">
        <f t="shared" si="8"/>
        <v>0</v>
      </c>
      <c r="R19" s="683">
        <f t="shared" si="9"/>
        <v>0</v>
      </c>
      <c r="T19" s="673">
        <f t="shared" si="10"/>
        <v>0</v>
      </c>
      <c r="U19" s="674">
        <f>'Fuel Equipment Savings Calculat'!$V16</f>
        <v>0</v>
      </c>
      <c r="V19" s="674">
        <f>'Efficient Site Offices DD &amp; Cal'!$H52</f>
        <v>0</v>
      </c>
      <c r="W19" s="674">
        <f>'PFC Calculations'!$G17</f>
        <v>0</v>
      </c>
      <c r="X19" s="674">
        <f>'Behaviour Calculations'!$E23</f>
        <v>0</v>
      </c>
      <c r="Y19" s="674">
        <f>'Behaviour Calculations'!$J23</f>
        <v>0</v>
      </c>
      <c r="Z19" s="674">
        <f>'Behaviour Calculations'!$O23</f>
        <v>0</v>
      </c>
      <c r="AA19" s="674">
        <f>'Reduced Power Lighting Calculat'!$H17</f>
        <v>0</v>
      </c>
      <c r="AB19" s="674">
        <f>'Hybrid Lighting Calculations'!H21</f>
        <v>0</v>
      </c>
      <c r="AC19" s="674">
        <f>'PIR Lighting Calculations'!$H17</f>
        <v>0</v>
      </c>
      <c r="AD19" s="674">
        <f>'Water Calculations'!$I17</f>
        <v>0</v>
      </c>
      <c r="AE19" s="674">
        <f>'Additional Initiatives'!$H30</f>
        <v>0</v>
      </c>
      <c r="AF19" s="679">
        <f t="shared" si="11"/>
        <v>0</v>
      </c>
      <c r="AG19" s="679">
        <f>(C19-B19) - (0.13 * 'Data Entry Fuel'!I$3) * (U19+AB19)</f>
        <v>0</v>
      </c>
      <c r="AH19" s="5"/>
      <c r="AI19" s="19">
        <v>1102</v>
      </c>
      <c r="AJ19" s="19">
        <f t="shared" si="12"/>
        <v>2010</v>
      </c>
      <c r="AK19" s="19">
        <f t="shared" si="13"/>
        <v>4</v>
      </c>
      <c r="AL19" s="19">
        <v>15</v>
      </c>
      <c r="AM19" s="697">
        <f t="shared" si="14"/>
        <v>0</v>
      </c>
      <c r="AN19" s="697">
        <f t="shared" si="17"/>
        <v>0</v>
      </c>
      <c r="AO19" s="697">
        <f t="shared" si="18"/>
        <v>0</v>
      </c>
      <c r="AP19" s="697">
        <f>IF(AP$4='Additional Initiatives'!$B$163,'Additional Initiatives'!$B178,IF(AP$4='Additional Initiatives'!$C$163,'Additional Initiatives'!$C178,IF(AP$4='Additional Initiatives'!$D$163,'Additional Initiatives'!$D178,IF(AP$4='Additional Initiatives'!$E$163,'Additional Initiatives'!$E178,IF(AP$4='Additional Initiatives'!$F$163,'Additional Initiatives'!$F178,0)))))+AP18</f>
        <v>0</v>
      </c>
      <c r="AQ19" s="697">
        <f>IF(AQ$4='Additional Initiatives'!$B$163,'Additional Initiatives'!$B178,IF(AQ$4='Additional Initiatives'!$C$163,'Additional Initiatives'!$C178,IF(AQ$4='Additional Initiatives'!$D$163,'Additional Initiatives'!$D178,IF(AQ$4='Additional Initiatives'!$E$163,'Additional Initiatives'!$E178,IF(AQ$4='Additional Initiatives'!$F$163,'Additional Initiatives'!$F178,0)))))+AQ18</f>
        <v>0</v>
      </c>
      <c r="AR19" s="697">
        <f>IF(AR$4='Additional Initiatives'!$B$163,'Additional Initiatives'!$B178,IF(AR$4='Additional Initiatives'!$C$163,'Additional Initiatives'!$C178,IF(AR$4='Additional Initiatives'!$D$163,'Additional Initiatives'!$D178,IF(AR$4='Additional Initiatives'!$E$163,'Additional Initiatives'!$E178,IF(AR$4='Additional Initiatives'!$F$163,'Additional Initiatives'!$F178,0)))))+AR18</f>
        <v>0</v>
      </c>
      <c r="AS19" s="697">
        <f t="shared" si="19"/>
        <v>0</v>
      </c>
      <c r="AT19" s="696">
        <f t="shared" si="15"/>
        <v>0</v>
      </c>
      <c r="AU19" s="696">
        <f t="shared" si="20"/>
        <v>0</v>
      </c>
      <c r="AV19" s="696">
        <f t="shared" si="21"/>
        <v>0</v>
      </c>
      <c r="AW19" s="696">
        <f t="shared" si="22"/>
        <v>0</v>
      </c>
      <c r="AX19" s="696">
        <f t="shared" si="23"/>
        <v>0</v>
      </c>
      <c r="AY19" s="696">
        <f t="shared" si="24"/>
        <v>0</v>
      </c>
      <c r="AZ19" s="696">
        <f t="shared" si="25"/>
        <v>0</v>
      </c>
      <c r="BA19" s="696">
        <f t="shared" si="26"/>
        <v>0</v>
      </c>
      <c r="BB19" s="696">
        <f t="shared" si="27"/>
        <v>0</v>
      </c>
      <c r="BC19" s="696">
        <f>IF(BC$4='Additional Initiatives'!$B$163,'Additional Initiatives'!$B178,IF(BC$4='Additional Initiatives'!$C$163,'Additional Initiatives'!$C178,IF(BC$4='Additional Initiatives'!$D$163,'Additional Initiatives'!$D178,IF(BC$4='Additional Initiatives'!$E$163,'Additional Initiatives'!$E178,IF(BC$4='Additional Initiatives'!$F$163,'Additional Initiatives'!$F178,0)))))+BC18</f>
        <v>0</v>
      </c>
      <c r="BD19" s="696">
        <f>IF(BD$4='Additional Initiatives'!$B$163,'Additional Initiatives'!$B178,IF(BD$4='Additional Initiatives'!$C$163,'Additional Initiatives'!$C178,IF(BD$4='Additional Initiatives'!$D$163,'Additional Initiatives'!$D178,IF(BD$4='Additional Initiatives'!$E$163,'Additional Initiatives'!$E178,IF(BD$4='Additional Initiatives'!$F$163,'Additional Initiatives'!$F178,0)))))+BD18</f>
        <v>0</v>
      </c>
      <c r="BE19" s="696">
        <f>IF(BE$4='Additional Initiatives'!$B$163,'Additional Initiatives'!$B178,IF(BE$4='Additional Initiatives'!$C$163,'Additional Initiatives'!$C178,IF(BE$4='Additional Initiatives'!$D$163,'Additional Initiatives'!$D178,IF(BE$4='Additional Initiatives'!$E$163,'Additional Initiatives'!$E178,IF(BE$4='Additional Initiatives'!$F$163,'Additional Initiatives'!$F178,0)))))+BE18</f>
        <v>0</v>
      </c>
      <c r="BF19" s="696">
        <f t="shared" si="28"/>
        <v>0</v>
      </c>
    </row>
    <row r="20" spans="1:58">
      <c r="A20" s="21" t="s">
        <v>42</v>
      </c>
      <c r="B20" s="672">
        <f>'Data Entry Fuel'!B19*'Data Entry Fuel'!B171
+'Data Entry Fuel'!C19*'Data Entry Fuel'!C171
+'Data Entry Fuel'!D19*'Data Entry Fuel'!D171
+'Data Entry Fuel'!E19*'Data Entry Fuel'!E171
+'Data Entry Fuel'!F19*'Data Entry Fuel'!F171
+'Data Entry Fuel'!G19*'Data Entry Fuel'!G171
+'Data Entry Fuel'!H19*'Data Entry Fuel'!H171
+'Data Entry Fuel'!I19*'Data Entry Fuel'!I171
+'Data Entry Fuel'!J19*'Data Entry Fuel'!J171</f>
        <v>0</v>
      </c>
      <c r="C20" s="672">
        <f>'Data Entry Fuel'!B19*'Data Entry Fuel'!B171
+'Data Entry Fuel'!C19*'Data Entry Fuel'!C171
+'Data Entry Fuel'!D19*'Data Entry Fuel'!D171
+'Data Entry Fuel'!E19*'Data Entry Fuel'!E171
+'Data Entry Fuel'!F19*'Data Entry Fuel'!F171
+'Data Entry Fuel'!G19*'Data Entry Fuel'!G171
+'Data Entry Fuel'!H19*'Data Entry Fuel'!H171
+'Data Entry Fuel'!I19*'Data Entry Fuel'!C171 *   (1 -  0.13 * 'Data Entry Fuel'!I$3)
+'Data Entry Fuel'!J19*'Data Entry Fuel'!J171</f>
        <v>0</v>
      </c>
      <c r="D20" s="677">
        <f>'Data Entry Electricity'!B19*'Data Entry Electricity'!L19+'Data Entry Electricity'!C19*'Data Entry Electricity'!M19+'Data Entry Electricity'!D19*'Data Entry Electricity'!N19+'Data Entry Electricity'!E19*'Data Entry Electricity'!O19</f>
        <v>0</v>
      </c>
      <c r="E20" s="776">
        <f>'Data Entry Electricity'!B19*'Data Entry Electricity'!L19+'Data Entry Electricity'!C19*'Data Entry Electricity'!L19+'Data Entry Electricity'!D19*'Data Entry Electricity'!N19+'Data Entry Electricity'!E19*'Data Entry Electricity'!O19</f>
        <v>0</v>
      </c>
      <c r="F20" s="777">
        <f>(SUM('Fuel Equipment Savings Calculat'!$B17:$S17))+(SUM('Efficient Site Offices DD &amp; Cal'!$B53:$F53))+'PFC Calculations'!$G18+(SUM('Behaviour Calculations'!$E24,'Behaviour Calculations'!$J24,'Behaviour Calculations'!$O24))+(SUM('Reduced Power Lighting Calculat'!$B18:$F18)+SUM('Hybrid Lighting Calculations'!$B22:$F22)+('PIR Lighting Calculations'!$H18)+SUM('Water Calculations'!$B18:$G18)+'Additional Initiatives'!$H31)</f>
        <v>0</v>
      </c>
      <c r="G20" s="778">
        <f t="shared" si="0"/>
        <v>0</v>
      </c>
      <c r="H20" s="778">
        <f t="shared" si="5"/>
        <v>0</v>
      </c>
      <c r="I20" s="778">
        <f t="shared" si="1"/>
        <v>0</v>
      </c>
      <c r="J20" s="798">
        <f t="shared" si="6"/>
        <v>0</v>
      </c>
      <c r="K20" s="779">
        <f t="shared" si="7"/>
        <v>0</v>
      </c>
      <c r="L20" s="780">
        <f t="shared" si="2"/>
        <v>0</v>
      </c>
      <c r="M20" s="780">
        <f t="shared" si="3"/>
        <v>0</v>
      </c>
      <c r="N20" s="781">
        <f t="shared" si="4"/>
        <v>0</v>
      </c>
      <c r="O20" s="781">
        <f t="shared" si="16"/>
        <v>0</v>
      </c>
      <c r="Q20" s="683">
        <f t="shared" si="8"/>
        <v>0</v>
      </c>
      <c r="R20" s="683">
        <f t="shared" si="9"/>
        <v>0</v>
      </c>
      <c r="T20" s="673">
        <f t="shared" si="10"/>
        <v>0</v>
      </c>
      <c r="U20" s="674">
        <f>'Fuel Equipment Savings Calculat'!$V17</f>
        <v>0</v>
      </c>
      <c r="V20" s="674">
        <f>'Efficient Site Offices DD &amp; Cal'!$H53</f>
        <v>0</v>
      </c>
      <c r="W20" s="674">
        <f>'PFC Calculations'!$G18</f>
        <v>0</v>
      </c>
      <c r="X20" s="674">
        <f>'Behaviour Calculations'!$E24</f>
        <v>0</v>
      </c>
      <c r="Y20" s="674">
        <f>'Behaviour Calculations'!$J24</f>
        <v>0</v>
      </c>
      <c r="Z20" s="674">
        <f>'Behaviour Calculations'!$O24</f>
        <v>0</v>
      </c>
      <c r="AA20" s="674">
        <f>'Reduced Power Lighting Calculat'!$H18</f>
        <v>0</v>
      </c>
      <c r="AB20" s="674">
        <f>'Hybrid Lighting Calculations'!H22</f>
        <v>0</v>
      </c>
      <c r="AC20" s="674">
        <f>'PIR Lighting Calculations'!$H18</f>
        <v>0</v>
      </c>
      <c r="AD20" s="674">
        <f>'Water Calculations'!$I18</f>
        <v>0</v>
      </c>
      <c r="AE20" s="674">
        <f>'Additional Initiatives'!$H31</f>
        <v>0</v>
      </c>
      <c r="AF20" s="679">
        <f t="shared" si="11"/>
        <v>0</v>
      </c>
      <c r="AG20" s="679">
        <f>(C20-B20) - (0.13 * 'Data Entry Fuel'!I$3) * (U20+AB20)</f>
        <v>0</v>
      </c>
      <c r="AH20" s="5"/>
      <c r="AI20" s="19">
        <v>1103</v>
      </c>
      <c r="AJ20" s="19">
        <f t="shared" si="12"/>
        <v>2011</v>
      </c>
      <c r="AK20" s="19">
        <f t="shared" si="13"/>
        <v>5</v>
      </c>
      <c r="AL20" s="19">
        <v>16</v>
      </c>
      <c r="AM20" s="697">
        <f t="shared" si="14"/>
        <v>0</v>
      </c>
      <c r="AN20" s="697">
        <f t="shared" si="17"/>
        <v>0</v>
      </c>
      <c r="AO20" s="697">
        <f t="shared" si="18"/>
        <v>0</v>
      </c>
      <c r="AP20" s="697">
        <f>IF(AP$4='Additional Initiatives'!$B$163,'Additional Initiatives'!$B179,IF(AP$4='Additional Initiatives'!$C$163,'Additional Initiatives'!$C179,IF(AP$4='Additional Initiatives'!$D$163,'Additional Initiatives'!$D179,IF(AP$4='Additional Initiatives'!$E$163,'Additional Initiatives'!$E179,IF(AP$4='Additional Initiatives'!$F$163,'Additional Initiatives'!$F179,0)))))+AP19</f>
        <v>0</v>
      </c>
      <c r="AQ20" s="697">
        <f>IF(AQ$4='Additional Initiatives'!$B$163,'Additional Initiatives'!$B179,IF(AQ$4='Additional Initiatives'!$C$163,'Additional Initiatives'!$C179,IF(AQ$4='Additional Initiatives'!$D$163,'Additional Initiatives'!$D179,IF(AQ$4='Additional Initiatives'!$E$163,'Additional Initiatives'!$E179,IF(AQ$4='Additional Initiatives'!$F$163,'Additional Initiatives'!$F179,0)))))+AQ19</f>
        <v>0</v>
      </c>
      <c r="AR20" s="697">
        <f>IF(AR$4='Additional Initiatives'!$B$163,'Additional Initiatives'!$B179,IF(AR$4='Additional Initiatives'!$C$163,'Additional Initiatives'!$C179,IF(AR$4='Additional Initiatives'!$D$163,'Additional Initiatives'!$D179,IF(AR$4='Additional Initiatives'!$E$163,'Additional Initiatives'!$E179,IF(AR$4='Additional Initiatives'!$F$163,'Additional Initiatives'!$F179,0)))))+AR19</f>
        <v>0</v>
      </c>
      <c r="AS20" s="697">
        <f t="shared" si="19"/>
        <v>0</v>
      </c>
      <c r="AT20" s="696">
        <f t="shared" si="15"/>
        <v>0</v>
      </c>
      <c r="AU20" s="696">
        <f t="shared" si="20"/>
        <v>0</v>
      </c>
      <c r="AV20" s="696">
        <f t="shared" si="21"/>
        <v>0</v>
      </c>
      <c r="AW20" s="696">
        <f t="shared" si="22"/>
        <v>0</v>
      </c>
      <c r="AX20" s="696">
        <f t="shared" si="23"/>
        <v>0</v>
      </c>
      <c r="AY20" s="696">
        <f t="shared" si="24"/>
        <v>0</v>
      </c>
      <c r="AZ20" s="696">
        <f t="shared" si="25"/>
        <v>0</v>
      </c>
      <c r="BA20" s="696">
        <f t="shared" si="26"/>
        <v>0</v>
      </c>
      <c r="BB20" s="696">
        <f t="shared" si="27"/>
        <v>0</v>
      </c>
      <c r="BC20" s="696">
        <f>IF(BC$4='Additional Initiatives'!$B$163,'Additional Initiatives'!$B179,IF(BC$4='Additional Initiatives'!$C$163,'Additional Initiatives'!$C179,IF(BC$4='Additional Initiatives'!$D$163,'Additional Initiatives'!$D179,IF(BC$4='Additional Initiatives'!$E$163,'Additional Initiatives'!$E179,IF(BC$4='Additional Initiatives'!$F$163,'Additional Initiatives'!$F179,0)))))+BC19</f>
        <v>0</v>
      </c>
      <c r="BD20" s="696">
        <f>IF(BD$4='Additional Initiatives'!$B$163,'Additional Initiatives'!$B179,IF(BD$4='Additional Initiatives'!$C$163,'Additional Initiatives'!$C179,IF(BD$4='Additional Initiatives'!$D$163,'Additional Initiatives'!$D179,IF(BD$4='Additional Initiatives'!$E$163,'Additional Initiatives'!$E179,IF(BD$4='Additional Initiatives'!$F$163,'Additional Initiatives'!$F179,0)))))+BD19</f>
        <v>0</v>
      </c>
      <c r="BE20" s="696">
        <f>IF(BE$4='Additional Initiatives'!$B$163,'Additional Initiatives'!$B179,IF(BE$4='Additional Initiatives'!$C$163,'Additional Initiatives'!$C179,IF(BE$4='Additional Initiatives'!$D$163,'Additional Initiatives'!$D179,IF(BE$4='Additional Initiatives'!$E$163,'Additional Initiatives'!$E179,IF(BE$4='Additional Initiatives'!$F$163,'Additional Initiatives'!$F179,0)))))+BE19</f>
        <v>0</v>
      </c>
      <c r="BF20" s="696">
        <f t="shared" si="28"/>
        <v>0</v>
      </c>
    </row>
    <row r="21" spans="1:58">
      <c r="A21" s="21" t="s">
        <v>43</v>
      </c>
      <c r="B21" s="672">
        <f>'Data Entry Fuel'!B20*'Data Entry Fuel'!B172
+'Data Entry Fuel'!C20*'Data Entry Fuel'!C172
+'Data Entry Fuel'!D20*'Data Entry Fuel'!D172
+'Data Entry Fuel'!E20*'Data Entry Fuel'!E172
+'Data Entry Fuel'!F20*'Data Entry Fuel'!F172
+'Data Entry Fuel'!G20*'Data Entry Fuel'!G172
+'Data Entry Fuel'!H20*'Data Entry Fuel'!H172
+'Data Entry Fuel'!I20*'Data Entry Fuel'!I172
+'Data Entry Fuel'!J20*'Data Entry Fuel'!J172</f>
        <v>0</v>
      </c>
      <c r="C21" s="672">
        <f>'Data Entry Fuel'!B20*'Data Entry Fuel'!B172
+'Data Entry Fuel'!C20*'Data Entry Fuel'!C172
+'Data Entry Fuel'!D20*'Data Entry Fuel'!D172
+'Data Entry Fuel'!E20*'Data Entry Fuel'!E172
+'Data Entry Fuel'!F20*'Data Entry Fuel'!F172
+'Data Entry Fuel'!G20*'Data Entry Fuel'!G172
+'Data Entry Fuel'!H20*'Data Entry Fuel'!H172
+'Data Entry Fuel'!I20*'Data Entry Fuel'!C172 *   (1 -  0.13 * 'Data Entry Fuel'!I$3)
+'Data Entry Fuel'!J20*'Data Entry Fuel'!J172</f>
        <v>0</v>
      </c>
      <c r="D21" s="677">
        <f>'Data Entry Electricity'!B20*'Data Entry Electricity'!L20+'Data Entry Electricity'!C20*'Data Entry Electricity'!M20+'Data Entry Electricity'!D20*'Data Entry Electricity'!N20+'Data Entry Electricity'!E20*'Data Entry Electricity'!O20</f>
        <v>0</v>
      </c>
      <c r="E21" s="776">
        <f>'Data Entry Electricity'!B20*'Data Entry Electricity'!L20+'Data Entry Electricity'!C20*'Data Entry Electricity'!L20+'Data Entry Electricity'!D20*'Data Entry Electricity'!N20+'Data Entry Electricity'!E20*'Data Entry Electricity'!O20</f>
        <v>0</v>
      </c>
      <c r="F21" s="777">
        <f>(SUM('Fuel Equipment Savings Calculat'!$B18:$S18))+(SUM('Efficient Site Offices DD &amp; Cal'!$B54:$F54))+'PFC Calculations'!$G19+(SUM('Behaviour Calculations'!$E25,'Behaviour Calculations'!$J25,'Behaviour Calculations'!$O25))+(SUM('Reduced Power Lighting Calculat'!$B19:$F19)+SUM('Hybrid Lighting Calculations'!$B23:$F23)+('PIR Lighting Calculations'!$H19)+SUM('Water Calculations'!$B19:$G19)+'Additional Initiatives'!$H32)</f>
        <v>0</v>
      </c>
      <c r="G21" s="778">
        <f t="shared" si="0"/>
        <v>0</v>
      </c>
      <c r="H21" s="778">
        <f t="shared" si="5"/>
        <v>0</v>
      </c>
      <c r="I21" s="778">
        <f t="shared" si="1"/>
        <v>0</v>
      </c>
      <c r="J21" s="798">
        <f t="shared" si="6"/>
        <v>0</v>
      </c>
      <c r="K21" s="779">
        <f t="shared" si="7"/>
        <v>0</v>
      </c>
      <c r="L21" s="780">
        <f t="shared" si="2"/>
        <v>0</v>
      </c>
      <c r="M21" s="780">
        <f t="shared" si="3"/>
        <v>0</v>
      </c>
      <c r="N21" s="781">
        <f t="shared" si="4"/>
        <v>0</v>
      </c>
      <c r="O21" s="781">
        <f t="shared" si="16"/>
        <v>0</v>
      </c>
      <c r="Q21" s="683">
        <f t="shared" si="8"/>
        <v>0</v>
      </c>
      <c r="R21" s="683">
        <f t="shared" si="9"/>
        <v>0</v>
      </c>
      <c r="T21" s="673">
        <f t="shared" si="10"/>
        <v>0</v>
      </c>
      <c r="U21" s="674">
        <f>'Fuel Equipment Savings Calculat'!$V18</f>
        <v>0</v>
      </c>
      <c r="V21" s="674">
        <f>'Efficient Site Offices DD &amp; Cal'!$H54</f>
        <v>0</v>
      </c>
      <c r="W21" s="674">
        <f>'PFC Calculations'!$G19</f>
        <v>0</v>
      </c>
      <c r="X21" s="674">
        <f>'Behaviour Calculations'!$E25</f>
        <v>0</v>
      </c>
      <c r="Y21" s="674">
        <f>'Behaviour Calculations'!$J25</f>
        <v>0</v>
      </c>
      <c r="Z21" s="674">
        <f>'Behaviour Calculations'!$O25</f>
        <v>0</v>
      </c>
      <c r="AA21" s="674">
        <f>'Reduced Power Lighting Calculat'!$H19</f>
        <v>0</v>
      </c>
      <c r="AB21" s="674">
        <f>'Hybrid Lighting Calculations'!H23</f>
        <v>0</v>
      </c>
      <c r="AC21" s="674">
        <f>'PIR Lighting Calculations'!$H19</f>
        <v>0</v>
      </c>
      <c r="AD21" s="674">
        <f>'Water Calculations'!$I19</f>
        <v>0</v>
      </c>
      <c r="AE21" s="674">
        <f>'Additional Initiatives'!$H32</f>
        <v>0</v>
      </c>
      <c r="AF21" s="679">
        <f t="shared" si="11"/>
        <v>0</v>
      </c>
      <c r="AG21" s="679">
        <f>(C21-B21) - (0.13 * 'Data Entry Fuel'!I$3) * (U21+AB21)</f>
        <v>0</v>
      </c>
      <c r="AH21" s="5"/>
      <c r="AI21" s="19">
        <v>1104</v>
      </c>
      <c r="AJ21" s="19">
        <f t="shared" si="12"/>
        <v>2011</v>
      </c>
      <c r="AK21" s="19">
        <f t="shared" si="13"/>
        <v>5</v>
      </c>
      <c r="AL21" s="19">
        <v>17</v>
      </c>
      <c r="AM21" s="697">
        <f t="shared" si="14"/>
        <v>0</v>
      </c>
      <c r="AN21" s="697">
        <f t="shared" si="17"/>
        <v>0</v>
      </c>
      <c r="AO21" s="697">
        <f t="shared" si="18"/>
        <v>0</v>
      </c>
      <c r="AP21" s="697">
        <f>IF(AP$4='Additional Initiatives'!$B$163,'Additional Initiatives'!$B180,IF(AP$4='Additional Initiatives'!$C$163,'Additional Initiatives'!$C180,IF(AP$4='Additional Initiatives'!$D$163,'Additional Initiatives'!$D180,IF(AP$4='Additional Initiatives'!$E$163,'Additional Initiatives'!$E180,IF(AP$4='Additional Initiatives'!$F$163,'Additional Initiatives'!$F180,0)))))+AP20</f>
        <v>0</v>
      </c>
      <c r="AQ21" s="697">
        <f>IF(AQ$4='Additional Initiatives'!$B$163,'Additional Initiatives'!$B180,IF(AQ$4='Additional Initiatives'!$C$163,'Additional Initiatives'!$C180,IF(AQ$4='Additional Initiatives'!$D$163,'Additional Initiatives'!$D180,IF(AQ$4='Additional Initiatives'!$E$163,'Additional Initiatives'!$E180,IF(AQ$4='Additional Initiatives'!$F$163,'Additional Initiatives'!$F180,0)))))+AQ20</f>
        <v>0</v>
      </c>
      <c r="AR21" s="697">
        <f>IF(AR$4='Additional Initiatives'!$B$163,'Additional Initiatives'!$B180,IF(AR$4='Additional Initiatives'!$C$163,'Additional Initiatives'!$C180,IF(AR$4='Additional Initiatives'!$D$163,'Additional Initiatives'!$D180,IF(AR$4='Additional Initiatives'!$E$163,'Additional Initiatives'!$E180,IF(AR$4='Additional Initiatives'!$F$163,'Additional Initiatives'!$F180,0)))))+AR20</f>
        <v>0</v>
      </c>
      <c r="AS21" s="697">
        <f t="shared" si="19"/>
        <v>0</v>
      </c>
      <c r="AT21" s="696">
        <f t="shared" si="15"/>
        <v>0</v>
      </c>
      <c r="AU21" s="696">
        <f t="shared" si="20"/>
        <v>0</v>
      </c>
      <c r="AV21" s="696">
        <f t="shared" si="21"/>
        <v>0</v>
      </c>
      <c r="AW21" s="696">
        <f t="shared" si="22"/>
        <v>0</v>
      </c>
      <c r="AX21" s="696">
        <f t="shared" si="23"/>
        <v>0</v>
      </c>
      <c r="AY21" s="696">
        <f t="shared" si="24"/>
        <v>0</v>
      </c>
      <c r="AZ21" s="696">
        <f t="shared" si="25"/>
        <v>0</v>
      </c>
      <c r="BA21" s="696">
        <f t="shared" si="26"/>
        <v>0</v>
      </c>
      <c r="BB21" s="696">
        <f t="shared" si="27"/>
        <v>0</v>
      </c>
      <c r="BC21" s="696">
        <f>IF(BC$4='Additional Initiatives'!$B$163,'Additional Initiatives'!$B180,IF(BC$4='Additional Initiatives'!$C$163,'Additional Initiatives'!$C180,IF(BC$4='Additional Initiatives'!$D$163,'Additional Initiatives'!$D180,IF(BC$4='Additional Initiatives'!$E$163,'Additional Initiatives'!$E180,IF(BC$4='Additional Initiatives'!$F$163,'Additional Initiatives'!$F180,0)))))+BC20</f>
        <v>0</v>
      </c>
      <c r="BD21" s="696">
        <f>IF(BD$4='Additional Initiatives'!$B$163,'Additional Initiatives'!$B180,IF(BD$4='Additional Initiatives'!$C$163,'Additional Initiatives'!$C180,IF(BD$4='Additional Initiatives'!$D$163,'Additional Initiatives'!$D180,IF(BD$4='Additional Initiatives'!$E$163,'Additional Initiatives'!$E180,IF(BD$4='Additional Initiatives'!$F$163,'Additional Initiatives'!$F180,0)))))+BD20</f>
        <v>0</v>
      </c>
      <c r="BE21" s="696">
        <f>IF(BE$4='Additional Initiatives'!$B$163,'Additional Initiatives'!$B180,IF(BE$4='Additional Initiatives'!$C$163,'Additional Initiatives'!$C180,IF(BE$4='Additional Initiatives'!$D$163,'Additional Initiatives'!$D180,IF(BE$4='Additional Initiatives'!$E$163,'Additional Initiatives'!$E180,IF(BE$4='Additional Initiatives'!$F$163,'Additional Initiatives'!$F180,0)))))+BE20</f>
        <v>0</v>
      </c>
      <c r="BF21" s="696">
        <f t="shared" si="28"/>
        <v>0</v>
      </c>
    </row>
    <row r="22" spans="1:58">
      <c r="A22" s="21" t="s">
        <v>44</v>
      </c>
      <c r="B22" s="672">
        <f>'Data Entry Fuel'!B21*'Data Entry Fuel'!B173
+'Data Entry Fuel'!C21*'Data Entry Fuel'!C173
+'Data Entry Fuel'!D21*'Data Entry Fuel'!D173
+'Data Entry Fuel'!E21*'Data Entry Fuel'!E173
+'Data Entry Fuel'!F21*'Data Entry Fuel'!F173
+'Data Entry Fuel'!G21*'Data Entry Fuel'!G173
+'Data Entry Fuel'!H21*'Data Entry Fuel'!H173
+'Data Entry Fuel'!I21*'Data Entry Fuel'!I173
+'Data Entry Fuel'!J21*'Data Entry Fuel'!J173</f>
        <v>0</v>
      </c>
      <c r="C22" s="672">
        <f>'Data Entry Fuel'!B21*'Data Entry Fuel'!B173
+'Data Entry Fuel'!C21*'Data Entry Fuel'!C173
+'Data Entry Fuel'!D21*'Data Entry Fuel'!D173
+'Data Entry Fuel'!E21*'Data Entry Fuel'!E173
+'Data Entry Fuel'!F21*'Data Entry Fuel'!F173
+'Data Entry Fuel'!G21*'Data Entry Fuel'!G173
+'Data Entry Fuel'!H21*'Data Entry Fuel'!H173
+'Data Entry Fuel'!I21*'Data Entry Fuel'!C173 *   (1 -  0.13 * 'Data Entry Fuel'!I$3)
+'Data Entry Fuel'!J21*'Data Entry Fuel'!J173</f>
        <v>0</v>
      </c>
      <c r="D22" s="677">
        <f>'Data Entry Electricity'!B21*'Data Entry Electricity'!L21+'Data Entry Electricity'!C21*'Data Entry Electricity'!M21+'Data Entry Electricity'!D21*'Data Entry Electricity'!N21+'Data Entry Electricity'!E21*'Data Entry Electricity'!O21</f>
        <v>0</v>
      </c>
      <c r="E22" s="776">
        <f>'Data Entry Electricity'!B21*'Data Entry Electricity'!L21+'Data Entry Electricity'!C21*'Data Entry Electricity'!L21+'Data Entry Electricity'!D21*'Data Entry Electricity'!N21+'Data Entry Electricity'!E21*'Data Entry Electricity'!O21</f>
        <v>0</v>
      </c>
      <c r="F22" s="777">
        <f>(SUM('Fuel Equipment Savings Calculat'!$B19:$S19))+(SUM('Efficient Site Offices DD &amp; Cal'!$B55:$F55))+'PFC Calculations'!$G20+(SUM('Behaviour Calculations'!$E26,'Behaviour Calculations'!$J26,'Behaviour Calculations'!$O26))+(SUM('Reduced Power Lighting Calculat'!$B20:$F20)+SUM('Hybrid Lighting Calculations'!$B24:$F24)+('PIR Lighting Calculations'!$H20)+SUM('Water Calculations'!$B20:$G20)+'Additional Initiatives'!$H33)</f>
        <v>0</v>
      </c>
      <c r="G22" s="778">
        <f t="shared" si="0"/>
        <v>0</v>
      </c>
      <c r="H22" s="778">
        <f t="shared" si="5"/>
        <v>0</v>
      </c>
      <c r="I22" s="778">
        <f t="shared" si="1"/>
        <v>0</v>
      </c>
      <c r="J22" s="798">
        <f t="shared" si="6"/>
        <v>0</v>
      </c>
      <c r="K22" s="779">
        <f t="shared" si="7"/>
        <v>0</v>
      </c>
      <c r="L22" s="780">
        <f t="shared" si="2"/>
        <v>0</v>
      </c>
      <c r="M22" s="780">
        <f t="shared" si="3"/>
        <v>0</v>
      </c>
      <c r="N22" s="781">
        <f t="shared" si="4"/>
        <v>0</v>
      </c>
      <c r="O22" s="781">
        <f t="shared" si="16"/>
        <v>0</v>
      </c>
      <c r="Q22" s="683">
        <f t="shared" si="8"/>
        <v>0</v>
      </c>
      <c r="R22" s="683">
        <f t="shared" si="9"/>
        <v>0</v>
      </c>
      <c r="T22" s="673">
        <f t="shared" si="10"/>
        <v>0</v>
      </c>
      <c r="U22" s="674">
        <f>'Fuel Equipment Savings Calculat'!$V19</f>
        <v>0</v>
      </c>
      <c r="V22" s="674">
        <f>'Efficient Site Offices DD &amp; Cal'!$H55</f>
        <v>0</v>
      </c>
      <c r="W22" s="674">
        <f>'PFC Calculations'!$G20</f>
        <v>0</v>
      </c>
      <c r="X22" s="674">
        <f>'Behaviour Calculations'!$E26</f>
        <v>0</v>
      </c>
      <c r="Y22" s="674">
        <f>'Behaviour Calculations'!$J26</f>
        <v>0</v>
      </c>
      <c r="Z22" s="674">
        <f>'Behaviour Calculations'!$O26</f>
        <v>0</v>
      </c>
      <c r="AA22" s="674">
        <f>'Reduced Power Lighting Calculat'!$H20</f>
        <v>0</v>
      </c>
      <c r="AB22" s="674">
        <f>'Hybrid Lighting Calculations'!H24</f>
        <v>0</v>
      </c>
      <c r="AC22" s="674">
        <f>'PIR Lighting Calculations'!$H20</f>
        <v>0</v>
      </c>
      <c r="AD22" s="674">
        <f>'Water Calculations'!$I20</f>
        <v>0</v>
      </c>
      <c r="AE22" s="674">
        <f>'Additional Initiatives'!$H33</f>
        <v>0</v>
      </c>
      <c r="AF22" s="679">
        <f t="shared" si="11"/>
        <v>0</v>
      </c>
      <c r="AG22" s="679">
        <f>(C22-B22) - (0.13 * 'Data Entry Fuel'!I$3) * (U22+AB22)</f>
        <v>0</v>
      </c>
      <c r="AH22" s="5"/>
      <c r="AI22" s="19">
        <v>1105</v>
      </c>
      <c r="AJ22" s="19">
        <f t="shared" si="12"/>
        <v>2011</v>
      </c>
      <c r="AK22" s="19">
        <f t="shared" si="13"/>
        <v>5</v>
      </c>
      <c r="AL22" s="19">
        <v>18</v>
      </c>
      <c r="AM22" s="697">
        <f t="shared" si="14"/>
        <v>0</v>
      </c>
      <c r="AN22" s="697">
        <f t="shared" si="17"/>
        <v>0</v>
      </c>
      <c r="AO22" s="697">
        <f t="shared" si="18"/>
        <v>0</v>
      </c>
      <c r="AP22" s="697">
        <f>IF(AP$4='Additional Initiatives'!$B$163,'Additional Initiatives'!$B181,IF(AP$4='Additional Initiatives'!$C$163,'Additional Initiatives'!$C181,IF(AP$4='Additional Initiatives'!$D$163,'Additional Initiatives'!$D181,IF(AP$4='Additional Initiatives'!$E$163,'Additional Initiatives'!$E181,IF(AP$4='Additional Initiatives'!$F$163,'Additional Initiatives'!$F181,0)))))+AP21</f>
        <v>0</v>
      </c>
      <c r="AQ22" s="697">
        <f>IF(AQ$4='Additional Initiatives'!$B$163,'Additional Initiatives'!$B181,IF(AQ$4='Additional Initiatives'!$C$163,'Additional Initiatives'!$C181,IF(AQ$4='Additional Initiatives'!$D$163,'Additional Initiatives'!$D181,IF(AQ$4='Additional Initiatives'!$E$163,'Additional Initiatives'!$E181,IF(AQ$4='Additional Initiatives'!$F$163,'Additional Initiatives'!$F181,0)))))+AQ21</f>
        <v>0</v>
      </c>
      <c r="AR22" s="697">
        <f>IF(AR$4='Additional Initiatives'!$B$163,'Additional Initiatives'!$B181,IF(AR$4='Additional Initiatives'!$C$163,'Additional Initiatives'!$C181,IF(AR$4='Additional Initiatives'!$D$163,'Additional Initiatives'!$D181,IF(AR$4='Additional Initiatives'!$E$163,'Additional Initiatives'!$E181,IF(AR$4='Additional Initiatives'!$F$163,'Additional Initiatives'!$F181,0)))))+AR21</f>
        <v>0</v>
      </c>
      <c r="AS22" s="697">
        <f t="shared" si="19"/>
        <v>0</v>
      </c>
      <c r="AT22" s="696">
        <f t="shared" si="15"/>
        <v>0</v>
      </c>
      <c r="AU22" s="696">
        <f t="shared" si="20"/>
        <v>0</v>
      </c>
      <c r="AV22" s="696">
        <f t="shared" si="21"/>
        <v>0</v>
      </c>
      <c r="AW22" s="696">
        <f t="shared" si="22"/>
        <v>0</v>
      </c>
      <c r="AX22" s="696">
        <f t="shared" si="23"/>
        <v>0</v>
      </c>
      <c r="AY22" s="696">
        <f t="shared" si="24"/>
        <v>0</v>
      </c>
      <c r="AZ22" s="696">
        <f t="shared" si="25"/>
        <v>0</v>
      </c>
      <c r="BA22" s="696">
        <f t="shared" si="26"/>
        <v>0</v>
      </c>
      <c r="BB22" s="696">
        <f t="shared" si="27"/>
        <v>0</v>
      </c>
      <c r="BC22" s="696">
        <f>IF(BC$4='Additional Initiatives'!$B$163,'Additional Initiatives'!$B181,IF(BC$4='Additional Initiatives'!$C$163,'Additional Initiatives'!$C181,IF(BC$4='Additional Initiatives'!$D$163,'Additional Initiatives'!$D181,IF(BC$4='Additional Initiatives'!$E$163,'Additional Initiatives'!$E181,IF(BC$4='Additional Initiatives'!$F$163,'Additional Initiatives'!$F181,0)))))+BC21</f>
        <v>0</v>
      </c>
      <c r="BD22" s="696">
        <f>IF(BD$4='Additional Initiatives'!$B$163,'Additional Initiatives'!$B181,IF(BD$4='Additional Initiatives'!$C$163,'Additional Initiatives'!$C181,IF(BD$4='Additional Initiatives'!$D$163,'Additional Initiatives'!$D181,IF(BD$4='Additional Initiatives'!$E$163,'Additional Initiatives'!$E181,IF(BD$4='Additional Initiatives'!$F$163,'Additional Initiatives'!$F181,0)))))+BD21</f>
        <v>0</v>
      </c>
      <c r="BE22" s="696">
        <f>IF(BE$4='Additional Initiatives'!$B$163,'Additional Initiatives'!$B181,IF(BE$4='Additional Initiatives'!$C$163,'Additional Initiatives'!$C181,IF(BE$4='Additional Initiatives'!$D$163,'Additional Initiatives'!$D181,IF(BE$4='Additional Initiatives'!$E$163,'Additional Initiatives'!$E181,IF(BE$4='Additional Initiatives'!$F$163,'Additional Initiatives'!$F181,0)))))+BE21</f>
        <v>0</v>
      </c>
      <c r="BF22" s="696">
        <f t="shared" si="28"/>
        <v>0</v>
      </c>
    </row>
    <row r="23" spans="1:58">
      <c r="A23" s="21" t="s">
        <v>45</v>
      </c>
      <c r="B23" s="672">
        <f>'Data Entry Fuel'!B22*'Data Entry Fuel'!B174
+'Data Entry Fuel'!C22*'Data Entry Fuel'!C174
+'Data Entry Fuel'!D22*'Data Entry Fuel'!D174
+'Data Entry Fuel'!E22*'Data Entry Fuel'!E174
+'Data Entry Fuel'!F22*'Data Entry Fuel'!F174
+'Data Entry Fuel'!G22*'Data Entry Fuel'!G174
+'Data Entry Fuel'!H22*'Data Entry Fuel'!H174
+'Data Entry Fuel'!I22*'Data Entry Fuel'!I174
+'Data Entry Fuel'!J22*'Data Entry Fuel'!J174</f>
        <v>0</v>
      </c>
      <c r="C23" s="672">
        <f>'Data Entry Fuel'!B22*'Data Entry Fuel'!B174
+'Data Entry Fuel'!C22*'Data Entry Fuel'!C174
+'Data Entry Fuel'!D22*'Data Entry Fuel'!D174
+'Data Entry Fuel'!E22*'Data Entry Fuel'!E174
+'Data Entry Fuel'!F22*'Data Entry Fuel'!F174
+'Data Entry Fuel'!G22*'Data Entry Fuel'!G174
+'Data Entry Fuel'!H22*'Data Entry Fuel'!H174
+'Data Entry Fuel'!I22*'Data Entry Fuel'!C174 *   (1 -  0.13 * 'Data Entry Fuel'!I$3)
+'Data Entry Fuel'!J22*'Data Entry Fuel'!J174</f>
        <v>0</v>
      </c>
      <c r="D23" s="677">
        <f>'Data Entry Electricity'!B22*'Data Entry Electricity'!L22+'Data Entry Electricity'!C22*'Data Entry Electricity'!M22+'Data Entry Electricity'!D22*'Data Entry Electricity'!N22+'Data Entry Electricity'!E22*'Data Entry Electricity'!O22</f>
        <v>0</v>
      </c>
      <c r="E23" s="776">
        <f>'Data Entry Electricity'!B22*'Data Entry Electricity'!L22+'Data Entry Electricity'!C22*'Data Entry Electricity'!L22+'Data Entry Electricity'!D22*'Data Entry Electricity'!N22+'Data Entry Electricity'!E22*'Data Entry Electricity'!O22</f>
        <v>0</v>
      </c>
      <c r="F23" s="777">
        <f>(SUM('Fuel Equipment Savings Calculat'!$B20:$S20))+(SUM('Efficient Site Offices DD &amp; Cal'!$B56:$F56))+'PFC Calculations'!$G21+(SUM('Behaviour Calculations'!$E27,'Behaviour Calculations'!$J27,'Behaviour Calculations'!$O27))+(SUM('Reduced Power Lighting Calculat'!$B21:$F21)+SUM('Hybrid Lighting Calculations'!$B25:$F25)+('PIR Lighting Calculations'!$H21)+SUM('Water Calculations'!$B21:$G21)+'Additional Initiatives'!$H34)</f>
        <v>0</v>
      </c>
      <c r="G23" s="778">
        <f t="shared" si="0"/>
        <v>0</v>
      </c>
      <c r="H23" s="778">
        <f t="shared" si="5"/>
        <v>0</v>
      </c>
      <c r="I23" s="778">
        <f t="shared" si="1"/>
        <v>0</v>
      </c>
      <c r="J23" s="798">
        <f t="shared" si="6"/>
        <v>0</v>
      </c>
      <c r="K23" s="779">
        <f t="shared" si="7"/>
        <v>0</v>
      </c>
      <c r="L23" s="780">
        <f t="shared" si="2"/>
        <v>0</v>
      </c>
      <c r="M23" s="780">
        <f t="shared" si="3"/>
        <v>0</v>
      </c>
      <c r="N23" s="781">
        <f t="shared" si="4"/>
        <v>0</v>
      </c>
      <c r="O23" s="781">
        <f t="shared" si="16"/>
        <v>0</v>
      </c>
      <c r="Q23" s="683">
        <f t="shared" si="8"/>
        <v>0</v>
      </c>
      <c r="R23" s="683">
        <f t="shared" si="9"/>
        <v>0</v>
      </c>
      <c r="T23" s="673">
        <f t="shared" si="10"/>
        <v>0</v>
      </c>
      <c r="U23" s="674">
        <f>'Fuel Equipment Savings Calculat'!$V20</f>
        <v>0</v>
      </c>
      <c r="V23" s="674">
        <f>'Efficient Site Offices DD &amp; Cal'!$H56</f>
        <v>0</v>
      </c>
      <c r="W23" s="674">
        <f>'PFC Calculations'!$G21</f>
        <v>0</v>
      </c>
      <c r="X23" s="674">
        <f>'Behaviour Calculations'!$E27</f>
        <v>0</v>
      </c>
      <c r="Y23" s="674">
        <f>'Behaviour Calculations'!$J27</f>
        <v>0</v>
      </c>
      <c r="Z23" s="674">
        <f>'Behaviour Calculations'!$O27</f>
        <v>0</v>
      </c>
      <c r="AA23" s="674">
        <f>'Reduced Power Lighting Calculat'!$H21</f>
        <v>0</v>
      </c>
      <c r="AB23" s="674">
        <f>'Hybrid Lighting Calculations'!H25</f>
        <v>0</v>
      </c>
      <c r="AC23" s="674">
        <f>'PIR Lighting Calculations'!$H21</f>
        <v>0</v>
      </c>
      <c r="AD23" s="674">
        <f>'Water Calculations'!$I21</f>
        <v>0</v>
      </c>
      <c r="AE23" s="674">
        <f>'Additional Initiatives'!$H34</f>
        <v>0</v>
      </c>
      <c r="AF23" s="679">
        <f t="shared" si="11"/>
        <v>0</v>
      </c>
      <c r="AG23" s="679">
        <f>(C23-B23) - (0.13 * 'Data Entry Fuel'!I$3) * (U23+AB23)</f>
        <v>0</v>
      </c>
      <c r="AH23" s="5"/>
      <c r="AI23" s="19">
        <v>1106</v>
      </c>
      <c r="AJ23" s="19">
        <f t="shared" si="12"/>
        <v>2011</v>
      </c>
      <c r="AK23" s="19">
        <f t="shared" si="13"/>
        <v>5</v>
      </c>
      <c r="AL23" s="19">
        <v>19</v>
      </c>
      <c r="AM23" s="697">
        <f t="shared" si="14"/>
        <v>0</v>
      </c>
      <c r="AN23" s="697">
        <f t="shared" si="17"/>
        <v>0</v>
      </c>
      <c r="AO23" s="697">
        <f t="shared" si="18"/>
        <v>0</v>
      </c>
      <c r="AP23" s="697">
        <f>IF(AP$4='Additional Initiatives'!$B$163,'Additional Initiatives'!$B182,IF(AP$4='Additional Initiatives'!$C$163,'Additional Initiatives'!$C182,IF(AP$4='Additional Initiatives'!$D$163,'Additional Initiatives'!$D182,IF(AP$4='Additional Initiatives'!$E$163,'Additional Initiatives'!$E182,IF(AP$4='Additional Initiatives'!$F$163,'Additional Initiatives'!$F182,0)))))+AP22</f>
        <v>0</v>
      </c>
      <c r="AQ23" s="697">
        <f>IF(AQ$4='Additional Initiatives'!$B$163,'Additional Initiatives'!$B182,IF(AQ$4='Additional Initiatives'!$C$163,'Additional Initiatives'!$C182,IF(AQ$4='Additional Initiatives'!$D$163,'Additional Initiatives'!$D182,IF(AQ$4='Additional Initiatives'!$E$163,'Additional Initiatives'!$E182,IF(AQ$4='Additional Initiatives'!$F$163,'Additional Initiatives'!$F182,0)))))+AQ22</f>
        <v>0</v>
      </c>
      <c r="AR23" s="697">
        <f>IF(AR$4='Additional Initiatives'!$B$163,'Additional Initiatives'!$B182,IF(AR$4='Additional Initiatives'!$C$163,'Additional Initiatives'!$C182,IF(AR$4='Additional Initiatives'!$D$163,'Additional Initiatives'!$D182,IF(AR$4='Additional Initiatives'!$E$163,'Additional Initiatives'!$E182,IF(AR$4='Additional Initiatives'!$F$163,'Additional Initiatives'!$F182,0)))))+AR22</f>
        <v>0</v>
      </c>
      <c r="AS23" s="697">
        <f t="shared" si="19"/>
        <v>0</v>
      </c>
      <c r="AT23" s="696">
        <f t="shared" si="15"/>
        <v>0</v>
      </c>
      <c r="AU23" s="696">
        <f t="shared" si="20"/>
        <v>0</v>
      </c>
      <c r="AV23" s="696">
        <f t="shared" si="21"/>
        <v>0</v>
      </c>
      <c r="AW23" s="696">
        <f t="shared" si="22"/>
        <v>0</v>
      </c>
      <c r="AX23" s="696">
        <f t="shared" si="23"/>
        <v>0</v>
      </c>
      <c r="AY23" s="696">
        <f t="shared" si="24"/>
        <v>0</v>
      </c>
      <c r="AZ23" s="696">
        <f t="shared" si="25"/>
        <v>0</v>
      </c>
      <c r="BA23" s="696">
        <f t="shared" si="26"/>
        <v>0</v>
      </c>
      <c r="BB23" s="696">
        <f t="shared" si="27"/>
        <v>0</v>
      </c>
      <c r="BC23" s="696">
        <f>IF(BC$4='Additional Initiatives'!$B$163,'Additional Initiatives'!$B182,IF(BC$4='Additional Initiatives'!$C$163,'Additional Initiatives'!$C182,IF(BC$4='Additional Initiatives'!$D$163,'Additional Initiatives'!$D182,IF(BC$4='Additional Initiatives'!$E$163,'Additional Initiatives'!$E182,IF(BC$4='Additional Initiatives'!$F$163,'Additional Initiatives'!$F182,0)))))+BC22</f>
        <v>0</v>
      </c>
      <c r="BD23" s="696">
        <f>IF(BD$4='Additional Initiatives'!$B$163,'Additional Initiatives'!$B182,IF(BD$4='Additional Initiatives'!$C$163,'Additional Initiatives'!$C182,IF(BD$4='Additional Initiatives'!$D$163,'Additional Initiatives'!$D182,IF(BD$4='Additional Initiatives'!$E$163,'Additional Initiatives'!$E182,IF(BD$4='Additional Initiatives'!$F$163,'Additional Initiatives'!$F182,0)))))+BD22</f>
        <v>0</v>
      </c>
      <c r="BE23" s="696">
        <f>IF(BE$4='Additional Initiatives'!$B$163,'Additional Initiatives'!$B182,IF(BE$4='Additional Initiatives'!$C$163,'Additional Initiatives'!$C182,IF(BE$4='Additional Initiatives'!$D$163,'Additional Initiatives'!$D182,IF(BE$4='Additional Initiatives'!$E$163,'Additional Initiatives'!$E182,IF(BE$4='Additional Initiatives'!$F$163,'Additional Initiatives'!$F182,0)))))+BE22</f>
        <v>0</v>
      </c>
      <c r="BF23" s="696">
        <f t="shared" si="28"/>
        <v>0</v>
      </c>
    </row>
    <row r="24" spans="1:58">
      <c r="A24" s="21" t="s">
        <v>46</v>
      </c>
      <c r="B24" s="672">
        <f>'Data Entry Fuel'!B23*'Data Entry Fuel'!B175
+'Data Entry Fuel'!C23*'Data Entry Fuel'!C175
+'Data Entry Fuel'!D23*'Data Entry Fuel'!D175
+'Data Entry Fuel'!E23*'Data Entry Fuel'!E175
+'Data Entry Fuel'!F23*'Data Entry Fuel'!F175
+'Data Entry Fuel'!G23*'Data Entry Fuel'!G175
+'Data Entry Fuel'!H23*'Data Entry Fuel'!H175
+'Data Entry Fuel'!I23*'Data Entry Fuel'!I175
+'Data Entry Fuel'!J23*'Data Entry Fuel'!J175</f>
        <v>0</v>
      </c>
      <c r="C24" s="672">
        <f>'Data Entry Fuel'!B23*'Data Entry Fuel'!B175
+'Data Entry Fuel'!C23*'Data Entry Fuel'!C175
+'Data Entry Fuel'!D23*'Data Entry Fuel'!D175
+'Data Entry Fuel'!E23*'Data Entry Fuel'!E175
+'Data Entry Fuel'!F23*'Data Entry Fuel'!F175
+'Data Entry Fuel'!G23*'Data Entry Fuel'!G175
+'Data Entry Fuel'!H23*'Data Entry Fuel'!H175
+'Data Entry Fuel'!I23*'Data Entry Fuel'!C175 *   (1 -  0.13 * 'Data Entry Fuel'!I$3)
+'Data Entry Fuel'!J23*'Data Entry Fuel'!J175</f>
        <v>0</v>
      </c>
      <c r="D24" s="677">
        <f>'Data Entry Electricity'!B23*'Data Entry Electricity'!L23+'Data Entry Electricity'!C23*'Data Entry Electricity'!M23+'Data Entry Electricity'!D23*'Data Entry Electricity'!N23+'Data Entry Electricity'!E23*'Data Entry Electricity'!O23</f>
        <v>0</v>
      </c>
      <c r="E24" s="776">
        <f>'Data Entry Electricity'!B23*'Data Entry Electricity'!L23+'Data Entry Electricity'!C23*'Data Entry Electricity'!L23+'Data Entry Electricity'!D23*'Data Entry Electricity'!N23+'Data Entry Electricity'!E23*'Data Entry Electricity'!O23</f>
        <v>0</v>
      </c>
      <c r="F24" s="777">
        <f>(SUM('Fuel Equipment Savings Calculat'!$B21:$S21))+(SUM('Efficient Site Offices DD &amp; Cal'!$B57:$F57))+'PFC Calculations'!$G22+(SUM('Behaviour Calculations'!$E28,'Behaviour Calculations'!$J28,'Behaviour Calculations'!$O28))+(SUM('Reduced Power Lighting Calculat'!$B22:$F22)+SUM('Hybrid Lighting Calculations'!$B26:$F26)+('PIR Lighting Calculations'!$H22)+SUM('Water Calculations'!$B22:$G22)+'Additional Initiatives'!$H35)</f>
        <v>0</v>
      </c>
      <c r="G24" s="778">
        <f t="shared" si="0"/>
        <v>0</v>
      </c>
      <c r="H24" s="778">
        <f t="shared" si="5"/>
        <v>0</v>
      </c>
      <c r="I24" s="778">
        <f t="shared" si="1"/>
        <v>0</v>
      </c>
      <c r="J24" s="798">
        <f t="shared" si="6"/>
        <v>0</v>
      </c>
      <c r="K24" s="779">
        <f t="shared" si="7"/>
        <v>0</v>
      </c>
      <c r="L24" s="780">
        <f t="shared" si="2"/>
        <v>0</v>
      </c>
      <c r="M24" s="780">
        <f t="shared" si="3"/>
        <v>0</v>
      </c>
      <c r="N24" s="781">
        <f t="shared" si="4"/>
        <v>0</v>
      </c>
      <c r="O24" s="781">
        <f t="shared" si="16"/>
        <v>0</v>
      </c>
      <c r="Q24" s="683">
        <f t="shared" si="8"/>
        <v>0</v>
      </c>
      <c r="R24" s="683">
        <f t="shared" si="9"/>
        <v>0</v>
      </c>
      <c r="T24" s="673">
        <f t="shared" si="10"/>
        <v>0</v>
      </c>
      <c r="U24" s="674">
        <f>'Fuel Equipment Savings Calculat'!$V21</f>
        <v>0</v>
      </c>
      <c r="V24" s="674">
        <f>'Efficient Site Offices DD &amp; Cal'!$H57</f>
        <v>0</v>
      </c>
      <c r="W24" s="674">
        <f>'PFC Calculations'!$G22</f>
        <v>0</v>
      </c>
      <c r="X24" s="674">
        <f>'Behaviour Calculations'!$E28</f>
        <v>0</v>
      </c>
      <c r="Y24" s="674">
        <f>'Behaviour Calculations'!$J28</f>
        <v>0</v>
      </c>
      <c r="Z24" s="674">
        <f>'Behaviour Calculations'!$O28</f>
        <v>0</v>
      </c>
      <c r="AA24" s="674">
        <f>'Reduced Power Lighting Calculat'!$H22</f>
        <v>0</v>
      </c>
      <c r="AB24" s="674">
        <f>'Hybrid Lighting Calculations'!H26</f>
        <v>0</v>
      </c>
      <c r="AC24" s="674">
        <f>'PIR Lighting Calculations'!$H22</f>
        <v>0</v>
      </c>
      <c r="AD24" s="674">
        <f>'Water Calculations'!$I22</f>
        <v>0</v>
      </c>
      <c r="AE24" s="674">
        <f>'Additional Initiatives'!$H35</f>
        <v>0</v>
      </c>
      <c r="AF24" s="679">
        <f t="shared" si="11"/>
        <v>0</v>
      </c>
      <c r="AG24" s="679">
        <f>(C24-B24) - (0.13 * 'Data Entry Fuel'!I$3) * (U24+AB24)</f>
        <v>0</v>
      </c>
      <c r="AH24" s="5"/>
      <c r="AI24" s="19">
        <v>1107</v>
      </c>
      <c r="AJ24" s="19">
        <f t="shared" si="12"/>
        <v>2011</v>
      </c>
      <c r="AK24" s="19">
        <f t="shared" si="13"/>
        <v>5</v>
      </c>
      <c r="AL24" s="19">
        <v>20</v>
      </c>
      <c r="AM24" s="697">
        <f t="shared" si="14"/>
        <v>0</v>
      </c>
      <c r="AN24" s="697">
        <f t="shared" si="17"/>
        <v>0</v>
      </c>
      <c r="AO24" s="697">
        <f t="shared" si="18"/>
        <v>0</v>
      </c>
      <c r="AP24" s="697">
        <f>IF(AP$4='Additional Initiatives'!$B$163,'Additional Initiatives'!$B183,IF(AP$4='Additional Initiatives'!$C$163,'Additional Initiatives'!$C183,IF(AP$4='Additional Initiatives'!$D$163,'Additional Initiatives'!$D183,IF(AP$4='Additional Initiatives'!$E$163,'Additional Initiatives'!$E183,IF(AP$4='Additional Initiatives'!$F$163,'Additional Initiatives'!$F183,0)))))+AP23</f>
        <v>0</v>
      </c>
      <c r="AQ24" s="697">
        <f>IF(AQ$4='Additional Initiatives'!$B$163,'Additional Initiatives'!$B183,IF(AQ$4='Additional Initiatives'!$C$163,'Additional Initiatives'!$C183,IF(AQ$4='Additional Initiatives'!$D$163,'Additional Initiatives'!$D183,IF(AQ$4='Additional Initiatives'!$E$163,'Additional Initiatives'!$E183,IF(AQ$4='Additional Initiatives'!$F$163,'Additional Initiatives'!$F183,0)))))+AQ23</f>
        <v>0</v>
      </c>
      <c r="AR24" s="697">
        <f>IF(AR$4='Additional Initiatives'!$B$163,'Additional Initiatives'!$B183,IF(AR$4='Additional Initiatives'!$C$163,'Additional Initiatives'!$C183,IF(AR$4='Additional Initiatives'!$D$163,'Additional Initiatives'!$D183,IF(AR$4='Additional Initiatives'!$E$163,'Additional Initiatives'!$E183,IF(AR$4='Additional Initiatives'!$F$163,'Additional Initiatives'!$F183,0)))))+AR23</f>
        <v>0</v>
      </c>
      <c r="AS24" s="697">
        <f t="shared" si="19"/>
        <v>0</v>
      </c>
      <c r="AT24" s="696">
        <f t="shared" si="15"/>
        <v>0</v>
      </c>
      <c r="AU24" s="696">
        <f t="shared" si="20"/>
        <v>0</v>
      </c>
      <c r="AV24" s="696">
        <f t="shared" si="21"/>
        <v>0</v>
      </c>
      <c r="AW24" s="696">
        <f t="shared" si="22"/>
        <v>0</v>
      </c>
      <c r="AX24" s="696">
        <f t="shared" si="23"/>
        <v>0</v>
      </c>
      <c r="AY24" s="696">
        <f t="shared" si="24"/>
        <v>0</v>
      </c>
      <c r="AZ24" s="696">
        <f t="shared" si="25"/>
        <v>0</v>
      </c>
      <c r="BA24" s="696">
        <f t="shared" si="26"/>
        <v>0</v>
      </c>
      <c r="BB24" s="696">
        <f t="shared" si="27"/>
        <v>0</v>
      </c>
      <c r="BC24" s="696">
        <f>IF(BC$4='Additional Initiatives'!$B$163,'Additional Initiatives'!$B183,IF(BC$4='Additional Initiatives'!$C$163,'Additional Initiatives'!$C183,IF(BC$4='Additional Initiatives'!$D$163,'Additional Initiatives'!$D183,IF(BC$4='Additional Initiatives'!$E$163,'Additional Initiatives'!$E183,IF(BC$4='Additional Initiatives'!$F$163,'Additional Initiatives'!$F183,0)))))+BC23</f>
        <v>0</v>
      </c>
      <c r="BD24" s="696">
        <f>IF(BD$4='Additional Initiatives'!$B$163,'Additional Initiatives'!$B183,IF(BD$4='Additional Initiatives'!$C$163,'Additional Initiatives'!$C183,IF(BD$4='Additional Initiatives'!$D$163,'Additional Initiatives'!$D183,IF(BD$4='Additional Initiatives'!$E$163,'Additional Initiatives'!$E183,IF(BD$4='Additional Initiatives'!$F$163,'Additional Initiatives'!$F183,0)))))+BD23</f>
        <v>0</v>
      </c>
      <c r="BE24" s="696">
        <f>IF(BE$4='Additional Initiatives'!$B$163,'Additional Initiatives'!$B183,IF(BE$4='Additional Initiatives'!$C$163,'Additional Initiatives'!$C183,IF(BE$4='Additional Initiatives'!$D$163,'Additional Initiatives'!$D183,IF(BE$4='Additional Initiatives'!$E$163,'Additional Initiatives'!$E183,IF(BE$4='Additional Initiatives'!$F$163,'Additional Initiatives'!$F183,0)))))+BE23</f>
        <v>0</v>
      </c>
      <c r="BF24" s="696">
        <f t="shared" si="28"/>
        <v>0</v>
      </c>
    </row>
    <row r="25" spans="1:58">
      <c r="A25" s="21" t="s">
        <v>47</v>
      </c>
      <c r="B25" s="672">
        <f>'Data Entry Fuel'!B24*'Data Entry Fuel'!B176
+'Data Entry Fuel'!C24*'Data Entry Fuel'!C176
+'Data Entry Fuel'!D24*'Data Entry Fuel'!D176
+'Data Entry Fuel'!E24*'Data Entry Fuel'!E176
+'Data Entry Fuel'!F24*'Data Entry Fuel'!F176
+'Data Entry Fuel'!G24*'Data Entry Fuel'!G176
+'Data Entry Fuel'!H24*'Data Entry Fuel'!H176
+'Data Entry Fuel'!I24*'Data Entry Fuel'!I176
+'Data Entry Fuel'!J24*'Data Entry Fuel'!J176</f>
        <v>0</v>
      </c>
      <c r="C25" s="672">
        <f>'Data Entry Fuel'!B24*'Data Entry Fuel'!B176
+'Data Entry Fuel'!C24*'Data Entry Fuel'!C176
+'Data Entry Fuel'!D24*'Data Entry Fuel'!D176
+'Data Entry Fuel'!E24*'Data Entry Fuel'!E176
+'Data Entry Fuel'!F24*'Data Entry Fuel'!F176
+'Data Entry Fuel'!G24*'Data Entry Fuel'!G176
+'Data Entry Fuel'!H24*'Data Entry Fuel'!H176
+'Data Entry Fuel'!I24*'Data Entry Fuel'!C176 *   (1 -  0.13 * 'Data Entry Fuel'!I$3)
+'Data Entry Fuel'!J24*'Data Entry Fuel'!J176</f>
        <v>0</v>
      </c>
      <c r="D25" s="677">
        <f>'Data Entry Electricity'!B24*'Data Entry Electricity'!L24+'Data Entry Electricity'!C24*'Data Entry Electricity'!M24+'Data Entry Electricity'!D24*'Data Entry Electricity'!N24+'Data Entry Electricity'!E24*'Data Entry Electricity'!O24</f>
        <v>0</v>
      </c>
      <c r="E25" s="776">
        <f>'Data Entry Electricity'!B24*'Data Entry Electricity'!L24+'Data Entry Electricity'!C24*'Data Entry Electricity'!L24+'Data Entry Electricity'!D24*'Data Entry Electricity'!N24+'Data Entry Electricity'!E24*'Data Entry Electricity'!O24</f>
        <v>0</v>
      </c>
      <c r="F25" s="777">
        <f>(SUM('Fuel Equipment Savings Calculat'!$B22:$S22))+(SUM('Efficient Site Offices DD &amp; Cal'!$B58:$F58))+'PFC Calculations'!$G23+(SUM('Behaviour Calculations'!$E29,'Behaviour Calculations'!$J29,'Behaviour Calculations'!$O29))+(SUM('Reduced Power Lighting Calculat'!$B23:$F23)+SUM('Hybrid Lighting Calculations'!$B27:$F27)+('PIR Lighting Calculations'!$H23)+SUM('Water Calculations'!$B23:$G23)+'Additional Initiatives'!$H36)</f>
        <v>0</v>
      </c>
      <c r="G25" s="778">
        <f t="shared" si="0"/>
        <v>0</v>
      </c>
      <c r="H25" s="778">
        <f t="shared" si="5"/>
        <v>0</v>
      </c>
      <c r="I25" s="778">
        <f t="shared" si="1"/>
        <v>0</v>
      </c>
      <c r="J25" s="798">
        <f t="shared" si="6"/>
        <v>0</v>
      </c>
      <c r="K25" s="779">
        <f t="shared" si="7"/>
        <v>0</v>
      </c>
      <c r="L25" s="780">
        <f t="shared" si="2"/>
        <v>0</v>
      </c>
      <c r="M25" s="780">
        <f t="shared" si="3"/>
        <v>0</v>
      </c>
      <c r="N25" s="781">
        <f t="shared" si="4"/>
        <v>0</v>
      </c>
      <c r="O25" s="781">
        <f t="shared" si="16"/>
        <v>0</v>
      </c>
      <c r="Q25" s="683">
        <f t="shared" si="8"/>
        <v>0</v>
      </c>
      <c r="R25" s="683">
        <f t="shared" si="9"/>
        <v>0</v>
      </c>
      <c r="T25" s="673">
        <f t="shared" si="10"/>
        <v>0</v>
      </c>
      <c r="U25" s="674">
        <f>'Fuel Equipment Savings Calculat'!$V22</f>
        <v>0</v>
      </c>
      <c r="V25" s="674">
        <f>'Efficient Site Offices DD &amp; Cal'!$H58</f>
        <v>0</v>
      </c>
      <c r="W25" s="674">
        <f>'PFC Calculations'!$G23</f>
        <v>0</v>
      </c>
      <c r="X25" s="674">
        <f>'Behaviour Calculations'!$E29</f>
        <v>0</v>
      </c>
      <c r="Y25" s="674">
        <f>'Behaviour Calculations'!$J29</f>
        <v>0</v>
      </c>
      <c r="Z25" s="674">
        <f>'Behaviour Calculations'!$O29</f>
        <v>0</v>
      </c>
      <c r="AA25" s="674">
        <f>'Reduced Power Lighting Calculat'!$H23</f>
        <v>0</v>
      </c>
      <c r="AB25" s="674">
        <f>'Hybrid Lighting Calculations'!H27</f>
        <v>0</v>
      </c>
      <c r="AC25" s="674">
        <f>'PIR Lighting Calculations'!$H23</f>
        <v>0</v>
      </c>
      <c r="AD25" s="674">
        <f>'Water Calculations'!$I23</f>
        <v>0</v>
      </c>
      <c r="AE25" s="674">
        <f>'Additional Initiatives'!$H36</f>
        <v>0</v>
      </c>
      <c r="AF25" s="679">
        <f t="shared" si="11"/>
        <v>0</v>
      </c>
      <c r="AG25" s="679">
        <f>(C25-B25) - (0.13 * 'Data Entry Fuel'!I$3) * (U25+AB25)</f>
        <v>0</v>
      </c>
      <c r="AH25" s="5"/>
      <c r="AI25" s="19">
        <v>1108</v>
      </c>
      <c r="AJ25" s="19">
        <f t="shared" si="12"/>
        <v>2011</v>
      </c>
      <c r="AK25" s="19">
        <f t="shared" si="13"/>
        <v>5</v>
      </c>
      <c r="AL25" s="19">
        <v>21</v>
      </c>
      <c r="AM25" s="697">
        <f t="shared" si="14"/>
        <v>0</v>
      </c>
      <c r="AN25" s="697">
        <f t="shared" si="17"/>
        <v>0</v>
      </c>
      <c r="AO25" s="697">
        <f t="shared" si="18"/>
        <v>0</v>
      </c>
      <c r="AP25" s="697">
        <f>IF(AP$4='Additional Initiatives'!$B$163,'Additional Initiatives'!$B184,IF(AP$4='Additional Initiatives'!$C$163,'Additional Initiatives'!$C184,IF(AP$4='Additional Initiatives'!$D$163,'Additional Initiatives'!$D184,IF(AP$4='Additional Initiatives'!$E$163,'Additional Initiatives'!$E184,IF(AP$4='Additional Initiatives'!$F$163,'Additional Initiatives'!$F184,0)))))+AP24</f>
        <v>0</v>
      </c>
      <c r="AQ25" s="697">
        <f>IF(AQ$4='Additional Initiatives'!$B$163,'Additional Initiatives'!$B184,IF(AQ$4='Additional Initiatives'!$C$163,'Additional Initiatives'!$C184,IF(AQ$4='Additional Initiatives'!$D$163,'Additional Initiatives'!$D184,IF(AQ$4='Additional Initiatives'!$E$163,'Additional Initiatives'!$E184,IF(AQ$4='Additional Initiatives'!$F$163,'Additional Initiatives'!$F184,0)))))+AQ24</f>
        <v>0</v>
      </c>
      <c r="AR25" s="697">
        <f>IF(AR$4='Additional Initiatives'!$B$163,'Additional Initiatives'!$B184,IF(AR$4='Additional Initiatives'!$C$163,'Additional Initiatives'!$C184,IF(AR$4='Additional Initiatives'!$D$163,'Additional Initiatives'!$D184,IF(AR$4='Additional Initiatives'!$E$163,'Additional Initiatives'!$E184,IF(AR$4='Additional Initiatives'!$F$163,'Additional Initiatives'!$F184,0)))))+AR24</f>
        <v>0</v>
      </c>
      <c r="AS25" s="697">
        <f t="shared" si="19"/>
        <v>0</v>
      </c>
      <c r="AT25" s="696">
        <f t="shared" si="15"/>
        <v>0</v>
      </c>
      <c r="AU25" s="696">
        <f t="shared" si="20"/>
        <v>0</v>
      </c>
      <c r="AV25" s="696">
        <f t="shared" si="21"/>
        <v>0</v>
      </c>
      <c r="AW25" s="696">
        <f t="shared" si="22"/>
        <v>0</v>
      </c>
      <c r="AX25" s="696">
        <f t="shared" si="23"/>
        <v>0</v>
      </c>
      <c r="AY25" s="696">
        <f t="shared" si="24"/>
        <v>0</v>
      </c>
      <c r="AZ25" s="696">
        <f t="shared" si="25"/>
        <v>0</v>
      </c>
      <c r="BA25" s="696">
        <f t="shared" si="26"/>
        <v>0</v>
      </c>
      <c r="BB25" s="696">
        <f t="shared" si="27"/>
        <v>0</v>
      </c>
      <c r="BC25" s="696">
        <f>IF(BC$4='Additional Initiatives'!$B$163,'Additional Initiatives'!$B184,IF(BC$4='Additional Initiatives'!$C$163,'Additional Initiatives'!$C184,IF(BC$4='Additional Initiatives'!$D$163,'Additional Initiatives'!$D184,IF(BC$4='Additional Initiatives'!$E$163,'Additional Initiatives'!$E184,IF(BC$4='Additional Initiatives'!$F$163,'Additional Initiatives'!$F184,0)))))+BC24</f>
        <v>0</v>
      </c>
      <c r="BD25" s="696">
        <f>IF(BD$4='Additional Initiatives'!$B$163,'Additional Initiatives'!$B184,IF(BD$4='Additional Initiatives'!$C$163,'Additional Initiatives'!$C184,IF(BD$4='Additional Initiatives'!$D$163,'Additional Initiatives'!$D184,IF(BD$4='Additional Initiatives'!$E$163,'Additional Initiatives'!$E184,IF(BD$4='Additional Initiatives'!$F$163,'Additional Initiatives'!$F184,0)))))+BD24</f>
        <v>0</v>
      </c>
      <c r="BE25" s="696">
        <f>IF(BE$4='Additional Initiatives'!$B$163,'Additional Initiatives'!$B184,IF(BE$4='Additional Initiatives'!$C$163,'Additional Initiatives'!$C184,IF(BE$4='Additional Initiatives'!$D$163,'Additional Initiatives'!$D184,IF(BE$4='Additional Initiatives'!$E$163,'Additional Initiatives'!$E184,IF(BE$4='Additional Initiatives'!$F$163,'Additional Initiatives'!$F184,0)))))+BE24</f>
        <v>0</v>
      </c>
      <c r="BF25" s="696">
        <f t="shared" si="28"/>
        <v>0</v>
      </c>
    </row>
    <row r="26" spans="1:58">
      <c r="A26" s="21" t="s">
        <v>48</v>
      </c>
      <c r="B26" s="672">
        <f>'Data Entry Fuel'!B25*'Data Entry Fuel'!B177
+'Data Entry Fuel'!C25*'Data Entry Fuel'!C177
+'Data Entry Fuel'!D25*'Data Entry Fuel'!D177
+'Data Entry Fuel'!E25*'Data Entry Fuel'!E177
+'Data Entry Fuel'!F25*'Data Entry Fuel'!F177
+'Data Entry Fuel'!G25*'Data Entry Fuel'!G177
+'Data Entry Fuel'!H25*'Data Entry Fuel'!H177
+'Data Entry Fuel'!I25*'Data Entry Fuel'!I177
+'Data Entry Fuel'!J25*'Data Entry Fuel'!J177</f>
        <v>0</v>
      </c>
      <c r="C26" s="672">
        <f>'Data Entry Fuel'!B25*'Data Entry Fuel'!B177
+'Data Entry Fuel'!C25*'Data Entry Fuel'!C177
+'Data Entry Fuel'!D25*'Data Entry Fuel'!D177
+'Data Entry Fuel'!E25*'Data Entry Fuel'!E177
+'Data Entry Fuel'!F25*'Data Entry Fuel'!F177
+'Data Entry Fuel'!G25*'Data Entry Fuel'!G177
+'Data Entry Fuel'!H25*'Data Entry Fuel'!H177
+'Data Entry Fuel'!I25*'Data Entry Fuel'!C177 *   (1 -  0.13 * 'Data Entry Fuel'!I$3)
+'Data Entry Fuel'!J25*'Data Entry Fuel'!J177</f>
        <v>0</v>
      </c>
      <c r="D26" s="677">
        <f>'Data Entry Electricity'!B25*'Data Entry Electricity'!L25+'Data Entry Electricity'!C25*'Data Entry Electricity'!M25+'Data Entry Electricity'!D25*'Data Entry Electricity'!N25+'Data Entry Electricity'!E25*'Data Entry Electricity'!O25</f>
        <v>0</v>
      </c>
      <c r="E26" s="776">
        <f>'Data Entry Electricity'!B25*'Data Entry Electricity'!L25+'Data Entry Electricity'!C25*'Data Entry Electricity'!L25+'Data Entry Electricity'!D25*'Data Entry Electricity'!N25+'Data Entry Electricity'!E25*'Data Entry Electricity'!O25</f>
        <v>0</v>
      </c>
      <c r="F26" s="777">
        <f>(SUM('Fuel Equipment Savings Calculat'!$B23:$S23))+(SUM('Efficient Site Offices DD &amp; Cal'!$B59:$F59))+'PFC Calculations'!$G24+(SUM('Behaviour Calculations'!$E30,'Behaviour Calculations'!$J30,'Behaviour Calculations'!$O30))+(SUM('Reduced Power Lighting Calculat'!$B24:$F24)+SUM('Hybrid Lighting Calculations'!$B28:$F28)+('PIR Lighting Calculations'!$H24)+SUM('Water Calculations'!$B24:$G24)+'Additional Initiatives'!$H37)</f>
        <v>0</v>
      </c>
      <c r="G26" s="778">
        <f t="shared" si="0"/>
        <v>0</v>
      </c>
      <c r="H26" s="778">
        <f t="shared" si="5"/>
        <v>0</v>
      </c>
      <c r="I26" s="778">
        <f t="shared" si="1"/>
        <v>0</v>
      </c>
      <c r="J26" s="798">
        <f t="shared" si="6"/>
        <v>0</v>
      </c>
      <c r="K26" s="779">
        <f t="shared" si="7"/>
        <v>0</v>
      </c>
      <c r="L26" s="780">
        <f t="shared" si="2"/>
        <v>0</v>
      </c>
      <c r="M26" s="780">
        <f t="shared" si="3"/>
        <v>0</v>
      </c>
      <c r="N26" s="781">
        <f t="shared" si="4"/>
        <v>0</v>
      </c>
      <c r="O26" s="781">
        <f t="shared" si="16"/>
        <v>0</v>
      </c>
      <c r="Q26" s="683">
        <f t="shared" si="8"/>
        <v>0</v>
      </c>
      <c r="R26" s="683">
        <f t="shared" si="9"/>
        <v>0</v>
      </c>
      <c r="T26" s="673">
        <f t="shared" si="10"/>
        <v>0</v>
      </c>
      <c r="U26" s="674">
        <f>'Fuel Equipment Savings Calculat'!$V23</f>
        <v>0</v>
      </c>
      <c r="V26" s="674">
        <f>'Efficient Site Offices DD &amp; Cal'!$H59</f>
        <v>0</v>
      </c>
      <c r="W26" s="674">
        <f>'PFC Calculations'!$G24</f>
        <v>0</v>
      </c>
      <c r="X26" s="674">
        <f>'Behaviour Calculations'!$E30</f>
        <v>0</v>
      </c>
      <c r="Y26" s="674">
        <f>'Behaviour Calculations'!$J30</f>
        <v>0</v>
      </c>
      <c r="Z26" s="674">
        <f>'Behaviour Calculations'!$O30</f>
        <v>0</v>
      </c>
      <c r="AA26" s="674">
        <f>'Reduced Power Lighting Calculat'!$H24</f>
        <v>0</v>
      </c>
      <c r="AB26" s="674">
        <f>'Hybrid Lighting Calculations'!H28</f>
        <v>0</v>
      </c>
      <c r="AC26" s="674">
        <f>'PIR Lighting Calculations'!$H24</f>
        <v>0</v>
      </c>
      <c r="AD26" s="674">
        <f>'Water Calculations'!$I24</f>
        <v>0</v>
      </c>
      <c r="AE26" s="674">
        <f>'Additional Initiatives'!$H37</f>
        <v>0</v>
      </c>
      <c r="AF26" s="679">
        <f t="shared" si="11"/>
        <v>0</v>
      </c>
      <c r="AG26" s="679">
        <f>(C26-B26) - (0.13 * 'Data Entry Fuel'!I$3) * (U26+AB26)</f>
        <v>0</v>
      </c>
      <c r="AH26" s="5"/>
      <c r="AI26" s="19">
        <v>1109</v>
      </c>
      <c r="AJ26" s="19">
        <f t="shared" si="12"/>
        <v>2011</v>
      </c>
      <c r="AK26" s="19">
        <f t="shared" si="13"/>
        <v>5</v>
      </c>
      <c r="AL26" s="19">
        <v>22</v>
      </c>
      <c r="AM26" s="697">
        <f t="shared" si="14"/>
        <v>0</v>
      </c>
      <c r="AN26" s="697">
        <f t="shared" si="17"/>
        <v>0</v>
      </c>
      <c r="AO26" s="697">
        <f t="shared" si="18"/>
        <v>0</v>
      </c>
      <c r="AP26" s="697">
        <f>IF(AP$4='Additional Initiatives'!$B$163,'Additional Initiatives'!$B185,IF(AP$4='Additional Initiatives'!$C$163,'Additional Initiatives'!$C185,IF(AP$4='Additional Initiatives'!$D$163,'Additional Initiatives'!$D185,IF(AP$4='Additional Initiatives'!$E$163,'Additional Initiatives'!$E185,IF(AP$4='Additional Initiatives'!$F$163,'Additional Initiatives'!$F185,0)))))+AP25</f>
        <v>0</v>
      </c>
      <c r="AQ26" s="697">
        <f>IF(AQ$4='Additional Initiatives'!$B$163,'Additional Initiatives'!$B185,IF(AQ$4='Additional Initiatives'!$C$163,'Additional Initiatives'!$C185,IF(AQ$4='Additional Initiatives'!$D$163,'Additional Initiatives'!$D185,IF(AQ$4='Additional Initiatives'!$E$163,'Additional Initiatives'!$E185,IF(AQ$4='Additional Initiatives'!$F$163,'Additional Initiatives'!$F185,0)))))+AQ25</f>
        <v>0</v>
      </c>
      <c r="AR26" s="697">
        <f>IF(AR$4='Additional Initiatives'!$B$163,'Additional Initiatives'!$B185,IF(AR$4='Additional Initiatives'!$C$163,'Additional Initiatives'!$C185,IF(AR$4='Additional Initiatives'!$D$163,'Additional Initiatives'!$D185,IF(AR$4='Additional Initiatives'!$E$163,'Additional Initiatives'!$E185,IF(AR$4='Additional Initiatives'!$F$163,'Additional Initiatives'!$F185,0)))))+AR25</f>
        <v>0</v>
      </c>
      <c r="AS26" s="697">
        <f t="shared" si="19"/>
        <v>0</v>
      </c>
      <c r="AT26" s="696">
        <f t="shared" si="15"/>
        <v>0</v>
      </c>
      <c r="AU26" s="696">
        <f t="shared" si="20"/>
        <v>0</v>
      </c>
      <c r="AV26" s="696">
        <f t="shared" si="21"/>
        <v>0</v>
      </c>
      <c r="AW26" s="696">
        <f t="shared" si="22"/>
        <v>0</v>
      </c>
      <c r="AX26" s="696">
        <f t="shared" si="23"/>
        <v>0</v>
      </c>
      <c r="AY26" s="696">
        <f t="shared" si="24"/>
        <v>0</v>
      </c>
      <c r="AZ26" s="696">
        <f t="shared" si="25"/>
        <v>0</v>
      </c>
      <c r="BA26" s="696">
        <f t="shared" si="26"/>
        <v>0</v>
      </c>
      <c r="BB26" s="696">
        <f t="shared" si="27"/>
        <v>0</v>
      </c>
      <c r="BC26" s="696">
        <f>IF(BC$4='Additional Initiatives'!$B$163,'Additional Initiatives'!$B185,IF(BC$4='Additional Initiatives'!$C$163,'Additional Initiatives'!$C185,IF(BC$4='Additional Initiatives'!$D$163,'Additional Initiatives'!$D185,IF(BC$4='Additional Initiatives'!$E$163,'Additional Initiatives'!$E185,IF(BC$4='Additional Initiatives'!$F$163,'Additional Initiatives'!$F185,0)))))+BC25</f>
        <v>0</v>
      </c>
      <c r="BD26" s="696">
        <f>IF(BD$4='Additional Initiatives'!$B$163,'Additional Initiatives'!$B185,IF(BD$4='Additional Initiatives'!$C$163,'Additional Initiatives'!$C185,IF(BD$4='Additional Initiatives'!$D$163,'Additional Initiatives'!$D185,IF(BD$4='Additional Initiatives'!$E$163,'Additional Initiatives'!$E185,IF(BD$4='Additional Initiatives'!$F$163,'Additional Initiatives'!$F185,0)))))+BD25</f>
        <v>0</v>
      </c>
      <c r="BE26" s="696">
        <f>IF(BE$4='Additional Initiatives'!$B$163,'Additional Initiatives'!$B185,IF(BE$4='Additional Initiatives'!$C$163,'Additional Initiatives'!$C185,IF(BE$4='Additional Initiatives'!$D$163,'Additional Initiatives'!$D185,IF(BE$4='Additional Initiatives'!$E$163,'Additional Initiatives'!$E185,IF(BE$4='Additional Initiatives'!$F$163,'Additional Initiatives'!$F185,0)))))+BE25</f>
        <v>0</v>
      </c>
      <c r="BF26" s="696">
        <f t="shared" si="28"/>
        <v>0</v>
      </c>
    </row>
    <row r="27" spans="1:58">
      <c r="A27" s="21" t="s">
        <v>0</v>
      </c>
      <c r="B27" s="672">
        <f>'Data Entry Fuel'!B26*'Data Entry Fuel'!B178
+'Data Entry Fuel'!C26*'Data Entry Fuel'!C178
+'Data Entry Fuel'!D26*'Data Entry Fuel'!D178
+'Data Entry Fuel'!E26*'Data Entry Fuel'!E178
+'Data Entry Fuel'!F26*'Data Entry Fuel'!F178
+'Data Entry Fuel'!G26*'Data Entry Fuel'!G178
+'Data Entry Fuel'!H26*'Data Entry Fuel'!H178
+'Data Entry Fuel'!I26*'Data Entry Fuel'!I178
+'Data Entry Fuel'!J26*'Data Entry Fuel'!J178</f>
        <v>0</v>
      </c>
      <c r="C27" s="672">
        <f>'Data Entry Fuel'!B26*'Data Entry Fuel'!B178
+'Data Entry Fuel'!C26*'Data Entry Fuel'!C178
+'Data Entry Fuel'!D26*'Data Entry Fuel'!D178
+'Data Entry Fuel'!E26*'Data Entry Fuel'!E178
+'Data Entry Fuel'!F26*'Data Entry Fuel'!F178
+'Data Entry Fuel'!G26*'Data Entry Fuel'!G178
+'Data Entry Fuel'!H26*'Data Entry Fuel'!H178
+'Data Entry Fuel'!I26*'Data Entry Fuel'!C178 *   (1 -  0.13 * 'Data Entry Fuel'!I$3)
+'Data Entry Fuel'!J26*'Data Entry Fuel'!J178</f>
        <v>0</v>
      </c>
      <c r="D27" s="677">
        <f>'Data Entry Electricity'!B26*'Data Entry Electricity'!L26+'Data Entry Electricity'!C26*'Data Entry Electricity'!M26+'Data Entry Electricity'!D26*'Data Entry Electricity'!N26+'Data Entry Electricity'!E26*'Data Entry Electricity'!O26</f>
        <v>0</v>
      </c>
      <c r="E27" s="776">
        <f>'Data Entry Electricity'!B26*'Data Entry Electricity'!L26+'Data Entry Electricity'!C26*'Data Entry Electricity'!L26+'Data Entry Electricity'!D26*'Data Entry Electricity'!N26+'Data Entry Electricity'!E26*'Data Entry Electricity'!O26</f>
        <v>0</v>
      </c>
      <c r="F27" s="777">
        <f>(SUM('Fuel Equipment Savings Calculat'!$B24:$S24))+(SUM('Efficient Site Offices DD &amp; Cal'!$B60:$F60))+'PFC Calculations'!$G25+(SUM('Behaviour Calculations'!$E31,'Behaviour Calculations'!$J31,'Behaviour Calculations'!$O31))+(SUM('Reduced Power Lighting Calculat'!$B25:$F25)+SUM('Hybrid Lighting Calculations'!$B29:$F29)+('PIR Lighting Calculations'!$H25)+SUM('Water Calculations'!$B25:$G25)+'Additional Initiatives'!$H38)</f>
        <v>0</v>
      </c>
      <c r="G27" s="778">
        <f t="shared" si="0"/>
        <v>0</v>
      </c>
      <c r="H27" s="778">
        <f t="shared" si="5"/>
        <v>0</v>
      </c>
      <c r="I27" s="778">
        <f t="shared" si="1"/>
        <v>0</v>
      </c>
      <c r="J27" s="798">
        <f t="shared" si="6"/>
        <v>0</v>
      </c>
      <c r="K27" s="779">
        <f t="shared" si="7"/>
        <v>0</v>
      </c>
      <c r="L27" s="780">
        <f t="shared" si="2"/>
        <v>0</v>
      </c>
      <c r="M27" s="780">
        <f t="shared" si="3"/>
        <v>0</v>
      </c>
      <c r="N27" s="781">
        <f t="shared" si="4"/>
        <v>0</v>
      </c>
      <c r="O27" s="781">
        <f t="shared" si="16"/>
        <v>0</v>
      </c>
      <c r="Q27" s="683">
        <f t="shared" si="8"/>
        <v>0</v>
      </c>
      <c r="R27" s="683">
        <f t="shared" si="9"/>
        <v>0</v>
      </c>
      <c r="T27" s="673">
        <f t="shared" si="10"/>
        <v>0</v>
      </c>
      <c r="U27" s="674">
        <f>'Fuel Equipment Savings Calculat'!$V24</f>
        <v>0</v>
      </c>
      <c r="V27" s="674">
        <f>'Efficient Site Offices DD &amp; Cal'!$H60</f>
        <v>0</v>
      </c>
      <c r="W27" s="674">
        <f>'PFC Calculations'!$G25</f>
        <v>0</v>
      </c>
      <c r="X27" s="674">
        <f>'Behaviour Calculations'!$E31</f>
        <v>0</v>
      </c>
      <c r="Y27" s="674">
        <f>'Behaviour Calculations'!$J31</f>
        <v>0</v>
      </c>
      <c r="Z27" s="674">
        <f>'Behaviour Calculations'!$O31</f>
        <v>0</v>
      </c>
      <c r="AA27" s="674">
        <f>'Reduced Power Lighting Calculat'!$H25</f>
        <v>0</v>
      </c>
      <c r="AB27" s="674">
        <f>'Hybrid Lighting Calculations'!H29</f>
        <v>0</v>
      </c>
      <c r="AC27" s="674">
        <f>'PIR Lighting Calculations'!$H25</f>
        <v>0</v>
      </c>
      <c r="AD27" s="674">
        <f>'Water Calculations'!$I25</f>
        <v>0</v>
      </c>
      <c r="AE27" s="674">
        <f>'Additional Initiatives'!$H38</f>
        <v>0</v>
      </c>
      <c r="AF27" s="679">
        <f t="shared" si="11"/>
        <v>0</v>
      </c>
      <c r="AG27" s="679">
        <f>(C27-B27) - (0.13 * 'Data Entry Fuel'!I$3) * (U27+AB27)</f>
        <v>0</v>
      </c>
      <c r="AH27" s="5"/>
      <c r="AI27" s="19">
        <v>1110</v>
      </c>
      <c r="AJ27" s="19">
        <f t="shared" si="12"/>
        <v>2011</v>
      </c>
      <c r="AK27" s="19">
        <f t="shared" si="13"/>
        <v>5</v>
      </c>
      <c r="AL27" s="19">
        <v>23</v>
      </c>
      <c r="AM27" s="697">
        <f t="shared" si="14"/>
        <v>0</v>
      </c>
      <c r="AN27" s="697">
        <f t="shared" si="17"/>
        <v>0</v>
      </c>
      <c r="AO27" s="697">
        <f t="shared" si="18"/>
        <v>0</v>
      </c>
      <c r="AP27" s="697">
        <f>IF(AP$4='Additional Initiatives'!$B$163,'Additional Initiatives'!$B186,IF(AP$4='Additional Initiatives'!$C$163,'Additional Initiatives'!$C186,IF(AP$4='Additional Initiatives'!$D$163,'Additional Initiatives'!$D186,IF(AP$4='Additional Initiatives'!$E$163,'Additional Initiatives'!$E186,IF(AP$4='Additional Initiatives'!$F$163,'Additional Initiatives'!$F186,0)))))+AP26</f>
        <v>0</v>
      </c>
      <c r="AQ27" s="697">
        <f>IF(AQ$4='Additional Initiatives'!$B$163,'Additional Initiatives'!$B186,IF(AQ$4='Additional Initiatives'!$C$163,'Additional Initiatives'!$C186,IF(AQ$4='Additional Initiatives'!$D$163,'Additional Initiatives'!$D186,IF(AQ$4='Additional Initiatives'!$E$163,'Additional Initiatives'!$E186,IF(AQ$4='Additional Initiatives'!$F$163,'Additional Initiatives'!$F186,0)))))+AQ26</f>
        <v>0</v>
      </c>
      <c r="AR27" s="697">
        <f>IF(AR$4='Additional Initiatives'!$B$163,'Additional Initiatives'!$B186,IF(AR$4='Additional Initiatives'!$C$163,'Additional Initiatives'!$C186,IF(AR$4='Additional Initiatives'!$D$163,'Additional Initiatives'!$D186,IF(AR$4='Additional Initiatives'!$E$163,'Additional Initiatives'!$E186,IF(AR$4='Additional Initiatives'!$F$163,'Additional Initiatives'!$F186,0)))))+AR26</f>
        <v>0</v>
      </c>
      <c r="AS27" s="697">
        <f t="shared" si="19"/>
        <v>0</v>
      </c>
      <c r="AT27" s="696">
        <f t="shared" si="15"/>
        <v>0</v>
      </c>
      <c r="AU27" s="696">
        <f t="shared" si="20"/>
        <v>0</v>
      </c>
      <c r="AV27" s="696">
        <f t="shared" si="21"/>
        <v>0</v>
      </c>
      <c r="AW27" s="696">
        <f t="shared" si="22"/>
        <v>0</v>
      </c>
      <c r="AX27" s="696">
        <f t="shared" si="23"/>
        <v>0</v>
      </c>
      <c r="AY27" s="696">
        <f t="shared" si="24"/>
        <v>0</v>
      </c>
      <c r="AZ27" s="696">
        <f t="shared" si="25"/>
        <v>0</v>
      </c>
      <c r="BA27" s="696">
        <f t="shared" si="26"/>
        <v>0</v>
      </c>
      <c r="BB27" s="696">
        <f t="shared" si="27"/>
        <v>0</v>
      </c>
      <c r="BC27" s="696">
        <f>IF(BC$4='Additional Initiatives'!$B$163,'Additional Initiatives'!$B186,IF(BC$4='Additional Initiatives'!$C$163,'Additional Initiatives'!$C186,IF(BC$4='Additional Initiatives'!$D$163,'Additional Initiatives'!$D186,IF(BC$4='Additional Initiatives'!$E$163,'Additional Initiatives'!$E186,IF(BC$4='Additional Initiatives'!$F$163,'Additional Initiatives'!$F186,0)))))+BC26</f>
        <v>0</v>
      </c>
      <c r="BD27" s="696">
        <f>IF(BD$4='Additional Initiatives'!$B$163,'Additional Initiatives'!$B186,IF(BD$4='Additional Initiatives'!$C$163,'Additional Initiatives'!$C186,IF(BD$4='Additional Initiatives'!$D$163,'Additional Initiatives'!$D186,IF(BD$4='Additional Initiatives'!$E$163,'Additional Initiatives'!$E186,IF(BD$4='Additional Initiatives'!$F$163,'Additional Initiatives'!$F186,0)))))+BD26</f>
        <v>0</v>
      </c>
      <c r="BE27" s="696">
        <f>IF(BE$4='Additional Initiatives'!$B$163,'Additional Initiatives'!$B186,IF(BE$4='Additional Initiatives'!$C$163,'Additional Initiatives'!$C186,IF(BE$4='Additional Initiatives'!$D$163,'Additional Initiatives'!$D186,IF(BE$4='Additional Initiatives'!$E$163,'Additional Initiatives'!$E186,IF(BE$4='Additional Initiatives'!$F$163,'Additional Initiatives'!$F186,0)))))+BE26</f>
        <v>0</v>
      </c>
      <c r="BF27" s="696">
        <f t="shared" si="28"/>
        <v>0</v>
      </c>
    </row>
    <row r="28" spans="1:58">
      <c r="A28" s="21" t="s">
        <v>1</v>
      </c>
      <c r="B28" s="672">
        <f>'Data Entry Fuel'!B27*'Data Entry Fuel'!B179
+'Data Entry Fuel'!C27*'Data Entry Fuel'!C179
+'Data Entry Fuel'!D27*'Data Entry Fuel'!D179
+'Data Entry Fuel'!E27*'Data Entry Fuel'!E179
+'Data Entry Fuel'!F27*'Data Entry Fuel'!F179
+'Data Entry Fuel'!G27*'Data Entry Fuel'!G179
+'Data Entry Fuel'!H27*'Data Entry Fuel'!H179
+'Data Entry Fuel'!I27*'Data Entry Fuel'!I179
+'Data Entry Fuel'!J27*'Data Entry Fuel'!J179</f>
        <v>0</v>
      </c>
      <c r="C28" s="672">
        <f>'Data Entry Fuel'!B27*'Data Entry Fuel'!B179
+'Data Entry Fuel'!C27*'Data Entry Fuel'!C179
+'Data Entry Fuel'!D27*'Data Entry Fuel'!D179
+'Data Entry Fuel'!E27*'Data Entry Fuel'!E179
+'Data Entry Fuel'!F27*'Data Entry Fuel'!F179
+'Data Entry Fuel'!G27*'Data Entry Fuel'!G179
+'Data Entry Fuel'!H27*'Data Entry Fuel'!H179
+'Data Entry Fuel'!I27*'Data Entry Fuel'!C179 *   (1 -  0.13 * 'Data Entry Fuel'!I$3)
+'Data Entry Fuel'!J27*'Data Entry Fuel'!J179</f>
        <v>0</v>
      </c>
      <c r="D28" s="677">
        <f>'Data Entry Electricity'!B27*'Data Entry Electricity'!L27+'Data Entry Electricity'!C27*'Data Entry Electricity'!M27+'Data Entry Electricity'!D27*'Data Entry Electricity'!N27+'Data Entry Electricity'!E27*'Data Entry Electricity'!O27</f>
        <v>0</v>
      </c>
      <c r="E28" s="776">
        <f>'Data Entry Electricity'!B27*'Data Entry Electricity'!L27+'Data Entry Electricity'!C27*'Data Entry Electricity'!L27+'Data Entry Electricity'!D27*'Data Entry Electricity'!N27+'Data Entry Electricity'!E27*'Data Entry Electricity'!O27</f>
        <v>0</v>
      </c>
      <c r="F28" s="777">
        <f>(SUM('Fuel Equipment Savings Calculat'!$B25:$S25))+(SUM('Efficient Site Offices DD &amp; Cal'!$B61:$F61))+'PFC Calculations'!$G26+(SUM('Behaviour Calculations'!$E32,'Behaviour Calculations'!$J32,'Behaviour Calculations'!$O32))+(SUM('Reduced Power Lighting Calculat'!$B26:$F26)+SUM('Hybrid Lighting Calculations'!$B30:$F30)+('PIR Lighting Calculations'!$H26)+SUM('Water Calculations'!$B26:$G26)+'Additional Initiatives'!$H39)</f>
        <v>0</v>
      </c>
      <c r="G28" s="778">
        <f t="shared" si="0"/>
        <v>0</v>
      </c>
      <c r="H28" s="778">
        <f t="shared" si="5"/>
        <v>0</v>
      </c>
      <c r="I28" s="778">
        <f t="shared" si="1"/>
        <v>0</v>
      </c>
      <c r="J28" s="798">
        <f t="shared" si="6"/>
        <v>0</v>
      </c>
      <c r="K28" s="779">
        <f t="shared" si="7"/>
        <v>0</v>
      </c>
      <c r="L28" s="780">
        <f t="shared" si="2"/>
        <v>0</v>
      </c>
      <c r="M28" s="780">
        <f t="shared" si="3"/>
        <v>0</v>
      </c>
      <c r="N28" s="781">
        <f t="shared" si="4"/>
        <v>0</v>
      </c>
      <c r="O28" s="781">
        <f t="shared" si="16"/>
        <v>0</v>
      </c>
      <c r="Q28" s="683">
        <f t="shared" si="8"/>
        <v>0</v>
      </c>
      <c r="R28" s="683">
        <f t="shared" si="9"/>
        <v>0</v>
      </c>
      <c r="T28" s="673">
        <f t="shared" si="10"/>
        <v>0</v>
      </c>
      <c r="U28" s="674">
        <f>'Fuel Equipment Savings Calculat'!$V25</f>
        <v>0</v>
      </c>
      <c r="V28" s="674">
        <f>'Efficient Site Offices DD &amp; Cal'!$H61</f>
        <v>0</v>
      </c>
      <c r="W28" s="674">
        <f>'PFC Calculations'!$G26</f>
        <v>0</v>
      </c>
      <c r="X28" s="674">
        <f>'Behaviour Calculations'!$E32</f>
        <v>0</v>
      </c>
      <c r="Y28" s="674">
        <f>'Behaviour Calculations'!$J32</f>
        <v>0</v>
      </c>
      <c r="Z28" s="674">
        <f>'Behaviour Calculations'!$O32</f>
        <v>0</v>
      </c>
      <c r="AA28" s="674">
        <f>'Reduced Power Lighting Calculat'!$H26</f>
        <v>0</v>
      </c>
      <c r="AB28" s="674">
        <f>'Hybrid Lighting Calculations'!H30</f>
        <v>0</v>
      </c>
      <c r="AC28" s="674">
        <f>'PIR Lighting Calculations'!$H26</f>
        <v>0</v>
      </c>
      <c r="AD28" s="674">
        <f>'Water Calculations'!$I26</f>
        <v>0</v>
      </c>
      <c r="AE28" s="674">
        <f>'Additional Initiatives'!$H39</f>
        <v>0</v>
      </c>
      <c r="AF28" s="679">
        <f t="shared" si="11"/>
        <v>0</v>
      </c>
      <c r="AG28" s="679">
        <f>(C28-B28) - (0.13 * 'Data Entry Fuel'!I$3) * (U28+AB28)</f>
        <v>0</v>
      </c>
      <c r="AH28" s="5"/>
      <c r="AI28" s="19">
        <v>1111</v>
      </c>
      <c r="AJ28" s="19">
        <f t="shared" si="12"/>
        <v>2011</v>
      </c>
      <c r="AK28" s="19">
        <f t="shared" si="13"/>
        <v>5</v>
      </c>
      <c r="AL28" s="19">
        <v>24</v>
      </c>
      <c r="AM28" s="697">
        <f t="shared" si="14"/>
        <v>0</v>
      </c>
      <c r="AN28" s="697">
        <f t="shared" si="17"/>
        <v>0</v>
      </c>
      <c r="AO28" s="697">
        <f t="shared" si="18"/>
        <v>0</v>
      </c>
      <c r="AP28" s="697">
        <f>IF(AP$4='Additional Initiatives'!$B$163,'Additional Initiatives'!$B187,IF(AP$4='Additional Initiatives'!$C$163,'Additional Initiatives'!$C187,IF(AP$4='Additional Initiatives'!$D$163,'Additional Initiatives'!$D187,IF(AP$4='Additional Initiatives'!$E$163,'Additional Initiatives'!$E187,IF(AP$4='Additional Initiatives'!$F$163,'Additional Initiatives'!$F187,0)))))+AP27</f>
        <v>0</v>
      </c>
      <c r="AQ28" s="697">
        <f>IF(AQ$4='Additional Initiatives'!$B$163,'Additional Initiatives'!$B187,IF(AQ$4='Additional Initiatives'!$C$163,'Additional Initiatives'!$C187,IF(AQ$4='Additional Initiatives'!$D$163,'Additional Initiatives'!$D187,IF(AQ$4='Additional Initiatives'!$E$163,'Additional Initiatives'!$E187,IF(AQ$4='Additional Initiatives'!$F$163,'Additional Initiatives'!$F187,0)))))+AQ27</f>
        <v>0</v>
      </c>
      <c r="AR28" s="697">
        <f>IF(AR$4='Additional Initiatives'!$B$163,'Additional Initiatives'!$B187,IF(AR$4='Additional Initiatives'!$C$163,'Additional Initiatives'!$C187,IF(AR$4='Additional Initiatives'!$D$163,'Additional Initiatives'!$D187,IF(AR$4='Additional Initiatives'!$E$163,'Additional Initiatives'!$E187,IF(AR$4='Additional Initiatives'!$F$163,'Additional Initiatives'!$F187,0)))))+AR27</f>
        <v>0</v>
      </c>
      <c r="AS28" s="697">
        <f t="shared" si="19"/>
        <v>0</v>
      </c>
      <c r="AT28" s="696">
        <f t="shared" si="15"/>
        <v>0</v>
      </c>
      <c r="AU28" s="696">
        <f t="shared" si="20"/>
        <v>0</v>
      </c>
      <c r="AV28" s="696">
        <f t="shared" si="21"/>
        <v>0</v>
      </c>
      <c r="AW28" s="696">
        <f t="shared" si="22"/>
        <v>0</v>
      </c>
      <c r="AX28" s="696">
        <f t="shared" si="23"/>
        <v>0</v>
      </c>
      <c r="AY28" s="696">
        <f t="shared" si="24"/>
        <v>0</v>
      </c>
      <c r="AZ28" s="696">
        <f t="shared" si="25"/>
        <v>0</v>
      </c>
      <c r="BA28" s="696">
        <f t="shared" si="26"/>
        <v>0</v>
      </c>
      <c r="BB28" s="696">
        <f t="shared" si="27"/>
        <v>0</v>
      </c>
      <c r="BC28" s="696">
        <f>IF(BC$4='Additional Initiatives'!$B$163,'Additional Initiatives'!$B187,IF(BC$4='Additional Initiatives'!$C$163,'Additional Initiatives'!$C187,IF(BC$4='Additional Initiatives'!$D$163,'Additional Initiatives'!$D187,IF(BC$4='Additional Initiatives'!$E$163,'Additional Initiatives'!$E187,IF(BC$4='Additional Initiatives'!$F$163,'Additional Initiatives'!$F187,0)))))+BC27</f>
        <v>0</v>
      </c>
      <c r="BD28" s="696">
        <f>IF(BD$4='Additional Initiatives'!$B$163,'Additional Initiatives'!$B187,IF(BD$4='Additional Initiatives'!$C$163,'Additional Initiatives'!$C187,IF(BD$4='Additional Initiatives'!$D$163,'Additional Initiatives'!$D187,IF(BD$4='Additional Initiatives'!$E$163,'Additional Initiatives'!$E187,IF(BD$4='Additional Initiatives'!$F$163,'Additional Initiatives'!$F187,0)))))+BD27</f>
        <v>0</v>
      </c>
      <c r="BE28" s="696">
        <f>IF(BE$4='Additional Initiatives'!$B$163,'Additional Initiatives'!$B187,IF(BE$4='Additional Initiatives'!$C$163,'Additional Initiatives'!$C187,IF(BE$4='Additional Initiatives'!$D$163,'Additional Initiatives'!$D187,IF(BE$4='Additional Initiatives'!$E$163,'Additional Initiatives'!$E187,IF(BE$4='Additional Initiatives'!$F$163,'Additional Initiatives'!$F187,0)))))+BE27</f>
        <v>0</v>
      </c>
      <c r="BF28" s="696">
        <f t="shared" si="28"/>
        <v>0</v>
      </c>
    </row>
    <row r="29" spans="1:58">
      <c r="A29" s="21" t="s">
        <v>2</v>
      </c>
      <c r="B29" s="672">
        <f>'Data Entry Fuel'!B28*'Data Entry Fuel'!B180
+'Data Entry Fuel'!C28*'Data Entry Fuel'!C180
+'Data Entry Fuel'!D28*'Data Entry Fuel'!D180
+'Data Entry Fuel'!E28*'Data Entry Fuel'!E180
+'Data Entry Fuel'!F28*'Data Entry Fuel'!F180
+'Data Entry Fuel'!G28*'Data Entry Fuel'!G180
+'Data Entry Fuel'!H28*'Data Entry Fuel'!H180
+'Data Entry Fuel'!I28*'Data Entry Fuel'!I180
+'Data Entry Fuel'!J28*'Data Entry Fuel'!J180</f>
        <v>0</v>
      </c>
      <c r="C29" s="672">
        <f>'Data Entry Fuel'!B28*'Data Entry Fuel'!B180
+'Data Entry Fuel'!C28*'Data Entry Fuel'!C180
+'Data Entry Fuel'!D28*'Data Entry Fuel'!D180
+'Data Entry Fuel'!E28*'Data Entry Fuel'!E180
+'Data Entry Fuel'!F28*'Data Entry Fuel'!F180
+'Data Entry Fuel'!G28*'Data Entry Fuel'!G180
+'Data Entry Fuel'!H28*'Data Entry Fuel'!H180
+'Data Entry Fuel'!I28*'Data Entry Fuel'!C180 *   (1 -  0.13 * 'Data Entry Fuel'!I$3)
+'Data Entry Fuel'!J28*'Data Entry Fuel'!J180</f>
        <v>0</v>
      </c>
      <c r="D29" s="677">
        <f>'Data Entry Electricity'!B28*'Data Entry Electricity'!L28+'Data Entry Electricity'!C28*'Data Entry Electricity'!M28+'Data Entry Electricity'!D28*'Data Entry Electricity'!N28+'Data Entry Electricity'!E28*'Data Entry Electricity'!O28</f>
        <v>0</v>
      </c>
      <c r="E29" s="776">
        <f>'Data Entry Electricity'!B28*'Data Entry Electricity'!L28+'Data Entry Electricity'!C28*'Data Entry Electricity'!L28+'Data Entry Electricity'!D28*'Data Entry Electricity'!N28+'Data Entry Electricity'!E28*'Data Entry Electricity'!O28</f>
        <v>0</v>
      </c>
      <c r="F29" s="777">
        <f>(SUM('Fuel Equipment Savings Calculat'!$B26:$S26))+(SUM('Efficient Site Offices DD &amp; Cal'!$B62:$F62))+'PFC Calculations'!$G27+(SUM('Behaviour Calculations'!$E33,'Behaviour Calculations'!$J33,'Behaviour Calculations'!$O33))+(SUM('Reduced Power Lighting Calculat'!$B27:$F27)+SUM('Hybrid Lighting Calculations'!$B31:$F31)+('PIR Lighting Calculations'!$H27)+SUM('Water Calculations'!$B27:$G27)+'Additional Initiatives'!$H40)</f>
        <v>0</v>
      </c>
      <c r="G29" s="778">
        <f t="shared" si="0"/>
        <v>0</v>
      </c>
      <c r="H29" s="778">
        <f t="shared" si="5"/>
        <v>0</v>
      </c>
      <c r="I29" s="778">
        <f t="shared" si="1"/>
        <v>0</v>
      </c>
      <c r="J29" s="798">
        <f t="shared" si="6"/>
        <v>0</v>
      </c>
      <c r="K29" s="779">
        <f t="shared" si="7"/>
        <v>0</v>
      </c>
      <c r="L29" s="780">
        <f t="shared" si="2"/>
        <v>0</v>
      </c>
      <c r="M29" s="780">
        <f t="shared" si="3"/>
        <v>0</v>
      </c>
      <c r="N29" s="781">
        <f t="shared" si="4"/>
        <v>0</v>
      </c>
      <c r="O29" s="781">
        <f t="shared" si="16"/>
        <v>0</v>
      </c>
      <c r="Q29" s="683">
        <f t="shared" si="8"/>
        <v>0</v>
      </c>
      <c r="R29" s="683">
        <f t="shared" si="9"/>
        <v>0</v>
      </c>
      <c r="T29" s="673">
        <f t="shared" si="10"/>
        <v>0</v>
      </c>
      <c r="U29" s="674">
        <f>'Fuel Equipment Savings Calculat'!$V26</f>
        <v>0</v>
      </c>
      <c r="V29" s="674">
        <f>'Efficient Site Offices DD &amp; Cal'!$H62</f>
        <v>0</v>
      </c>
      <c r="W29" s="674">
        <f>'PFC Calculations'!$G27</f>
        <v>0</v>
      </c>
      <c r="X29" s="674">
        <f>'Behaviour Calculations'!$E33</f>
        <v>0</v>
      </c>
      <c r="Y29" s="674">
        <f>'Behaviour Calculations'!$J33</f>
        <v>0</v>
      </c>
      <c r="Z29" s="674">
        <f>'Behaviour Calculations'!$O33</f>
        <v>0</v>
      </c>
      <c r="AA29" s="674">
        <f>'Reduced Power Lighting Calculat'!$H27</f>
        <v>0</v>
      </c>
      <c r="AB29" s="674">
        <f>'Hybrid Lighting Calculations'!H31</f>
        <v>0</v>
      </c>
      <c r="AC29" s="674">
        <f>'PIR Lighting Calculations'!$H27</f>
        <v>0</v>
      </c>
      <c r="AD29" s="674">
        <f>'Water Calculations'!$I27</f>
        <v>0</v>
      </c>
      <c r="AE29" s="674">
        <f>'Additional Initiatives'!$H40</f>
        <v>0</v>
      </c>
      <c r="AF29" s="679">
        <f t="shared" si="11"/>
        <v>0</v>
      </c>
      <c r="AG29" s="679">
        <f>(C29-B29) - (0.13 * 'Data Entry Fuel'!I$3) * (U29+AB29)</f>
        <v>0</v>
      </c>
      <c r="AH29" s="5"/>
      <c r="AI29" s="19">
        <v>1112</v>
      </c>
      <c r="AJ29" s="19">
        <f t="shared" si="12"/>
        <v>2011</v>
      </c>
      <c r="AK29" s="19">
        <f t="shared" si="13"/>
        <v>5</v>
      </c>
      <c r="AL29" s="19">
        <v>25</v>
      </c>
      <c r="AM29" s="697">
        <f t="shared" si="14"/>
        <v>0</v>
      </c>
      <c r="AN29" s="697">
        <f t="shared" si="17"/>
        <v>0</v>
      </c>
      <c r="AO29" s="697">
        <f t="shared" si="18"/>
        <v>0</v>
      </c>
      <c r="AP29" s="697">
        <f>IF(AP$4='Additional Initiatives'!$B$163,'Additional Initiatives'!$B188,IF(AP$4='Additional Initiatives'!$C$163,'Additional Initiatives'!$C188,IF(AP$4='Additional Initiatives'!$D$163,'Additional Initiatives'!$D188,IF(AP$4='Additional Initiatives'!$E$163,'Additional Initiatives'!$E188,IF(AP$4='Additional Initiatives'!$F$163,'Additional Initiatives'!$F188,0)))))+AP28</f>
        <v>0</v>
      </c>
      <c r="AQ29" s="697">
        <f>IF(AQ$4='Additional Initiatives'!$B$163,'Additional Initiatives'!$B188,IF(AQ$4='Additional Initiatives'!$C$163,'Additional Initiatives'!$C188,IF(AQ$4='Additional Initiatives'!$D$163,'Additional Initiatives'!$D188,IF(AQ$4='Additional Initiatives'!$E$163,'Additional Initiatives'!$E188,IF(AQ$4='Additional Initiatives'!$F$163,'Additional Initiatives'!$F188,0)))))+AQ28</f>
        <v>0</v>
      </c>
      <c r="AR29" s="697">
        <f>IF(AR$4='Additional Initiatives'!$B$163,'Additional Initiatives'!$B188,IF(AR$4='Additional Initiatives'!$C$163,'Additional Initiatives'!$C188,IF(AR$4='Additional Initiatives'!$D$163,'Additional Initiatives'!$D188,IF(AR$4='Additional Initiatives'!$E$163,'Additional Initiatives'!$E188,IF(AR$4='Additional Initiatives'!$F$163,'Additional Initiatives'!$F188,0)))))+AR28</f>
        <v>0</v>
      </c>
      <c r="AS29" s="697">
        <f t="shared" si="19"/>
        <v>0</v>
      </c>
      <c r="AT29" s="696">
        <f t="shared" si="15"/>
        <v>0</v>
      </c>
      <c r="AU29" s="696">
        <f t="shared" si="20"/>
        <v>0</v>
      </c>
      <c r="AV29" s="696">
        <f t="shared" si="21"/>
        <v>0</v>
      </c>
      <c r="AW29" s="696">
        <f t="shared" si="22"/>
        <v>0</v>
      </c>
      <c r="AX29" s="696">
        <f t="shared" si="23"/>
        <v>0</v>
      </c>
      <c r="AY29" s="696">
        <f t="shared" si="24"/>
        <v>0</v>
      </c>
      <c r="AZ29" s="696">
        <f t="shared" si="25"/>
        <v>0</v>
      </c>
      <c r="BA29" s="696">
        <f t="shared" si="26"/>
        <v>0</v>
      </c>
      <c r="BB29" s="696">
        <f t="shared" si="27"/>
        <v>0</v>
      </c>
      <c r="BC29" s="696">
        <f>IF(BC$4='Additional Initiatives'!$B$163,'Additional Initiatives'!$B188,IF(BC$4='Additional Initiatives'!$C$163,'Additional Initiatives'!$C188,IF(BC$4='Additional Initiatives'!$D$163,'Additional Initiatives'!$D188,IF(BC$4='Additional Initiatives'!$E$163,'Additional Initiatives'!$E188,IF(BC$4='Additional Initiatives'!$F$163,'Additional Initiatives'!$F188,0)))))+BC28</f>
        <v>0</v>
      </c>
      <c r="BD29" s="696">
        <f>IF(BD$4='Additional Initiatives'!$B$163,'Additional Initiatives'!$B188,IF(BD$4='Additional Initiatives'!$C$163,'Additional Initiatives'!$C188,IF(BD$4='Additional Initiatives'!$D$163,'Additional Initiatives'!$D188,IF(BD$4='Additional Initiatives'!$E$163,'Additional Initiatives'!$E188,IF(BD$4='Additional Initiatives'!$F$163,'Additional Initiatives'!$F188,0)))))+BD28</f>
        <v>0</v>
      </c>
      <c r="BE29" s="696">
        <f>IF(BE$4='Additional Initiatives'!$B$163,'Additional Initiatives'!$B188,IF(BE$4='Additional Initiatives'!$C$163,'Additional Initiatives'!$C188,IF(BE$4='Additional Initiatives'!$D$163,'Additional Initiatives'!$D188,IF(BE$4='Additional Initiatives'!$E$163,'Additional Initiatives'!$E188,IF(BE$4='Additional Initiatives'!$F$163,'Additional Initiatives'!$F188,0)))))+BE28</f>
        <v>0</v>
      </c>
      <c r="BF29" s="696">
        <f t="shared" si="28"/>
        <v>0</v>
      </c>
    </row>
    <row r="30" spans="1:58">
      <c r="A30" s="21" t="s">
        <v>3</v>
      </c>
      <c r="B30" s="672">
        <f>'Data Entry Fuel'!B29*'Data Entry Fuel'!B181
+'Data Entry Fuel'!C29*'Data Entry Fuel'!C181
+'Data Entry Fuel'!D29*'Data Entry Fuel'!D181
+'Data Entry Fuel'!E29*'Data Entry Fuel'!E181
+'Data Entry Fuel'!F29*'Data Entry Fuel'!F181
+'Data Entry Fuel'!G29*'Data Entry Fuel'!G181
+'Data Entry Fuel'!H29*'Data Entry Fuel'!H181
+'Data Entry Fuel'!I29*'Data Entry Fuel'!I181
+'Data Entry Fuel'!J29*'Data Entry Fuel'!J181</f>
        <v>0</v>
      </c>
      <c r="C30" s="672">
        <f>'Data Entry Fuel'!B29*'Data Entry Fuel'!B181
+'Data Entry Fuel'!C29*'Data Entry Fuel'!C181
+'Data Entry Fuel'!D29*'Data Entry Fuel'!D181
+'Data Entry Fuel'!E29*'Data Entry Fuel'!E181
+'Data Entry Fuel'!F29*'Data Entry Fuel'!F181
+'Data Entry Fuel'!G29*'Data Entry Fuel'!G181
+'Data Entry Fuel'!H29*'Data Entry Fuel'!H181
+'Data Entry Fuel'!I29*'Data Entry Fuel'!C181 *   (1 -  0.13 * 'Data Entry Fuel'!I$3)
+'Data Entry Fuel'!J29*'Data Entry Fuel'!J181</f>
        <v>0</v>
      </c>
      <c r="D30" s="677">
        <f>'Data Entry Electricity'!B29*'Data Entry Electricity'!L29+'Data Entry Electricity'!C29*'Data Entry Electricity'!M29+'Data Entry Electricity'!D29*'Data Entry Electricity'!N29+'Data Entry Electricity'!E29*'Data Entry Electricity'!O29</f>
        <v>0</v>
      </c>
      <c r="E30" s="776">
        <f>'Data Entry Electricity'!B29*'Data Entry Electricity'!L29+'Data Entry Electricity'!C29*'Data Entry Electricity'!L29+'Data Entry Electricity'!D29*'Data Entry Electricity'!N29+'Data Entry Electricity'!E29*'Data Entry Electricity'!O29</f>
        <v>0</v>
      </c>
      <c r="F30" s="777">
        <f>(SUM('Fuel Equipment Savings Calculat'!$B27:$S27))+(SUM('Efficient Site Offices DD &amp; Cal'!$B63:$F63))+'PFC Calculations'!$G28+(SUM('Behaviour Calculations'!$E34,'Behaviour Calculations'!$J34,'Behaviour Calculations'!$O34))+(SUM('Reduced Power Lighting Calculat'!$B28:$F28)+SUM('Hybrid Lighting Calculations'!$B32:$F32)+('PIR Lighting Calculations'!$H28)+SUM('Water Calculations'!$B28:$G28)+'Additional Initiatives'!$H41)</f>
        <v>0</v>
      </c>
      <c r="G30" s="778">
        <f t="shared" si="0"/>
        <v>0</v>
      </c>
      <c r="H30" s="778">
        <f t="shared" si="5"/>
        <v>0</v>
      </c>
      <c r="I30" s="778">
        <f t="shared" si="1"/>
        <v>0</v>
      </c>
      <c r="J30" s="798">
        <f t="shared" si="6"/>
        <v>0</v>
      </c>
      <c r="K30" s="779">
        <f t="shared" si="7"/>
        <v>0</v>
      </c>
      <c r="L30" s="780">
        <f t="shared" si="2"/>
        <v>0</v>
      </c>
      <c r="M30" s="780">
        <f t="shared" si="3"/>
        <v>0</v>
      </c>
      <c r="N30" s="781">
        <f t="shared" si="4"/>
        <v>0</v>
      </c>
      <c r="O30" s="781">
        <f t="shared" si="16"/>
        <v>0</v>
      </c>
      <c r="Q30" s="683">
        <f t="shared" si="8"/>
        <v>0</v>
      </c>
      <c r="R30" s="683">
        <f t="shared" si="9"/>
        <v>0</v>
      </c>
      <c r="T30" s="673">
        <f t="shared" si="10"/>
        <v>0</v>
      </c>
      <c r="U30" s="674">
        <f>'Fuel Equipment Savings Calculat'!$V27</f>
        <v>0</v>
      </c>
      <c r="V30" s="674">
        <f>'Efficient Site Offices DD &amp; Cal'!$H63</f>
        <v>0</v>
      </c>
      <c r="W30" s="674">
        <f>'PFC Calculations'!$G28</f>
        <v>0</v>
      </c>
      <c r="X30" s="674">
        <f>'Behaviour Calculations'!$E34</f>
        <v>0</v>
      </c>
      <c r="Y30" s="674">
        <f>'Behaviour Calculations'!$J34</f>
        <v>0</v>
      </c>
      <c r="Z30" s="674">
        <f>'Behaviour Calculations'!$O34</f>
        <v>0</v>
      </c>
      <c r="AA30" s="674">
        <f>'Reduced Power Lighting Calculat'!$H28</f>
        <v>0</v>
      </c>
      <c r="AB30" s="674">
        <f>'Hybrid Lighting Calculations'!H32</f>
        <v>0</v>
      </c>
      <c r="AC30" s="674">
        <f>'PIR Lighting Calculations'!$H28</f>
        <v>0</v>
      </c>
      <c r="AD30" s="674">
        <f>'Water Calculations'!$I28</f>
        <v>0</v>
      </c>
      <c r="AE30" s="674">
        <f>'Additional Initiatives'!$H41</f>
        <v>0</v>
      </c>
      <c r="AF30" s="679">
        <f t="shared" si="11"/>
        <v>0</v>
      </c>
      <c r="AG30" s="679">
        <f>(C30-B30) - (0.13 * 'Data Entry Fuel'!I$3) * (U30+AB30)</f>
        <v>0</v>
      </c>
      <c r="AH30" s="5"/>
      <c r="AI30" s="19">
        <v>1113</v>
      </c>
      <c r="AJ30" s="19">
        <f t="shared" si="12"/>
        <v>2011</v>
      </c>
      <c r="AK30" s="19">
        <f t="shared" si="13"/>
        <v>5</v>
      </c>
      <c r="AL30" s="19">
        <v>26</v>
      </c>
      <c r="AM30" s="697">
        <f t="shared" si="14"/>
        <v>0</v>
      </c>
      <c r="AN30" s="697">
        <f t="shared" si="17"/>
        <v>0</v>
      </c>
      <c r="AO30" s="697">
        <f t="shared" si="18"/>
        <v>0</v>
      </c>
      <c r="AP30" s="697">
        <f>IF(AP$4='Additional Initiatives'!$B$163,'Additional Initiatives'!$B189,IF(AP$4='Additional Initiatives'!$C$163,'Additional Initiatives'!$C189,IF(AP$4='Additional Initiatives'!$D$163,'Additional Initiatives'!$D189,IF(AP$4='Additional Initiatives'!$E$163,'Additional Initiatives'!$E189,IF(AP$4='Additional Initiatives'!$F$163,'Additional Initiatives'!$F189,0)))))+AP29</f>
        <v>0</v>
      </c>
      <c r="AQ30" s="697">
        <f>IF(AQ$4='Additional Initiatives'!$B$163,'Additional Initiatives'!$B189,IF(AQ$4='Additional Initiatives'!$C$163,'Additional Initiatives'!$C189,IF(AQ$4='Additional Initiatives'!$D$163,'Additional Initiatives'!$D189,IF(AQ$4='Additional Initiatives'!$E$163,'Additional Initiatives'!$E189,IF(AQ$4='Additional Initiatives'!$F$163,'Additional Initiatives'!$F189,0)))))+AQ29</f>
        <v>0</v>
      </c>
      <c r="AR30" s="697">
        <f>IF(AR$4='Additional Initiatives'!$B$163,'Additional Initiatives'!$B189,IF(AR$4='Additional Initiatives'!$C$163,'Additional Initiatives'!$C189,IF(AR$4='Additional Initiatives'!$D$163,'Additional Initiatives'!$D189,IF(AR$4='Additional Initiatives'!$E$163,'Additional Initiatives'!$E189,IF(AR$4='Additional Initiatives'!$F$163,'Additional Initiatives'!$F189,0)))))+AR29</f>
        <v>0</v>
      </c>
      <c r="AS30" s="697">
        <f t="shared" si="19"/>
        <v>0</v>
      </c>
      <c r="AT30" s="696">
        <f t="shared" si="15"/>
        <v>0</v>
      </c>
      <c r="AU30" s="696">
        <f t="shared" si="20"/>
        <v>0</v>
      </c>
      <c r="AV30" s="696">
        <f t="shared" si="21"/>
        <v>0</v>
      </c>
      <c r="AW30" s="696">
        <f t="shared" si="22"/>
        <v>0</v>
      </c>
      <c r="AX30" s="696">
        <f t="shared" si="23"/>
        <v>0</v>
      </c>
      <c r="AY30" s="696">
        <f t="shared" si="24"/>
        <v>0</v>
      </c>
      <c r="AZ30" s="696">
        <f t="shared" si="25"/>
        <v>0</v>
      </c>
      <c r="BA30" s="696">
        <f t="shared" si="26"/>
        <v>0</v>
      </c>
      <c r="BB30" s="696">
        <f t="shared" si="27"/>
        <v>0</v>
      </c>
      <c r="BC30" s="696">
        <f>IF(BC$4='Additional Initiatives'!$B$163,'Additional Initiatives'!$B189,IF(BC$4='Additional Initiatives'!$C$163,'Additional Initiatives'!$C189,IF(BC$4='Additional Initiatives'!$D$163,'Additional Initiatives'!$D189,IF(BC$4='Additional Initiatives'!$E$163,'Additional Initiatives'!$E189,IF(BC$4='Additional Initiatives'!$F$163,'Additional Initiatives'!$F189,0)))))+BC29</f>
        <v>0</v>
      </c>
      <c r="BD30" s="696">
        <f>IF(BD$4='Additional Initiatives'!$B$163,'Additional Initiatives'!$B189,IF(BD$4='Additional Initiatives'!$C$163,'Additional Initiatives'!$C189,IF(BD$4='Additional Initiatives'!$D$163,'Additional Initiatives'!$D189,IF(BD$4='Additional Initiatives'!$E$163,'Additional Initiatives'!$E189,IF(BD$4='Additional Initiatives'!$F$163,'Additional Initiatives'!$F189,0)))))+BD29</f>
        <v>0</v>
      </c>
      <c r="BE30" s="696">
        <f>IF(BE$4='Additional Initiatives'!$B$163,'Additional Initiatives'!$B189,IF(BE$4='Additional Initiatives'!$C$163,'Additional Initiatives'!$C189,IF(BE$4='Additional Initiatives'!$D$163,'Additional Initiatives'!$D189,IF(BE$4='Additional Initiatives'!$E$163,'Additional Initiatives'!$E189,IF(BE$4='Additional Initiatives'!$F$163,'Additional Initiatives'!$F189,0)))))+BE29</f>
        <v>0</v>
      </c>
      <c r="BF30" s="696">
        <f t="shared" si="28"/>
        <v>0</v>
      </c>
    </row>
    <row r="31" spans="1:58">
      <c r="A31" s="21" t="s">
        <v>49</v>
      </c>
      <c r="B31" s="672">
        <f>'Data Entry Fuel'!B30*'Data Entry Fuel'!B182
+'Data Entry Fuel'!C30*'Data Entry Fuel'!C182
+'Data Entry Fuel'!D30*'Data Entry Fuel'!D182
+'Data Entry Fuel'!E30*'Data Entry Fuel'!E182
+'Data Entry Fuel'!F30*'Data Entry Fuel'!F182
+'Data Entry Fuel'!G30*'Data Entry Fuel'!G182
+'Data Entry Fuel'!H30*'Data Entry Fuel'!H182
+'Data Entry Fuel'!I30*'Data Entry Fuel'!I182
+'Data Entry Fuel'!J30*'Data Entry Fuel'!J182</f>
        <v>0</v>
      </c>
      <c r="C31" s="672">
        <f>'Data Entry Fuel'!B30*'Data Entry Fuel'!B182
+'Data Entry Fuel'!C30*'Data Entry Fuel'!C182
+'Data Entry Fuel'!D30*'Data Entry Fuel'!D182
+'Data Entry Fuel'!E30*'Data Entry Fuel'!E182
+'Data Entry Fuel'!F30*'Data Entry Fuel'!F182
+'Data Entry Fuel'!G30*'Data Entry Fuel'!G182
+'Data Entry Fuel'!H30*'Data Entry Fuel'!H182
+'Data Entry Fuel'!I30*'Data Entry Fuel'!C182 *   (1 -  0.13 * 'Data Entry Fuel'!I$3)
+'Data Entry Fuel'!J30*'Data Entry Fuel'!J182</f>
        <v>0</v>
      </c>
      <c r="D31" s="677">
        <f>'Data Entry Electricity'!B30*'Data Entry Electricity'!L30+'Data Entry Electricity'!C30*'Data Entry Electricity'!M30+'Data Entry Electricity'!D30*'Data Entry Electricity'!N30+'Data Entry Electricity'!E30*'Data Entry Electricity'!O30</f>
        <v>0</v>
      </c>
      <c r="E31" s="776">
        <f>'Data Entry Electricity'!B30*'Data Entry Electricity'!L30+'Data Entry Electricity'!C30*'Data Entry Electricity'!L30+'Data Entry Electricity'!D30*'Data Entry Electricity'!N30+'Data Entry Electricity'!E30*'Data Entry Electricity'!O30</f>
        <v>0</v>
      </c>
      <c r="F31" s="777">
        <f>(SUM('Fuel Equipment Savings Calculat'!$B28:$S28))+(SUM('Efficient Site Offices DD &amp; Cal'!$B64:$F64))+'PFC Calculations'!$G29+(SUM('Behaviour Calculations'!$E35,'Behaviour Calculations'!$J35,'Behaviour Calculations'!$O35))+(SUM('Reduced Power Lighting Calculat'!$B29:$F29)+SUM('Hybrid Lighting Calculations'!$B33:$F33)+('PIR Lighting Calculations'!$H29)+SUM('Water Calculations'!$B29:$G29)+'Additional Initiatives'!$H42)</f>
        <v>0</v>
      </c>
      <c r="G31" s="778">
        <f t="shared" si="0"/>
        <v>0</v>
      </c>
      <c r="H31" s="778">
        <f t="shared" si="5"/>
        <v>0</v>
      </c>
      <c r="I31" s="778">
        <f t="shared" si="1"/>
        <v>0</v>
      </c>
      <c r="J31" s="798">
        <f t="shared" si="6"/>
        <v>0</v>
      </c>
      <c r="K31" s="779">
        <f t="shared" si="7"/>
        <v>0</v>
      </c>
      <c r="L31" s="780">
        <f t="shared" si="2"/>
        <v>0</v>
      </c>
      <c r="M31" s="780">
        <f t="shared" si="3"/>
        <v>0</v>
      </c>
      <c r="N31" s="781">
        <f t="shared" si="4"/>
        <v>0</v>
      </c>
      <c r="O31" s="781">
        <f t="shared" si="16"/>
        <v>0</v>
      </c>
      <c r="Q31" s="683">
        <f t="shared" si="8"/>
        <v>0</v>
      </c>
      <c r="R31" s="683">
        <f t="shared" si="9"/>
        <v>0</v>
      </c>
      <c r="T31" s="673">
        <f t="shared" si="10"/>
        <v>0</v>
      </c>
      <c r="U31" s="674">
        <f>'Fuel Equipment Savings Calculat'!$V28</f>
        <v>0</v>
      </c>
      <c r="V31" s="674">
        <f>'Efficient Site Offices DD &amp; Cal'!$H64</f>
        <v>0</v>
      </c>
      <c r="W31" s="674">
        <f>'PFC Calculations'!$G29</f>
        <v>0</v>
      </c>
      <c r="X31" s="674">
        <f>'Behaviour Calculations'!$E35</f>
        <v>0</v>
      </c>
      <c r="Y31" s="674">
        <f>'Behaviour Calculations'!$J35</f>
        <v>0</v>
      </c>
      <c r="Z31" s="674">
        <f>'Behaviour Calculations'!$O35</f>
        <v>0</v>
      </c>
      <c r="AA31" s="674">
        <f>'Reduced Power Lighting Calculat'!$H29</f>
        <v>0</v>
      </c>
      <c r="AB31" s="674">
        <f>'Hybrid Lighting Calculations'!H33</f>
        <v>0</v>
      </c>
      <c r="AC31" s="674">
        <f>'PIR Lighting Calculations'!$H29</f>
        <v>0</v>
      </c>
      <c r="AD31" s="674">
        <f>'Water Calculations'!$I29</f>
        <v>0</v>
      </c>
      <c r="AE31" s="674">
        <f>'Additional Initiatives'!$H42</f>
        <v>0</v>
      </c>
      <c r="AF31" s="679">
        <f t="shared" si="11"/>
        <v>0</v>
      </c>
      <c r="AG31" s="679">
        <f>(C31-B31) - (0.13 * 'Data Entry Fuel'!I$3) * (U31+AB31)</f>
        <v>0</v>
      </c>
      <c r="AH31" s="5"/>
      <c r="AI31" s="19">
        <v>1201</v>
      </c>
      <c r="AJ31" s="19">
        <f t="shared" si="12"/>
        <v>2011</v>
      </c>
      <c r="AK31" s="19">
        <f t="shared" si="13"/>
        <v>5</v>
      </c>
      <c r="AL31" s="19">
        <v>27</v>
      </c>
      <c r="AM31" s="697">
        <f t="shared" si="14"/>
        <v>0</v>
      </c>
      <c r="AN31" s="697">
        <f t="shared" si="17"/>
        <v>0</v>
      </c>
      <c r="AO31" s="697">
        <f t="shared" si="18"/>
        <v>0</v>
      </c>
      <c r="AP31" s="697">
        <f>IF(AP$4='Additional Initiatives'!$B$163,'Additional Initiatives'!$B190,IF(AP$4='Additional Initiatives'!$C$163,'Additional Initiatives'!$C190,IF(AP$4='Additional Initiatives'!$D$163,'Additional Initiatives'!$D190,IF(AP$4='Additional Initiatives'!$E$163,'Additional Initiatives'!$E190,IF(AP$4='Additional Initiatives'!$F$163,'Additional Initiatives'!$F190,0)))))+AP30</f>
        <v>0</v>
      </c>
      <c r="AQ31" s="697">
        <f>IF(AQ$4='Additional Initiatives'!$B$163,'Additional Initiatives'!$B190,IF(AQ$4='Additional Initiatives'!$C$163,'Additional Initiatives'!$C190,IF(AQ$4='Additional Initiatives'!$D$163,'Additional Initiatives'!$D190,IF(AQ$4='Additional Initiatives'!$E$163,'Additional Initiatives'!$E190,IF(AQ$4='Additional Initiatives'!$F$163,'Additional Initiatives'!$F190,0)))))+AQ30</f>
        <v>0</v>
      </c>
      <c r="AR31" s="697">
        <f>IF(AR$4='Additional Initiatives'!$B$163,'Additional Initiatives'!$B190,IF(AR$4='Additional Initiatives'!$C$163,'Additional Initiatives'!$C190,IF(AR$4='Additional Initiatives'!$D$163,'Additional Initiatives'!$D190,IF(AR$4='Additional Initiatives'!$E$163,'Additional Initiatives'!$E190,IF(AR$4='Additional Initiatives'!$F$163,'Additional Initiatives'!$F190,0)))))+AR30</f>
        <v>0</v>
      </c>
      <c r="AS31" s="697">
        <f t="shared" si="19"/>
        <v>0</v>
      </c>
      <c r="AT31" s="696">
        <f t="shared" si="15"/>
        <v>0</v>
      </c>
      <c r="AU31" s="696">
        <f t="shared" si="20"/>
        <v>0</v>
      </c>
      <c r="AV31" s="696">
        <f t="shared" si="21"/>
        <v>0</v>
      </c>
      <c r="AW31" s="696">
        <f t="shared" si="22"/>
        <v>0</v>
      </c>
      <c r="AX31" s="696">
        <f t="shared" si="23"/>
        <v>0</v>
      </c>
      <c r="AY31" s="696">
        <f t="shared" si="24"/>
        <v>0</v>
      </c>
      <c r="AZ31" s="696">
        <f t="shared" si="25"/>
        <v>0</v>
      </c>
      <c r="BA31" s="696">
        <f t="shared" si="26"/>
        <v>0</v>
      </c>
      <c r="BB31" s="696">
        <f t="shared" si="27"/>
        <v>0</v>
      </c>
      <c r="BC31" s="696">
        <f>IF(BC$4='Additional Initiatives'!$B$163,'Additional Initiatives'!$B190,IF(BC$4='Additional Initiatives'!$C$163,'Additional Initiatives'!$C190,IF(BC$4='Additional Initiatives'!$D$163,'Additional Initiatives'!$D190,IF(BC$4='Additional Initiatives'!$E$163,'Additional Initiatives'!$E190,IF(BC$4='Additional Initiatives'!$F$163,'Additional Initiatives'!$F190,0)))))+BC30</f>
        <v>0</v>
      </c>
      <c r="BD31" s="696">
        <f>IF(BD$4='Additional Initiatives'!$B$163,'Additional Initiatives'!$B190,IF(BD$4='Additional Initiatives'!$C$163,'Additional Initiatives'!$C190,IF(BD$4='Additional Initiatives'!$D$163,'Additional Initiatives'!$D190,IF(BD$4='Additional Initiatives'!$E$163,'Additional Initiatives'!$E190,IF(BD$4='Additional Initiatives'!$F$163,'Additional Initiatives'!$F190,0)))))+BD30</f>
        <v>0</v>
      </c>
      <c r="BE31" s="696">
        <f>IF(BE$4='Additional Initiatives'!$B$163,'Additional Initiatives'!$B190,IF(BE$4='Additional Initiatives'!$C$163,'Additional Initiatives'!$C190,IF(BE$4='Additional Initiatives'!$D$163,'Additional Initiatives'!$D190,IF(BE$4='Additional Initiatives'!$E$163,'Additional Initiatives'!$E190,IF(BE$4='Additional Initiatives'!$F$163,'Additional Initiatives'!$F190,0)))))+BE30</f>
        <v>0</v>
      </c>
      <c r="BF31" s="696">
        <f t="shared" si="28"/>
        <v>0</v>
      </c>
    </row>
    <row r="32" spans="1:58">
      <c r="A32" s="21" t="s">
        <v>50</v>
      </c>
      <c r="B32" s="672">
        <f>'Data Entry Fuel'!B31*'Data Entry Fuel'!B183
+'Data Entry Fuel'!C31*'Data Entry Fuel'!C183
+'Data Entry Fuel'!D31*'Data Entry Fuel'!D183
+'Data Entry Fuel'!E31*'Data Entry Fuel'!E183
+'Data Entry Fuel'!F31*'Data Entry Fuel'!F183
+'Data Entry Fuel'!G31*'Data Entry Fuel'!G183
+'Data Entry Fuel'!H31*'Data Entry Fuel'!H183
+'Data Entry Fuel'!I31*'Data Entry Fuel'!I183
+'Data Entry Fuel'!J31*'Data Entry Fuel'!J183</f>
        <v>0</v>
      </c>
      <c r="C32" s="672">
        <f>'Data Entry Fuel'!B31*'Data Entry Fuel'!B183
+'Data Entry Fuel'!C31*'Data Entry Fuel'!C183
+'Data Entry Fuel'!D31*'Data Entry Fuel'!D183
+'Data Entry Fuel'!E31*'Data Entry Fuel'!E183
+'Data Entry Fuel'!F31*'Data Entry Fuel'!F183
+'Data Entry Fuel'!G31*'Data Entry Fuel'!G183
+'Data Entry Fuel'!H31*'Data Entry Fuel'!H183
+'Data Entry Fuel'!I31*'Data Entry Fuel'!C183 *   (1 -  0.13 * 'Data Entry Fuel'!I$3)
+'Data Entry Fuel'!J31*'Data Entry Fuel'!J183</f>
        <v>0</v>
      </c>
      <c r="D32" s="677">
        <f>'Data Entry Electricity'!B31*'Data Entry Electricity'!L31+'Data Entry Electricity'!C31*'Data Entry Electricity'!M31+'Data Entry Electricity'!D31*'Data Entry Electricity'!N31+'Data Entry Electricity'!E31*'Data Entry Electricity'!O31</f>
        <v>0</v>
      </c>
      <c r="E32" s="776">
        <f>'Data Entry Electricity'!B31*'Data Entry Electricity'!L31+'Data Entry Electricity'!C31*'Data Entry Electricity'!L31+'Data Entry Electricity'!D31*'Data Entry Electricity'!N31+'Data Entry Electricity'!E31*'Data Entry Electricity'!O31</f>
        <v>0</v>
      </c>
      <c r="F32" s="777">
        <f>(SUM('Fuel Equipment Savings Calculat'!$B29:$S29))+(SUM('Efficient Site Offices DD &amp; Cal'!$B65:$F65))+'PFC Calculations'!$G30+(SUM('Behaviour Calculations'!$E36,'Behaviour Calculations'!$J36,'Behaviour Calculations'!$O36))+(SUM('Reduced Power Lighting Calculat'!$B30:$F30)+SUM('Hybrid Lighting Calculations'!$B34:$F34)+('PIR Lighting Calculations'!$H30)+SUM('Water Calculations'!$B30:$G30)+'Additional Initiatives'!$H43)</f>
        <v>0</v>
      </c>
      <c r="G32" s="778">
        <f t="shared" si="0"/>
        <v>0</v>
      </c>
      <c r="H32" s="778">
        <f t="shared" si="5"/>
        <v>0</v>
      </c>
      <c r="I32" s="778">
        <f t="shared" si="1"/>
        <v>0</v>
      </c>
      <c r="J32" s="798">
        <f t="shared" si="6"/>
        <v>0</v>
      </c>
      <c r="K32" s="779">
        <f t="shared" si="7"/>
        <v>0</v>
      </c>
      <c r="L32" s="780">
        <f t="shared" si="2"/>
        <v>0</v>
      </c>
      <c r="M32" s="780">
        <f t="shared" si="3"/>
        <v>0</v>
      </c>
      <c r="N32" s="781">
        <f t="shared" si="4"/>
        <v>0</v>
      </c>
      <c r="O32" s="781">
        <f t="shared" si="16"/>
        <v>0</v>
      </c>
      <c r="Q32" s="683">
        <f t="shared" si="8"/>
        <v>0</v>
      </c>
      <c r="R32" s="683">
        <f t="shared" si="9"/>
        <v>0</v>
      </c>
      <c r="T32" s="673">
        <f t="shared" si="10"/>
        <v>0</v>
      </c>
      <c r="U32" s="674">
        <f>'Fuel Equipment Savings Calculat'!$V29</f>
        <v>0</v>
      </c>
      <c r="V32" s="674">
        <f>'Efficient Site Offices DD &amp; Cal'!$H65</f>
        <v>0</v>
      </c>
      <c r="W32" s="674">
        <f>'PFC Calculations'!$G30</f>
        <v>0</v>
      </c>
      <c r="X32" s="674">
        <f>'Behaviour Calculations'!$E36</f>
        <v>0</v>
      </c>
      <c r="Y32" s="674">
        <f>'Behaviour Calculations'!$J36</f>
        <v>0</v>
      </c>
      <c r="Z32" s="674">
        <f>'Behaviour Calculations'!$O36</f>
        <v>0</v>
      </c>
      <c r="AA32" s="674">
        <f>'Reduced Power Lighting Calculat'!$H30</f>
        <v>0</v>
      </c>
      <c r="AB32" s="674">
        <f>'Hybrid Lighting Calculations'!H34</f>
        <v>0</v>
      </c>
      <c r="AC32" s="674">
        <f>'PIR Lighting Calculations'!$H30</f>
        <v>0</v>
      </c>
      <c r="AD32" s="674">
        <f>'Water Calculations'!$I30</f>
        <v>0</v>
      </c>
      <c r="AE32" s="674">
        <f>'Additional Initiatives'!$H43</f>
        <v>0</v>
      </c>
      <c r="AF32" s="679">
        <f t="shared" si="11"/>
        <v>0</v>
      </c>
      <c r="AG32" s="679">
        <f>(C32-B32) - (0.13 * 'Data Entry Fuel'!I$3) * (U32+AB32)</f>
        <v>0</v>
      </c>
      <c r="AH32" s="5"/>
      <c r="AI32" s="19">
        <v>1202</v>
      </c>
      <c r="AJ32" s="19">
        <f t="shared" si="12"/>
        <v>2011</v>
      </c>
      <c r="AK32" s="19">
        <f t="shared" si="13"/>
        <v>5</v>
      </c>
      <c r="AL32" s="19">
        <v>28</v>
      </c>
      <c r="AM32" s="697">
        <f t="shared" si="14"/>
        <v>0</v>
      </c>
      <c r="AN32" s="697">
        <f t="shared" si="17"/>
        <v>0</v>
      </c>
      <c r="AO32" s="697">
        <f t="shared" si="18"/>
        <v>0</v>
      </c>
      <c r="AP32" s="697">
        <f>IF(AP$4='Additional Initiatives'!$B$163,'Additional Initiatives'!$B191,IF(AP$4='Additional Initiatives'!$C$163,'Additional Initiatives'!$C191,IF(AP$4='Additional Initiatives'!$D$163,'Additional Initiatives'!$D191,IF(AP$4='Additional Initiatives'!$E$163,'Additional Initiatives'!$E191,IF(AP$4='Additional Initiatives'!$F$163,'Additional Initiatives'!$F191,0)))))+AP31</f>
        <v>0</v>
      </c>
      <c r="AQ32" s="697">
        <f>IF(AQ$4='Additional Initiatives'!$B$163,'Additional Initiatives'!$B191,IF(AQ$4='Additional Initiatives'!$C$163,'Additional Initiatives'!$C191,IF(AQ$4='Additional Initiatives'!$D$163,'Additional Initiatives'!$D191,IF(AQ$4='Additional Initiatives'!$E$163,'Additional Initiatives'!$E191,IF(AQ$4='Additional Initiatives'!$F$163,'Additional Initiatives'!$F191,0)))))+AQ31</f>
        <v>0</v>
      </c>
      <c r="AR32" s="697">
        <f>IF(AR$4='Additional Initiatives'!$B$163,'Additional Initiatives'!$B191,IF(AR$4='Additional Initiatives'!$C$163,'Additional Initiatives'!$C191,IF(AR$4='Additional Initiatives'!$D$163,'Additional Initiatives'!$D191,IF(AR$4='Additional Initiatives'!$E$163,'Additional Initiatives'!$E191,IF(AR$4='Additional Initiatives'!$F$163,'Additional Initiatives'!$F191,0)))))+AR31</f>
        <v>0</v>
      </c>
      <c r="AS32" s="697">
        <f t="shared" si="19"/>
        <v>0</v>
      </c>
      <c r="AT32" s="696">
        <f t="shared" si="15"/>
        <v>0</v>
      </c>
      <c r="AU32" s="696">
        <f t="shared" si="20"/>
        <v>0</v>
      </c>
      <c r="AV32" s="696">
        <f t="shared" si="21"/>
        <v>0</v>
      </c>
      <c r="AW32" s="696">
        <f t="shared" si="22"/>
        <v>0</v>
      </c>
      <c r="AX32" s="696">
        <f t="shared" si="23"/>
        <v>0</v>
      </c>
      <c r="AY32" s="696">
        <f t="shared" si="24"/>
        <v>0</v>
      </c>
      <c r="AZ32" s="696">
        <f t="shared" si="25"/>
        <v>0</v>
      </c>
      <c r="BA32" s="696">
        <f t="shared" si="26"/>
        <v>0</v>
      </c>
      <c r="BB32" s="696">
        <f t="shared" si="27"/>
        <v>0</v>
      </c>
      <c r="BC32" s="696">
        <f>IF(BC$4='Additional Initiatives'!$B$163,'Additional Initiatives'!$B191,IF(BC$4='Additional Initiatives'!$C$163,'Additional Initiatives'!$C191,IF(BC$4='Additional Initiatives'!$D$163,'Additional Initiatives'!$D191,IF(BC$4='Additional Initiatives'!$E$163,'Additional Initiatives'!$E191,IF(BC$4='Additional Initiatives'!$F$163,'Additional Initiatives'!$F191,0)))))+BC31</f>
        <v>0</v>
      </c>
      <c r="BD32" s="696">
        <f>IF(BD$4='Additional Initiatives'!$B$163,'Additional Initiatives'!$B191,IF(BD$4='Additional Initiatives'!$C$163,'Additional Initiatives'!$C191,IF(BD$4='Additional Initiatives'!$D$163,'Additional Initiatives'!$D191,IF(BD$4='Additional Initiatives'!$E$163,'Additional Initiatives'!$E191,IF(BD$4='Additional Initiatives'!$F$163,'Additional Initiatives'!$F191,0)))))+BD31</f>
        <v>0</v>
      </c>
      <c r="BE32" s="696">
        <f>IF(BE$4='Additional Initiatives'!$B$163,'Additional Initiatives'!$B191,IF(BE$4='Additional Initiatives'!$C$163,'Additional Initiatives'!$C191,IF(BE$4='Additional Initiatives'!$D$163,'Additional Initiatives'!$D191,IF(BE$4='Additional Initiatives'!$E$163,'Additional Initiatives'!$E191,IF(BE$4='Additional Initiatives'!$F$163,'Additional Initiatives'!$F191,0)))))+BE31</f>
        <v>0</v>
      </c>
      <c r="BF32" s="696">
        <f t="shared" si="28"/>
        <v>0</v>
      </c>
    </row>
    <row r="33" spans="1:58">
      <c r="A33" s="21" t="s">
        <v>51</v>
      </c>
      <c r="B33" s="672">
        <f>'Data Entry Fuel'!B32*'Data Entry Fuel'!B184
+'Data Entry Fuel'!C32*'Data Entry Fuel'!C184
+'Data Entry Fuel'!D32*'Data Entry Fuel'!D184
+'Data Entry Fuel'!E32*'Data Entry Fuel'!E184
+'Data Entry Fuel'!F32*'Data Entry Fuel'!F184
+'Data Entry Fuel'!G32*'Data Entry Fuel'!G184
+'Data Entry Fuel'!H32*'Data Entry Fuel'!H184
+'Data Entry Fuel'!I32*'Data Entry Fuel'!I184
+'Data Entry Fuel'!J32*'Data Entry Fuel'!J184</f>
        <v>0</v>
      </c>
      <c r="C33" s="672">
        <f>'Data Entry Fuel'!B32*'Data Entry Fuel'!B184
+'Data Entry Fuel'!C32*'Data Entry Fuel'!C184
+'Data Entry Fuel'!D32*'Data Entry Fuel'!D184
+'Data Entry Fuel'!E32*'Data Entry Fuel'!E184
+'Data Entry Fuel'!F32*'Data Entry Fuel'!F184
+'Data Entry Fuel'!G32*'Data Entry Fuel'!G184
+'Data Entry Fuel'!H32*'Data Entry Fuel'!H184
+'Data Entry Fuel'!I32*'Data Entry Fuel'!C184 *   (1 -  0.13 * 'Data Entry Fuel'!I$3)
+'Data Entry Fuel'!J32*'Data Entry Fuel'!J184</f>
        <v>0</v>
      </c>
      <c r="D33" s="677">
        <f>'Data Entry Electricity'!B32*'Data Entry Electricity'!L32+'Data Entry Electricity'!C32*'Data Entry Electricity'!M32+'Data Entry Electricity'!D32*'Data Entry Electricity'!N32+'Data Entry Electricity'!E32*'Data Entry Electricity'!O32</f>
        <v>0</v>
      </c>
      <c r="E33" s="776">
        <f>'Data Entry Electricity'!B32*'Data Entry Electricity'!L32+'Data Entry Electricity'!C32*'Data Entry Electricity'!L32+'Data Entry Electricity'!D32*'Data Entry Electricity'!N32+'Data Entry Electricity'!E32*'Data Entry Electricity'!O32</f>
        <v>0</v>
      </c>
      <c r="F33" s="777">
        <f>(SUM('Fuel Equipment Savings Calculat'!$B30:$S30))+(SUM('Efficient Site Offices DD &amp; Cal'!$B66:$F66))+'PFC Calculations'!$G31+(SUM('Behaviour Calculations'!$E37,'Behaviour Calculations'!$J37,'Behaviour Calculations'!$O37))+(SUM('Reduced Power Lighting Calculat'!$B31:$F31)+SUM('Hybrid Lighting Calculations'!$B35:$F35)+('PIR Lighting Calculations'!$H31)+SUM('Water Calculations'!$B31:$G31)+'Additional Initiatives'!$H44)</f>
        <v>0</v>
      </c>
      <c r="G33" s="778">
        <f t="shared" si="0"/>
        <v>0</v>
      </c>
      <c r="H33" s="778">
        <f t="shared" si="5"/>
        <v>0</v>
      </c>
      <c r="I33" s="778">
        <f t="shared" si="1"/>
        <v>0</v>
      </c>
      <c r="J33" s="798">
        <f t="shared" si="6"/>
        <v>0</v>
      </c>
      <c r="K33" s="779">
        <f t="shared" si="7"/>
        <v>0</v>
      </c>
      <c r="L33" s="780">
        <f t="shared" si="2"/>
        <v>0</v>
      </c>
      <c r="M33" s="780">
        <f t="shared" si="3"/>
        <v>0</v>
      </c>
      <c r="N33" s="781">
        <f t="shared" si="4"/>
        <v>0</v>
      </c>
      <c r="O33" s="781">
        <f t="shared" si="16"/>
        <v>0</v>
      </c>
      <c r="Q33" s="683">
        <f t="shared" si="8"/>
        <v>0</v>
      </c>
      <c r="R33" s="683">
        <f t="shared" si="9"/>
        <v>0</v>
      </c>
      <c r="T33" s="673">
        <f t="shared" si="10"/>
        <v>0</v>
      </c>
      <c r="U33" s="674">
        <f>'Fuel Equipment Savings Calculat'!$V30</f>
        <v>0</v>
      </c>
      <c r="V33" s="674">
        <f>'Efficient Site Offices DD &amp; Cal'!$H66</f>
        <v>0</v>
      </c>
      <c r="W33" s="674">
        <f>'PFC Calculations'!$G31</f>
        <v>0</v>
      </c>
      <c r="X33" s="674">
        <f>'Behaviour Calculations'!$E37</f>
        <v>0</v>
      </c>
      <c r="Y33" s="674">
        <f>'Behaviour Calculations'!$J37</f>
        <v>0</v>
      </c>
      <c r="Z33" s="674">
        <f>'Behaviour Calculations'!$O37</f>
        <v>0</v>
      </c>
      <c r="AA33" s="674">
        <f>'Reduced Power Lighting Calculat'!$H31</f>
        <v>0</v>
      </c>
      <c r="AB33" s="674">
        <f>'Hybrid Lighting Calculations'!H35</f>
        <v>0</v>
      </c>
      <c r="AC33" s="674">
        <f>'PIR Lighting Calculations'!$H31</f>
        <v>0</v>
      </c>
      <c r="AD33" s="674">
        <f>'Water Calculations'!$I31</f>
        <v>0</v>
      </c>
      <c r="AE33" s="674">
        <f>'Additional Initiatives'!$H44</f>
        <v>0</v>
      </c>
      <c r="AF33" s="679">
        <f t="shared" si="11"/>
        <v>0</v>
      </c>
      <c r="AG33" s="679">
        <f>(C33-B33) - (0.13 * 'Data Entry Fuel'!I$3) * (U33+AB33)</f>
        <v>0</v>
      </c>
      <c r="AH33" s="5"/>
      <c r="AI33" s="19">
        <v>1203</v>
      </c>
      <c r="AJ33" s="19">
        <f t="shared" si="12"/>
        <v>2012</v>
      </c>
      <c r="AK33" s="19">
        <f t="shared" si="13"/>
        <v>6</v>
      </c>
      <c r="AL33" s="19">
        <v>29</v>
      </c>
      <c r="AM33" s="697">
        <f t="shared" si="14"/>
        <v>0</v>
      </c>
      <c r="AN33" s="697">
        <f t="shared" si="17"/>
        <v>0</v>
      </c>
      <c r="AO33" s="697">
        <f t="shared" si="18"/>
        <v>0</v>
      </c>
      <c r="AP33" s="697">
        <f>IF(AP$4='Additional Initiatives'!$B$163,'Additional Initiatives'!$B192,IF(AP$4='Additional Initiatives'!$C$163,'Additional Initiatives'!$C192,IF(AP$4='Additional Initiatives'!$D$163,'Additional Initiatives'!$D192,IF(AP$4='Additional Initiatives'!$E$163,'Additional Initiatives'!$E192,IF(AP$4='Additional Initiatives'!$F$163,'Additional Initiatives'!$F192,0)))))+AP32</f>
        <v>0</v>
      </c>
      <c r="AQ33" s="697">
        <f>IF(AQ$4='Additional Initiatives'!$B$163,'Additional Initiatives'!$B192,IF(AQ$4='Additional Initiatives'!$C$163,'Additional Initiatives'!$C192,IF(AQ$4='Additional Initiatives'!$D$163,'Additional Initiatives'!$D192,IF(AQ$4='Additional Initiatives'!$E$163,'Additional Initiatives'!$E192,IF(AQ$4='Additional Initiatives'!$F$163,'Additional Initiatives'!$F192,0)))))+AQ32</f>
        <v>0</v>
      </c>
      <c r="AR33" s="697">
        <f>IF(AR$4='Additional Initiatives'!$B$163,'Additional Initiatives'!$B192,IF(AR$4='Additional Initiatives'!$C$163,'Additional Initiatives'!$C192,IF(AR$4='Additional Initiatives'!$D$163,'Additional Initiatives'!$D192,IF(AR$4='Additional Initiatives'!$E$163,'Additional Initiatives'!$E192,IF(AR$4='Additional Initiatives'!$F$163,'Additional Initiatives'!$F192,0)))))+AR32</f>
        <v>0</v>
      </c>
      <c r="AS33" s="697">
        <f t="shared" si="19"/>
        <v>0</v>
      </c>
      <c r="AT33" s="696">
        <f t="shared" si="15"/>
        <v>0</v>
      </c>
      <c r="AU33" s="696">
        <f t="shared" si="20"/>
        <v>0</v>
      </c>
      <c r="AV33" s="696">
        <f t="shared" si="21"/>
        <v>0</v>
      </c>
      <c r="AW33" s="696">
        <f t="shared" si="22"/>
        <v>0</v>
      </c>
      <c r="AX33" s="696">
        <f t="shared" si="23"/>
        <v>0</v>
      </c>
      <c r="AY33" s="696">
        <f t="shared" si="24"/>
        <v>0</v>
      </c>
      <c r="AZ33" s="696">
        <f t="shared" si="25"/>
        <v>0</v>
      </c>
      <c r="BA33" s="696">
        <f t="shared" si="26"/>
        <v>0</v>
      </c>
      <c r="BB33" s="696">
        <f t="shared" si="27"/>
        <v>0</v>
      </c>
      <c r="BC33" s="696">
        <f>IF(BC$4='Additional Initiatives'!$B$163,'Additional Initiatives'!$B192,IF(BC$4='Additional Initiatives'!$C$163,'Additional Initiatives'!$C192,IF(BC$4='Additional Initiatives'!$D$163,'Additional Initiatives'!$D192,IF(BC$4='Additional Initiatives'!$E$163,'Additional Initiatives'!$E192,IF(BC$4='Additional Initiatives'!$F$163,'Additional Initiatives'!$F192,0)))))+BC32</f>
        <v>0</v>
      </c>
      <c r="BD33" s="696">
        <f>IF(BD$4='Additional Initiatives'!$B$163,'Additional Initiatives'!$B192,IF(BD$4='Additional Initiatives'!$C$163,'Additional Initiatives'!$C192,IF(BD$4='Additional Initiatives'!$D$163,'Additional Initiatives'!$D192,IF(BD$4='Additional Initiatives'!$E$163,'Additional Initiatives'!$E192,IF(BD$4='Additional Initiatives'!$F$163,'Additional Initiatives'!$F192,0)))))+BD32</f>
        <v>0</v>
      </c>
      <c r="BE33" s="696">
        <f>IF(BE$4='Additional Initiatives'!$B$163,'Additional Initiatives'!$B192,IF(BE$4='Additional Initiatives'!$C$163,'Additional Initiatives'!$C192,IF(BE$4='Additional Initiatives'!$D$163,'Additional Initiatives'!$D192,IF(BE$4='Additional Initiatives'!$E$163,'Additional Initiatives'!$E192,IF(BE$4='Additional Initiatives'!$F$163,'Additional Initiatives'!$F192,0)))))+BE32</f>
        <v>0</v>
      </c>
      <c r="BF33" s="696">
        <f t="shared" si="28"/>
        <v>0</v>
      </c>
    </row>
    <row r="34" spans="1:58">
      <c r="A34" s="21" t="s">
        <v>52</v>
      </c>
      <c r="B34" s="672">
        <f>'Data Entry Fuel'!B33*'Data Entry Fuel'!B185
+'Data Entry Fuel'!C33*'Data Entry Fuel'!C185
+'Data Entry Fuel'!D33*'Data Entry Fuel'!D185
+'Data Entry Fuel'!E33*'Data Entry Fuel'!E185
+'Data Entry Fuel'!F33*'Data Entry Fuel'!F185
+'Data Entry Fuel'!G33*'Data Entry Fuel'!G185
+'Data Entry Fuel'!H33*'Data Entry Fuel'!H185
+'Data Entry Fuel'!I33*'Data Entry Fuel'!I185
+'Data Entry Fuel'!J33*'Data Entry Fuel'!J185</f>
        <v>0</v>
      </c>
      <c r="C34" s="672">
        <f>'Data Entry Fuel'!B33*'Data Entry Fuel'!B185
+'Data Entry Fuel'!C33*'Data Entry Fuel'!C185
+'Data Entry Fuel'!D33*'Data Entry Fuel'!D185
+'Data Entry Fuel'!E33*'Data Entry Fuel'!E185
+'Data Entry Fuel'!F33*'Data Entry Fuel'!F185
+'Data Entry Fuel'!G33*'Data Entry Fuel'!G185
+'Data Entry Fuel'!H33*'Data Entry Fuel'!H185
+'Data Entry Fuel'!I33*'Data Entry Fuel'!C185 *   (1 -  0.13 * 'Data Entry Fuel'!I$3)
+'Data Entry Fuel'!J33*'Data Entry Fuel'!J185</f>
        <v>0</v>
      </c>
      <c r="D34" s="677">
        <f>'Data Entry Electricity'!B33*'Data Entry Electricity'!L33+'Data Entry Electricity'!C33*'Data Entry Electricity'!M33+'Data Entry Electricity'!D33*'Data Entry Electricity'!N33+'Data Entry Electricity'!E33*'Data Entry Electricity'!O33</f>
        <v>0</v>
      </c>
      <c r="E34" s="776">
        <f>'Data Entry Electricity'!B33*'Data Entry Electricity'!L33+'Data Entry Electricity'!C33*'Data Entry Electricity'!L33+'Data Entry Electricity'!D33*'Data Entry Electricity'!N33+'Data Entry Electricity'!E33*'Data Entry Electricity'!O33</f>
        <v>0</v>
      </c>
      <c r="F34" s="777">
        <f>(SUM('Fuel Equipment Savings Calculat'!$B31:$S31))+(SUM('Efficient Site Offices DD &amp; Cal'!$B67:$F67))+'PFC Calculations'!$G32+(SUM('Behaviour Calculations'!$E38,'Behaviour Calculations'!$J38,'Behaviour Calculations'!$O38))+(SUM('Reduced Power Lighting Calculat'!$B32:$F32)+SUM('Hybrid Lighting Calculations'!$B36:$F36)+('PIR Lighting Calculations'!$H32)+SUM('Water Calculations'!$B32:$G32)+'Additional Initiatives'!$H45)</f>
        <v>0</v>
      </c>
      <c r="G34" s="778">
        <f t="shared" si="0"/>
        <v>0</v>
      </c>
      <c r="H34" s="778">
        <f t="shared" si="5"/>
        <v>0</v>
      </c>
      <c r="I34" s="778">
        <f t="shared" si="1"/>
        <v>0</v>
      </c>
      <c r="J34" s="798">
        <f t="shared" si="6"/>
        <v>0</v>
      </c>
      <c r="K34" s="779">
        <f t="shared" si="7"/>
        <v>0</v>
      </c>
      <c r="L34" s="780">
        <f t="shared" si="2"/>
        <v>0</v>
      </c>
      <c r="M34" s="780">
        <f t="shared" si="3"/>
        <v>0</v>
      </c>
      <c r="N34" s="781">
        <f t="shared" si="4"/>
        <v>0</v>
      </c>
      <c r="O34" s="781">
        <f t="shared" si="16"/>
        <v>0</v>
      </c>
      <c r="Q34" s="683">
        <f t="shared" si="8"/>
        <v>0</v>
      </c>
      <c r="R34" s="683">
        <f t="shared" si="9"/>
        <v>0</v>
      </c>
      <c r="T34" s="673">
        <f t="shared" si="10"/>
        <v>0</v>
      </c>
      <c r="U34" s="674">
        <f>'Fuel Equipment Savings Calculat'!$V31</f>
        <v>0</v>
      </c>
      <c r="V34" s="674">
        <f>'Efficient Site Offices DD &amp; Cal'!$H67</f>
        <v>0</v>
      </c>
      <c r="W34" s="674">
        <f>'PFC Calculations'!$G32</f>
        <v>0</v>
      </c>
      <c r="X34" s="674">
        <f>'Behaviour Calculations'!$E38</f>
        <v>0</v>
      </c>
      <c r="Y34" s="674">
        <f>'Behaviour Calculations'!$J38</f>
        <v>0</v>
      </c>
      <c r="Z34" s="674">
        <f>'Behaviour Calculations'!$O38</f>
        <v>0</v>
      </c>
      <c r="AA34" s="674">
        <f>'Reduced Power Lighting Calculat'!$H32</f>
        <v>0</v>
      </c>
      <c r="AB34" s="674">
        <f>'Hybrid Lighting Calculations'!H36</f>
        <v>0</v>
      </c>
      <c r="AC34" s="674">
        <f>'PIR Lighting Calculations'!$H32</f>
        <v>0</v>
      </c>
      <c r="AD34" s="674">
        <f>'Water Calculations'!$I32</f>
        <v>0</v>
      </c>
      <c r="AE34" s="674">
        <f>'Additional Initiatives'!$H45</f>
        <v>0</v>
      </c>
      <c r="AF34" s="679">
        <f t="shared" si="11"/>
        <v>0</v>
      </c>
      <c r="AG34" s="679">
        <f>(C34-B34) - (0.13 * 'Data Entry Fuel'!I$3) * (U34+AB34)</f>
        <v>0</v>
      </c>
      <c r="AH34" s="5"/>
      <c r="AI34" s="19">
        <v>1204</v>
      </c>
      <c r="AJ34" s="19">
        <f t="shared" si="12"/>
        <v>2012</v>
      </c>
      <c r="AK34" s="19">
        <f t="shared" si="13"/>
        <v>6</v>
      </c>
      <c r="AL34" s="19">
        <v>30</v>
      </c>
      <c r="AM34" s="697">
        <f t="shared" si="14"/>
        <v>0</v>
      </c>
      <c r="AN34" s="697">
        <f t="shared" si="17"/>
        <v>0</v>
      </c>
      <c r="AO34" s="697">
        <f t="shared" si="18"/>
        <v>0</v>
      </c>
      <c r="AP34" s="697">
        <f>IF(AP$4='Additional Initiatives'!$B$163,'Additional Initiatives'!$B193,IF(AP$4='Additional Initiatives'!$C$163,'Additional Initiatives'!$C193,IF(AP$4='Additional Initiatives'!$D$163,'Additional Initiatives'!$D193,IF(AP$4='Additional Initiatives'!$E$163,'Additional Initiatives'!$E193,IF(AP$4='Additional Initiatives'!$F$163,'Additional Initiatives'!$F193,0)))))+AP33</f>
        <v>0</v>
      </c>
      <c r="AQ34" s="697">
        <f>IF(AQ$4='Additional Initiatives'!$B$163,'Additional Initiatives'!$B193,IF(AQ$4='Additional Initiatives'!$C$163,'Additional Initiatives'!$C193,IF(AQ$4='Additional Initiatives'!$D$163,'Additional Initiatives'!$D193,IF(AQ$4='Additional Initiatives'!$E$163,'Additional Initiatives'!$E193,IF(AQ$4='Additional Initiatives'!$F$163,'Additional Initiatives'!$F193,0)))))+AQ33</f>
        <v>0</v>
      </c>
      <c r="AR34" s="697">
        <f>IF(AR$4='Additional Initiatives'!$B$163,'Additional Initiatives'!$B193,IF(AR$4='Additional Initiatives'!$C$163,'Additional Initiatives'!$C193,IF(AR$4='Additional Initiatives'!$D$163,'Additional Initiatives'!$D193,IF(AR$4='Additional Initiatives'!$E$163,'Additional Initiatives'!$E193,IF(AR$4='Additional Initiatives'!$F$163,'Additional Initiatives'!$F193,0)))))+AR33</f>
        <v>0</v>
      </c>
      <c r="AS34" s="697">
        <f t="shared" si="19"/>
        <v>0</v>
      </c>
      <c r="AT34" s="696">
        <f t="shared" si="15"/>
        <v>0</v>
      </c>
      <c r="AU34" s="696">
        <f t="shared" si="20"/>
        <v>0</v>
      </c>
      <c r="AV34" s="696">
        <f t="shared" si="21"/>
        <v>0</v>
      </c>
      <c r="AW34" s="696">
        <f t="shared" si="22"/>
        <v>0</v>
      </c>
      <c r="AX34" s="696">
        <f t="shared" si="23"/>
        <v>0</v>
      </c>
      <c r="AY34" s="696">
        <f t="shared" si="24"/>
        <v>0</v>
      </c>
      <c r="AZ34" s="696">
        <f t="shared" si="25"/>
        <v>0</v>
      </c>
      <c r="BA34" s="696">
        <f t="shared" si="26"/>
        <v>0</v>
      </c>
      <c r="BB34" s="696">
        <f t="shared" si="27"/>
        <v>0</v>
      </c>
      <c r="BC34" s="696">
        <f>IF(BC$4='Additional Initiatives'!$B$163,'Additional Initiatives'!$B193,IF(BC$4='Additional Initiatives'!$C$163,'Additional Initiatives'!$C193,IF(BC$4='Additional Initiatives'!$D$163,'Additional Initiatives'!$D193,IF(BC$4='Additional Initiatives'!$E$163,'Additional Initiatives'!$E193,IF(BC$4='Additional Initiatives'!$F$163,'Additional Initiatives'!$F193,0)))))+BC33</f>
        <v>0</v>
      </c>
      <c r="BD34" s="696">
        <f>IF(BD$4='Additional Initiatives'!$B$163,'Additional Initiatives'!$B193,IF(BD$4='Additional Initiatives'!$C$163,'Additional Initiatives'!$C193,IF(BD$4='Additional Initiatives'!$D$163,'Additional Initiatives'!$D193,IF(BD$4='Additional Initiatives'!$E$163,'Additional Initiatives'!$E193,IF(BD$4='Additional Initiatives'!$F$163,'Additional Initiatives'!$F193,0)))))+BD33</f>
        <v>0</v>
      </c>
      <c r="BE34" s="696">
        <f>IF(BE$4='Additional Initiatives'!$B$163,'Additional Initiatives'!$B193,IF(BE$4='Additional Initiatives'!$C$163,'Additional Initiatives'!$C193,IF(BE$4='Additional Initiatives'!$D$163,'Additional Initiatives'!$D193,IF(BE$4='Additional Initiatives'!$E$163,'Additional Initiatives'!$E193,IF(BE$4='Additional Initiatives'!$F$163,'Additional Initiatives'!$F193,0)))))+BE33</f>
        <v>0</v>
      </c>
      <c r="BF34" s="696">
        <f t="shared" si="28"/>
        <v>0</v>
      </c>
    </row>
    <row r="35" spans="1:58">
      <c r="A35" s="21" t="s">
        <v>53</v>
      </c>
      <c r="B35" s="672">
        <f>'Data Entry Fuel'!B34*'Data Entry Fuel'!B186
+'Data Entry Fuel'!C34*'Data Entry Fuel'!C186
+'Data Entry Fuel'!D34*'Data Entry Fuel'!D186
+'Data Entry Fuel'!E34*'Data Entry Fuel'!E186
+'Data Entry Fuel'!F34*'Data Entry Fuel'!F186
+'Data Entry Fuel'!G34*'Data Entry Fuel'!G186
+'Data Entry Fuel'!H34*'Data Entry Fuel'!H186
+'Data Entry Fuel'!I34*'Data Entry Fuel'!I186
+'Data Entry Fuel'!J34*'Data Entry Fuel'!J186</f>
        <v>0</v>
      </c>
      <c r="C35" s="672">
        <f>'Data Entry Fuel'!B34*'Data Entry Fuel'!B186
+'Data Entry Fuel'!C34*'Data Entry Fuel'!C186
+'Data Entry Fuel'!D34*'Data Entry Fuel'!D186
+'Data Entry Fuel'!E34*'Data Entry Fuel'!E186
+'Data Entry Fuel'!F34*'Data Entry Fuel'!F186
+'Data Entry Fuel'!G34*'Data Entry Fuel'!G186
+'Data Entry Fuel'!H34*'Data Entry Fuel'!H186
+'Data Entry Fuel'!I34*'Data Entry Fuel'!C186 *   (1 -  0.13 * 'Data Entry Fuel'!I$3)
+'Data Entry Fuel'!J34*'Data Entry Fuel'!J186</f>
        <v>0</v>
      </c>
      <c r="D35" s="677">
        <f>'Data Entry Electricity'!B34*'Data Entry Electricity'!L34+'Data Entry Electricity'!C34*'Data Entry Electricity'!M34+'Data Entry Electricity'!D34*'Data Entry Electricity'!N34+'Data Entry Electricity'!E34*'Data Entry Electricity'!O34</f>
        <v>0</v>
      </c>
      <c r="E35" s="776">
        <f>'Data Entry Electricity'!B34*'Data Entry Electricity'!L34+'Data Entry Electricity'!C34*'Data Entry Electricity'!L34+'Data Entry Electricity'!D34*'Data Entry Electricity'!N34+'Data Entry Electricity'!E34*'Data Entry Electricity'!O34</f>
        <v>0</v>
      </c>
      <c r="F35" s="777">
        <f>(SUM('Fuel Equipment Savings Calculat'!$B32:$S32))+(SUM('Efficient Site Offices DD &amp; Cal'!$B68:$F68))+'PFC Calculations'!$G33+(SUM('Behaviour Calculations'!$E39,'Behaviour Calculations'!$J39,'Behaviour Calculations'!$O39))+(SUM('Reduced Power Lighting Calculat'!$B33:$F33)+SUM('Hybrid Lighting Calculations'!$B37:$F37)+('PIR Lighting Calculations'!$H33)+SUM('Water Calculations'!$B33:$G33)+'Additional Initiatives'!$H46)</f>
        <v>0</v>
      </c>
      <c r="G35" s="778">
        <f t="shared" si="0"/>
        <v>0</v>
      </c>
      <c r="H35" s="778">
        <f t="shared" si="5"/>
        <v>0</v>
      </c>
      <c r="I35" s="778">
        <f t="shared" si="1"/>
        <v>0</v>
      </c>
      <c r="J35" s="798">
        <f t="shared" si="6"/>
        <v>0</v>
      </c>
      <c r="K35" s="779">
        <f t="shared" si="7"/>
        <v>0</v>
      </c>
      <c r="L35" s="780">
        <f t="shared" si="2"/>
        <v>0</v>
      </c>
      <c r="M35" s="780">
        <f t="shared" si="3"/>
        <v>0</v>
      </c>
      <c r="N35" s="781">
        <f t="shared" si="4"/>
        <v>0</v>
      </c>
      <c r="O35" s="781">
        <f t="shared" si="16"/>
        <v>0</v>
      </c>
      <c r="Q35" s="683">
        <f t="shared" si="8"/>
        <v>0</v>
      </c>
      <c r="R35" s="683">
        <f t="shared" si="9"/>
        <v>0</v>
      </c>
      <c r="T35" s="673">
        <f t="shared" si="10"/>
        <v>0</v>
      </c>
      <c r="U35" s="674">
        <f>'Fuel Equipment Savings Calculat'!$V32</f>
        <v>0</v>
      </c>
      <c r="V35" s="674">
        <f>'Efficient Site Offices DD &amp; Cal'!$H68</f>
        <v>0</v>
      </c>
      <c r="W35" s="674">
        <f>'PFC Calculations'!$G33</f>
        <v>0</v>
      </c>
      <c r="X35" s="674">
        <f>'Behaviour Calculations'!$E39</f>
        <v>0</v>
      </c>
      <c r="Y35" s="674">
        <f>'Behaviour Calculations'!$J39</f>
        <v>0</v>
      </c>
      <c r="Z35" s="674">
        <f>'Behaviour Calculations'!$O39</f>
        <v>0</v>
      </c>
      <c r="AA35" s="674">
        <f>'Reduced Power Lighting Calculat'!$H33</f>
        <v>0</v>
      </c>
      <c r="AB35" s="674">
        <f>'Hybrid Lighting Calculations'!H37</f>
        <v>0</v>
      </c>
      <c r="AC35" s="674">
        <f>'PIR Lighting Calculations'!$H33</f>
        <v>0</v>
      </c>
      <c r="AD35" s="674">
        <f>'Water Calculations'!$I33</f>
        <v>0</v>
      </c>
      <c r="AE35" s="674">
        <f>'Additional Initiatives'!$H46</f>
        <v>0</v>
      </c>
      <c r="AF35" s="679">
        <f t="shared" si="11"/>
        <v>0</v>
      </c>
      <c r="AG35" s="679">
        <f>(C35-B35) - (0.13 * 'Data Entry Fuel'!I$3) * (U35+AB35)</f>
        <v>0</v>
      </c>
      <c r="AH35" s="5"/>
      <c r="AI35" s="19">
        <v>1205</v>
      </c>
      <c r="AJ35" s="19">
        <f t="shared" si="12"/>
        <v>2012</v>
      </c>
      <c r="AK35" s="19">
        <f t="shared" si="13"/>
        <v>6</v>
      </c>
      <c r="AL35" s="19">
        <v>31</v>
      </c>
      <c r="AM35" s="697">
        <f t="shared" si="14"/>
        <v>0</v>
      </c>
      <c r="AN35" s="697">
        <f t="shared" si="17"/>
        <v>0</v>
      </c>
      <c r="AO35" s="697">
        <f t="shared" si="18"/>
        <v>0</v>
      </c>
      <c r="AP35" s="697">
        <f>IF(AP$4='Additional Initiatives'!$B$163,'Additional Initiatives'!$B194,IF(AP$4='Additional Initiatives'!$C$163,'Additional Initiatives'!$C194,IF(AP$4='Additional Initiatives'!$D$163,'Additional Initiatives'!$D194,IF(AP$4='Additional Initiatives'!$E$163,'Additional Initiatives'!$E194,IF(AP$4='Additional Initiatives'!$F$163,'Additional Initiatives'!$F194,0)))))+AP34</f>
        <v>0</v>
      </c>
      <c r="AQ35" s="697">
        <f>IF(AQ$4='Additional Initiatives'!$B$163,'Additional Initiatives'!$B194,IF(AQ$4='Additional Initiatives'!$C$163,'Additional Initiatives'!$C194,IF(AQ$4='Additional Initiatives'!$D$163,'Additional Initiatives'!$D194,IF(AQ$4='Additional Initiatives'!$E$163,'Additional Initiatives'!$E194,IF(AQ$4='Additional Initiatives'!$F$163,'Additional Initiatives'!$F194,0)))))+AQ34</f>
        <v>0</v>
      </c>
      <c r="AR35" s="697">
        <f>IF(AR$4='Additional Initiatives'!$B$163,'Additional Initiatives'!$B194,IF(AR$4='Additional Initiatives'!$C$163,'Additional Initiatives'!$C194,IF(AR$4='Additional Initiatives'!$D$163,'Additional Initiatives'!$D194,IF(AR$4='Additional Initiatives'!$E$163,'Additional Initiatives'!$E194,IF(AR$4='Additional Initiatives'!$F$163,'Additional Initiatives'!$F194,0)))))+AR34</f>
        <v>0</v>
      </c>
      <c r="AS35" s="697">
        <f t="shared" si="19"/>
        <v>0</v>
      </c>
      <c r="AT35" s="696">
        <f t="shared" si="15"/>
        <v>0</v>
      </c>
      <c r="AU35" s="696">
        <f t="shared" si="20"/>
        <v>0</v>
      </c>
      <c r="AV35" s="696">
        <f t="shared" si="21"/>
        <v>0</v>
      </c>
      <c r="AW35" s="696">
        <f t="shared" si="22"/>
        <v>0</v>
      </c>
      <c r="AX35" s="696">
        <f t="shared" si="23"/>
        <v>0</v>
      </c>
      <c r="AY35" s="696">
        <f t="shared" si="24"/>
        <v>0</v>
      </c>
      <c r="AZ35" s="696">
        <f t="shared" si="25"/>
        <v>0</v>
      </c>
      <c r="BA35" s="696">
        <f t="shared" si="26"/>
        <v>0</v>
      </c>
      <c r="BB35" s="696">
        <f t="shared" si="27"/>
        <v>0</v>
      </c>
      <c r="BC35" s="696">
        <f>IF(BC$4='Additional Initiatives'!$B$163,'Additional Initiatives'!$B194,IF(BC$4='Additional Initiatives'!$C$163,'Additional Initiatives'!$C194,IF(BC$4='Additional Initiatives'!$D$163,'Additional Initiatives'!$D194,IF(BC$4='Additional Initiatives'!$E$163,'Additional Initiatives'!$E194,IF(BC$4='Additional Initiatives'!$F$163,'Additional Initiatives'!$F194,0)))))+BC34</f>
        <v>0</v>
      </c>
      <c r="BD35" s="696">
        <f>IF(BD$4='Additional Initiatives'!$B$163,'Additional Initiatives'!$B194,IF(BD$4='Additional Initiatives'!$C$163,'Additional Initiatives'!$C194,IF(BD$4='Additional Initiatives'!$D$163,'Additional Initiatives'!$D194,IF(BD$4='Additional Initiatives'!$E$163,'Additional Initiatives'!$E194,IF(BD$4='Additional Initiatives'!$F$163,'Additional Initiatives'!$F194,0)))))+BD34</f>
        <v>0</v>
      </c>
      <c r="BE35" s="696">
        <f>IF(BE$4='Additional Initiatives'!$B$163,'Additional Initiatives'!$B194,IF(BE$4='Additional Initiatives'!$C$163,'Additional Initiatives'!$C194,IF(BE$4='Additional Initiatives'!$D$163,'Additional Initiatives'!$D194,IF(BE$4='Additional Initiatives'!$E$163,'Additional Initiatives'!$E194,IF(BE$4='Additional Initiatives'!$F$163,'Additional Initiatives'!$F194,0)))))+BE34</f>
        <v>0</v>
      </c>
      <c r="BF35" s="696">
        <f t="shared" si="28"/>
        <v>0</v>
      </c>
    </row>
    <row r="36" spans="1:58">
      <c r="A36" s="21" t="s">
        <v>54</v>
      </c>
      <c r="B36" s="672">
        <f>'Data Entry Fuel'!B35*'Data Entry Fuel'!B187
+'Data Entry Fuel'!C35*'Data Entry Fuel'!C187
+'Data Entry Fuel'!D35*'Data Entry Fuel'!D187
+'Data Entry Fuel'!E35*'Data Entry Fuel'!E187
+'Data Entry Fuel'!F35*'Data Entry Fuel'!F187
+'Data Entry Fuel'!G35*'Data Entry Fuel'!G187
+'Data Entry Fuel'!H35*'Data Entry Fuel'!H187
+'Data Entry Fuel'!I35*'Data Entry Fuel'!I187
+'Data Entry Fuel'!J35*'Data Entry Fuel'!J187</f>
        <v>0</v>
      </c>
      <c r="C36" s="672">
        <f>'Data Entry Fuel'!B35*'Data Entry Fuel'!B187
+'Data Entry Fuel'!C35*'Data Entry Fuel'!C187
+'Data Entry Fuel'!D35*'Data Entry Fuel'!D187
+'Data Entry Fuel'!E35*'Data Entry Fuel'!E187
+'Data Entry Fuel'!F35*'Data Entry Fuel'!F187
+'Data Entry Fuel'!G35*'Data Entry Fuel'!G187
+'Data Entry Fuel'!H35*'Data Entry Fuel'!H187
+'Data Entry Fuel'!I35*'Data Entry Fuel'!C187 *   (1 -  0.13 * 'Data Entry Fuel'!I$3)
+'Data Entry Fuel'!J35*'Data Entry Fuel'!J187</f>
        <v>0</v>
      </c>
      <c r="D36" s="677">
        <f>'Data Entry Electricity'!B35*'Data Entry Electricity'!L35+'Data Entry Electricity'!C35*'Data Entry Electricity'!M35+'Data Entry Electricity'!D35*'Data Entry Electricity'!N35+'Data Entry Electricity'!E35*'Data Entry Electricity'!O35</f>
        <v>0</v>
      </c>
      <c r="E36" s="776">
        <f>'Data Entry Electricity'!B35*'Data Entry Electricity'!L35+'Data Entry Electricity'!C35*'Data Entry Electricity'!L35+'Data Entry Electricity'!D35*'Data Entry Electricity'!N35+'Data Entry Electricity'!E35*'Data Entry Electricity'!O35</f>
        <v>0</v>
      </c>
      <c r="F36" s="777">
        <f>(SUM('Fuel Equipment Savings Calculat'!$B33:$S33))+(SUM('Efficient Site Offices DD &amp; Cal'!$B69:$F69))+'PFC Calculations'!$G34+(SUM('Behaviour Calculations'!$E40,'Behaviour Calculations'!$J40,'Behaviour Calculations'!$O40))+(SUM('Reduced Power Lighting Calculat'!$B34:$F34)+SUM('Hybrid Lighting Calculations'!$B38:$F38)+('PIR Lighting Calculations'!$H34)+SUM('Water Calculations'!$B34:$G34)+'Additional Initiatives'!$H47)</f>
        <v>0</v>
      </c>
      <c r="G36" s="778">
        <f t="shared" si="0"/>
        <v>0</v>
      </c>
      <c r="H36" s="778">
        <f t="shared" si="5"/>
        <v>0</v>
      </c>
      <c r="I36" s="778">
        <f t="shared" si="1"/>
        <v>0</v>
      </c>
      <c r="J36" s="798">
        <f t="shared" si="6"/>
        <v>0</v>
      </c>
      <c r="K36" s="779">
        <f t="shared" si="7"/>
        <v>0</v>
      </c>
      <c r="L36" s="780">
        <f t="shared" si="2"/>
        <v>0</v>
      </c>
      <c r="M36" s="780">
        <f t="shared" si="3"/>
        <v>0</v>
      </c>
      <c r="N36" s="781">
        <f t="shared" si="4"/>
        <v>0</v>
      </c>
      <c r="O36" s="781">
        <f t="shared" si="16"/>
        <v>0</v>
      </c>
      <c r="Q36" s="683">
        <f t="shared" si="8"/>
        <v>0</v>
      </c>
      <c r="R36" s="683">
        <f t="shared" si="9"/>
        <v>0</v>
      </c>
      <c r="T36" s="673">
        <f t="shared" si="10"/>
        <v>0</v>
      </c>
      <c r="U36" s="674">
        <f>'Fuel Equipment Savings Calculat'!$V33</f>
        <v>0</v>
      </c>
      <c r="V36" s="674">
        <f>'Efficient Site Offices DD &amp; Cal'!$H69</f>
        <v>0</v>
      </c>
      <c r="W36" s="674">
        <f>'PFC Calculations'!$G34</f>
        <v>0</v>
      </c>
      <c r="X36" s="674">
        <f>'Behaviour Calculations'!$E40</f>
        <v>0</v>
      </c>
      <c r="Y36" s="674">
        <f>'Behaviour Calculations'!$J40</f>
        <v>0</v>
      </c>
      <c r="Z36" s="674">
        <f>'Behaviour Calculations'!$O40</f>
        <v>0</v>
      </c>
      <c r="AA36" s="674">
        <f>'Reduced Power Lighting Calculat'!$H34</f>
        <v>0</v>
      </c>
      <c r="AB36" s="674">
        <f>'Hybrid Lighting Calculations'!H38</f>
        <v>0</v>
      </c>
      <c r="AC36" s="674">
        <f>'PIR Lighting Calculations'!$H34</f>
        <v>0</v>
      </c>
      <c r="AD36" s="674">
        <f>'Water Calculations'!$I34</f>
        <v>0</v>
      </c>
      <c r="AE36" s="674">
        <f>'Additional Initiatives'!$H47</f>
        <v>0</v>
      </c>
      <c r="AF36" s="679">
        <f t="shared" si="11"/>
        <v>0</v>
      </c>
      <c r="AG36" s="679">
        <f>(C36-B36) - (0.13 * 'Data Entry Fuel'!I$3) * (U36+AB36)</f>
        <v>0</v>
      </c>
      <c r="AH36" s="5"/>
      <c r="AI36" s="19">
        <v>1206</v>
      </c>
      <c r="AJ36" s="19">
        <f t="shared" si="12"/>
        <v>2012</v>
      </c>
      <c r="AK36" s="19">
        <f t="shared" si="13"/>
        <v>6</v>
      </c>
      <c r="AL36" s="19">
        <v>32</v>
      </c>
      <c r="AM36" s="697">
        <f t="shared" si="14"/>
        <v>0</v>
      </c>
      <c r="AN36" s="697">
        <f t="shared" si="17"/>
        <v>0</v>
      </c>
      <c r="AO36" s="697">
        <f t="shared" si="18"/>
        <v>0</v>
      </c>
      <c r="AP36" s="697">
        <f>IF(AP$4='Additional Initiatives'!$B$163,'Additional Initiatives'!$B195,IF(AP$4='Additional Initiatives'!$C$163,'Additional Initiatives'!$C195,IF(AP$4='Additional Initiatives'!$D$163,'Additional Initiatives'!$D195,IF(AP$4='Additional Initiatives'!$E$163,'Additional Initiatives'!$E195,IF(AP$4='Additional Initiatives'!$F$163,'Additional Initiatives'!$F195,0)))))+AP35</f>
        <v>0</v>
      </c>
      <c r="AQ36" s="697">
        <f>IF(AQ$4='Additional Initiatives'!$B$163,'Additional Initiatives'!$B195,IF(AQ$4='Additional Initiatives'!$C$163,'Additional Initiatives'!$C195,IF(AQ$4='Additional Initiatives'!$D$163,'Additional Initiatives'!$D195,IF(AQ$4='Additional Initiatives'!$E$163,'Additional Initiatives'!$E195,IF(AQ$4='Additional Initiatives'!$F$163,'Additional Initiatives'!$F195,0)))))+AQ35</f>
        <v>0</v>
      </c>
      <c r="AR36" s="697">
        <f>IF(AR$4='Additional Initiatives'!$B$163,'Additional Initiatives'!$B195,IF(AR$4='Additional Initiatives'!$C$163,'Additional Initiatives'!$C195,IF(AR$4='Additional Initiatives'!$D$163,'Additional Initiatives'!$D195,IF(AR$4='Additional Initiatives'!$E$163,'Additional Initiatives'!$E195,IF(AR$4='Additional Initiatives'!$F$163,'Additional Initiatives'!$F195,0)))))+AR35</f>
        <v>0</v>
      </c>
      <c r="AS36" s="697">
        <f t="shared" si="19"/>
        <v>0</v>
      </c>
      <c r="AT36" s="696">
        <f t="shared" si="15"/>
        <v>0</v>
      </c>
      <c r="AU36" s="696">
        <f t="shared" si="20"/>
        <v>0</v>
      </c>
      <c r="AV36" s="696">
        <f t="shared" si="21"/>
        <v>0</v>
      </c>
      <c r="AW36" s="696">
        <f t="shared" si="22"/>
        <v>0</v>
      </c>
      <c r="AX36" s="696">
        <f t="shared" si="23"/>
        <v>0</v>
      </c>
      <c r="AY36" s="696">
        <f t="shared" si="24"/>
        <v>0</v>
      </c>
      <c r="AZ36" s="696">
        <f t="shared" si="25"/>
        <v>0</v>
      </c>
      <c r="BA36" s="696">
        <f t="shared" si="26"/>
        <v>0</v>
      </c>
      <c r="BB36" s="696">
        <f t="shared" si="27"/>
        <v>0</v>
      </c>
      <c r="BC36" s="696">
        <f>IF(BC$4='Additional Initiatives'!$B$163,'Additional Initiatives'!$B195,IF(BC$4='Additional Initiatives'!$C$163,'Additional Initiatives'!$C195,IF(BC$4='Additional Initiatives'!$D$163,'Additional Initiatives'!$D195,IF(BC$4='Additional Initiatives'!$E$163,'Additional Initiatives'!$E195,IF(BC$4='Additional Initiatives'!$F$163,'Additional Initiatives'!$F195,0)))))+BC35</f>
        <v>0</v>
      </c>
      <c r="BD36" s="696">
        <f>IF(BD$4='Additional Initiatives'!$B$163,'Additional Initiatives'!$B195,IF(BD$4='Additional Initiatives'!$C$163,'Additional Initiatives'!$C195,IF(BD$4='Additional Initiatives'!$D$163,'Additional Initiatives'!$D195,IF(BD$4='Additional Initiatives'!$E$163,'Additional Initiatives'!$E195,IF(BD$4='Additional Initiatives'!$F$163,'Additional Initiatives'!$F195,0)))))+BD35</f>
        <v>0</v>
      </c>
      <c r="BE36" s="696">
        <f>IF(BE$4='Additional Initiatives'!$B$163,'Additional Initiatives'!$B195,IF(BE$4='Additional Initiatives'!$C$163,'Additional Initiatives'!$C195,IF(BE$4='Additional Initiatives'!$D$163,'Additional Initiatives'!$D195,IF(BE$4='Additional Initiatives'!$E$163,'Additional Initiatives'!$E195,IF(BE$4='Additional Initiatives'!$F$163,'Additional Initiatives'!$F195,0)))))+BE35</f>
        <v>0</v>
      </c>
      <c r="BF36" s="696">
        <f t="shared" si="28"/>
        <v>0</v>
      </c>
    </row>
    <row r="37" spans="1:58">
      <c r="A37" s="21" t="s">
        <v>55</v>
      </c>
      <c r="B37" s="672">
        <f>'Data Entry Fuel'!B36*'Data Entry Fuel'!B188
+'Data Entry Fuel'!C36*'Data Entry Fuel'!C188
+'Data Entry Fuel'!D36*'Data Entry Fuel'!D188
+'Data Entry Fuel'!E36*'Data Entry Fuel'!E188
+'Data Entry Fuel'!F36*'Data Entry Fuel'!F188
+'Data Entry Fuel'!G36*'Data Entry Fuel'!G188
+'Data Entry Fuel'!H36*'Data Entry Fuel'!H188
+'Data Entry Fuel'!I36*'Data Entry Fuel'!I188
+'Data Entry Fuel'!J36*'Data Entry Fuel'!J188</f>
        <v>0</v>
      </c>
      <c r="C37" s="672">
        <f>'Data Entry Fuel'!B36*'Data Entry Fuel'!B188
+'Data Entry Fuel'!C36*'Data Entry Fuel'!C188
+'Data Entry Fuel'!D36*'Data Entry Fuel'!D188
+'Data Entry Fuel'!E36*'Data Entry Fuel'!E188
+'Data Entry Fuel'!F36*'Data Entry Fuel'!F188
+'Data Entry Fuel'!G36*'Data Entry Fuel'!G188
+'Data Entry Fuel'!H36*'Data Entry Fuel'!H188
+'Data Entry Fuel'!I36*'Data Entry Fuel'!C188 *   (1 -  0.13 * 'Data Entry Fuel'!I$3)
+'Data Entry Fuel'!J36*'Data Entry Fuel'!J188</f>
        <v>0</v>
      </c>
      <c r="D37" s="677">
        <f>'Data Entry Electricity'!B36*'Data Entry Electricity'!L36+'Data Entry Electricity'!C36*'Data Entry Electricity'!M36+'Data Entry Electricity'!D36*'Data Entry Electricity'!N36+'Data Entry Electricity'!E36*'Data Entry Electricity'!O36</f>
        <v>0</v>
      </c>
      <c r="E37" s="776">
        <f>'Data Entry Electricity'!B36*'Data Entry Electricity'!L36+'Data Entry Electricity'!C36*'Data Entry Electricity'!L36+'Data Entry Electricity'!D36*'Data Entry Electricity'!N36+'Data Entry Electricity'!E36*'Data Entry Electricity'!O36</f>
        <v>0</v>
      </c>
      <c r="F37" s="777">
        <f>(SUM('Fuel Equipment Savings Calculat'!$B34:$S34))+(SUM('Efficient Site Offices DD &amp; Cal'!$B70:$F70))+'PFC Calculations'!$G35+(SUM('Behaviour Calculations'!$E41,'Behaviour Calculations'!$J41,'Behaviour Calculations'!$O41))+(SUM('Reduced Power Lighting Calculat'!$B35:$F35)+SUM('Hybrid Lighting Calculations'!$B39:$F39)+('PIR Lighting Calculations'!$H35)+SUM('Water Calculations'!$B35:$G35)+'Additional Initiatives'!$H48)</f>
        <v>0</v>
      </c>
      <c r="G37" s="778">
        <f t="shared" ref="G37:G68" si="29">(B37+D37)</f>
        <v>0</v>
      </c>
      <c r="H37" s="778">
        <f t="shared" si="5"/>
        <v>0</v>
      </c>
      <c r="I37" s="778">
        <f t="shared" ref="I37:I68" si="30">H37+F37</f>
        <v>0</v>
      </c>
      <c r="J37" s="798">
        <f t="shared" si="6"/>
        <v>0</v>
      </c>
      <c r="K37" s="779">
        <f t="shared" si="7"/>
        <v>0</v>
      </c>
      <c r="L37" s="780">
        <f t="shared" ref="L37:L68" si="31">IFERROR(1-(G37/I37),0)</f>
        <v>0</v>
      </c>
      <c r="M37" s="780">
        <f t="shared" ref="M37:M68" si="32">IFERROR(1-(J37/K37),0)</f>
        <v>0</v>
      </c>
      <c r="N37" s="781">
        <f t="shared" ref="N37:N68" si="33">I37-G37</f>
        <v>0</v>
      </c>
      <c r="O37" s="781">
        <f t="shared" si="16"/>
        <v>0</v>
      </c>
      <c r="Q37" s="683">
        <f t="shared" si="8"/>
        <v>0</v>
      </c>
      <c r="R37" s="683">
        <f t="shared" si="9"/>
        <v>0</v>
      </c>
      <c r="T37" s="673">
        <f t="shared" si="10"/>
        <v>0</v>
      </c>
      <c r="U37" s="674">
        <f>'Fuel Equipment Savings Calculat'!$V34</f>
        <v>0</v>
      </c>
      <c r="V37" s="674">
        <f>'Efficient Site Offices DD &amp; Cal'!$H70</f>
        <v>0</v>
      </c>
      <c r="W37" s="674">
        <f>'PFC Calculations'!$G35</f>
        <v>0</v>
      </c>
      <c r="X37" s="674">
        <f>'Behaviour Calculations'!$E41</f>
        <v>0</v>
      </c>
      <c r="Y37" s="674">
        <f>'Behaviour Calculations'!$J41</f>
        <v>0</v>
      </c>
      <c r="Z37" s="674">
        <f>'Behaviour Calculations'!$O41</f>
        <v>0</v>
      </c>
      <c r="AA37" s="674">
        <f>'Reduced Power Lighting Calculat'!$H35</f>
        <v>0</v>
      </c>
      <c r="AB37" s="674">
        <f>'Hybrid Lighting Calculations'!H39</f>
        <v>0</v>
      </c>
      <c r="AC37" s="674">
        <f>'PIR Lighting Calculations'!$H35</f>
        <v>0</v>
      </c>
      <c r="AD37" s="674">
        <f>'Water Calculations'!$I35</f>
        <v>0</v>
      </c>
      <c r="AE37" s="674">
        <f>'Additional Initiatives'!$H48</f>
        <v>0</v>
      </c>
      <c r="AF37" s="679">
        <f t="shared" si="11"/>
        <v>0</v>
      </c>
      <c r="AG37" s="679">
        <f>(C37-B37) - (0.13 * 'Data Entry Fuel'!I$3) * (U37+AB37)</f>
        <v>0</v>
      </c>
      <c r="AH37" s="5"/>
      <c r="AI37" s="19">
        <v>1207</v>
      </c>
      <c r="AJ37" s="19">
        <f t="shared" si="12"/>
        <v>2012</v>
      </c>
      <c r="AK37" s="19">
        <f t="shared" si="13"/>
        <v>6</v>
      </c>
      <c r="AL37" s="19">
        <v>33</v>
      </c>
      <c r="AM37" s="697">
        <f t="shared" si="14"/>
        <v>0</v>
      </c>
      <c r="AN37" s="697">
        <f t="shared" si="17"/>
        <v>0</v>
      </c>
      <c r="AO37" s="697">
        <f t="shared" si="18"/>
        <v>0</v>
      </c>
      <c r="AP37" s="697">
        <f>IF(AP$4='Additional Initiatives'!$B$163,'Additional Initiatives'!$B196,IF(AP$4='Additional Initiatives'!$C$163,'Additional Initiatives'!$C196,IF(AP$4='Additional Initiatives'!$D$163,'Additional Initiatives'!$D196,IF(AP$4='Additional Initiatives'!$E$163,'Additional Initiatives'!$E196,IF(AP$4='Additional Initiatives'!$F$163,'Additional Initiatives'!$F196,0)))))+AP36</f>
        <v>0</v>
      </c>
      <c r="AQ37" s="697">
        <f>IF(AQ$4='Additional Initiatives'!$B$163,'Additional Initiatives'!$B196,IF(AQ$4='Additional Initiatives'!$C$163,'Additional Initiatives'!$C196,IF(AQ$4='Additional Initiatives'!$D$163,'Additional Initiatives'!$D196,IF(AQ$4='Additional Initiatives'!$E$163,'Additional Initiatives'!$E196,IF(AQ$4='Additional Initiatives'!$F$163,'Additional Initiatives'!$F196,0)))))+AQ36</f>
        <v>0</v>
      </c>
      <c r="AR37" s="697">
        <f>IF(AR$4='Additional Initiatives'!$B$163,'Additional Initiatives'!$B196,IF(AR$4='Additional Initiatives'!$C$163,'Additional Initiatives'!$C196,IF(AR$4='Additional Initiatives'!$D$163,'Additional Initiatives'!$D196,IF(AR$4='Additional Initiatives'!$E$163,'Additional Initiatives'!$E196,IF(AR$4='Additional Initiatives'!$F$163,'Additional Initiatives'!$F196,0)))))+AR36</f>
        <v>0</v>
      </c>
      <c r="AS37" s="697">
        <f t="shared" si="19"/>
        <v>0</v>
      </c>
      <c r="AT37" s="696">
        <f t="shared" si="15"/>
        <v>0</v>
      </c>
      <c r="AU37" s="696">
        <f t="shared" si="20"/>
        <v>0</v>
      </c>
      <c r="AV37" s="696">
        <f t="shared" si="21"/>
        <v>0</v>
      </c>
      <c r="AW37" s="696">
        <f t="shared" si="22"/>
        <v>0</v>
      </c>
      <c r="AX37" s="696">
        <f t="shared" si="23"/>
        <v>0</v>
      </c>
      <c r="AY37" s="696">
        <f t="shared" si="24"/>
        <v>0</v>
      </c>
      <c r="AZ37" s="696">
        <f t="shared" si="25"/>
        <v>0</v>
      </c>
      <c r="BA37" s="696">
        <f t="shared" si="26"/>
        <v>0</v>
      </c>
      <c r="BB37" s="696">
        <f t="shared" si="27"/>
        <v>0</v>
      </c>
      <c r="BC37" s="696">
        <f>IF(BC$4='Additional Initiatives'!$B$163,'Additional Initiatives'!$B196,IF(BC$4='Additional Initiatives'!$C$163,'Additional Initiatives'!$C196,IF(BC$4='Additional Initiatives'!$D$163,'Additional Initiatives'!$D196,IF(BC$4='Additional Initiatives'!$E$163,'Additional Initiatives'!$E196,IF(BC$4='Additional Initiatives'!$F$163,'Additional Initiatives'!$F196,0)))))+BC36</f>
        <v>0</v>
      </c>
      <c r="BD37" s="696">
        <f>IF(BD$4='Additional Initiatives'!$B$163,'Additional Initiatives'!$B196,IF(BD$4='Additional Initiatives'!$C$163,'Additional Initiatives'!$C196,IF(BD$4='Additional Initiatives'!$D$163,'Additional Initiatives'!$D196,IF(BD$4='Additional Initiatives'!$E$163,'Additional Initiatives'!$E196,IF(BD$4='Additional Initiatives'!$F$163,'Additional Initiatives'!$F196,0)))))+BD36</f>
        <v>0</v>
      </c>
      <c r="BE37" s="696">
        <f>IF(BE$4='Additional Initiatives'!$B$163,'Additional Initiatives'!$B196,IF(BE$4='Additional Initiatives'!$C$163,'Additional Initiatives'!$C196,IF(BE$4='Additional Initiatives'!$D$163,'Additional Initiatives'!$D196,IF(BE$4='Additional Initiatives'!$E$163,'Additional Initiatives'!$E196,IF(BE$4='Additional Initiatives'!$F$163,'Additional Initiatives'!$F196,0)))))+BE36</f>
        <v>0</v>
      </c>
      <c r="BF37" s="696">
        <f t="shared" si="28"/>
        <v>0</v>
      </c>
    </row>
    <row r="38" spans="1:58">
      <c r="A38" s="21" t="s">
        <v>56</v>
      </c>
      <c r="B38" s="672">
        <f>'Data Entry Fuel'!B37*'Data Entry Fuel'!B189
+'Data Entry Fuel'!C37*'Data Entry Fuel'!C189
+'Data Entry Fuel'!D37*'Data Entry Fuel'!D189
+'Data Entry Fuel'!E37*'Data Entry Fuel'!E189
+'Data Entry Fuel'!F37*'Data Entry Fuel'!F189
+'Data Entry Fuel'!G37*'Data Entry Fuel'!G189
+'Data Entry Fuel'!H37*'Data Entry Fuel'!H189
+'Data Entry Fuel'!I37*'Data Entry Fuel'!I189
+'Data Entry Fuel'!J37*'Data Entry Fuel'!J189</f>
        <v>0</v>
      </c>
      <c r="C38" s="672">
        <f>'Data Entry Fuel'!B37*'Data Entry Fuel'!B189
+'Data Entry Fuel'!C37*'Data Entry Fuel'!C189
+'Data Entry Fuel'!D37*'Data Entry Fuel'!D189
+'Data Entry Fuel'!E37*'Data Entry Fuel'!E189
+'Data Entry Fuel'!F37*'Data Entry Fuel'!F189
+'Data Entry Fuel'!G37*'Data Entry Fuel'!G189
+'Data Entry Fuel'!H37*'Data Entry Fuel'!H189
+'Data Entry Fuel'!I37*'Data Entry Fuel'!C189 *   (1 -  0.13 * 'Data Entry Fuel'!I$3)
+'Data Entry Fuel'!J37*'Data Entry Fuel'!J189</f>
        <v>0</v>
      </c>
      <c r="D38" s="677">
        <f>'Data Entry Electricity'!B37*'Data Entry Electricity'!L37+'Data Entry Electricity'!C37*'Data Entry Electricity'!M37+'Data Entry Electricity'!D37*'Data Entry Electricity'!N37+'Data Entry Electricity'!E37*'Data Entry Electricity'!O37</f>
        <v>0</v>
      </c>
      <c r="E38" s="776">
        <f>'Data Entry Electricity'!B37*'Data Entry Electricity'!L37+'Data Entry Electricity'!C37*'Data Entry Electricity'!L37+'Data Entry Electricity'!D37*'Data Entry Electricity'!N37+'Data Entry Electricity'!E37*'Data Entry Electricity'!O37</f>
        <v>0</v>
      </c>
      <c r="F38" s="777">
        <f>(SUM('Fuel Equipment Savings Calculat'!$B35:$S35))+(SUM('Efficient Site Offices DD &amp; Cal'!$B71:$F71))+'PFC Calculations'!$G36+(SUM('Behaviour Calculations'!$E42,'Behaviour Calculations'!$J42,'Behaviour Calculations'!$O42))+(SUM('Reduced Power Lighting Calculat'!$B36:$F36)+SUM('Hybrid Lighting Calculations'!$B40:$F40)+('PIR Lighting Calculations'!$H36)+SUM('Water Calculations'!$B36:$G36)+'Additional Initiatives'!$H49)</f>
        <v>0</v>
      </c>
      <c r="G38" s="778">
        <f t="shared" si="29"/>
        <v>0</v>
      </c>
      <c r="H38" s="778">
        <f t="shared" si="5"/>
        <v>0</v>
      </c>
      <c r="I38" s="778">
        <f t="shared" si="30"/>
        <v>0</v>
      </c>
      <c r="J38" s="798">
        <f t="shared" ref="J38:J69" si="34">G38+J37</f>
        <v>0</v>
      </c>
      <c r="K38" s="779">
        <f t="shared" ref="K38:K69" si="35">I38+K37</f>
        <v>0</v>
      </c>
      <c r="L38" s="780">
        <f t="shared" si="31"/>
        <v>0</v>
      </c>
      <c r="M38" s="780">
        <f t="shared" si="32"/>
        <v>0</v>
      </c>
      <c r="N38" s="781">
        <f t="shared" si="33"/>
        <v>0</v>
      </c>
      <c r="O38" s="781">
        <f t="shared" si="16"/>
        <v>0</v>
      </c>
      <c r="Q38" s="683">
        <f t="shared" ref="Q38:Q69" si="36">B38+Q37</f>
        <v>0</v>
      </c>
      <c r="R38" s="683">
        <f t="shared" ref="R38:R69" si="37">D38+R37</f>
        <v>0</v>
      </c>
      <c r="T38" s="673">
        <f t="shared" si="10"/>
        <v>0</v>
      </c>
      <c r="U38" s="674">
        <f>'Fuel Equipment Savings Calculat'!$V35</f>
        <v>0</v>
      </c>
      <c r="V38" s="674">
        <f>'Efficient Site Offices DD &amp; Cal'!$H71</f>
        <v>0</v>
      </c>
      <c r="W38" s="674">
        <f>'PFC Calculations'!$G36</f>
        <v>0</v>
      </c>
      <c r="X38" s="674">
        <f>'Behaviour Calculations'!$E42</f>
        <v>0</v>
      </c>
      <c r="Y38" s="674">
        <f>'Behaviour Calculations'!$J42</f>
        <v>0</v>
      </c>
      <c r="Z38" s="674">
        <f>'Behaviour Calculations'!$O42</f>
        <v>0</v>
      </c>
      <c r="AA38" s="674">
        <f>'Reduced Power Lighting Calculat'!$H36</f>
        <v>0</v>
      </c>
      <c r="AB38" s="674">
        <f>'Hybrid Lighting Calculations'!H40</f>
        <v>0</v>
      </c>
      <c r="AC38" s="674">
        <f>'PIR Lighting Calculations'!$H36</f>
        <v>0</v>
      </c>
      <c r="AD38" s="674">
        <f>'Water Calculations'!$I36</f>
        <v>0</v>
      </c>
      <c r="AE38" s="674">
        <f>'Additional Initiatives'!$H49</f>
        <v>0</v>
      </c>
      <c r="AF38" s="679">
        <f t="shared" si="11"/>
        <v>0</v>
      </c>
      <c r="AG38" s="679">
        <f>(C38-B38) - (0.13 * 'Data Entry Fuel'!I$3) * (U38+AB38)</f>
        <v>0</v>
      </c>
      <c r="AH38" s="5"/>
      <c r="AI38" s="19">
        <v>1208</v>
      </c>
      <c r="AJ38" s="19">
        <f t="shared" si="12"/>
        <v>2012</v>
      </c>
      <c r="AK38" s="19">
        <f t="shared" si="13"/>
        <v>6</v>
      </c>
      <c r="AL38" s="19">
        <v>34</v>
      </c>
      <c r="AM38" s="697">
        <f t="shared" ref="AM38:AM69" si="38">AM37+B38</f>
        <v>0</v>
      </c>
      <c r="AN38" s="697">
        <f t="shared" si="17"/>
        <v>0</v>
      </c>
      <c r="AO38" s="697">
        <f t="shared" si="18"/>
        <v>0</v>
      </c>
      <c r="AP38" s="697">
        <f>IF(AP$4='Additional Initiatives'!$B$163,'Additional Initiatives'!$B197,IF(AP$4='Additional Initiatives'!$C$163,'Additional Initiatives'!$C197,IF(AP$4='Additional Initiatives'!$D$163,'Additional Initiatives'!$D197,IF(AP$4='Additional Initiatives'!$E$163,'Additional Initiatives'!$E197,IF(AP$4='Additional Initiatives'!$F$163,'Additional Initiatives'!$F197,0)))))+AP37</f>
        <v>0</v>
      </c>
      <c r="AQ38" s="697">
        <f>IF(AQ$4='Additional Initiatives'!$B$163,'Additional Initiatives'!$B197,IF(AQ$4='Additional Initiatives'!$C$163,'Additional Initiatives'!$C197,IF(AQ$4='Additional Initiatives'!$D$163,'Additional Initiatives'!$D197,IF(AQ$4='Additional Initiatives'!$E$163,'Additional Initiatives'!$E197,IF(AQ$4='Additional Initiatives'!$F$163,'Additional Initiatives'!$F197,0)))))+AQ37</f>
        <v>0</v>
      </c>
      <c r="AR38" s="697">
        <f>IF(AR$4='Additional Initiatives'!$B$163,'Additional Initiatives'!$B197,IF(AR$4='Additional Initiatives'!$C$163,'Additional Initiatives'!$C197,IF(AR$4='Additional Initiatives'!$D$163,'Additional Initiatives'!$D197,IF(AR$4='Additional Initiatives'!$E$163,'Additional Initiatives'!$E197,IF(AR$4='Additional Initiatives'!$F$163,'Additional Initiatives'!$F197,0)))))+AR37</f>
        <v>0</v>
      </c>
      <c r="AS38" s="697">
        <f t="shared" si="19"/>
        <v>0</v>
      </c>
      <c r="AT38" s="696">
        <f t="shared" ref="AT38:AT69" si="39">D38+AT37</f>
        <v>0</v>
      </c>
      <c r="AU38" s="696">
        <f t="shared" si="20"/>
        <v>0</v>
      </c>
      <c r="AV38" s="696">
        <f t="shared" si="21"/>
        <v>0</v>
      </c>
      <c r="AW38" s="696">
        <f t="shared" si="22"/>
        <v>0</v>
      </c>
      <c r="AX38" s="696">
        <f t="shared" si="23"/>
        <v>0</v>
      </c>
      <c r="AY38" s="696">
        <f t="shared" si="24"/>
        <v>0</v>
      </c>
      <c r="AZ38" s="696">
        <f t="shared" si="25"/>
        <v>0</v>
      </c>
      <c r="BA38" s="696">
        <f t="shared" si="26"/>
        <v>0</v>
      </c>
      <c r="BB38" s="696">
        <f t="shared" si="27"/>
        <v>0</v>
      </c>
      <c r="BC38" s="696">
        <f>IF(BC$4='Additional Initiatives'!$B$163,'Additional Initiatives'!$B197,IF(BC$4='Additional Initiatives'!$C$163,'Additional Initiatives'!$C197,IF(BC$4='Additional Initiatives'!$D$163,'Additional Initiatives'!$D197,IF(BC$4='Additional Initiatives'!$E$163,'Additional Initiatives'!$E197,IF(BC$4='Additional Initiatives'!$F$163,'Additional Initiatives'!$F197,0)))))+BC37</f>
        <v>0</v>
      </c>
      <c r="BD38" s="696">
        <f>IF(BD$4='Additional Initiatives'!$B$163,'Additional Initiatives'!$B197,IF(BD$4='Additional Initiatives'!$C$163,'Additional Initiatives'!$C197,IF(BD$4='Additional Initiatives'!$D$163,'Additional Initiatives'!$D197,IF(BD$4='Additional Initiatives'!$E$163,'Additional Initiatives'!$E197,IF(BD$4='Additional Initiatives'!$F$163,'Additional Initiatives'!$F197,0)))))+BD37</f>
        <v>0</v>
      </c>
      <c r="BE38" s="696">
        <f>IF(BE$4='Additional Initiatives'!$B$163,'Additional Initiatives'!$B197,IF(BE$4='Additional Initiatives'!$C$163,'Additional Initiatives'!$C197,IF(BE$4='Additional Initiatives'!$D$163,'Additional Initiatives'!$D197,IF(BE$4='Additional Initiatives'!$E$163,'Additional Initiatives'!$E197,IF(BE$4='Additional Initiatives'!$F$163,'Additional Initiatives'!$F197,0)))))+BE37</f>
        <v>0</v>
      </c>
      <c r="BF38" s="696">
        <f t="shared" si="28"/>
        <v>0</v>
      </c>
    </row>
    <row r="39" spans="1:58">
      <c r="A39" s="21" t="s">
        <v>57</v>
      </c>
      <c r="B39" s="672">
        <f>'Data Entry Fuel'!B38*'Data Entry Fuel'!B190
+'Data Entry Fuel'!C38*'Data Entry Fuel'!C190
+'Data Entry Fuel'!D38*'Data Entry Fuel'!D190
+'Data Entry Fuel'!E38*'Data Entry Fuel'!E190
+'Data Entry Fuel'!F38*'Data Entry Fuel'!F190
+'Data Entry Fuel'!G38*'Data Entry Fuel'!G190
+'Data Entry Fuel'!H38*'Data Entry Fuel'!H190
+'Data Entry Fuel'!I38*'Data Entry Fuel'!I190
+'Data Entry Fuel'!J38*'Data Entry Fuel'!J190</f>
        <v>0</v>
      </c>
      <c r="C39" s="672">
        <f>'Data Entry Fuel'!B38*'Data Entry Fuel'!B190
+'Data Entry Fuel'!C38*'Data Entry Fuel'!C190
+'Data Entry Fuel'!D38*'Data Entry Fuel'!D190
+'Data Entry Fuel'!E38*'Data Entry Fuel'!E190
+'Data Entry Fuel'!F38*'Data Entry Fuel'!F190
+'Data Entry Fuel'!G38*'Data Entry Fuel'!G190
+'Data Entry Fuel'!H38*'Data Entry Fuel'!H190
+'Data Entry Fuel'!I38*'Data Entry Fuel'!C190 *   (1 -  0.13 * 'Data Entry Fuel'!I$3)
+'Data Entry Fuel'!J38*'Data Entry Fuel'!J190</f>
        <v>0</v>
      </c>
      <c r="D39" s="677">
        <f>'Data Entry Electricity'!B38*'Data Entry Electricity'!L38+'Data Entry Electricity'!C38*'Data Entry Electricity'!M38+'Data Entry Electricity'!D38*'Data Entry Electricity'!N38+'Data Entry Electricity'!E38*'Data Entry Electricity'!O38</f>
        <v>0</v>
      </c>
      <c r="E39" s="776">
        <f>'Data Entry Electricity'!B38*'Data Entry Electricity'!L38+'Data Entry Electricity'!C38*'Data Entry Electricity'!L38+'Data Entry Electricity'!D38*'Data Entry Electricity'!N38+'Data Entry Electricity'!E38*'Data Entry Electricity'!O38</f>
        <v>0</v>
      </c>
      <c r="F39" s="777">
        <f>(SUM('Fuel Equipment Savings Calculat'!$B36:$S36))+(SUM('Efficient Site Offices DD &amp; Cal'!$B72:$F72))+'PFC Calculations'!$G37+(SUM('Behaviour Calculations'!$E43,'Behaviour Calculations'!$J43,'Behaviour Calculations'!$O43))+(SUM('Reduced Power Lighting Calculat'!$B37:$F37)+SUM('Hybrid Lighting Calculations'!$B41:$F41)+('PIR Lighting Calculations'!$H37)+SUM('Water Calculations'!$B37:$G37)+'Additional Initiatives'!$H50)</f>
        <v>0</v>
      </c>
      <c r="G39" s="778">
        <f t="shared" si="29"/>
        <v>0</v>
      </c>
      <c r="H39" s="778">
        <f t="shared" si="5"/>
        <v>0</v>
      </c>
      <c r="I39" s="778">
        <f t="shared" si="30"/>
        <v>0</v>
      </c>
      <c r="J39" s="798">
        <f t="shared" si="34"/>
        <v>0</v>
      </c>
      <c r="K39" s="779">
        <f t="shared" si="35"/>
        <v>0</v>
      </c>
      <c r="L39" s="780">
        <f t="shared" si="31"/>
        <v>0</v>
      </c>
      <c r="M39" s="780">
        <f t="shared" si="32"/>
        <v>0</v>
      </c>
      <c r="N39" s="781">
        <f t="shared" si="33"/>
        <v>0</v>
      </c>
      <c r="O39" s="781">
        <f t="shared" si="16"/>
        <v>0</v>
      </c>
      <c r="Q39" s="683">
        <f t="shared" si="36"/>
        <v>0</v>
      </c>
      <c r="R39" s="683">
        <f t="shared" si="37"/>
        <v>0</v>
      </c>
      <c r="T39" s="673">
        <f t="shared" si="10"/>
        <v>0</v>
      </c>
      <c r="U39" s="674">
        <f>'Fuel Equipment Savings Calculat'!$V36</f>
        <v>0</v>
      </c>
      <c r="V39" s="674">
        <f>'Efficient Site Offices DD &amp; Cal'!$H72</f>
        <v>0</v>
      </c>
      <c r="W39" s="674">
        <f>'PFC Calculations'!$G37</f>
        <v>0</v>
      </c>
      <c r="X39" s="674">
        <f>'Behaviour Calculations'!$E43</f>
        <v>0</v>
      </c>
      <c r="Y39" s="674">
        <f>'Behaviour Calculations'!$J43</f>
        <v>0</v>
      </c>
      <c r="Z39" s="674">
        <f>'Behaviour Calculations'!$O43</f>
        <v>0</v>
      </c>
      <c r="AA39" s="674">
        <f>'Reduced Power Lighting Calculat'!$H37</f>
        <v>0</v>
      </c>
      <c r="AB39" s="674">
        <f>'Hybrid Lighting Calculations'!H41</f>
        <v>0</v>
      </c>
      <c r="AC39" s="674">
        <f>'PIR Lighting Calculations'!$H37</f>
        <v>0</v>
      </c>
      <c r="AD39" s="674">
        <f>'Water Calculations'!$I37</f>
        <v>0</v>
      </c>
      <c r="AE39" s="674">
        <f>'Additional Initiatives'!$H50</f>
        <v>0</v>
      </c>
      <c r="AF39" s="679">
        <f t="shared" si="11"/>
        <v>0</v>
      </c>
      <c r="AG39" s="679">
        <f>(C39-B39) - (0.13 * 'Data Entry Fuel'!I$3) * (U39+AB39)</f>
        <v>0</v>
      </c>
      <c r="AH39" s="5"/>
      <c r="AI39" s="19">
        <v>1209</v>
      </c>
      <c r="AJ39" s="19">
        <f t="shared" si="12"/>
        <v>2012</v>
      </c>
      <c r="AK39" s="19">
        <f t="shared" si="13"/>
        <v>6</v>
      </c>
      <c r="AL39" s="19">
        <v>35</v>
      </c>
      <c r="AM39" s="697">
        <f t="shared" si="38"/>
        <v>0</v>
      </c>
      <c r="AN39" s="697">
        <f t="shared" si="17"/>
        <v>0</v>
      </c>
      <c r="AO39" s="697">
        <f t="shared" si="18"/>
        <v>0</v>
      </c>
      <c r="AP39" s="697">
        <f>IF(AP$4='Additional Initiatives'!$B$163,'Additional Initiatives'!$B198,IF(AP$4='Additional Initiatives'!$C$163,'Additional Initiatives'!$C198,IF(AP$4='Additional Initiatives'!$D$163,'Additional Initiatives'!$D198,IF(AP$4='Additional Initiatives'!$E$163,'Additional Initiatives'!$E198,IF(AP$4='Additional Initiatives'!$F$163,'Additional Initiatives'!$F198,0)))))+AP38</f>
        <v>0</v>
      </c>
      <c r="AQ39" s="697">
        <f>IF(AQ$4='Additional Initiatives'!$B$163,'Additional Initiatives'!$B198,IF(AQ$4='Additional Initiatives'!$C$163,'Additional Initiatives'!$C198,IF(AQ$4='Additional Initiatives'!$D$163,'Additional Initiatives'!$D198,IF(AQ$4='Additional Initiatives'!$E$163,'Additional Initiatives'!$E198,IF(AQ$4='Additional Initiatives'!$F$163,'Additional Initiatives'!$F198,0)))))+AQ38</f>
        <v>0</v>
      </c>
      <c r="AR39" s="697">
        <f>IF(AR$4='Additional Initiatives'!$B$163,'Additional Initiatives'!$B198,IF(AR$4='Additional Initiatives'!$C$163,'Additional Initiatives'!$C198,IF(AR$4='Additional Initiatives'!$D$163,'Additional Initiatives'!$D198,IF(AR$4='Additional Initiatives'!$E$163,'Additional Initiatives'!$E198,IF(AR$4='Additional Initiatives'!$F$163,'Additional Initiatives'!$F198,0)))))+AR38</f>
        <v>0</v>
      </c>
      <c r="AS39" s="697">
        <f t="shared" si="19"/>
        <v>0</v>
      </c>
      <c r="AT39" s="696">
        <f t="shared" si="39"/>
        <v>0</v>
      </c>
      <c r="AU39" s="696">
        <f t="shared" si="20"/>
        <v>0</v>
      </c>
      <c r="AV39" s="696">
        <f t="shared" si="21"/>
        <v>0</v>
      </c>
      <c r="AW39" s="696">
        <f t="shared" si="22"/>
        <v>0</v>
      </c>
      <c r="AX39" s="696">
        <f t="shared" si="23"/>
        <v>0</v>
      </c>
      <c r="AY39" s="696">
        <f t="shared" si="24"/>
        <v>0</v>
      </c>
      <c r="AZ39" s="696">
        <f t="shared" si="25"/>
        <v>0</v>
      </c>
      <c r="BA39" s="696">
        <f t="shared" si="26"/>
        <v>0</v>
      </c>
      <c r="BB39" s="696">
        <f t="shared" si="27"/>
        <v>0</v>
      </c>
      <c r="BC39" s="696">
        <f>IF(BC$4='Additional Initiatives'!$B$163,'Additional Initiatives'!$B198,IF(BC$4='Additional Initiatives'!$C$163,'Additional Initiatives'!$C198,IF(BC$4='Additional Initiatives'!$D$163,'Additional Initiatives'!$D198,IF(BC$4='Additional Initiatives'!$E$163,'Additional Initiatives'!$E198,IF(BC$4='Additional Initiatives'!$F$163,'Additional Initiatives'!$F198,0)))))+BC38</f>
        <v>0</v>
      </c>
      <c r="BD39" s="696">
        <f>IF(BD$4='Additional Initiatives'!$B$163,'Additional Initiatives'!$B198,IF(BD$4='Additional Initiatives'!$C$163,'Additional Initiatives'!$C198,IF(BD$4='Additional Initiatives'!$D$163,'Additional Initiatives'!$D198,IF(BD$4='Additional Initiatives'!$E$163,'Additional Initiatives'!$E198,IF(BD$4='Additional Initiatives'!$F$163,'Additional Initiatives'!$F198,0)))))+BD38</f>
        <v>0</v>
      </c>
      <c r="BE39" s="696">
        <f>IF(BE$4='Additional Initiatives'!$B$163,'Additional Initiatives'!$B198,IF(BE$4='Additional Initiatives'!$C$163,'Additional Initiatives'!$C198,IF(BE$4='Additional Initiatives'!$D$163,'Additional Initiatives'!$D198,IF(BE$4='Additional Initiatives'!$E$163,'Additional Initiatives'!$E198,IF(BE$4='Additional Initiatives'!$F$163,'Additional Initiatives'!$F198,0)))))+BE38</f>
        <v>0</v>
      </c>
      <c r="BF39" s="696">
        <f t="shared" si="28"/>
        <v>0</v>
      </c>
    </row>
    <row r="40" spans="1:58">
      <c r="A40" s="21" t="s">
        <v>4</v>
      </c>
      <c r="B40" s="672">
        <f>'Data Entry Fuel'!B39*'Data Entry Fuel'!B191
+'Data Entry Fuel'!C39*'Data Entry Fuel'!C191
+'Data Entry Fuel'!D39*'Data Entry Fuel'!D191
+'Data Entry Fuel'!E39*'Data Entry Fuel'!E191
+'Data Entry Fuel'!F39*'Data Entry Fuel'!F191
+'Data Entry Fuel'!G39*'Data Entry Fuel'!G191
+'Data Entry Fuel'!H39*'Data Entry Fuel'!H191
+'Data Entry Fuel'!I39*'Data Entry Fuel'!I191
+'Data Entry Fuel'!J39*'Data Entry Fuel'!J191</f>
        <v>0</v>
      </c>
      <c r="C40" s="672">
        <f>'Data Entry Fuel'!B39*'Data Entry Fuel'!B191
+'Data Entry Fuel'!C39*'Data Entry Fuel'!C191
+'Data Entry Fuel'!D39*'Data Entry Fuel'!D191
+'Data Entry Fuel'!E39*'Data Entry Fuel'!E191
+'Data Entry Fuel'!F39*'Data Entry Fuel'!F191
+'Data Entry Fuel'!G39*'Data Entry Fuel'!G191
+'Data Entry Fuel'!H39*'Data Entry Fuel'!H191
+'Data Entry Fuel'!I39*'Data Entry Fuel'!C191 *   (1 -  0.13 * 'Data Entry Fuel'!I$3)
+'Data Entry Fuel'!J39*'Data Entry Fuel'!J191</f>
        <v>0</v>
      </c>
      <c r="D40" s="677">
        <f>'Data Entry Electricity'!B39*'Data Entry Electricity'!L39+'Data Entry Electricity'!C39*'Data Entry Electricity'!M39+'Data Entry Electricity'!D39*'Data Entry Electricity'!N39+'Data Entry Electricity'!E39*'Data Entry Electricity'!O39</f>
        <v>0</v>
      </c>
      <c r="E40" s="776">
        <f>'Data Entry Electricity'!B39*'Data Entry Electricity'!L39+'Data Entry Electricity'!C39*'Data Entry Electricity'!L39+'Data Entry Electricity'!D39*'Data Entry Electricity'!N39+'Data Entry Electricity'!E39*'Data Entry Electricity'!O39</f>
        <v>0</v>
      </c>
      <c r="F40" s="777">
        <f>(SUM('Fuel Equipment Savings Calculat'!$B37:$S37))+(SUM('Efficient Site Offices DD &amp; Cal'!$B73:$F73))+'PFC Calculations'!$G38+(SUM('Behaviour Calculations'!$E44,'Behaviour Calculations'!$J44,'Behaviour Calculations'!$O44))+(SUM('Reduced Power Lighting Calculat'!$B38:$F38)+SUM('Hybrid Lighting Calculations'!$B42:$F42)+('PIR Lighting Calculations'!$H38)+SUM('Water Calculations'!$B38:$G38)+'Additional Initiatives'!$H51)</f>
        <v>0</v>
      </c>
      <c r="G40" s="778">
        <f t="shared" si="29"/>
        <v>0</v>
      </c>
      <c r="H40" s="778">
        <f t="shared" si="5"/>
        <v>0</v>
      </c>
      <c r="I40" s="778">
        <f t="shared" si="30"/>
        <v>0</v>
      </c>
      <c r="J40" s="798">
        <f t="shared" si="34"/>
        <v>0</v>
      </c>
      <c r="K40" s="779">
        <f t="shared" si="35"/>
        <v>0</v>
      </c>
      <c r="L40" s="780">
        <f t="shared" si="31"/>
        <v>0</v>
      </c>
      <c r="M40" s="780">
        <f t="shared" si="32"/>
        <v>0</v>
      </c>
      <c r="N40" s="781">
        <f t="shared" si="33"/>
        <v>0</v>
      </c>
      <c r="O40" s="781">
        <f t="shared" si="16"/>
        <v>0</v>
      </c>
      <c r="Q40" s="683">
        <f t="shared" si="36"/>
        <v>0</v>
      </c>
      <c r="R40" s="683">
        <f t="shared" si="37"/>
        <v>0</v>
      </c>
      <c r="T40" s="673">
        <f t="shared" si="10"/>
        <v>0</v>
      </c>
      <c r="U40" s="674">
        <f>'Fuel Equipment Savings Calculat'!$V37</f>
        <v>0</v>
      </c>
      <c r="V40" s="674">
        <f>'Efficient Site Offices DD &amp; Cal'!$H73</f>
        <v>0</v>
      </c>
      <c r="W40" s="674">
        <f>'PFC Calculations'!$G38</f>
        <v>0</v>
      </c>
      <c r="X40" s="674">
        <f>'Behaviour Calculations'!$E44</f>
        <v>0</v>
      </c>
      <c r="Y40" s="674">
        <f>'Behaviour Calculations'!$J44</f>
        <v>0</v>
      </c>
      <c r="Z40" s="674">
        <f>'Behaviour Calculations'!$O44</f>
        <v>0</v>
      </c>
      <c r="AA40" s="674">
        <f>'Reduced Power Lighting Calculat'!$H38</f>
        <v>0</v>
      </c>
      <c r="AB40" s="674">
        <f>'Hybrid Lighting Calculations'!H42</f>
        <v>0</v>
      </c>
      <c r="AC40" s="674">
        <f>'PIR Lighting Calculations'!$H38</f>
        <v>0</v>
      </c>
      <c r="AD40" s="674">
        <f>'Water Calculations'!$I38</f>
        <v>0</v>
      </c>
      <c r="AE40" s="674">
        <f>'Additional Initiatives'!$H51</f>
        <v>0</v>
      </c>
      <c r="AF40" s="679">
        <f t="shared" si="11"/>
        <v>0</v>
      </c>
      <c r="AG40" s="679">
        <f>(C40-B40) - (0.13 * 'Data Entry Fuel'!I$3) * (U40+AB40)</f>
        <v>0</v>
      </c>
      <c r="AH40" s="5"/>
      <c r="AI40" s="19">
        <v>1210</v>
      </c>
      <c r="AJ40" s="19">
        <f t="shared" si="12"/>
        <v>2012</v>
      </c>
      <c r="AK40" s="19">
        <f t="shared" si="13"/>
        <v>6</v>
      </c>
      <c r="AL40" s="19">
        <v>36</v>
      </c>
      <c r="AM40" s="697">
        <f t="shared" si="38"/>
        <v>0</v>
      </c>
      <c r="AN40" s="697">
        <f t="shared" si="17"/>
        <v>0</v>
      </c>
      <c r="AO40" s="697">
        <f t="shared" si="18"/>
        <v>0</v>
      </c>
      <c r="AP40" s="697">
        <f>IF(AP$4='Additional Initiatives'!$B$163,'Additional Initiatives'!$B199,IF(AP$4='Additional Initiatives'!$C$163,'Additional Initiatives'!$C199,IF(AP$4='Additional Initiatives'!$D$163,'Additional Initiatives'!$D199,IF(AP$4='Additional Initiatives'!$E$163,'Additional Initiatives'!$E199,IF(AP$4='Additional Initiatives'!$F$163,'Additional Initiatives'!$F199,0)))))+AP39</f>
        <v>0</v>
      </c>
      <c r="AQ40" s="697">
        <f>IF(AQ$4='Additional Initiatives'!$B$163,'Additional Initiatives'!$B199,IF(AQ$4='Additional Initiatives'!$C$163,'Additional Initiatives'!$C199,IF(AQ$4='Additional Initiatives'!$D$163,'Additional Initiatives'!$D199,IF(AQ$4='Additional Initiatives'!$E$163,'Additional Initiatives'!$E199,IF(AQ$4='Additional Initiatives'!$F$163,'Additional Initiatives'!$F199,0)))))+AQ39</f>
        <v>0</v>
      </c>
      <c r="AR40" s="697">
        <f>IF(AR$4='Additional Initiatives'!$B$163,'Additional Initiatives'!$B199,IF(AR$4='Additional Initiatives'!$C$163,'Additional Initiatives'!$C199,IF(AR$4='Additional Initiatives'!$D$163,'Additional Initiatives'!$D199,IF(AR$4='Additional Initiatives'!$E$163,'Additional Initiatives'!$E199,IF(AR$4='Additional Initiatives'!$F$163,'Additional Initiatives'!$F199,0)))))+AR39</f>
        <v>0</v>
      </c>
      <c r="AS40" s="697">
        <f t="shared" si="19"/>
        <v>0</v>
      </c>
      <c r="AT40" s="696">
        <f t="shared" si="39"/>
        <v>0</v>
      </c>
      <c r="AU40" s="696">
        <f t="shared" si="20"/>
        <v>0</v>
      </c>
      <c r="AV40" s="696">
        <f t="shared" si="21"/>
        <v>0</v>
      </c>
      <c r="AW40" s="696">
        <f t="shared" si="22"/>
        <v>0</v>
      </c>
      <c r="AX40" s="696">
        <f t="shared" si="23"/>
        <v>0</v>
      </c>
      <c r="AY40" s="696">
        <f t="shared" si="24"/>
        <v>0</v>
      </c>
      <c r="AZ40" s="696">
        <f t="shared" si="25"/>
        <v>0</v>
      </c>
      <c r="BA40" s="696">
        <f t="shared" si="26"/>
        <v>0</v>
      </c>
      <c r="BB40" s="696">
        <f t="shared" si="27"/>
        <v>0</v>
      </c>
      <c r="BC40" s="696">
        <f>IF(BC$4='Additional Initiatives'!$B$163,'Additional Initiatives'!$B199,IF(BC$4='Additional Initiatives'!$C$163,'Additional Initiatives'!$C199,IF(BC$4='Additional Initiatives'!$D$163,'Additional Initiatives'!$D199,IF(BC$4='Additional Initiatives'!$E$163,'Additional Initiatives'!$E199,IF(BC$4='Additional Initiatives'!$F$163,'Additional Initiatives'!$F199,0)))))+BC39</f>
        <v>0</v>
      </c>
      <c r="BD40" s="696">
        <f>IF(BD$4='Additional Initiatives'!$B$163,'Additional Initiatives'!$B199,IF(BD$4='Additional Initiatives'!$C$163,'Additional Initiatives'!$C199,IF(BD$4='Additional Initiatives'!$D$163,'Additional Initiatives'!$D199,IF(BD$4='Additional Initiatives'!$E$163,'Additional Initiatives'!$E199,IF(BD$4='Additional Initiatives'!$F$163,'Additional Initiatives'!$F199,0)))))+BD39</f>
        <v>0</v>
      </c>
      <c r="BE40" s="696">
        <f>IF(BE$4='Additional Initiatives'!$B$163,'Additional Initiatives'!$B199,IF(BE$4='Additional Initiatives'!$C$163,'Additional Initiatives'!$C199,IF(BE$4='Additional Initiatives'!$D$163,'Additional Initiatives'!$D199,IF(BE$4='Additional Initiatives'!$E$163,'Additional Initiatives'!$E199,IF(BE$4='Additional Initiatives'!$F$163,'Additional Initiatives'!$F199,0)))))+BE39</f>
        <v>0</v>
      </c>
      <c r="BF40" s="696">
        <f t="shared" si="28"/>
        <v>0</v>
      </c>
    </row>
    <row r="41" spans="1:58">
      <c r="A41" s="21" t="s">
        <v>5</v>
      </c>
      <c r="B41" s="672">
        <f>'Data Entry Fuel'!B40*'Data Entry Fuel'!B192
+'Data Entry Fuel'!C40*'Data Entry Fuel'!C192
+'Data Entry Fuel'!D40*'Data Entry Fuel'!D192
+'Data Entry Fuel'!E40*'Data Entry Fuel'!E192
+'Data Entry Fuel'!F40*'Data Entry Fuel'!F192
+'Data Entry Fuel'!G40*'Data Entry Fuel'!G192
+'Data Entry Fuel'!H40*'Data Entry Fuel'!H192
+'Data Entry Fuel'!I40*'Data Entry Fuel'!I192
+'Data Entry Fuel'!J40*'Data Entry Fuel'!J192</f>
        <v>0</v>
      </c>
      <c r="C41" s="672">
        <f>'Data Entry Fuel'!B40*'Data Entry Fuel'!B192
+'Data Entry Fuel'!C40*'Data Entry Fuel'!C192
+'Data Entry Fuel'!D40*'Data Entry Fuel'!D192
+'Data Entry Fuel'!E40*'Data Entry Fuel'!E192
+'Data Entry Fuel'!F40*'Data Entry Fuel'!F192
+'Data Entry Fuel'!G40*'Data Entry Fuel'!G192
+'Data Entry Fuel'!H40*'Data Entry Fuel'!H192
+'Data Entry Fuel'!I40*'Data Entry Fuel'!C192 *   (1 -  0.13 * 'Data Entry Fuel'!I$3)
+'Data Entry Fuel'!J40*'Data Entry Fuel'!J192</f>
        <v>0</v>
      </c>
      <c r="D41" s="677">
        <f>'Data Entry Electricity'!B40*'Data Entry Electricity'!L40+'Data Entry Electricity'!C40*'Data Entry Electricity'!M40+'Data Entry Electricity'!D40*'Data Entry Electricity'!N40+'Data Entry Electricity'!E40*'Data Entry Electricity'!O40</f>
        <v>0</v>
      </c>
      <c r="E41" s="776">
        <f>'Data Entry Electricity'!B40*'Data Entry Electricity'!L40+'Data Entry Electricity'!C40*'Data Entry Electricity'!L40+'Data Entry Electricity'!D40*'Data Entry Electricity'!N40+'Data Entry Electricity'!E40*'Data Entry Electricity'!O40</f>
        <v>0</v>
      </c>
      <c r="F41" s="777">
        <f>(SUM('Fuel Equipment Savings Calculat'!$B38:$S38))+(SUM('Efficient Site Offices DD &amp; Cal'!$B74:$F74))+'PFC Calculations'!$G39+(SUM('Behaviour Calculations'!$E45,'Behaviour Calculations'!$J45,'Behaviour Calculations'!$O45))+(SUM('Reduced Power Lighting Calculat'!$B39:$F39)+SUM('Hybrid Lighting Calculations'!$B43:$F43)+('PIR Lighting Calculations'!$H39)+SUM('Water Calculations'!$B39:$G39)+'Additional Initiatives'!$H52)</f>
        <v>0</v>
      </c>
      <c r="G41" s="778">
        <f t="shared" si="29"/>
        <v>0</v>
      </c>
      <c r="H41" s="778">
        <f t="shared" si="5"/>
        <v>0</v>
      </c>
      <c r="I41" s="778">
        <f t="shared" si="30"/>
        <v>0</v>
      </c>
      <c r="J41" s="798">
        <f t="shared" si="34"/>
        <v>0</v>
      </c>
      <c r="K41" s="779">
        <f t="shared" si="35"/>
        <v>0</v>
      </c>
      <c r="L41" s="780">
        <f t="shared" si="31"/>
        <v>0</v>
      </c>
      <c r="M41" s="780">
        <f t="shared" si="32"/>
        <v>0</v>
      </c>
      <c r="N41" s="781">
        <f t="shared" si="33"/>
        <v>0</v>
      </c>
      <c r="O41" s="781">
        <f t="shared" si="16"/>
        <v>0</v>
      </c>
      <c r="Q41" s="683">
        <f t="shared" si="36"/>
        <v>0</v>
      </c>
      <c r="R41" s="683">
        <f t="shared" si="37"/>
        <v>0</v>
      </c>
      <c r="T41" s="673">
        <f t="shared" si="10"/>
        <v>0</v>
      </c>
      <c r="U41" s="674">
        <f>'Fuel Equipment Savings Calculat'!$V38</f>
        <v>0</v>
      </c>
      <c r="V41" s="674">
        <f>'Efficient Site Offices DD &amp; Cal'!$H74</f>
        <v>0</v>
      </c>
      <c r="W41" s="674">
        <f>'PFC Calculations'!$G39</f>
        <v>0</v>
      </c>
      <c r="X41" s="674">
        <f>'Behaviour Calculations'!$E45</f>
        <v>0</v>
      </c>
      <c r="Y41" s="674">
        <f>'Behaviour Calculations'!$J45</f>
        <v>0</v>
      </c>
      <c r="Z41" s="674">
        <f>'Behaviour Calculations'!$O45</f>
        <v>0</v>
      </c>
      <c r="AA41" s="674">
        <f>'Reduced Power Lighting Calculat'!$H39</f>
        <v>0</v>
      </c>
      <c r="AB41" s="674">
        <f>'Hybrid Lighting Calculations'!H43</f>
        <v>0</v>
      </c>
      <c r="AC41" s="674">
        <f>'PIR Lighting Calculations'!$H39</f>
        <v>0</v>
      </c>
      <c r="AD41" s="674">
        <f>'Water Calculations'!$I39</f>
        <v>0</v>
      </c>
      <c r="AE41" s="674">
        <f>'Additional Initiatives'!$H52</f>
        <v>0</v>
      </c>
      <c r="AF41" s="679">
        <f t="shared" si="11"/>
        <v>0</v>
      </c>
      <c r="AG41" s="679">
        <f>(C41-B41) - (0.13 * 'Data Entry Fuel'!I$3) * (U41+AB41)</f>
        <v>0</v>
      </c>
      <c r="AH41" s="5"/>
      <c r="AI41" s="19">
        <v>1211</v>
      </c>
      <c r="AJ41" s="19">
        <f t="shared" si="12"/>
        <v>2012</v>
      </c>
      <c r="AK41" s="19">
        <f t="shared" si="13"/>
        <v>6</v>
      </c>
      <c r="AL41" s="19">
        <v>37</v>
      </c>
      <c r="AM41" s="697">
        <f t="shared" si="38"/>
        <v>0</v>
      </c>
      <c r="AN41" s="697">
        <f t="shared" si="17"/>
        <v>0</v>
      </c>
      <c r="AO41" s="697">
        <f t="shared" si="18"/>
        <v>0</v>
      </c>
      <c r="AP41" s="697">
        <f>IF(AP$4='Additional Initiatives'!$B$163,'Additional Initiatives'!$B200,IF(AP$4='Additional Initiatives'!$C$163,'Additional Initiatives'!$C200,IF(AP$4='Additional Initiatives'!$D$163,'Additional Initiatives'!$D200,IF(AP$4='Additional Initiatives'!$E$163,'Additional Initiatives'!$E200,IF(AP$4='Additional Initiatives'!$F$163,'Additional Initiatives'!$F200,0)))))+AP40</f>
        <v>0</v>
      </c>
      <c r="AQ41" s="697">
        <f>IF(AQ$4='Additional Initiatives'!$B$163,'Additional Initiatives'!$B200,IF(AQ$4='Additional Initiatives'!$C$163,'Additional Initiatives'!$C200,IF(AQ$4='Additional Initiatives'!$D$163,'Additional Initiatives'!$D200,IF(AQ$4='Additional Initiatives'!$E$163,'Additional Initiatives'!$E200,IF(AQ$4='Additional Initiatives'!$F$163,'Additional Initiatives'!$F200,0)))))+AQ40</f>
        <v>0</v>
      </c>
      <c r="AR41" s="697">
        <f>IF(AR$4='Additional Initiatives'!$B$163,'Additional Initiatives'!$B200,IF(AR$4='Additional Initiatives'!$C$163,'Additional Initiatives'!$C200,IF(AR$4='Additional Initiatives'!$D$163,'Additional Initiatives'!$D200,IF(AR$4='Additional Initiatives'!$E$163,'Additional Initiatives'!$E200,IF(AR$4='Additional Initiatives'!$F$163,'Additional Initiatives'!$F200,0)))))+AR40</f>
        <v>0</v>
      </c>
      <c r="AS41" s="697">
        <f t="shared" si="19"/>
        <v>0</v>
      </c>
      <c r="AT41" s="696">
        <f t="shared" si="39"/>
        <v>0</v>
      </c>
      <c r="AU41" s="696">
        <f t="shared" si="20"/>
        <v>0</v>
      </c>
      <c r="AV41" s="696">
        <f t="shared" si="21"/>
        <v>0</v>
      </c>
      <c r="AW41" s="696">
        <f t="shared" si="22"/>
        <v>0</v>
      </c>
      <c r="AX41" s="696">
        <f t="shared" si="23"/>
        <v>0</v>
      </c>
      <c r="AY41" s="696">
        <f t="shared" si="24"/>
        <v>0</v>
      </c>
      <c r="AZ41" s="696">
        <f t="shared" si="25"/>
        <v>0</v>
      </c>
      <c r="BA41" s="696">
        <f t="shared" si="26"/>
        <v>0</v>
      </c>
      <c r="BB41" s="696">
        <f t="shared" si="27"/>
        <v>0</v>
      </c>
      <c r="BC41" s="696">
        <f>IF(BC$4='Additional Initiatives'!$B$163,'Additional Initiatives'!$B200,IF(BC$4='Additional Initiatives'!$C$163,'Additional Initiatives'!$C200,IF(BC$4='Additional Initiatives'!$D$163,'Additional Initiatives'!$D200,IF(BC$4='Additional Initiatives'!$E$163,'Additional Initiatives'!$E200,IF(BC$4='Additional Initiatives'!$F$163,'Additional Initiatives'!$F200,0)))))+BC40</f>
        <v>0</v>
      </c>
      <c r="BD41" s="696">
        <f>IF(BD$4='Additional Initiatives'!$B$163,'Additional Initiatives'!$B200,IF(BD$4='Additional Initiatives'!$C$163,'Additional Initiatives'!$C200,IF(BD$4='Additional Initiatives'!$D$163,'Additional Initiatives'!$D200,IF(BD$4='Additional Initiatives'!$E$163,'Additional Initiatives'!$E200,IF(BD$4='Additional Initiatives'!$F$163,'Additional Initiatives'!$F200,0)))))+BD40</f>
        <v>0</v>
      </c>
      <c r="BE41" s="696">
        <f>IF(BE$4='Additional Initiatives'!$B$163,'Additional Initiatives'!$B200,IF(BE$4='Additional Initiatives'!$C$163,'Additional Initiatives'!$C200,IF(BE$4='Additional Initiatives'!$D$163,'Additional Initiatives'!$D200,IF(BE$4='Additional Initiatives'!$E$163,'Additional Initiatives'!$E200,IF(BE$4='Additional Initiatives'!$F$163,'Additional Initiatives'!$F200,0)))))+BE40</f>
        <v>0</v>
      </c>
      <c r="BF41" s="696">
        <f t="shared" si="28"/>
        <v>0</v>
      </c>
    </row>
    <row r="42" spans="1:58">
      <c r="A42" s="21" t="s">
        <v>6</v>
      </c>
      <c r="B42" s="672">
        <f>'Data Entry Fuel'!B41*'Data Entry Fuel'!B193
+'Data Entry Fuel'!C41*'Data Entry Fuel'!C193
+'Data Entry Fuel'!D41*'Data Entry Fuel'!D193
+'Data Entry Fuel'!E41*'Data Entry Fuel'!E193
+'Data Entry Fuel'!F41*'Data Entry Fuel'!F193
+'Data Entry Fuel'!G41*'Data Entry Fuel'!G193
+'Data Entry Fuel'!H41*'Data Entry Fuel'!H193
+'Data Entry Fuel'!I41*'Data Entry Fuel'!I193
+'Data Entry Fuel'!J41*'Data Entry Fuel'!J193</f>
        <v>0</v>
      </c>
      <c r="C42" s="672">
        <f>'Data Entry Fuel'!B41*'Data Entry Fuel'!B193
+'Data Entry Fuel'!C41*'Data Entry Fuel'!C193
+'Data Entry Fuel'!D41*'Data Entry Fuel'!D193
+'Data Entry Fuel'!E41*'Data Entry Fuel'!E193
+'Data Entry Fuel'!F41*'Data Entry Fuel'!F193
+'Data Entry Fuel'!G41*'Data Entry Fuel'!G193
+'Data Entry Fuel'!H41*'Data Entry Fuel'!H193
+'Data Entry Fuel'!I41*'Data Entry Fuel'!C193 *   (1 -  0.13 * 'Data Entry Fuel'!I$3)
+'Data Entry Fuel'!J41*'Data Entry Fuel'!J193</f>
        <v>0</v>
      </c>
      <c r="D42" s="677">
        <f>'Data Entry Electricity'!B41*'Data Entry Electricity'!L41+'Data Entry Electricity'!C41*'Data Entry Electricity'!M41+'Data Entry Electricity'!D41*'Data Entry Electricity'!N41+'Data Entry Electricity'!E41*'Data Entry Electricity'!O41</f>
        <v>0</v>
      </c>
      <c r="E42" s="776">
        <f>'Data Entry Electricity'!B41*'Data Entry Electricity'!L41+'Data Entry Electricity'!C41*'Data Entry Electricity'!L41+'Data Entry Electricity'!D41*'Data Entry Electricity'!N41+'Data Entry Electricity'!E41*'Data Entry Electricity'!O41</f>
        <v>0</v>
      </c>
      <c r="F42" s="777">
        <f>(SUM('Fuel Equipment Savings Calculat'!$B39:$S39))+(SUM('Efficient Site Offices DD &amp; Cal'!$B75:$F75))+'PFC Calculations'!$G40+(SUM('Behaviour Calculations'!$E46,'Behaviour Calculations'!$J46,'Behaviour Calculations'!$O46))+(SUM('Reduced Power Lighting Calculat'!$B40:$F40)+SUM('Hybrid Lighting Calculations'!$B44:$F44)+('PIR Lighting Calculations'!$H40)+SUM('Water Calculations'!$B40:$G40)+'Additional Initiatives'!$H53)</f>
        <v>0</v>
      </c>
      <c r="G42" s="778">
        <f t="shared" si="29"/>
        <v>0</v>
      </c>
      <c r="H42" s="778">
        <f t="shared" si="5"/>
        <v>0</v>
      </c>
      <c r="I42" s="778">
        <f t="shared" si="30"/>
        <v>0</v>
      </c>
      <c r="J42" s="798">
        <f t="shared" si="34"/>
        <v>0</v>
      </c>
      <c r="K42" s="779">
        <f t="shared" si="35"/>
        <v>0</v>
      </c>
      <c r="L42" s="780">
        <f t="shared" si="31"/>
        <v>0</v>
      </c>
      <c r="M42" s="780">
        <f t="shared" si="32"/>
        <v>0</v>
      </c>
      <c r="N42" s="781">
        <f t="shared" si="33"/>
        <v>0</v>
      </c>
      <c r="O42" s="781">
        <f t="shared" si="16"/>
        <v>0</v>
      </c>
      <c r="Q42" s="683">
        <f t="shared" si="36"/>
        <v>0</v>
      </c>
      <c r="R42" s="683">
        <f t="shared" si="37"/>
        <v>0</v>
      </c>
      <c r="T42" s="673">
        <f t="shared" si="10"/>
        <v>0</v>
      </c>
      <c r="U42" s="674">
        <f>'Fuel Equipment Savings Calculat'!$V39</f>
        <v>0</v>
      </c>
      <c r="V42" s="674">
        <f>'Efficient Site Offices DD &amp; Cal'!$H75</f>
        <v>0</v>
      </c>
      <c r="W42" s="674">
        <f>'PFC Calculations'!$G40</f>
        <v>0</v>
      </c>
      <c r="X42" s="674">
        <f>'Behaviour Calculations'!$E46</f>
        <v>0</v>
      </c>
      <c r="Y42" s="674">
        <f>'Behaviour Calculations'!$J46</f>
        <v>0</v>
      </c>
      <c r="Z42" s="674">
        <f>'Behaviour Calculations'!$O46</f>
        <v>0</v>
      </c>
      <c r="AA42" s="674">
        <f>'Reduced Power Lighting Calculat'!$H40</f>
        <v>0</v>
      </c>
      <c r="AB42" s="674">
        <f>'Hybrid Lighting Calculations'!H44</f>
        <v>0</v>
      </c>
      <c r="AC42" s="674">
        <f>'PIR Lighting Calculations'!$H40</f>
        <v>0</v>
      </c>
      <c r="AD42" s="674">
        <f>'Water Calculations'!$I40</f>
        <v>0</v>
      </c>
      <c r="AE42" s="674">
        <f>'Additional Initiatives'!$H53</f>
        <v>0</v>
      </c>
      <c r="AF42" s="679">
        <f t="shared" si="11"/>
        <v>0</v>
      </c>
      <c r="AG42" s="679">
        <f>(C42-B42) - (0.13 * 'Data Entry Fuel'!I$3) * (U42+AB42)</f>
        <v>0</v>
      </c>
      <c r="AH42" s="5"/>
      <c r="AI42" s="19">
        <v>1212</v>
      </c>
      <c r="AJ42" s="19">
        <f t="shared" si="12"/>
        <v>2012</v>
      </c>
      <c r="AK42" s="19">
        <f t="shared" si="13"/>
        <v>6</v>
      </c>
      <c r="AL42" s="19">
        <v>38</v>
      </c>
      <c r="AM42" s="697">
        <f t="shared" si="38"/>
        <v>0</v>
      </c>
      <c r="AN42" s="697">
        <f t="shared" si="17"/>
        <v>0</v>
      </c>
      <c r="AO42" s="697">
        <f t="shared" si="18"/>
        <v>0</v>
      </c>
      <c r="AP42" s="697">
        <f>IF(AP$4='Additional Initiatives'!$B$163,'Additional Initiatives'!$B201,IF(AP$4='Additional Initiatives'!$C$163,'Additional Initiatives'!$C201,IF(AP$4='Additional Initiatives'!$D$163,'Additional Initiatives'!$D201,IF(AP$4='Additional Initiatives'!$E$163,'Additional Initiatives'!$E201,IF(AP$4='Additional Initiatives'!$F$163,'Additional Initiatives'!$F201,0)))))+AP41</f>
        <v>0</v>
      </c>
      <c r="AQ42" s="697">
        <f>IF(AQ$4='Additional Initiatives'!$B$163,'Additional Initiatives'!$B201,IF(AQ$4='Additional Initiatives'!$C$163,'Additional Initiatives'!$C201,IF(AQ$4='Additional Initiatives'!$D$163,'Additional Initiatives'!$D201,IF(AQ$4='Additional Initiatives'!$E$163,'Additional Initiatives'!$E201,IF(AQ$4='Additional Initiatives'!$F$163,'Additional Initiatives'!$F201,0)))))+AQ41</f>
        <v>0</v>
      </c>
      <c r="AR42" s="697">
        <f>IF(AR$4='Additional Initiatives'!$B$163,'Additional Initiatives'!$B201,IF(AR$4='Additional Initiatives'!$C$163,'Additional Initiatives'!$C201,IF(AR$4='Additional Initiatives'!$D$163,'Additional Initiatives'!$D201,IF(AR$4='Additional Initiatives'!$E$163,'Additional Initiatives'!$E201,IF(AR$4='Additional Initiatives'!$F$163,'Additional Initiatives'!$F201,0)))))+AR41</f>
        <v>0</v>
      </c>
      <c r="AS42" s="697">
        <f t="shared" si="19"/>
        <v>0</v>
      </c>
      <c r="AT42" s="696">
        <f t="shared" si="39"/>
        <v>0</v>
      </c>
      <c r="AU42" s="696">
        <f t="shared" si="20"/>
        <v>0</v>
      </c>
      <c r="AV42" s="696">
        <f t="shared" si="21"/>
        <v>0</v>
      </c>
      <c r="AW42" s="696">
        <f t="shared" si="22"/>
        <v>0</v>
      </c>
      <c r="AX42" s="696">
        <f t="shared" si="23"/>
        <v>0</v>
      </c>
      <c r="AY42" s="696">
        <f t="shared" si="24"/>
        <v>0</v>
      </c>
      <c r="AZ42" s="696">
        <f t="shared" si="25"/>
        <v>0</v>
      </c>
      <c r="BA42" s="696">
        <f t="shared" si="26"/>
        <v>0</v>
      </c>
      <c r="BB42" s="696">
        <f t="shared" si="27"/>
        <v>0</v>
      </c>
      <c r="BC42" s="696">
        <f>IF(BC$4='Additional Initiatives'!$B$163,'Additional Initiatives'!$B201,IF(BC$4='Additional Initiatives'!$C$163,'Additional Initiatives'!$C201,IF(BC$4='Additional Initiatives'!$D$163,'Additional Initiatives'!$D201,IF(BC$4='Additional Initiatives'!$E$163,'Additional Initiatives'!$E201,IF(BC$4='Additional Initiatives'!$F$163,'Additional Initiatives'!$F201,0)))))+BC41</f>
        <v>0</v>
      </c>
      <c r="BD42" s="696">
        <f>IF(BD$4='Additional Initiatives'!$B$163,'Additional Initiatives'!$B201,IF(BD$4='Additional Initiatives'!$C$163,'Additional Initiatives'!$C201,IF(BD$4='Additional Initiatives'!$D$163,'Additional Initiatives'!$D201,IF(BD$4='Additional Initiatives'!$E$163,'Additional Initiatives'!$E201,IF(BD$4='Additional Initiatives'!$F$163,'Additional Initiatives'!$F201,0)))))+BD41</f>
        <v>0</v>
      </c>
      <c r="BE42" s="696">
        <f>IF(BE$4='Additional Initiatives'!$B$163,'Additional Initiatives'!$B201,IF(BE$4='Additional Initiatives'!$C$163,'Additional Initiatives'!$C201,IF(BE$4='Additional Initiatives'!$D$163,'Additional Initiatives'!$D201,IF(BE$4='Additional Initiatives'!$E$163,'Additional Initiatives'!$E201,IF(BE$4='Additional Initiatives'!$F$163,'Additional Initiatives'!$F201,0)))))+BE41</f>
        <v>0</v>
      </c>
      <c r="BF42" s="696">
        <f t="shared" si="28"/>
        <v>0</v>
      </c>
    </row>
    <row r="43" spans="1:58">
      <c r="A43" s="21" t="s">
        <v>7</v>
      </c>
      <c r="B43" s="672">
        <f>'Data Entry Fuel'!B42*'Data Entry Fuel'!B194
+'Data Entry Fuel'!C42*'Data Entry Fuel'!C194
+'Data Entry Fuel'!D42*'Data Entry Fuel'!D194
+'Data Entry Fuel'!E42*'Data Entry Fuel'!E194
+'Data Entry Fuel'!F42*'Data Entry Fuel'!F194
+'Data Entry Fuel'!G42*'Data Entry Fuel'!G194
+'Data Entry Fuel'!H42*'Data Entry Fuel'!H194
+'Data Entry Fuel'!I42*'Data Entry Fuel'!I194
+'Data Entry Fuel'!J42*'Data Entry Fuel'!J194</f>
        <v>0</v>
      </c>
      <c r="C43" s="672">
        <f>'Data Entry Fuel'!B42*'Data Entry Fuel'!B194
+'Data Entry Fuel'!C42*'Data Entry Fuel'!C194
+'Data Entry Fuel'!D42*'Data Entry Fuel'!D194
+'Data Entry Fuel'!E42*'Data Entry Fuel'!E194
+'Data Entry Fuel'!F42*'Data Entry Fuel'!F194
+'Data Entry Fuel'!G42*'Data Entry Fuel'!G194
+'Data Entry Fuel'!H42*'Data Entry Fuel'!H194
+'Data Entry Fuel'!I42*'Data Entry Fuel'!C194 *   (1 -  0.13 * 'Data Entry Fuel'!I$3)
+'Data Entry Fuel'!J42*'Data Entry Fuel'!J194</f>
        <v>0</v>
      </c>
      <c r="D43" s="677">
        <f>'Data Entry Electricity'!B42*'Data Entry Electricity'!L42+'Data Entry Electricity'!C42*'Data Entry Electricity'!M42+'Data Entry Electricity'!D42*'Data Entry Electricity'!N42+'Data Entry Electricity'!E42*'Data Entry Electricity'!O42</f>
        <v>0</v>
      </c>
      <c r="E43" s="776">
        <f>'Data Entry Electricity'!B42*'Data Entry Electricity'!L42+'Data Entry Electricity'!C42*'Data Entry Electricity'!L42+'Data Entry Electricity'!D42*'Data Entry Electricity'!N42+'Data Entry Electricity'!E42*'Data Entry Electricity'!O42</f>
        <v>0</v>
      </c>
      <c r="F43" s="777">
        <f>(SUM('Fuel Equipment Savings Calculat'!$B40:$S40))+(SUM('Efficient Site Offices DD &amp; Cal'!$B76:$F76))+'PFC Calculations'!$G41+(SUM('Behaviour Calculations'!$E47,'Behaviour Calculations'!$J47,'Behaviour Calculations'!$O47))+(SUM('Reduced Power Lighting Calculat'!$B41:$F41)+SUM('Hybrid Lighting Calculations'!$B45:$F45)+('PIR Lighting Calculations'!$H41)+SUM('Water Calculations'!$B41:$G41)+'Additional Initiatives'!$H54)</f>
        <v>0</v>
      </c>
      <c r="G43" s="778">
        <f t="shared" si="29"/>
        <v>0</v>
      </c>
      <c r="H43" s="778">
        <f t="shared" si="5"/>
        <v>0</v>
      </c>
      <c r="I43" s="778">
        <f t="shared" si="30"/>
        <v>0</v>
      </c>
      <c r="J43" s="798">
        <f t="shared" si="34"/>
        <v>0</v>
      </c>
      <c r="K43" s="779">
        <f t="shared" si="35"/>
        <v>0</v>
      </c>
      <c r="L43" s="780">
        <f t="shared" si="31"/>
        <v>0</v>
      </c>
      <c r="M43" s="780">
        <f t="shared" si="32"/>
        <v>0</v>
      </c>
      <c r="N43" s="781">
        <f t="shared" si="33"/>
        <v>0</v>
      </c>
      <c r="O43" s="781">
        <f t="shared" si="16"/>
        <v>0</v>
      </c>
      <c r="Q43" s="683">
        <f t="shared" si="36"/>
        <v>0</v>
      </c>
      <c r="R43" s="683">
        <f t="shared" si="37"/>
        <v>0</v>
      </c>
      <c r="T43" s="673">
        <f t="shared" si="10"/>
        <v>0</v>
      </c>
      <c r="U43" s="674">
        <f>'Fuel Equipment Savings Calculat'!$V40</f>
        <v>0</v>
      </c>
      <c r="V43" s="674">
        <f>'Efficient Site Offices DD &amp; Cal'!$H76</f>
        <v>0</v>
      </c>
      <c r="W43" s="674">
        <f>'PFC Calculations'!$G41</f>
        <v>0</v>
      </c>
      <c r="X43" s="674">
        <f>'Behaviour Calculations'!$E47</f>
        <v>0</v>
      </c>
      <c r="Y43" s="674">
        <f>'Behaviour Calculations'!$J47</f>
        <v>0</v>
      </c>
      <c r="Z43" s="674">
        <f>'Behaviour Calculations'!$O47</f>
        <v>0</v>
      </c>
      <c r="AA43" s="674">
        <f>'Reduced Power Lighting Calculat'!$H41</f>
        <v>0</v>
      </c>
      <c r="AB43" s="674">
        <f>'Hybrid Lighting Calculations'!H45</f>
        <v>0</v>
      </c>
      <c r="AC43" s="674">
        <f>'PIR Lighting Calculations'!$H41</f>
        <v>0</v>
      </c>
      <c r="AD43" s="674">
        <f>'Water Calculations'!$I41</f>
        <v>0</v>
      </c>
      <c r="AE43" s="674">
        <f>'Additional Initiatives'!$H54</f>
        <v>0</v>
      </c>
      <c r="AF43" s="679">
        <f t="shared" si="11"/>
        <v>0</v>
      </c>
      <c r="AG43" s="679">
        <f>(C43-B43) - (0.13 * 'Data Entry Fuel'!I$3) * (U43+AB43)</f>
        <v>0</v>
      </c>
      <c r="AH43" s="5"/>
      <c r="AI43" s="19">
        <v>1213</v>
      </c>
      <c r="AJ43" s="19">
        <f t="shared" si="12"/>
        <v>2012</v>
      </c>
      <c r="AK43" s="19">
        <f t="shared" si="13"/>
        <v>6</v>
      </c>
      <c r="AL43" s="19">
        <v>39</v>
      </c>
      <c r="AM43" s="697">
        <f t="shared" si="38"/>
        <v>0</v>
      </c>
      <c r="AN43" s="697">
        <f t="shared" si="17"/>
        <v>0</v>
      </c>
      <c r="AO43" s="697">
        <f t="shared" si="18"/>
        <v>0</v>
      </c>
      <c r="AP43" s="697">
        <f>IF(AP$4='Additional Initiatives'!$B$163,'Additional Initiatives'!$B202,IF(AP$4='Additional Initiatives'!$C$163,'Additional Initiatives'!$C202,IF(AP$4='Additional Initiatives'!$D$163,'Additional Initiatives'!$D202,IF(AP$4='Additional Initiatives'!$E$163,'Additional Initiatives'!$E202,IF(AP$4='Additional Initiatives'!$F$163,'Additional Initiatives'!$F202,0)))))+AP42</f>
        <v>0</v>
      </c>
      <c r="AQ43" s="697">
        <f>IF(AQ$4='Additional Initiatives'!$B$163,'Additional Initiatives'!$B202,IF(AQ$4='Additional Initiatives'!$C$163,'Additional Initiatives'!$C202,IF(AQ$4='Additional Initiatives'!$D$163,'Additional Initiatives'!$D202,IF(AQ$4='Additional Initiatives'!$E$163,'Additional Initiatives'!$E202,IF(AQ$4='Additional Initiatives'!$F$163,'Additional Initiatives'!$F202,0)))))+AQ42</f>
        <v>0</v>
      </c>
      <c r="AR43" s="697">
        <f>IF(AR$4='Additional Initiatives'!$B$163,'Additional Initiatives'!$B202,IF(AR$4='Additional Initiatives'!$C$163,'Additional Initiatives'!$C202,IF(AR$4='Additional Initiatives'!$D$163,'Additional Initiatives'!$D202,IF(AR$4='Additional Initiatives'!$E$163,'Additional Initiatives'!$E202,IF(AR$4='Additional Initiatives'!$F$163,'Additional Initiatives'!$F202,0)))))+AR42</f>
        <v>0</v>
      </c>
      <c r="AS43" s="697">
        <f t="shared" si="19"/>
        <v>0</v>
      </c>
      <c r="AT43" s="696">
        <f t="shared" si="39"/>
        <v>0</v>
      </c>
      <c r="AU43" s="696">
        <f t="shared" si="20"/>
        <v>0</v>
      </c>
      <c r="AV43" s="696">
        <f t="shared" si="21"/>
        <v>0</v>
      </c>
      <c r="AW43" s="696">
        <f t="shared" si="22"/>
        <v>0</v>
      </c>
      <c r="AX43" s="696">
        <f t="shared" si="23"/>
        <v>0</v>
      </c>
      <c r="AY43" s="696">
        <f t="shared" si="24"/>
        <v>0</v>
      </c>
      <c r="AZ43" s="696">
        <f t="shared" si="25"/>
        <v>0</v>
      </c>
      <c r="BA43" s="696">
        <f t="shared" si="26"/>
        <v>0</v>
      </c>
      <c r="BB43" s="696">
        <f t="shared" si="27"/>
        <v>0</v>
      </c>
      <c r="BC43" s="696">
        <f>IF(BC$4='Additional Initiatives'!$B$163,'Additional Initiatives'!$B202,IF(BC$4='Additional Initiatives'!$C$163,'Additional Initiatives'!$C202,IF(BC$4='Additional Initiatives'!$D$163,'Additional Initiatives'!$D202,IF(BC$4='Additional Initiatives'!$E$163,'Additional Initiatives'!$E202,IF(BC$4='Additional Initiatives'!$F$163,'Additional Initiatives'!$F202,0)))))+BC42</f>
        <v>0</v>
      </c>
      <c r="BD43" s="696">
        <f>IF(BD$4='Additional Initiatives'!$B$163,'Additional Initiatives'!$B202,IF(BD$4='Additional Initiatives'!$C$163,'Additional Initiatives'!$C202,IF(BD$4='Additional Initiatives'!$D$163,'Additional Initiatives'!$D202,IF(BD$4='Additional Initiatives'!$E$163,'Additional Initiatives'!$E202,IF(BD$4='Additional Initiatives'!$F$163,'Additional Initiatives'!$F202,0)))))+BD42</f>
        <v>0</v>
      </c>
      <c r="BE43" s="696">
        <f>IF(BE$4='Additional Initiatives'!$B$163,'Additional Initiatives'!$B202,IF(BE$4='Additional Initiatives'!$C$163,'Additional Initiatives'!$C202,IF(BE$4='Additional Initiatives'!$D$163,'Additional Initiatives'!$D202,IF(BE$4='Additional Initiatives'!$E$163,'Additional Initiatives'!$E202,IF(BE$4='Additional Initiatives'!$F$163,'Additional Initiatives'!$F202,0)))))+BE42</f>
        <v>0</v>
      </c>
      <c r="BF43" s="696">
        <f t="shared" si="28"/>
        <v>0</v>
      </c>
    </row>
    <row r="44" spans="1:58">
      <c r="A44" s="21" t="s">
        <v>58</v>
      </c>
      <c r="B44" s="672">
        <f>'Data Entry Fuel'!B43*'Data Entry Fuel'!B195
+'Data Entry Fuel'!C43*'Data Entry Fuel'!C195
+'Data Entry Fuel'!D43*'Data Entry Fuel'!D195
+'Data Entry Fuel'!E43*'Data Entry Fuel'!E195
+'Data Entry Fuel'!F43*'Data Entry Fuel'!F195
+'Data Entry Fuel'!G43*'Data Entry Fuel'!G195
+'Data Entry Fuel'!H43*'Data Entry Fuel'!H195
+'Data Entry Fuel'!I43*'Data Entry Fuel'!I195
+'Data Entry Fuel'!J43*'Data Entry Fuel'!J195</f>
        <v>0</v>
      </c>
      <c r="C44" s="672">
        <f>'Data Entry Fuel'!B43*'Data Entry Fuel'!B195
+'Data Entry Fuel'!C43*'Data Entry Fuel'!C195
+'Data Entry Fuel'!D43*'Data Entry Fuel'!D195
+'Data Entry Fuel'!E43*'Data Entry Fuel'!E195
+'Data Entry Fuel'!F43*'Data Entry Fuel'!F195
+'Data Entry Fuel'!G43*'Data Entry Fuel'!G195
+'Data Entry Fuel'!H43*'Data Entry Fuel'!H195
+'Data Entry Fuel'!I43*'Data Entry Fuel'!C195 *   (1 -  0.13 * 'Data Entry Fuel'!I$3)
+'Data Entry Fuel'!J43*'Data Entry Fuel'!J195</f>
        <v>0</v>
      </c>
      <c r="D44" s="677">
        <f>'Data Entry Electricity'!B43*'Data Entry Electricity'!L43+'Data Entry Electricity'!C43*'Data Entry Electricity'!M43+'Data Entry Electricity'!D43*'Data Entry Electricity'!N43+'Data Entry Electricity'!E43*'Data Entry Electricity'!O43</f>
        <v>0</v>
      </c>
      <c r="E44" s="776">
        <f>'Data Entry Electricity'!B43*'Data Entry Electricity'!L43+'Data Entry Electricity'!C43*'Data Entry Electricity'!L43+'Data Entry Electricity'!D43*'Data Entry Electricity'!N43+'Data Entry Electricity'!E43*'Data Entry Electricity'!O43</f>
        <v>0</v>
      </c>
      <c r="F44" s="777">
        <f>(SUM('Fuel Equipment Savings Calculat'!$B41:$S41))+(SUM('Efficient Site Offices DD &amp; Cal'!$B77:$F77))+'PFC Calculations'!$G42+(SUM('Behaviour Calculations'!$E48,'Behaviour Calculations'!$J48,'Behaviour Calculations'!$O48))+(SUM('Reduced Power Lighting Calculat'!$B42:$F42)+SUM('Hybrid Lighting Calculations'!$B46:$F46)+('PIR Lighting Calculations'!$H42)+SUM('Water Calculations'!$B42:$G42)+'Additional Initiatives'!$H55)</f>
        <v>0</v>
      </c>
      <c r="G44" s="778">
        <f t="shared" si="29"/>
        <v>0</v>
      </c>
      <c r="H44" s="778">
        <f t="shared" si="5"/>
        <v>0</v>
      </c>
      <c r="I44" s="778">
        <f t="shared" si="30"/>
        <v>0</v>
      </c>
      <c r="J44" s="798">
        <f t="shared" si="34"/>
        <v>0</v>
      </c>
      <c r="K44" s="779">
        <f t="shared" si="35"/>
        <v>0</v>
      </c>
      <c r="L44" s="780">
        <f t="shared" si="31"/>
        <v>0</v>
      </c>
      <c r="M44" s="780">
        <f t="shared" si="32"/>
        <v>0</v>
      </c>
      <c r="N44" s="781">
        <f t="shared" si="33"/>
        <v>0</v>
      </c>
      <c r="O44" s="781">
        <f t="shared" si="16"/>
        <v>0</v>
      </c>
      <c r="Q44" s="683">
        <f t="shared" si="36"/>
        <v>0</v>
      </c>
      <c r="R44" s="683">
        <f t="shared" si="37"/>
        <v>0</v>
      </c>
      <c r="T44" s="673">
        <f t="shared" si="10"/>
        <v>0</v>
      </c>
      <c r="U44" s="674">
        <f>'Fuel Equipment Savings Calculat'!$V41</f>
        <v>0</v>
      </c>
      <c r="V44" s="674">
        <f>'Efficient Site Offices DD &amp; Cal'!$H77</f>
        <v>0</v>
      </c>
      <c r="W44" s="674">
        <f>'PFC Calculations'!$G42</f>
        <v>0</v>
      </c>
      <c r="X44" s="674">
        <f>'Behaviour Calculations'!$E48</f>
        <v>0</v>
      </c>
      <c r="Y44" s="674">
        <f>'Behaviour Calculations'!$J48</f>
        <v>0</v>
      </c>
      <c r="Z44" s="674">
        <f>'Behaviour Calculations'!$O48</f>
        <v>0</v>
      </c>
      <c r="AA44" s="674">
        <f>'Reduced Power Lighting Calculat'!$H42</f>
        <v>0</v>
      </c>
      <c r="AB44" s="674">
        <f>'Hybrid Lighting Calculations'!H46</f>
        <v>0</v>
      </c>
      <c r="AC44" s="674">
        <f>'PIR Lighting Calculations'!$H42</f>
        <v>0</v>
      </c>
      <c r="AD44" s="674">
        <f>'Water Calculations'!$I42</f>
        <v>0</v>
      </c>
      <c r="AE44" s="674">
        <f>'Additional Initiatives'!$H55</f>
        <v>0</v>
      </c>
      <c r="AF44" s="679">
        <f t="shared" si="11"/>
        <v>0</v>
      </c>
      <c r="AG44" s="679">
        <f>(C44-B44) - (0.13 * 'Data Entry Fuel'!I$3) * (U44+AB44)</f>
        <v>0</v>
      </c>
      <c r="AH44" s="5"/>
      <c r="AI44" s="19">
        <v>1301</v>
      </c>
      <c r="AJ44" s="19">
        <f t="shared" si="12"/>
        <v>2012</v>
      </c>
      <c r="AK44" s="19">
        <f t="shared" si="13"/>
        <v>6</v>
      </c>
      <c r="AL44" s="19">
        <v>40</v>
      </c>
      <c r="AM44" s="697">
        <f t="shared" si="38"/>
        <v>0</v>
      </c>
      <c r="AN44" s="697">
        <f t="shared" si="17"/>
        <v>0</v>
      </c>
      <c r="AO44" s="697">
        <f t="shared" si="18"/>
        <v>0</v>
      </c>
      <c r="AP44" s="697">
        <f>IF(AP$4='Additional Initiatives'!$B$163,'Additional Initiatives'!$B203,IF(AP$4='Additional Initiatives'!$C$163,'Additional Initiatives'!$C203,IF(AP$4='Additional Initiatives'!$D$163,'Additional Initiatives'!$D203,IF(AP$4='Additional Initiatives'!$E$163,'Additional Initiatives'!$E203,IF(AP$4='Additional Initiatives'!$F$163,'Additional Initiatives'!$F203,0)))))+AP43</f>
        <v>0</v>
      </c>
      <c r="AQ44" s="697">
        <f>IF(AQ$4='Additional Initiatives'!$B$163,'Additional Initiatives'!$B203,IF(AQ$4='Additional Initiatives'!$C$163,'Additional Initiatives'!$C203,IF(AQ$4='Additional Initiatives'!$D$163,'Additional Initiatives'!$D203,IF(AQ$4='Additional Initiatives'!$E$163,'Additional Initiatives'!$E203,IF(AQ$4='Additional Initiatives'!$F$163,'Additional Initiatives'!$F203,0)))))+AQ43</f>
        <v>0</v>
      </c>
      <c r="AR44" s="697">
        <f>IF(AR$4='Additional Initiatives'!$B$163,'Additional Initiatives'!$B203,IF(AR$4='Additional Initiatives'!$C$163,'Additional Initiatives'!$C203,IF(AR$4='Additional Initiatives'!$D$163,'Additional Initiatives'!$D203,IF(AR$4='Additional Initiatives'!$E$163,'Additional Initiatives'!$E203,IF(AR$4='Additional Initiatives'!$F$163,'Additional Initiatives'!$F203,0)))))+AR43</f>
        <v>0</v>
      </c>
      <c r="AS44" s="697">
        <f t="shared" si="19"/>
        <v>0</v>
      </c>
      <c r="AT44" s="696">
        <f t="shared" si="39"/>
        <v>0</v>
      </c>
      <c r="AU44" s="696">
        <f t="shared" si="20"/>
        <v>0</v>
      </c>
      <c r="AV44" s="696">
        <f t="shared" si="21"/>
        <v>0</v>
      </c>
      <c r="AW44" s="696">
        <f t="shared" si="22"/>
        <v>0</v>
      </c>
      <c r="AX44" s="696">
        <f t="shared" si="23"/>
        <v>0</v>
      </c>
      <c r="AY44" s="696">
        <f t="shared" si="24"/>
        <v>0</v>
      </c>
      <c r="AZ44" s="696">
        <f t="shared" si="25"/>
        <v>0</v>
      </c>
      <c r="BA44" s="696">
        <f t="shared" si="26"/>
        <v>0</v>
      </c>
      <c r="BB44" s="696">
        <f t="shared" si="27"/>
        <v>0</v>
      </c>
      <c r="BC44" s="696">
        <f>IF(BC$4='Additional Initiatives'!$B$163,'Additional Initiatives'!$B203,IF(BC$4='Additional Initiatives'!$C$163,'Additional Initiatives'!$C203,IF(BC$4='Additional Initiatives'!$D$163,'Additional Initiatives'!$D203,IF(BC$4='Additional Initiatives'!$E$163,'Additional Initiatives'!$E203,IF(BC$4='Additional Initiatives'!$F$163,'Additional Initiatives'!$F203,0)))))+BC43</f>
        <v>0</v>
      </c>
      <c r="BD44" s="696">
        <f>IF(BD$4='Additional Initiatives'!$B$163,'Additional Initiatives'!$B203,IF(BD$4='Additional Initiatives'!$C$163,'Additional Initiatives'!$C203,IF(BD$4='Additional Initiatives'!$D$163,'Additional Initiatives'!$D203,IF(BD$4='Additional Initiatives'!$E$163,'Additional Initiatives'!$E203,IF(BD$4='Additional Initiatives'!$F$163,'Additional Initiatives'!$F203,0)))))+BD43</f>
        <v>0</v>
      </c>
      <c r="BE44" s="696">
        <f>IF(BE$4='Additional Initiatives'!$B$163,'Additional Initiatives'!$B203,IF(BE$4='Additional Initiatives'!$C$163,'Additional Initiatives'!$C203,IF(BE$4='Additional Initiatives'!$D$163,'Additional Initiatives'!$D203,IF(BE$4='Additional Initiatives'!$E$163,'Additional Initiatives'!$E203,IF(BE$4='Additional Initiatives'!$F$163,'Additional Initiatives'!$F203,0)))))+BE43</f>
        <v>0</v>
      </c>
      <c r="BF44" s="696">
        <f t="shared" si="28"/>
        <v>0</v>
      </c>
    </row>
    <row r="45" spans="1:58">
      <c r="A45" s="21" t="s">
        <v>59</v>
      </c>
      <c r="B45" s="672">
        <f>'Data Entry Fuel'!B44*'Data Entry Fuel'!B196
+'Data Entry Fuel'!C44*'Data Entry Fuel'!C196
+'Data Entry Fuel'!D44*'Data Entry Fuel'!D196
+'Data Entry Fuel'!E44*'Data Entry Fuel'!E196
+'Data Entry Fuel'!F44*'Data Entry Fuel'!F196
+'Data Entry Fuel'!G44*'Data Entry Fuel'!G196
+'Data Entry Fuel'!H44*'Data Entry Fuel'!H196
+'Data Entry Fuel'!I44*'Data Entry Fuel'!I196
+'Data Entry Fuel'!J44*'Data Entry Fuel'!J196</f>
        <v>0</v>
      </c>
      <c r="C45" s="672">
        <f>'Data Entry Fuel'!B44*'Data Entry Fuel'!B196
+'Data Entry Fuel'!C44*'Data Entry Fuel'!C196
+'Data Entry Fuel'!D44*'Data Entry Fuel'!D196
+'Data Entry Fuel'!E44*'Data Entry Fuel'!E196
+'Data Entry Fuel'!F44*'Data Entry Fuel'!F196
+'Data Entry Fuel'!G44*'Data Entry Fuel'!G196
+'Data Entry Fuel'!H44*'Data Entry Fuel'!H196
+'Data Entry Fuel'!I44*'Data Entry Fuel'!C196 *   (1 -  0.13 * 'Data Entry Fuel'!I$3)
+'Data Entry Fuel'!J44*'Data Entry Fuel'!J196</f>
        <v>0</v>
      </c>
      <c r="D45" s="677">
        <f>'Data Entry Electricity'!B44*'Data Entry Electricity'!L44+'Data Entry Electricity'!C44*'Data Entry Electricity'!M44+'Data Entry Electricity'!D44*'Data Entry Electricity'!N44+'Data Entry Electricity'!E44*'Data Entry Electricity'!O44</f>
        <v>0</v>
      </c>
      <c r="E45" s="776">
        <f>'Data Entry Electricity'!B44*'Data Entry Electricity'!L44+'Data Entry Electricity'!C44*'Data Entry Electricity'!L44+'Data Entry Electricity'!D44*'Data Entry Electricity'!N44+'Data Entry Electricity'!E44*'Data Entry Electricity'!O44</f>
        <v>0</v>
      </c>
      <c r="F45" s="777">
        <f>(SUM('Fuel Equipment Savings Calculat'!$B42:$S42))+(SUM('Efficient Site Offices DD &amp; Cal'!$B78:$F78))+'PFC Calculations'!$G43+(SUM('Behaviour Calculations'!$E49,'Behaviour Calculations'!$J49,'Behaviour Calculations'!$O49))+(SUM('Reduced Power Lighting Calculat'!$B43:$F43)+SUM('Hybrid Lighting Calculations'!$B47:$F47)+('PIR Lighting Calculations'!$H43)+SUM('Water Calculations'!$B43:$G43)+'Additional Initiatives'!$H56)</f>
        <v>0</v>
      </c>
      <c r="G45" s="778">
        <f t="shared" si="29"/>
        <v>0</v>
      </c>
      <c r="H45" s="778">
        <f t="shared" si="5"/>
        <v>0</v>
      </c>
      <c r="I45" s="778">
        <f t="shared" si="30"/>
        <v>0</v>
      </c>
      <c r="J45" s="798">
        <f t="shared" si="34"/>
        <v>0</v>
      </c>
      <c r="K45" s="779">
        <f t="shared" si="35"/>
        <v>0</v>
      </c>
      <c r="L45" s="780">
        <f t="shared" si="31"/>
        <v>0</v>
      </c>
      <c r="M45" s="780">
        <f t="shared" si="32"/>
        <v>0</v>
      </c>
      <c r="N45" s="781">
        <f t="shared" si="33"/>
        <v>0</v>
      </c>
      <c r="O45" s="781">
        <f t="shared" si="16"/>
        <v>0</v>
      </c>
      <c r="Q45" s="683">
        <f t="shared" si="36"/>
        <v>0</v>
      </c>
      <c r="R45" s="683">
        <f t="shared" si="37"/>
        <v>0</v>
      </c>
      <c r="T45" s="673">
        <f t="shared" si="10"/>
        <v>0</v>
      </c>
      <c r="U45" s="674">
        <f>'Fuel Equipment Savings Calculat'!$V42</f>
        <v>0</v>
      </c>
      <c r="V45" s="674">
        <f>'Efficient Site Offices DD &amp; Cal'!$H78</f>
        <v>0</v>
      </c>
      <c r="W45" s="674">
        <f>'PFC Calculations'!$G43</f>
        <v>0</v>
      </c>
      <c r="X45" s="674">
        <f>'Behaviour Calculations'!$E49</f>
        <v>0</v>
      </c>
      <c r="Y45" s="674">
        <f>'Behaviour Calculations'!$J49</f>
        <v>0</v>
      </c>
      <c r="Z45" s="674">
        <f>'Behaviour Calculations'!$O49</f>
        <v>0</v>
      </c>
      <c r="AA45" s="674">
        <f>'Reduced Power Lighting Calculat'!$H43</f>
        <v>0</v>
      </c>
      <c r="AB45" s="674">
        <f>'Hybrid Lighting Calculations'!H47</f>
        <v>0</v>
      </c>
      <c r="AC45" s="674">
        <f>'PIR Lighting Calculations'!$H43</f>
        <v>0</v>
      </c>
      <c r="AD45" s="674">
        <f>'Water Calculations'!$I43</f>
        <v>0</v>
      </c>
      <c r="AE45" s="674">
        <f>'Additional Initiatives'!$H56</f>
        <v>0</v>
      </c>
      <c r="AF45" s="679">
        <f t="shared" si="11"/>
        <v>0</v>
      </c>
      <c r="AG45" s="679">
        <f>(C45-B45) - (0.13 * 'Data Entry Fuel'!I$3) * (U45+AB45)</f>
        <v>0</v>
      </c>
      <c r="AH45" s="5"/>
      <c r="AI45" s="19">
        <v>1302</v>
      </c>
      <c r="AJ45" s="19">
        <f t="shared" si="12"/>
        <v>2012</v>
      </c>
      <c r="AK45" s="19">
        <f t="shared" si="13"/>
        <v>6</v>
      </c>
      <c r="AL45" s="19">
        <v>41</v>
      </c>
      <c r="AM45" s="697">
        <f t="shared" si="38"/>
        <v>0</v>
      </c>
      <c r="AN45" s="697">
        <f t="shared" si="17"/>
        <v>0</v>
      </c>
      <c r="AO45" s="697">
        <f t="shared" si="18"/>
        <v>0</v>
      </c>
      <c r="AP45" s="697">
        <f>IF(AP$4='Additional Initiatives'!$B$163,'Additional Initiatives'!$B204,IF(AP$4='Additional Initiatives'!$C$163,'Additional Initiatives'!$C204,IF(AP$4='Additional Initiatives'!$D$163,'Additional Initiatives'!$D204,IF(AP$4='Additional Initiatives'!$E$163,'Additional Initiatives'!$E204,IF(AP$4='Additional Initiatives'!$F$163,'Additional Initiatives'!$F204,0)))))+AP44</f>
        <v>0</v>
      </c>
      <c r="AQ45" s="697">
        <f>IF(AQ$4='Additional Initiatives'!$B$163,'Additional Initiatives'!$B204,IF(AQ$4='Additional Initiatives'!$C$163,'Additional Initiatives'!$C204,IF(AQ$4='Additional Initiatives'!$D$163,'Additional Initiatives'!$D204,IF(AQ$4='Additional Initiatives'!$E$163,'Additional Initiatives'!$E204,IF(AQ$4='Additional Initiatives'!$F$163,'Additional Initiatives'!$F204,0)))))+AQ44</f>
        <v>0</v>
      </c>
      <c r="AR45" s="697">
        <f>IF(AR$4='Additional Initiatives'!$B$163,'Additional Initiatives'!$B204,IF(AR$4='Additional Initiatives'!$C$163,'Additional Initiatives'!$C204,IF(AR$4='Additional Initiatives'!$D$163,'Additional Initiatives'!$D204,IF(AR$4='Additional Initiatives'!$E$163,'Additional Initiatives'!$E204,IF(AR$4='Additional Initiatives'!$F$163,'Additional Initiatives'!$F204,0)))))+AR44</f>
        <v>0</v>
      </c>
      <c r="AS45" s="697">
        <f t="shared" si="19"/>
        <v>0</v>
      </c>
      <c r="AT45" s="696">
        <f t="shared" si="39"/>
        <v>0</v>
      </c>
      <c r="AU45" s="696">
        <f t="shared" si="20"/>
        <v>0</v>
      </c>
      <c r="AV45" s="696">
        <f t="shared" si="21"/>
        <v>0</v>
      </c>
      <c r="AW45" s="696">
        <f t="shared" si="22"/>
        <v>0</v>
      </c>
      <c r="AX45" s="696">
        <f t="shared" si="23"/>
        <v>0</v>
      </c>
      <c r="AY45" s="696">
        <f t="shared" si="24"/>
        <v>0</v>
      </c>
      <c r="AZ45" s="696">
        <f t="shared" si="25"/>
        <v>0</v>
      </c>
      <c r="BA45" s="696">
        <f t="shared" si="26"/>
        <v>0</v>
      </c>
      <c r="BB45" s="696">
        <f t="shared" si="27"/>
        <v>0</v>
      </c>
      <c r="BC45" s="696">
        <f>IF(BC$4='Additional Initiatives'!$B$163,'Additional Initiatives'!$B204,IF(BC$4='Additional Initiatives'!$C$163,'Additional Initiatives'!$C204,IF(BC$4='Additional Initiatives'!$D$163,'Additional Initiatives'!$D204,IF(BC$4='Additional Initiatives'!$E$163,'Additional Initiatives'!$E204,IF(BC$4='Additional Initiatives'!$F$163,'Additional Initiatives'!$F204,0)))))+BC44</f>
        <v>0</v>
      </c>
      <c r="BD45" s="696">
        <f>IF(BD$4='Additional Initiatives'!$B$163,'Additional Initiatives'!$B204,IF(BD$4='Additional Initiatives'!$C$163,'Additional Initiatives'!$C204,IF(BD$4='Additional Initiatives'!$D$163,'Additional Initiatives'!$D204,IF(BD$4='Additional Initiatives'!$E$163,'Additional Initiatives'!$E204,IF(BD$4='Additional Initiatives'!$F$163,'Additional Initiatives'!$F204,0)))))+BD44</f>
        <v>0</v>
      </c>
      <c r="BE45" s="696">
        <f>IF(BE$4='Additional Initiatives'!$B$163,'Additional Initiatives'!$B204,IF(BE$4='Additional Initiatives'!$C$163,'Additional Initiatives'!$C204,IF(BE$4='Additional Initiatives'!$D$163,'Additional Initiatives'!$D204,IF(BE$4='Additional Initiatives'!$E$163,'Additional Initiatives'!$E204,IF(BE$4='Additional Initiatives'!$F$163,'Additional Initiatives'!$F204,0)))))+BE44</f>
        <v>0</v>
      </c>
      <c r="BF45" s="696">
        <f t="shared" si="28"/>
        <v>0</v>
      </c>
    </row>
    <row r="46" spans="1:58">
      <c r="A46" s="21" t="s">
        <v>60</v>
      </c>
      <c r="B46" s="672">
        <f>'Data Entry Fuel'!B45*'Data Entry Fuel'!B197
+'Data Entry Fuel'!C45*'Data Entry Fuel'!C197
+'Data Entry Fuel'!D45*'Data Entry Fuel'!D197
+'Data Entry Fuel'!E45*'Data Entry Fuel'!E197
+'Data Entry Fuel'!F45*'Data Entry Fuel'!F197
+'Data Entry Fuel'!G45*'Data Entry Fuel'!G197
+'Data Entry Fuel'!H45*'Data Entry Fuel'!H197
+'Data Entry Fuel'!I45*'Data Entry Fuel'!I197
+'Data Entry Fuel'!J45*'Data Entry Fuel'!J197</f>
        <v>0</v>
      </c>
      <c r="C46" s="672">
        <f>'Data Entry Fuel'!B45*'Data Entry Fuel'!B197
+'Data Entry Fuel'!C45*'Data Entry Fuel'!C197
+'Data Entry Fuel'!D45*'Data Entry Fuel'!D197
+'Data Entry Fuel'!E45*'Data Entry Fuel'!E197
+'Data Entry Fuel'!F45*'Data Entry Fuel'!F197
+'Data Entry Fuel'!G45*'Data Entry Fuel'!G197
+'Data Entry Fuel'!H45*'Data Entry Fuel'!H197
+'Data Entry Fuel'!I45*'Data Entry Fuel'!C197 *   (1 -  0.13 * 'Data Entry Fuel'!I$3)
+'Data Entry Fuel'!J45*'Data Entry Fuel'!J197</f>
        <v>0</v>
      </c>
      <c r="D46" s="677">
        <f>'Data Entry Electricity'!B45*'Data Entry Electricity'!L45+'Data Entry Electricity'!C45*'Data Entry Electricity'!M45+'Data Entry Electricity'!D45*'Data Entry Electricity'!N45+'Data Entry Electricity'!E45*'Data Entry Electricity'!O45</f>
        <v>0</v>
      </c>
      <c r="E46" s="776">
        <f>'Data Entry Electricity'!B45*'Data Entry Electricity'!L45+'Data Entry Electricity'!C45*'Data Entry Electricity'!L45+'Data Entry Electricity'!D45*'Data Entry Electricity'!N45+'Data Entry Electricity'!E45*'Data Entry Electricity'!O45</f>
        <v>0</v>
      </c>
      <c r="F46" s="777">
        <f>(SUM('Fuel Equipment Savings Calculat'!$B43:$S43))+(SUM('Efficient Site Offices DD &amp; Cal'!$B79:$F79))+'PFC Calculations'!$G44+(SUM('Behaviour Calculations'!$E50,'Behaviour Calculations'!$J50,'Behaviour Calculations'!$O50))+(SUM('Reduced Power Lighting Calculat'!$B44:$F44)+SUM('Hybrid Lighting Calculations'!$B48:$F48)+('PIR Lighting Calculations'!$H44)+SUM('Water Calculations'!$B44:$G44)+'Additional Initiatives'!$H57)</f>
        <v>0</v>
      </c>
      <c r="G46" s="778">
        <f t="shared" si="29"/>
        <v>0</v>
      </c>
      <c r="H46" s="778">
        <f t="shared" si="5"/>
        <v>0</v>
      </c>
      <c r="I46" s="778">
        <f t="shared" si="30"/>
        <v>0</v>
      </c>
      <c r="J46" s="798">
        <f t="shared" si="34"/>
        <v>0</v>
      </c>
      <c r="K46" s="779">
        <f t="shared" si="35"/>
        <v>0</v>
      </c>
      <c r="L46" s="780">
        <f t="shared" si="31"/>
        <v>0</v>
      </c>
      <c r="M46" s="780">
        <f t="shared" si="32"/>
        <v>0</v>
      </c>
      <c r="N46" s="781">
        <f t="shared" si="33"/>
        <v>0</v>
      </c>
      <c r="O46" s="781">
        <f t="shared" si="16"/>
        <v>0</v>
      </c>
      <c r="Q46" s="683">
        <f t="shared" si="36"/>
        <v>0</v>
      </c>
      <c r="R46" s="683">
        <f t="shared" si="37"/>
        <v>0</v>
      </c>
      <c r="T46" s="673">
        <f t="shared" si="10"/>
        <v>0</v>
      </c>
      <c r="U46" s="674">
        <f>'Fuel Equipment Savings Calculat'!$V43</f>
        <v>0</v>
      </c>
      <c r="V46" s="674">
        <f>'Efficient Site Offices DD &amp; Cal'!$H79</f>
        <v>0</v>
      </c>
      <c r="W46" s="674">
        <f>'PFC Calculations'!$G44</f>
        <v>0</v>
      </c>
      <c r="X46" s="674">
        <f>'Behaviour Calculations'!$E50</f>
        <v>0</v>
      </c>
      <c r="Y46" s="674">
        <f>'Behaviour Calculations'!$J50</f>
        <v>0</v>
      </c>
      <c r="Z46" s="674">
        <f>'Behaviour Calculations'!$O50</f>
        <v>0</v>
      </c>
      <c r="AA46" s="674">
        <f>'Reduced Power Lighting Calculat'!$H44</f>
        <v>0</v>
      </c>
      <c r="AB46" s="674">
        <f>'Hybrid Lighting Calculations'!H48</f>
        <v>0</v>
      </c>
      <c r="AC46" s="674">
        <f>'PIR Lighting Calculations'!$H44</f>
        <v>0</v>
      </c>
      <c r="AD46" s="674">
        <f>'Water Calculations'!$I44</f>
        <v>0</v>
      </c>
      <c r="AE46" s="674">
        <f>'Additional Initiatives'!$H57</f>
        <v>0</v>
      </c>
      <c r="AF46" s="679">
        <f t="shared" si="11"/>
        <v>0</v>
      </c>
      <c r="AG46" s="679">
        <f>(C46-B46) - (0.13 * 'Data Entry Fuel'!I$3) * (U46+AB46)</f>
        <v>0</v>
      </c>
      <c r="AH46" s="5"/>
      <c r="AI46" s="19">
        <v>1303</v>
      </c>
      <c r="AJ46" s="19">
        <f t="shared" si="12"/>
        <v>2013</v>
      </c>
      <c r="AK46" s="19">
        <f t="shared" si="13"/>
        <v>7</v>
      </c>
      <c r="AL46" s="19">
        <v>42</v>
      </c>
      <c r="AM46" s="697">
        <f t="shared" si="38"/>
        <v>0</v>
      </c>
      <c r="AN46" s="697">
        <f t="shared" si="17"/>
        <v>0</v>
      </c>
      <c r="AO46" s="697">
        <f t="shared" si="18"/>
        <v>0</v>
      </c>
      <c r="AP46" s="697">
        <f>IF(AP$4='Additional Initiatives'!$B$163,'Additional Initiatives'!$B205,IF(AP$4='Additional Initiatives'!$C$163,'Additional Initiatives'!$C205,IF(AP$4='Additional Initiatives'!$D$163,'Additional Initiatives'!$D205,IF(AP$4='Additional Initiatives'!$E$163,'Additional Initiatives'!$E205,IF(AP$4='Additional Initiatives'!$F$163,'Additional Initiatives'!$F205,0)))))+AP45</f>
        <v>0</v>
      </c>
      <c r="AQ46" s="697">
        <f>IF(AQ$4='Additional Initiatives'!$B$163,'Additional Initiatives'!$B205,IF(AQ$4='Additional Initiatives'!$C$163,'Additional Initiatives'!$C205,IF(AQ$4='Additional Initiatives'!$D$163,'Additional Initiatives'!$D205,IF(AQ$4='Additional Initiatives'!$E$163,'Additional Initiatives'!$E205,IF(AQ$4='Additional Initiatives'!$F$163,'Additional Initiatives'!$F205,0)))))+AQ45</f>
        <v>0</v>
      </c>
      <c r="AR46" s="697">
        <f>IF(AR$4='Additional Initiatives'!$B$163,'Additional Initiatives'!$B205,IF(AR$4='Additional Initiatives'!$C$163,'Additional Initiatives'!$C205,IF(AR$4='Additional Initiatives'!$D$163,'Additional Initiatives'!$D205,IF(AR$4='Additional Initiatives'!$E$163,'Additional Initiatives'!$E205,IF(AR$4='Additional Initiatives'!$F$163,'Additional Initiatives'!$F205,0)))))+AR45</f>
        <v>0</v>
      </c>
      <c r="AS46" s="697">
        <f t="shared" si="19"/>
        <v>0</v>
      </c>
      <c r="AT46" s="696">
        <f t="shared" si="39"/>
        <v>0</v>
      </c>
      <c r="AU46" s="696">
        <f t="shared" si="20"/>
        <v>0</v>
      </c>
      <c r="AV46" s="696">
        <f t="shared" si="21"/>
        <v>0</v>
      </c>
      <c r="AW46" s="696">
        <f t="shared" si="22"/>
        <v>0</v>
      </c>
      <c r="AX46" s="696">
        <f t="shared" si="23"/>
        <v>0</v>
      </c>
      <c r="AY46" s="696">
        <f t="shared" si="24"/>
        <v>0</v>
      </c>
      <c r="AZ46" s="696">
        <f t="shared" si="25"/>
        <v>0</v>
      </c>
      <c r="BA46" s="696">
        <f t="shared" si="26"/>
        <v>0</v>
      </c>
      <c r="BB46" s="696">
        <f t="shared" si="27"/>
        <v>0</v>
      </c>
      <c r="BC46" s="696">
        <f>IF(BC$4='Additional Initiatives'!$B$163,'Additional Initiatives'!$B205,IF(BC$4='Additional Initiatives'!$C$163,'Additional Initiatives'!$C205,IF(BC$4='Additional Initiatives'!$D$163,'Additional Initiatives'!$D205,IF(BC$4='Additional Initiatives'!$E$163,'Additional Initiatives'!$E205,IF(BC$4='Additional Initiatives'!$F$163,'Additional Initiatives'!$F205,0)))))+BC45</f>
        <v>0</v>
      </c>
      <c r="BD46" s="696">
        <f>IF(BD$4='Additional Initiatives'!$B$163,'Additional Initiatives'!$B205,IF(BD$4='Additional Initiatives'!$C$163,'Additional Initiatives'!$C205,IF(BD$4='Additional Initiatives'!$D$163,'Additional Initiatives'!$D205,IF(BD$4='Additional Initiatives'!$E$163,'Additional Initiatives'!$E205,IF(BD$4='Additional Initiatives'!$F$163,'Additional Initiatives'!$F205,0)))))+BD45</f>
        <v>0</v>
      </c>
      <c r="BE46" s="696">
        <f>IF(BE$4='Additional Initiatives'!$B$163,'Additional Initiatives'!$B205,IF(BE$4='Additional Initiatives'!$C$163,'Additional Initiatives'!$C205,IF(BE$4='Additional Initiatives'!$D$163,'Additional Initiatives'!$D205,IF(BE$4='Additional Initiatives'!$E$163,'Additional Initiatives'!$E205,IF(BE$4='Additional Initiatives'!$F$163,'Additional Initiatives'!$F205,0)))))+BE45</f>
        <v>0</v>
      </c>
      <c r="BF46" s="696">
        <f t="shared" si="28"/>
        <v>0</v>
      </c>
    </row>
    <row r="47" spans="1:58">
      <c r="A47" s="21" t="s">
        <v>61</v>
      </c>
      <c r="B47" s="672">
        <f>'Data Entry Fuel'!B46*'Data Entry Fuel'!B198
+'Data Entry Fuel'!C46*'Data Entry Fuel'!C198
+'Data Entry Fuel'!D46*'Data Entry Fuel'!D198
+'Data Entry Fuel'!E46*'Data Entry Fuel'!E198
+'Data Entry Fuel'!F46*'Data Entry Fuel'!F198
+'Data Entry Fuel'!G46*'Data Entry Fuel'!G198
+'Data Entry Fuel'!H46*'Data Entry Fuel'!H198
+'Data Entry Fuel'!I46*'Data Entry Fuel'!I198
+'Data Entry Fuel'!J46*'Data Entry Fuel'!J198</f>
        <v>0</v>
      </c>
      <c r="C47" s="672">
        <f>'Data Entry Fuel'!B46*'Data Entry Fuel'!B198
+'Data Entry Fuel'!C46*'Data Entry Fuel'!C198
+'Data Entry Fuel'!D46*'Data Entry Fuel'!D198
+'Data Entry Fuel'!E46*'Data Entry Fuel'!E198
+'Data Entry Fuel'!F46*'Data Entry Fuel'!F198
+'Data Entry Fuel'!G46*'Data Entry Fuel'!G198
+'Data Entry Fuel'!H46*'Data Entry Fuel'!H198
+'Data Entry Fuel'!I46*'Data Entry Fuel'!C198 *   (1 -  0.13 * 'Data Entry Fuel'!I$3)
+'Data Entry Fuel'!J46*'Data Entry Fuel'!J198</f>
        <v>0</v>
      </c>
      <c r="D47" s="677">
        <f>'Data Entry Electricity'!B46*'Data Entry Electricity'!L46+'Data Entry Electricity'!C46*'Data Entry Electricity'!M46+'Data Entry Electricity'!D46*'Data Entry Electricity'!N46+'Data Entry Electricity'!E46*'Data Entry Electricity'!O46</f>
        <v>0</v>
      </c>
      <c r="E47" s="776">
        <f>'Data Entry Electricity'!B46*'Data Entry Electricity'!L46+'Data Entry Electricity'!C46*'Data Entry Electricity'!L46+'Data Entry Electricity'!D46*'Data Entry Electricity'!N46+'Data Entry Electricity'!E46*'Data Entry Electricity'!O46</f>
        <v>0</v>
      </c>
      <c r="F47" s="777">
        <f>(SUM('Fuel Equipment Savings Calculat'!$B44:$S44))+(SUM('Efficient Site Offices DD &amp; Cal'!$B80:$F80))+'PFC Calculations'!$G45+(SUM('Behaviour Calculations'!$E51,'Behaviour Calculations'!$J51,'Behaviour Calculations'!$O51))+(SUM('Reduced Power Lighting Calculat'!$B45:$F45)+SUM('Hybrid Lighting Calculations'!$B49:$F49)+('PIR Lighting Calculations'!$H45)+SUM('Water Calculations'!$B45:$G45)+'Additional Initiatives'!$H58)</f>
        <v>0</v>
      </c>
      <c r="G47" s="778">
        <f t="shared" si="29"/>
        <v>0</v>
      </c>
      <c r="H47" s="778">
        <f t="shared" si="5"/>
        <v>0</v>
      </c>
      <c r="I47" s="778">
        <f t="shared" si="30"/>
        <v>0</v>
      </c>
      <c r="J47" s="798">
        <f t="shared" si="34"/>
        <v>0</v>
      </c>
      <c r="K47" s="779">
        <f t="shared" si="35"/>
        <v>0</v>
      </c>
      <c r="L47" s="780">
        <f t="shared" si="31"/>
        <v>0</v>
      </c>
      <c r="M47" s="780">
        <f t="shared" si="32"/>
        <v>0</v>
      </c>
      <c r="N47" s="781">
        <f t="shared" si="33"/>
        <v>0</v>
      </c>
      <c r="O47" s="781">
        <f t="shared" si="16"/>
        <v>0</v>
      </c>
      <c r="Q47" s="683">
        <f t="shared" si="36"/>
        <v>0</v>
      </c>
      <c r="R47" s="683">
        <f t="shared" si="37"/>
        <v>0</v>
      </c>
      <c r="T47" s="673">
        <f t="shared" si="10"/>
        <v>0</v>
      </c>
      <c r="U47" s="674">
        <f>'Fuel Equipment Savings Calculat'!$V44</f>
        <v>0</v>
      </c>
      <c r="V47" s="674">
        <f>'Efficient Site Offices DD &amp; Cal'!$H80</f>
        <v>0</v>
      </c>
      <c r="W47" s="674">
        <f>'PFC Calculations'!$G45</f>
        <v>0</v>
      </c>
      <c r="X47" s="674">
        <f>'Behaviour Calculations'!$E51</f>
        <v>0</v>
      </c>
      <c r="Y47" s="674">
        <f>'Behaviour Calculations'!$J51</f>
        <v>0</v>
      </c>
      <c r="Z47" s="674">
        <f>'Behaviour Calculations'!$O51</f>
        <v>0</v>
      </c>
      <c r="AA47" s="674">
        <f>'Reduced Power Lighting Calculat'!$H45</f>
        <v>0</v>
      </c>
      <c r="AB47" s="674">
        <f>'Hybrid Lighting Calculations'!H49</f>
        <v>0</v>
      </c>
      <c r="AC47" s="674">
        <f>'PIR Lighting Calculations'!$H45</f>
        <v>0</v>
      </c>
      <c r="AD47" s="674">
        <f>'Water Calculations'!$I45</f>
        <v>0</v>
      </c>
      <c r="AE47" s="674">
        <f>'Additional Initiatives'!$H58</f>
        <v>0</v>
      </c>
      <c r="AF47" s="679">
        <f t="shared" si="11"/>
        <v>0</v>
      </c>
      <c r="AG47" s="679">
        <f>(C47-B47) - (0.13 * 'Data Entry Fuel'!I$3) * (U47+AB47)</f>
        <v>0</v>
      </c>
      <c r="AH47" s="5"/>
      <c r="AI47" s="19">
        <v>1304</v>
      </c>
      <c r="AJ47" s="19">
        <f t="shared" si="12"/>
        <v>2013</v>
      </c>
      <c r="AK47" s="19">
        <f t="shared" si="13"/>
        <v>7</v>
      </c>
      <c r="AL47" s="19">
        <v>43</v>
      </c>
      <c r="AM47" s="697">
        <f t="shared" si="38"/>
        <v>0</v>
      </c>
      <c r="AN47" s="697">
        <f t="shared" si="17"/>
        <v>0</v>
      </c>
      <c r="AO47" s="697">
        <f t="shared" si="18"/>
        <v>0</v>
      </c>
      <c r="AP47" s="697">
        <f>IF(AP$4='Additional Initiatives'!$B$163,'Additional Initiatives'!$B206,IF(AP$4='Additional Initiatives'!$C$163,'Additional Initiatives'!$C206,IF(AP$4='Additional Initiatives'!$D$163,'Additional Initiatives'!$D206,IF(AP$4='Additional Initiatives'!$E$163,'Additional Initiatives'!$E206,IF(AP$4='Additional Initiatives'!$F$163,'Additional Initiatives'!$F206,0)))))+AP46</f>
        <v>0</v>
      </c>
      <c r="AQ47" s="697">
        <f>IF(AQ$4='Additional Initiatives'!$B$163,'Additional Initiatives'!$B206,IF(AQ$4='Additional Initiatives'!$C$163,'Additional Initiatives'!$C206,IF(AQ$4='Additional Initiatives'!$D$163,'Additional Initiatives'!$D206,IF(AQ$4='Additional Initiatives'!$E$163,'Additional Initiatives'!$E206,IF(AQ$4='Additional Initiatives'!$F$163,'Additional Initiatives'!$F206,0)))))+AQ46</f>
        <v>0</v>
      </c>
      <c r="AR47" s="697">
        <f>IF(AR$4='Additional Initiatives'!$B$163,'Additional Initiatives'!$B206,IF(AR$4='Additional Initiatives'!$C$163,'Additional Initiatives'!$C206,IF(AR$4='Additional Initiatives'!$D$163,'Additional Initiatives'!$D206,IF(AR$4='Additional Initiatives'!$E$163,'Additional Initiatives'!$E206,IF(AR$4='Additional Initiatives'!$F$163,'Additional Initiatives'!$F206,0)))))+AR46</f>
        <v>0</v>
      </c>
      <c r="AS47" s="697">
        <f t="shared" si="19"/>
        <v>0</v>
      </c>
      <c r="AT47" s="696">
        <f t="shared" si="39"/>
        <v>0</v>
      </c>
      <c r="AU47" s="696">
        <f t="shared" si="20"/>
        <v>0</v>
      </c>
      <c r="AV47" s="696">
        <f t="shared" si="21"/>
        <v>0</v>
      </c>
      <c r="AW47" s="696">
        <f t="shared" si="22"/>
        <v>0</v>
      </c>
      <c r="AX47" s="696">
        <f t="shared" si="23"/>
        <v>0</v>
      </c>
      <c r="AY47" s="696">
        <f t="shared" si="24"/>
        <v>0</v>
      </c>
      <c r="AZ47" s="696">
        <f t="shared" si="25"/>
        <v>0</v>
      </c>
      <c r="BA47" s="696">
        <f t="shared" si="26"/>
        <v>0</v>
      </c>
      <c r="BB47" s="696">
        <f t="shared" si="27"/>
        <v>0</v>
      </c>
      <c r="BC47" s="696">
        <f>IF(BC$4='Additional Initiatives'!$B$163,'Additional Initiatives'!$B206,IF(BC$4='Additional Initiatives'!$C$163,'Additional Initiatives'!$C206,IF(BC$4='Additional Initiatives'!$D$163,'Additional Initiatives'!$D206,IF(BC$4='Additional Initiatives'!$E$163,'Additional Initiatives'!$E206,IF(BC$4='Additional Initiatives'!$F$163,'Additional Initiatives'!$F206,0)))))+BC46</f>
        <v>0</v>
      </c>
      <c r="BD47" s="696">
        <f>IF(BD$4='Additional Initiatives'!$B$163,'Additional Initiatives'!$B206,IF(BD$4='Additional Initiatives'!$C$163,'Additional Initiatives'!$C206,IF(BD$4='Additional Initiatives'!$D$163,'Additional Initiatives'!$D206,IF(BD$4='Additional Initiatives'!$E$163,'Additional Initiatives'!$E206,IF(BD$4='Additional Initiatives'!$F$163,'Additional Initiatives'!$F206,0)))))+BD46</f>
        <v>0</v>
      </c>
      <c r="BE47" s="696">
        <f>IF(BE$4='Additional Initiatives'!$B$163,'Additional Initiatives'!$B206,IF(BE$4='Additional Initiatives'!$C$163,'Additional Initiatives'!$C206,IF(BE$4='Additional Initiatives'!$D$163,'Additional Initiatives'!$D206,IF(BE$4='Additional Initiatives'!$E$163,'Additional Initiatives'!$E206,IF(BE$4='Additional Initiatives'!$F$163,'Additional Initiatives'!$F206,0)))))+BE46</f>
        <v>0</v>
      </c>
      <c r="BF47" s="696">
        <f t="shared" si="28"/>
        <v>0</v>
      </c>
    </row>
    <row r="48" spans="1:58">
      <c r="A48" s="21" t="s">
        <v>62</v>
      </c>
      <c r="B48" s="672">
        <f>'Data Entry Fuel'!B47*'Data Entry Fuel'!B199
+'Data Entry Fuel'!C47*'Data Entry Fuel'!C199
+'Data Entry Fuel'!D47*'Data Entry Fuel'!D199
+'Data Entry Fuel'!E47*'Data Entry Fuel'!E199
+'Data Entry Fuel'!F47*'Data Entry Fuel'!F199
+'Data Entry Fuel'!G47*'Data Entry Fuel'!G199
+'Data Entry Fuel'!H47*'Data Entry Fuel'!H199
+'Data Entry Fuel'!I47*'Data Entry Fuel'!I199
+'Data Entry Fuel'!J47*'Data Entry Fuel'!J199</f>
        <v>0</v>
      </c>
      <c r="C48" s="672">
        <f>'Data Entry Fuel'!B47*'Data Entry Fuel'!B199
+'Data Entry Fuel'!C47*'Data Entry Fuel'!C199
+'Data Entry Fuel'!D47*'Data Entry Fuel'!D199
+'Data Entry Fuel'!E47*'Data Entry Fuel'!E199
+'Data Entry Fuel'!F47*'Data Entry Fuel'!F199
+'Data Entry Fuel'!G47*'Data Entry Fuel'!G199
+'Data Entry Fuel'!H47*'Data Entry Fuel'!H199
+'Data Entry Fuel'!I47*'Data Entry Fuel'!C199 *   (1 -  0.13 * 'Data Entry Fuel'!I$3)
+'Data Entry Fuel'!J47*'Data Entry Fuel'!J199</f>
        <v>0</v>
      </c>
      <c r="D48" s="677">
        <f>'Data Entry Electricity'!B47*'Data Entry Electricity'!L47+'Data Entry Electricity'!C47*'Data Entry Electricity'!M47+'Data Entry Electricity'!D47*'Data Entry Electricity'!N47+'Data Entry Electricity'!E47*'Data Entry Electricity'!O47</f>
        <v>0</v>
      </c>
      <c r="E48" s="776">
        <f>'Data Entry Electricity'!B47*'Data Entry Electricity'!L47+'Data Entry Electricity'!C47*'Data Entry Electricity'!L47+'Data Entry Electricity'!D47*'Data Entry Electricity'!N47+'Data Entry Electricity'!E47*'Data Entry Electricity'!O47</f>
        <v>0</v>
      </c>
      <c r="F48" s="777">
        <f>(SUM('Fuel Equipment Savings Calculat'!$B45:$S45))+(SUM('Efficient Site Offices DD &amp; Cal'!$B81:$F81))+'PFC Calculations'!$G46+(SUM('Behaviour Calculations'!$E52,'Behaviour Calculations'!$J52,'Behaviour Calculations'!$O52))+(SUM('Reduced Power Lighting Calculat'!$B46:$F46)+SUM('Hybrid Lighting Calculations'!$B50:$F50)+('PIR Lighting Calculations'!$H46)+SUM('Water Calculations'!$B46:$G46)+'Additional Initiatives'!$H59)</f>
        <v>0</v>
      </c>
      <c r="G48" s="778">
        <f t="shared" si="29"/>
        <v>0</v>
      </c>
      <c r="H48" s="778">
        <f t="shared" si="5"/>
        <v>0</v>
      </c>
      <c r="I48" s="778">
        <f t="shared" si="30"/>
        <v>0</v>
      </c>
      <c r="J48" s="798">
        <f t="shared" si="34"/>
        <v>0</v>
      </c>
      <c r="K48" s="779">
        <f t="shared" si="35"/>
        <v>0</v>
      </c>
      <c r="L48" s="780">
        <f t="shared" si="31"/>
        <v>0</v>
      </c>
      <c r="M48" s="780">
        <f t="shared" si="32"/>
        <v>0</v>
      </c>
      <c r="N48" s="781">
        <f t="shared" si="33"/>
        <v>0</v>
      </c>
      <c r="O48" s="781">
        <f t="shared" si="16"/>
        <v>0</v>
      </c>
      <c r="Q48" s="683">
        <f t="shared" si="36"/>
        <v>0</v>
      </c>
      <c r="R48" s="683">
        <f t="shared" si="37"/>
        <v>0</v>
      </c>
      <c r="T48" s="673">
        <f t="shared" si="10"/>
        <v>0</v>
      </c>
      <c r="U48" s="674">
        <f>'Fuel Equipment Savings Calculat'!$V45</f>
        <v>0</v>
      </c>
      <c r="V48" s="674">
        <f>'Efficient Site Offices DD &amp; Cal'!$H81</f>
        <v>0</v>
      </c>
      <c r="W48" s="674">
        <f>'PFC Calculations'!$G46</f>
        <v>0</v>
      </c>
      <c r="X48" s="674">
        <f>'Behaviour Calculations'!$E52</f>
        <v>0</v>
      </c>
      <c r="Y48" s="674">
        <f>'Behaviour Calculations'!$J52</f>
        <v>0</v>
      </c>
      <c r="Z48" s="674">
        <f>'Behaviour Calculations'!$O52</f>
        <v>0</v>
      </c>
      <c r="AA48" s="674">
        <f>'Reduced Power Lighting Calculat'!$H46</f>
        <v>0</v>
      </c>
      <c r="AB48" s="674">
        <f>'Hybrid Lighting Calculations'!H50</f>
        <v>0</v>
      </c>
      <c r="AC48" s="674">
        <f>'PIR Lighting Calculations'!$H46</f>
        <v>0</v>
      </c>
      <c r="AD48" s="674">
        <f>'Water Calculations'!$I46</f>
        <v>0</v>
      </c>
      <c r="AE48" s="674">
        <f>'Additional Initiatives'!$H59</f>
        <v>0</v>
      </c>
      <c r="AF48" s="679">
        <f t="shared" si="11"/>
        <v>0</v>
      </c>
      <c r="AG48" s="679">
        <f>(C48-B48) - (0.13 * 'Data Entry Fuel'!I$3) * (U48+AB48)</f>
        <v>0</v>
      </c>
      <c r="AH48" s="5"/>
      <c r="AI48" s="19">
        <v>1305</v>
      </c>
      <c r="AJ48" s="19">
        <f t="shared" si="12"/>
        <v>2013</v>
      </c>
      <c r="AK48" s="19">
        <f t="shared" si="13"/>
        <v>7</v>
      </c>
      <c r="AL48" s="19">
        <v>44</v>
      </c>
      <c r="AM48" s="697">
        <f t="shared" si="38"/>
        <v>0</v>
      </c>
      <c r="AN48" s="697">
        <f t="shared" si="17"/>
        <v>0</v>
      </c>
      <c r="AO48" s="697">
        <f t="shared" si="18"/>
        <v>0</v>
      </c>
      <c r="AP48" s="697">
        <f>IF(AP$4='Additional Initiatives'!$B$163,'Additional Initiatives'!$B207,IF(AP$4='Additional Initiatives'!$C$163,'Additional Initiatives'!$C207,IF(AP$4='Additional Initiatives'!$D$163,'Additional Initiatives'!$D207,IF(AP$4='Additional Initiatives'!$E$163,'Additional Initiatives'!$E207,IF(AP$4='Additional Initiatives'!$F$163,'Additional Initiatives'!$F207,0)))))+AP47</f>
        <v>0</v>
      </c>
      <c r="AQ48" s="697">
        <f>IF(AQ$4='Additional Initiatives'!$B$163,'Additional Initiatives'!$B207,IF(AQ$4='Additional Initiatives'!$C$163,'Additional Initiatives'!$C207,IF(AQ$4='Additional Initiatives'!$D$163,'Additional Initiatives'!$D207,IF(AQ$4='Additional Initiatives'!$E$163,'Additional Initiatives'!$E207,IF(AQ$4='Additional Initiatives'!$F$163,'Additional Initiatives'!$F207,0)))))+AQ47</f>
        <v>0</v>
      </c>
      <c r="AR48" s="697">
        <f>IF(AR$4='Additional Initiatives'!$B$163,'Additional Initiatives'!$B207,IF(AR$4='Additional Initiatives'!$C$163,'Additional Initiatives'!$C207,IF(AR$4='Additional Initiatives'!$D$163,'Additional Initiatives'!$D207,IF(AR$4='Additional Initiatives'!$E$163,'Additional Initiatives'!$E207,IF(AR$4='Additional Initiatives'!$F$163,'Additional Initiatives'!$F207,0)))))+AR47</f>
        <v>0</v>
      </c>
      <c r="AS48" s="697">
        <f t="shared" si="19"/>
        <v>0</v>
      </c>
      <c r="AT48" s="696">
        <f t="shared" si="39"/>
        <v>0</v>
      </c>
      <c r="AU48" s="696">
        <f t="shared" si="20"/>
        <v>0</v>
      </c>
      <c r="AV48" s="696">
        <f t="shared" si="21"/>
        <v>0</v>
      </c>
      <c r="AW48" s="696">
        <f t="shared" si="22"/>
        <v>0</v>
      </c>
      <c r="AX48" s="696">
        <f t="shared" si="23"/>
        <v>0</v>
      </c>
      <c r="AY48" s="696">
        <f t="shared" si="24"/>
        <v>0</v>
      </c>
      <c r="AZ48" s="696">
        <f t="shared" si="25"/>
        <v>0</v>
      </c>
      <c r="BA48" s="696">
        <f t="shared" si="26"/>
        <v>0</v>
      </c>
      <c r="BB48" s="696">
        <f t="shared" si="27"/>
        <v>0</v>
      </c>
      <c r="BC48" s="696">
        <f>IF(BC$4='Additional Initiatives'!$B$163,'Additional Initiatives'!$B207,IF(BC$4='Additional Initiatives'!$C$163,'Additional Initiatives'!$C207,IF(BC$4='Additional Initiatives'!$D$163,'Additional Initiatives'!$D207,IF(BC$4='Additional Initiatives'!$E$163,'Additional Initiatives'!$E207,IF(BC$4='Additional Initiatives'!$F$163,'Additional Initiatives'!$F207,0)))))+BC47</f>
        <v>0</v>
      </c>
      <c r="BD48" s="696">
        <f>IF(BD$4='Additional Initiatives'!$B$163,'Additional Initiatives'!$B207,IF(BD$4='Additional Initiatives'!$C$163,'Additional Initiatives'!$C207,IF(BD$4='Additional Initiatives'!$D$163,'Additional Initiatives'!$D207,IF(BD$4='Additional Initiatives'!$E$163,'Additional Initiatives'!$E207,IF(BD$4='Additional Initiatives'!$F$163,'Additional Initiatives'!$F207,0)))))+BD47</f>
        <v>0</v>
      </c>
      <c r="BE48" s="696">
        <f>IF(BE$4='Additional Initiatives'!$B$163,'Additional Initiatives'!$B207,IF(BE$4='Additional Initiatives'!$C$163,'Additional Initiatives'!$C207,IF(BE$4='Additional Initiatives'!$D$163,'Additional Initiatives'!$D207,IF(BE$4='Additional Initiatives'!$E$163,'Additional Initiatives'!$E207,IF(BE$4='Additional Initiatives'!$F$163,'Additional Initiatives'!$F207,0)))))+BE47</f>
        <v>0</v>
      </c>
      <c r="BF48" s="696">
        <f t="shared" si="28"/>
        <v>0</v>
      </c>
    </row>
    <row r="49" spans="1:58">
      <c r="A49" s="21" t="s">
        <v>63</v>
      </c>
      <c r="B49" s="672">
        <f>'Data Entry Fuel'!B48*'Data Entry Fuel'!B200
+'Data Entry Fuel'!C48*'Data Entry Fuel'!C200
+'Data Entry Fuel'!D48*'Data Entry Fuel'!D200
+'Data Entry Fuel'!E48*'Data Entry Fuel'!E200
+'Data Entry Fuel'!F48*'Data Entry Fuel'!F200
+'Data Entry Fuel'!G48*'Data Entry Fuel'!G200
+'Data Entry Fuel'!H48*'Data Entry Fuel'!H200
+'Data Entry Fuel'!I48*'Data Entry Fuel'!I200
+'Data Entry Fuel'!J48*'Data Entry Fuel'!J200</f>
        <v>0</v>
      </c>
      <c r="C49" s="672">
        <f>'Data Entry Fuel'!B48*'Data Entry Fuel'!B200
+'Data Entry Fuel'!C48*'Data Entry Fuel'!C200
+'Data Entry Fuel'!D48*'Data Entry Fuel'!D200
+'Data Entry Fuel'!E48*'Data Entry Fuel'!E200
+'Data Entry Fuel'!F48*'Data Entry Fuel'!F200
+'Data Entry Fuel'!G48*'Data Entry Fuel'!G200
+'Data Entry Fuel'!H48*'Data Entry Fuel'!H200
+'Data Entry Fuel'!I48*'Data Entry Fuel'!C200 *   (1 -  0.13 * 'Data Entry Fuel'!I$3)
+'Data Entry Fuel'!J48*'Data Entry Fuel'!J200</f>
        <v>0</v>
      </c>
      <c r="D49" s="677">
        <f>'Data Entry Electricity'!B48*'Data Entry Electricity'!L48+'Data Entry Electricity'!C48*'Data Entry Electricity'!M48+'Data Entry Electricity'!D48*'Data Entry Electricity'!N48+'Data Entry Electricity'!E48*'Data Entry Electricity'!O48</f>
        <v>0</v>
      </c>
      <c r="E49" s="776">
        <f>'Data Entry Electricity'!B48*'Data Entry Electricity'!L48+'Data Entry Electricity'!C48*'Data Entry Electricity'!L48+'Data Entry Electricity'!D48*'Data Entry Electricity'!N48+'Data Entry Electricity'!E48*'Data Entry Electricity'!O48</f>
        <v>0</v>
      </c>
      <c r="F49" s="777">
        <f>(SUM('Fuel Equipment Savings Calculat'!$B46:$S46))+(SUM('Efficient Site Offices DD &amp; Cal'!$B82:$F82))+'PFC Calculations'!$G47+(SUM('Behaviour Calculations'!$E53,'Behaviour Calculations'!$J53,'Behaviour Calculations'!$O53))+(SUM('Reduced Power Lighting Calculat'!$B47:$F47)+SUM('Hybrid Lighting Calculations'!$B51:$F51)+('PIR Lighting Calculations'!$H47)+SUM('Water Calculations'!$B47:$G47)+'Additional Initiatives'!$H60)</f>
        <v>0</v>
      </c>
      <c r="G49" s="778">
        <f t="shared" si="29"/>
        <v>0</v>
      </c>
      <c r="H49" s="778">
        <f t="shared" si="5"/>
        <v>0</v>
      </c>
      <c r="I49" s="778">
        <f t="shared" si="30"/>
        <v>0</v>
      </c>
      <c r="J49" s="798">
        <f t="shared" si="34"/>
        <v>0</v>
      </c>
      <c r="K49" s="779">
        <f t="shared" si="35"/>
        <v>0</v>
      </c>
      <c r="L49" s="780">
        <f t="shared" si="31"/>
        <v>0</v>
      </c>
      <c r="M49" s="780">
        <f t="shared" si="32"/>
        <v>0</v>
      </c>
      <c r="N49" s="781">
        <f t="shared" si="33"/>
        <v>0</v>
      </c>
      <c r="O49" s="781">
        <f t="shared" si="16"/>
        <v>0</v>
      </c>
      <c r="Q49" s="683">
        <f t="shared" si="36"/>
        <v>0</v>
      </c>
      <c r="R49" s="683">
        <f t="shared" si="37"/>
        <v>0</v>
      </c>
      <c r="T49" s="673">
        <f t="shared" si="10"/>
        <v>0</v>
      </c>
      <c r="U49" s="674">
        <f>'Fuel Equipment Savings Calculat'!$V46</f>
        <v>0</v>
      </c>
      <c r="V49" s="674">
        <f>'Efficient Site Offices DD &amp; Cal'!$H82</f>
        <v>0</v>
      </c>
      <c r="W49" s="674">
        <f>'PFC Calculations'!$G47</f>
        <v>0</v>
      </c>
      <c r="X49" s="674">
        <f>'Behaviour Calculations'!$E53</f>
        <v>0</v>
      </c>
      <c r="Y49" s="674">
        <f>'Behaviour Calculations'!$J53</f>
        <v>0</v>
      </c>
      <c r="Z49" s="674">
        <f>'Behaviour Calculations'!$O53</f>
        <v>0</v>
      </c>
      <c r="AA49" s="674">
        <f>'Reduced Power Lighting Calculat'!$H47</f>
        <v>0</v>
      </c>
      <c r="AB49" s="674">
        <f>'Hybrid Lighting Calculations'!H51</f>
        <v>0</v>
      </c>
      <c r="AC49" s="674">
        <f>'PIR Lighting Calculations'!$H47</f>
        <v>0</v>
      </c>
      <c r="AD49" s="674">
        <f>'Water Calculations'!$I47</f>
        <v>0</v>
      </c>
      <c r="AE49" s="674">
        <f>'Additional Initiatives'!$H60</f>
        <v>0</v>
      </c>
      <c r="AF49" s="679">
        <f t="shared" si="11"/>
        <v>0</v>
      </c>
      <c r="AG49" s="679">
        <f>(C49-B49) - (0.13 * 'Data Entry Fuel'!I$3) * (U49+AB49)</f>
        <v>0</v>
      </c>
      <c r="AH49" s="5"/>
      <c r="AI49" s="19">
        <v>1306</v>
      </c>
      <c r="AJ49" s="19">
        <f t="shared" si="12"/>
        <v>2013</v>
      </c>
      <c r="AK49" s="19">
        <f t="shared" si="13"/>
        <v>7</v>
      </c>
      <c r="AL49" s="19">
        <v>45</v>
      </c>
      <c r="AM49" s="697">
        <f t="shared" si="38"/>
        <v>0</v>
      </c>
      <c r="AN49" s="697">
        <f t="shared" si="17"/>
        <v>0</v>
      </c>
      <c r="AO49" s="697">
        <f t="shared" si="18"/>
        <v>0</v>
      </c>
      <c r="AP49" s="697">
        <f>IF(AP$4='Additional Initiatives'!$B$163,'Additional Initiatives'!$B208,IF(AP$4='Additional Initiatives'!$C$163,'Additional Initiatives'!$C208,IF(AP$4='Additional Initiatives'!$D$163,'Additional Initiatives'!$D208,IF(AP$4='Additional Initiatives'!$E$163,'Additional Initiatives'!$E208,IF(AP$4='Additional Initiatives'!$F$163,'Additional Initiatives'!$F208,0)))))+AP48</f>
        <v>0</v>
      </c>
      <c r="AQ49" s="697">
        <f>IF(AQ$4='Additional Initiatives'!$B$163,'Additional Initiatives'!$B208,IF(AQ$4='Additional Initiatives'!$C$163,'Additional Initiatives'!$C208,IF(AQ$4='Additional Initiatives'!$D$163,'Additional Initiatives'!$D208,IF(AQ$4='Additional Initiatives'!$E$163,'Additional Initiatives'!$E208,IF(AQ$4='Additional Initiatives'!$F$163,'Additional Initiatives'!$F208,0)))))+AQ48</f>
        <v>0</v>
      </c>
      <c r="AR49" s="697">
        <f>IF(AR$4='Additional Initiatives'!$B$163,'Additional Initiatives'!$B208,IF(AR$4='Additional Initiatives'!$C$163,'Additional Initiatives'!$C208,IF(AR$4='Additional Initiatives'!$D$163,'Additional Initiatives'!$D208,IF(AR$4='Additional Initiatives'!$E$163,'Additional Initiatives'!$E208,IF(AR$4='Additional Initiatives'!$F$163,'Additional Initiatives'!$F208,0)))))+AR48</f>
        <v>0</v>
      </c>
      <c r="AS49" s="697">
        <f t="shared" si="19"/>
        <v>0</v>
      </c>
      <c r="AT49" s="696">
        <f t="shared" si="39"/>
        <v>0</v>
      </c>
      <c r="AU49" s="696">
        <f t="shared" si="20"/>
        <v>0</v>
      </c>
      <c r="AV49" s="696">
        <f t="shared" si="21"/>
        <v>0</v>
      </c>
      <c r="AW49" s="696">
        <f t="shared" si="22"/>
        <v>0</v>
      </c>
      <c r="AX49" s="696">
        <f t="shared" si="23"/>
        <v>0</v>
      </c>
      <c r="AY49" s="696">
        <f t="shared" si="24"/>
        <v>0</v>
      </c>
      <c r="AZ49" s="696">
        <f t="shared" si="25"/>
        <v>0</v>
      </c>
      <c r="BA49" s="696">
        <f t="shared" si="26"/>
        <v>0</v>
      </c>
      <c r="BB49" s="696">
        <f t="shared" si="27"/>
        <v>0</v>
      </c>
      <c r="BC49" s="696">
        <f>IF(BC$4='Additional Initiatives'!$B$163,'Additional Initiatives'!$B208,IF(BC$4='Additional Initiatives'!$C$163,'Additional Initiatives'!$C208,IF(BC$4='Additional Initiatives'!$D$163,'Additional Initiatives'!$D208,IF(BC$4='Additional Initiatives'!$E$163,'Additional Initiatives'!$E208,IF(BC$4='Additional Initiatives'!$F$163,'Additional Initiatives'!$F208,0)))))+BC48</f>
        <v>0</v>
      </c>
      <c r="BD49" s="696">
        <f>IF(BD$4='Additional Initiatives'!$B$163,'Additional Initiatives'!$B208,IF(BD$4='Additional Initiatives'!$C$163,'Additional Initiatives'!$C208,IF(BD$4='Additional Initiatives'!$D$163,'Additional Initiatives'!$D208,IF(BD$4='Additional Initiatives'!$E$163,'Additional Initiatives'!$E208,IF(BD$4='Additional Initiatives'!$F$163,'Additional Initiatives'!$F208,0)))))+BD48</f>
        <v>0</v>
      </c>
      <c r="BE49" s="696">
        <f>IF(BE$4='Additional Initiatives'!$B$163,'Additional Initiatives'!$B208,IF(BE$4='Additional Initiatives'!$C$163,'Additional Initiatives'!$C208,IF(BE$4='Additional Initiatives'!$D$163,'Additional Initiatives'!$D208,IF(BE$4='Additional Initiatives'!$E$163,'Additional Initiatives'!$E208,IF(BE$4='Additional Initiatives'!$F$163,'Additional Initiatives'!$F208,0)))))+BE48</f>
        <v>0</v>
      </c>
      <c r="BF49" s="696">
        <f t="shared" si="28"/>
        <v>0</v>
      </c>
    </row>
    <row r="50" spans="1:58">
      <c r="A50" s="21" t="s">
        <v>64</v>
      </c>
      <c r="B50" s="672">
        <f>'Data Entry Fuel'!B49*'Data Entry Fuel'!B201
+'Data Entry Fuel'!C49*'Data Entry Fuel'!C201
+'Data Entry Fuel'!D49*'Data Entry Fuel'!D201
+'Data Entry Fuel'!E49*'Data Entry Fuel'!E201
+'Data Entry Fuel'!F49*'Data Entry Fuel'!F201
+'Data Entry Fuel'!G49*'Data Entry Fuel'!G201
+'Data Entry Fuel'!H49*'Data Entry Fuel'!H201
+'Data Entry Fuel'!I49*'Data Entry Fuel'!I201
+'Data Entry Fuel'!J49*'Data Entry Fuel'!J201</f>
        <v>0</v>
      </c>
      <c r="C50" s="672">
        <f>'Data Entry Fuel'!B49*'Data Entry Fuel'!B201
+'Data Entry Fuel'!C49*'Data Entry Fuel'!C201
+'Data Entry Fuel'!D49*'Data Entry Fuel'!D201
+'Data Entry Fuel'!E49*'Data Entry Fuel'!E201
+'Data Entry Fuel'!F49*'Data Entry Fuel'!F201
+'Data Entry Fuel'!G49*'Data Entry Fuel'!G201
+'Data Entry Fuel'!H49*'Data Entry Fuel'!H201
+'Data Entry Fuel'!I49*'Data Entry Fuel'!C201 *   (1 -  0.13 * 'Data Entry Fuel'!I$3)
+'Data Entry Fuel'!J49*'Data Entry Fuel'!J201</f>
        <v>0</v>
      </c>
      <c r="D50" s="677">
        <f>'Data Entry Electricity'!B49*'Data Entry Electricity'!L49+'Data Entry Electricity'!C49*'Data Entry Electricity'!M49+'Data Entry Electricity'!D49*'Data Entry Electricity'!N49+'Data Entry Electricity'!E49*'Data Entry Electricity'!O49</f>
        <v>0</v>
      </c>
      <c r="E50" s="776">
        <f>'Data Entry Electricity'!B49*'Data Entry Electricity'!L49+'Data Entry Electricity'!C49*'Data Entry Electricity'!L49+'Data Entry Electricity'!D49*'Data Entry Electricity'!N49+'Data Entry Electricity'!E49*'Data Entry Electricity'!O49</f>
        <v>0</v>
      </c>
      <c r="F50" s="777">
        <f>(SUM('Fuel Equipment Savings Calculat'!$B47:$S47))+(SUM('Efficient Site Offices DD &amp; Cal'!$B83:$F83))+'PFC Calculations'!$G48+(SUM('Behaviour Calculations'!$E54,'Behaviour Calculations'!$J54,'Behaviour Calculations'!$O54))+(SUM('Reduced Power Lighting Calculat'!$B48:$F48)+SUM('Hybrid Lighting Calculations'!$B52:$F52)+('PIR Lighting Calculations'!$H48)+SUM('Water Calculations'!$B48:$G48)+'Additional Initiatives'!$H61)</f>
        <v>0</v>
      </c>
      <c r="G50" s="778">
        <f t="shared" si="29"/>
        <v>0</v>
      </c>
      <c r="H50" s="778">
        <f t="shared" si="5"/>
        <v>0</v>
      </c>
      <c r="I50" s="778">
        <f t="shared" si="30"/>
        <v>0</v>
      </c>
      <c r="J50" s="798">
        <f t="shared" si="34"/>
        <v>0</v>
      </c>
      <c r="K50" s="779">
        <f t="shared" si="35"/>
        <v>0</v>
      </c>
      <c r="L50" s="780">
        <f t="shared" si="31"/>
        <v>0</v>
      </c>
      <c r="M50" s="780">
        <f t="shared" si="32"/>
        <v>0</v>
      </c>
      <c r="N50" s="781">
        <f t="shared" si="33"/>
        <v>0</v>
      </c>
      <c r="O50" s="781">
        <f t="shared" si="16"/>
        <v>0</v>
      </c>
      <c r="Q50" s="683">
        <f t="shared" si="36"/>
        <v>0</v>
      </c>
      <c r="R50" s="683">
        <f t="shared" si="37"/>
        <v>0</v>
      </c>
      <c r="T50" s="673">
        <f t="shared" si="10"/>
        <v>0</v>
      </c>
      <c r="U50" s="674">
        <f>'Fuel Equipment Savings Calculat'!$V47</f>
        <v>0</v>
      </c>
      <c r="V50" s="674">
        <f>'Efficient Site Offices DD &amp; Cal'!$H83</f>
        <v>0</v>
      </c>
      <c r="W50" s="674">
        <f>'PFC Calculations'!$G48</f>
        <v>0</v>
      </c>
      <c r="X50" s="674">
        <f>'Behaviour Calculations'!$E54</f>
        <v>0</v>
      </c>
      <c r="Y50" s="674">
        <f>'Behaviour Calculations'!$J54</f>
        <v>0</v>
      </c>
      <c r="Z50" s="674">
        <f>'Behaviour Calculations'!$O54</f>
        <v>0</v>
      </c>
      <c r="AA50" s="674">
        <f>'Reduced Power Lighting Calculat'!$H48</f>
        <v>0</v>
      </c>
      <c r="AB50" s="674">
        <f>'Hybrid Lighting Calculations'!H52</f>
        <v>0</v>
      </c>
      <c r="AC50" s="674">
        <f>'PIR Lighting Calculations'!$H48</f>
        <v>0</v>
      </c>
      <c r="AD50" s="674">
        <f>'Water Calculations'!$I48</f>
        <v>0</v>
      </c>
      <c r="AE50" s="674">
        <f>'Additional Initiatives'!$H61</f>
        <v>0</v>
      </c>
      <c r="AF50" s="679">
        <f t="shared" si="11"/>
        <v>0</v>
      </c>
      <c r="AG50" s="679">
        <f>(C50-B50) - (0.13 * 'Data Entry Fuel'!I$3) * (U50+AB50)</f>
        <v>0</v>
      </c>
      <c r="AH50" s="5"/>
      <c r="AI50" s="19">
        <v>1307</v>
      </c>
      <c r="AJ50" s="19">
        <f t="shared" si="12"/>
        <v>2013</v>
      </c>
      <c r="AK50" s="19">
        <f t="shared" si="13"/>
        <v>7</v>
      </c>
      <c r="AL50" s="19">
        <v>46</v>
      </c>
      <c r="AM50" s="697">
        <f t="shared" si="38"/>
        <v>0</v>
      </c>
      <c r="AN50" s="697">
        <f t="shared" si="17"/>
        <v>0</v>
      </c>
      <c r="AO50" s="697">
        <f t="shared" si="18"/>
        <v>0</v>
      </c>
      <c r="AP50" s="697">
        <f>IF(AP$4='Additional Initiatives'!$B$163,'Additional Initiatives'!$B209,IF(AP$4='Additional Initiatives'!$C$163,'Additional Initiatives'!$C209,IF(AP$4='Additional Initiatives'!$D$163,'Additional Initiatives'!$D209,IF(AP$4='Additional Initiatives'!$E$163,'Additional Initiatives'!$E209,IF(AP$4='Additional Initiatives'!$F$163,'Additional Initiatives'!$F209,0)))))+AP49</f>
        <v>0</v>
      </c>
      <c r="AQ50" s="697">
        <f>IF(AQ$4='Additional Initiatives'!$B$163,'Additional Initiatives'!$B209,IF(AQ$4='Additional Initiatives'!$C$163,'Additional Initiatives'!$C209,IF(AQ$4='Additional Initiatives'!$D$163,'Additional Initiatives'!$D209,IF(AQ$4='Additional Initiatives'!$E$163,'Additional Initiatives'!$E209,IF(AQ$4='Additional Initiatives'!$F$163,'Additional Initiatives'!$F209,0)))))+AQ49</f>
        <v>0</v>
      </c>
      <c r="AR50" s="697">
        <f>IF(AR$4='Additional Initiatives'!$B$163,'Additional Initiatives'!$B209,IF(AR$4='Additional Initiatives'!$C$163,'Additional Initiatives'!$C209,IF(AR$4='Additional Initiatives'!$D$163,'Additional Initiatives'!$D209,IF(AR$4='Additional Initiatives'!$E$163,'Additional Initiatives'!$E209,IF(AR$4='Additional Initiatives'!$F$163,'Additional Initiatives'!$F209,0)))))+AR49</f>
        <v>0</v>
      </c>
      <c r="AS50" s="697">
        <f t="shared" si="19"/>
        <v>0</v>
      </c>
      <c r="AT50" s="696">
        <f t="shared" si="39"/>
        <v>0</v>
      </c>
      <c r="AU50" s="696">
        <f t="shared" si="20"/>
        <v>0</v>
      </c>
      <c r="AV50" s="696">
        <f t="shared" si="21"/>
        <v>0</v>
      </c>
      <c r="AW50" s="696">
        <f t="shared" si="22"/>
        <v>0</v>
      </c>
      <c r="AX50" s="696">
        <f t="shared" si="23"/>
        <v>0</v>
      </c>
      <c r="AY50" s="696">
        <f t="shared" si="24"/>
        <v>0</v>
      </c>
      <c r="AZ50" s="696">
        <f t="shared" si="25"/>
        <v>0</v>
      </c>
      <c r="BA50" s="696">
        <f t="shared" si="26"/>
        <v>0</v>
      </c>
      <c r="BB50" s="696">
        <f t="shared" si="27"/>
        <v>0</v>
      </c>
      <c r="BC50" s="696">
        <f>IF(BC$4='Additional Initiatives'!$B$163,'Additional Initiatives'!$B209,IF(BC$4='Additional Initiatives'!$C$163,'Additional Initiatives'!$C209,IF(BC$4='Additional Initiatives'!$D$163,'Additional Initiatives'!$D209,IF(BC$4='Additional Initiatives'!$E$163,'Additional Initiatives'!$E209,IF(BC$4='Additional Initiatives'!$F$163,'Additional Initiatives'!$F209,0)))))+BC49</f>
        <v>0</v>
      </c>
      <c r="BD50" s="696">
        <f>IF(BD$4='Additional Initiatives'!$B$163,'Additional Initiatives'!$B209,IF(BD$4='Additional Initiatives'!$C$163,'Additional Initiatives'!$C209,IF(BD$4='Additional Initiatives'!$D$163,'Additional Initiatives'!$D209,IF(BD$4='Additional Initiatives'!$E$163,'Additional Initiatives'!$E209,IF(BD$4='Additional Initiatives'!$F$163,'Additional Initiatives'!$F209,0)))))+BD49</f>
        <v>0</v>
      </c>
      <c r="BE50" s="696">
        <f>IF(BE$4='Additional Initiatives'!$B$163,'Additional Initiatives'!$B209,IF(BE$4='Additional Initiatives'!$C$163,'Additional Initiatives'!$C209,IF(BE$4='Additional Initiatives'!$D$163,'Additional Initiatives'!$D209,IF(BE$4='Additional Initiatives'!$E$163,'Additional Initiatives'!$E209,IF(BE$4='Additional Initiatives'!$F$163,'Additional Initiatives'!$F209,0)))))+BE49</f>
        <v>0</v>
      </c>
      <c r="BF50" s="696">
        <f t="shared" si="28"/>
        <v>0</v>
      </c>
    </row>
    <row r="51" spans="1:58">
      <c r="A51" s="21" t="s">
        <v>65</v>
      </c>
      <c r="B51" s="672">
        <f>'Data Entry Fuel'!B50*'Data Entry Fuel'!B202
+'Data Entry Fuel'!C50*'Data Entry Fuel'!C202
+'Data Entry Fuel'!D50*'Data Entry Fuel'!D202
+'Data Entry Fuel'!E50*'Data Entry Fuel'!E202
+'Data Entry Fuel'!F50*'Data Entry Fuel'!F202
+'Data Entry Fuel'!G50*'Data Entry Fuel'!G202
+'Data Entry Fuel'!H50*'Data Entry Fuel'!H202
+'Data Entry Fuel'!I50*'Data Entry Fuel'!I202
+'Data Entry Fuel'!J50*'Data Entry Fuel'!J202</f>
        <v>0</v>
      </c>
      <c r="C51" s="672">
        <f>'Data Entry Fuel'!B50*'Data Entry Fuel'!B202
+'Data Entry Fuel'!C50*'Data Entry Fuel'!C202
+'Data Entry Fuel'!D50*'Data Entry Fuel'!D202
+'Data Entry Fuel'!E50*'Data Entry Fuel'!E202
+'Data Entry Fuel'!F50*'Data Entry Fuel'!F202
+'Data Entry Fuel'!G50*'Data Entry Fuel'!G202
+'Data Entry Fuel'!H50*'Data Entry Fuel'!H202
+'Data Entry Fuel'!I50*'Data Entry Fuel'!C202 *   (1 -  0.13 * 'Data Entry Fuel'!I$3)
+'Data Entry Fuel'!J50*'Data Entry Fuel'!J202</f>
        <v>0</v>
      </c>
      <c r="D51" s="677">
        <f>'Data Entry Electricity'!B50*'Data Entry Electricity'!L50+'Data Entry Electricity'!C50*'Data Entry Electricity'!M50+'Data Entry Electricity'!D50*'Data Entry Electricity'!N50+'Data Entry Electricity'!E50*'Data Entry Electricity'!O50</f>
        <v>0</v>
      </c>
      <c r="E51" s="776">
        <f>'Data Entry Electricity'!B50*'Data Entry Electricity'!L50+'Data Entry Electricity'!C50*'Data Entry Electricity'!L50+'Data Entry Electricity'!D50*'Data Entry Electricity'!N50+'Data Entry Electricity'!E50*'Data Entry Electricity'!O50</f>
        <v>0</v>
      </c>
      <c r="F51" s="777">
        <f>(SUM('Fuel Equipment Savings Calculat'!$B48:$S48))+(SUM('Efficient Site Offices DD &amp; Cal'!$B84:$F84))+'PFC Calculations'!$G49+(SUM('Behaviour Calculations'!$E55,'Behaviour Calculations'!$J55,'Behaviour Calculations'!$O55))+(SUM('Reduced Power Lighting Calculat'!$B49:$F49)+SUM('Hybrid Lighting Calculations'!$B53:$F53)+('PIR Lighting Calculations'!$H49)+SUM('Water Calculations'!$B49:$G49)+'Additional Initiatives'!$H62)</f>
        <v>0</v>
      </c>
      <c r="G51" s="778">
        <f t="shared" si="29"/>
        <v>0</v>
      </c>
      <c r="H51" s="778">
        <f t="shared" si="5"/>
        <v>0</v>
      </c>
      <c r="I51" s="778">
        <f t="shared" si="30"/>
        <v>0</v>
      </c>
      <c r="J51" s="798">
        <f t="shared" si="34"/>
        <v>0</v>
      </c>
      <c r="K51" s="779">
        <f t="shared" si="35"/>
        <v>0</v>
      </c>
      <c r="L51" s="780">
        <f t="shared" si="31"/>
        <v>0</v>
      </c>
      <c r="M51" s="780">
        <f t="shared" si="32"/>
        <v>0</v>
      </c>
      <c r="N51" s="781">
        <f t="shared" si="33"/>
        <v>0</v>
      </c>
      <c r="O51" s="781">
        <f t="shared" si="16"/>
        <v>0</v>
      </c>
      <c r="Q51" s="683">
        <f t="shared" si="36"/>
        <v>0</v>
      </c>
      <c r="R51" s="683">
        <f t="shared" si="37"/>
        <v>0</v>
      </c>
      <c r="T51" s="673">
        <f t="shared" si="10"/>
        <v>0</v>
      </c>
      <c r="U51" s="674">
        <f>'Fuel Equipment Savings Calculat'!$V48</f>
        <v>0</v>
      </c>
      <c r="V51" s="674">
        <f>'Efficient Site Offices DD &amp; Cal'!$H84</f>
        <v>0</v>
      </c>
      <c r="W51" s="674">
        <f>'PFC Calculations'!$G49</f>
        <v>0</v>
      </c>
      <c r="X51" s="674">
        <f>'Behaviour Calculations'!$E55</f>
        <v>0</v>
      </c>
      <c r="Y51" s="674">
        <f>'Behaviour Calculations'!$J55</f>
        <v>0</v>
      </c>
      <c r="Z51" s="674">
        <f>'Behaviour Calculations'!$O55</f>
        <v>0</v>
      </c>
      <c r="AA51" s="674">
        <f>'Reduced Power Lighting Calculat'!$H49</f>
        <v>0</v>
      </c>
      <c r="AB51" s="674">
        <f>'Hybrid Lighting Calculations'!H53</f>
        <v>0</v>
      </c>
      <c r="AC51" s="674">
        <f>'PIR Lighting Calculations'!$H49</f>
        <v>0</v>
      </c>
      <c r="AD51" s="674">
        <f>'Water Calculations'!$I49</f>
        <v>0</v>
      </c>
      <c r="AE51" s="674">
        <f>'Additional Initiatives'!$H62</f>
        <v>0</v>
      </c>
      <c r="AF51" s="679">
        <f t="shared" si="11"/>
        <v>0</v>
      </c>
      <c r="AG51" s="679">
        <f>(C51-B51) - (0.13 * 'Data Entry Fuel'!I$3) * (U51+AB51)</f>
        <v>0</v>
      </c>
      <c r="AH51" s="5"/>
      <c r="AI51" s="19">
        <v>1308</v>
      </c>
      <c r="AJ51" s="19">
        <f t="shared" si="12"/>
        <v>2013</v>
      </c>
      <c r="AK51" s="19">
        <f t="shared" si="13"/>
        <v>7</v>
      </c>
      <c r="AL51" s="19">
        <v>47</v>
      </c>
      <c r="AM51" s="697">
        <f t="shared" si="38"/>
        <v>0</v>
      </c>
      <c r="AN51" s="697">
        <f t="shared" si="17"/>
        <v>0</v>
      </c>
      <c r="AO51" s="697">
        <f t="shared" si="18"/>
        <v>0</v>
      </c>
      <c r="AP51" s="697">
        <f>IF(AP$4='Additional Initiatives'!$B$163,'Additional Initiatives'!$B210,IF(AP$4='Additional Initiatives'!$C$163,'Additional Initiatives'!$C210,IF(AP$4='Additional Initiatives'!$D$163,'Additional Initiatives'!$D210,IF(AP$4='Additional Initiatives'!$E$163,'Additional Initiatives'!$E210,IF(AP$4='Additional Initiatives'!$F$163,'Additional Initiatives'!$F210,0)))))+AP50</f>
        <v>0</v>
      </c>
      <c r="AQ51" s="697">
        <f>IF(AQ$4='Additional Initiatives'!$B$163,'Additional Initiatives'!$B210,IF(AQ$4='Additional Initiatives'!$C$163,'Additional Initiatives'!$C210,IF(AQ$4='Additional Initiatives'!$D$163,'Additional Initiatives'!$D210,IF(AQ$4='Additional Initiatives'!$E$163,'Additional Initiatives'!$E210,IF(AQ$4='Additional Initiatives'!$F$163,'Additional Initiatives'!$F210,0)))))+AQ50</f>
        <v>0</v>
      </c>
      <c r="AR51" s="697">
        <f>IF(AR$4='Additional Initiatives'!$B$163,'Additional Initiatives'!$B210,IF(AR$4='Additional Initiatives'!$C$163,'Additional Initiatives'!$C210,IF(AR$4='Additional Initiatives'!$D$163,'Additional Initiatives'!$D210,IF(AR$4='Additional Initiatives'!$E$163,'Additional Initiatives'!$E210,IF(AR$4='Additional Initiatives'!$F$163,'Additional Initiatives'!$F210,0)))))+AR50</f>
        <v>0</v>
      </c>
      <c r="AS51" s="697">
        <f t="shared" si="19"/>
        <v>0</v>
      </c>
      <c r="AT51" s="696">
        <f t="shared" si="39"/>
        <v>0</v>
      </c>
      <c r="AU51" s="696">
        <f t="shared" si="20"/>
        <v>0</v>
      </c>
      <c r="AV51" s="696">
        <f t="shared" si="21"/>
        <v>0</v>
      </c>
      <c r="AW51" s="696">
        <f t="shared" si="22"/>
        <v>0</v>
      </c>
      <c r="AX51" s="696">
        <f t="shared" si="23"/>
        <v>0</v>
      </c>
      <c r="AY51" s="696">
        <f t="shared" si="24"/>
        <v>0</v>
      </c>
      <c r="AZ51" s="696">
        <f t="shared" si="25"/>
        <v>0</v>
      </c>
      <c r="BA51" s="696">
        <f t="shared" si="26"/>
        <v>0</v>
      </c>
      <c r="BB51" s="696">
        <f t="shared" si="27"/>
        <v>0</v>
      </c>
      <c r="BC51" s="696">
        <f>IF(BC$4='Additional Initiatives'!$B$163,'Additional Initiatives'!$B210,IF(BC$4='Additional Initiatives'!$C$163,'Additional Initiatives'!$C210,IF(BC$4='Additional Initiatives'!$D$163,'Additional Initiatives'!$D210,IF(BC$4='Additional Initiatives'!$E$163,'Additional Initiatives'!$E210,IF(BC$4='Additional Initiatives'!$F$163,'Additional Initiatives'!$F210,0)))))+BC50</f>
        <v>0</v>
      </c>
      <c r="BD51" s="696">
        <f>IF(BD$4='Additional Initiatives'!$B$163,'Additional Initiatives'!$B210,IF(BD$4='Additional Initiatives'!$C$163,'Additional Initiatives'!$C210,IF(BD$4='Additional Initiatives'!$D$163,'Additional Initiatives'!$D210,IF(BD$4='Additional Initiatives'!$E$163,'Additional Initiatives'!$E210,IF(BD$4='Additional Initiatives'!$F$163,'Additional Initiatives'!$F210,0)))))+BD50</f>
        <v>0</v>
      </c>
      <c r="BE51" s="696">
        <f>IF(BE$4='Additional Initiatives'!$B$163,'Additional Initiatives'!$B210,IF(BE$4='Additional Initiatives'!$C$163,'Additional Initiatives'!$C210,IF(BE$4='Additional Initiatives'!$D$163,'Additional Initiatives'!$D210,IF(BE$4='Additional Initiatives'!$E$163,'Additional Initiatives'!$E210,IF(BE$4='Additional Initiatives'!$F$163,'Additional Initiatives'!$F210,0)))))+BE50</f>
        <v>0</v>
      </c>
      <c r="BF51" s="696">
        <f t="shared" si="28"/>
        <v>0</v>
      </c>
    </row>
    <row r="52" spans="1:58">
      <c r="A52" s="21" t="s">
        <v>66</v>
      </c>
      <c r="B52" s="672">
        <f>'Data Entry Fuel'!B51*'Data Entry Fuel'!B203
+'Data Entry Fuel'!C51*'Data Entry Fuel'!C203
+'Data Entry Fuel'!D51*'Data Entry Fuel'!D203
+'Data Entry Fuel'!E51*'Data Entry Fuel'!E203
+'Data Entry Fuel'!F51*'Data Entry Fuel'!F203
+'Data Entry Fuel'!G51*'Data Entry Fuel'!G203
+'Data Entry Fuel'!H51*'Data Entry Fuel'!H203
+'Data Entry Fuel'!I51*'Data Entry Fuel'!I203
+'Data Entry Fuel'!J51*'Data Entry Fuel'!J203</f>
        <v>0</v>
      </c>
      <c r="C52" s="672">
        <f>'Data Entry Fuel'!B51*'Data Entry Fuel'!B203
+'Data Entry Fuel'!C51*'Data Entry Fuel'!C203
+'Data Entry Fuel'!D51*'Data Entry Fuel'!D203
+'Data Entry Fuel'!E51*'Data Entry Fuel'!E203
+'Data Entry Fuel'!F51*'Data Entry Fuel'!F203
+'Data Entry Fuel'!G51*'Data Entry Fuel'!G203
+'Data Entry Fuel'!H51*'Data Entry Fuel'!H203
+'Data Entry Fuel'!I51*'Data Entry Fuel'!C203 *   (1 -  0.13 * 'Data Entry Fuel'!I$3)
+'Data Entry Fuel'!J51*'Data Entry Fuel'!J203</f>
        <v>0</v>
      </c>
      <c r="D52" s="677">
        <f>'Data Entry Electricity'!B51*'Data Entry Electricity'!L51+'Data Entry Electricity'!C51*'Data Entry Electricity'!M51+'Data Entry Electricity'!D51*'Data Entry Electricity'!N51+'Data Entry Electricity'!E51*'Data Entry Electricity'!O51</f>
        <v>0</v>
      </c>
      <c r="E52" s="776">
        <f>'Data Entry Electricity'!B51*'Data Entry Electricity'!L51+'Data Entry Electricity'!C51*'Data Entry Electricity'!L51+'Data Entry Electricity'!D51*'Data Entry Electricity'!N51+'Data Entry Electricity'!E51*'Data Entry Electricity'!O51</f>
        <v>0</v>
      </c>
      <c r="F52" s="777">
        <f>(SUM('Fuel Equipment Savings Calculat'!$B49:$S49))+(SUM('Efficient Site Offices DD &amp; Cal'!$B85:$F85))+'PFC Calculations'!$G50+(SUM('Behaviour Calculations'!$E56,'Behaviour Calculations'!$J56,'Behaviour Calculations'!$O56))+(SUM('Reduced Power Lighting Calculat'!$B50:$F50)+SUM('Hybrid Lighting Calculations'!$B54:$F54)+('PIR Lighting Calculations'!$H50)+SUM('Water Calculations'!$B50:$G50)+'Additional Initiatives'!$H63)</f>
        <v>0</v>
      </c>
      <c r="G52" s="778">
        <f t="shared" si="29"/>
        <v>0</v>
      </c>
      <c r="H52" s="778">
        <f t="shared" si="5"/>
        <v>0</v>
      </c>
      <c r="I52" s="778">
        <f t="shared" si="30"/>
        <v>0</v>
      </c>
      <c r="J52" s="798">
        <f t="shared" si="34"/>
        <v>0</v>
      </c>
      <c r="K52" s="779">
        <f t="shared" si="35"/>
        <v>0</v>
      </c>
      <c r="L52" s="780">
        <f t="shared" si="31"/>
        <v>0</v>
      </c>
      <c r="M52" s="780">
        <f t="shared" si="32"/>
        <v>0</v>
      </c>
      <c r="N52" s="781">
        <f t="shared" si="33"/>
        <v>0</v>
      </c>
      <c r="O52" s="781">
        <f t="shared" si="16"/>
        <v>0</v>
      </c>
      <c r="Q52" s="683">
        <f t="shared" si="36"/>
        <v>0</v>
      </c>
      <c r="R52" s="683">
        <f t="shared" si="37"/>
        <v>0</v>
      </c>
      <c r="T52" s="673">
        <f t="shared" si="10"/>
        <v>0</v>
      </c>
      <c r="U52" s="674">
        <f>'Fuel Equipment Savings Calculat'!$V49</f>
        <v>0</v>
      </c>
      <c r="V52" s="674">
        <f>'Efficient Site Offices DD &amp; Cal'!$H85</f>
        <v>0</v>
      </c>
      <c r="W52" s="674">
        <f>'PFC Calculations'!$G50</f>
        <v>0</v>
      </c>
      <c r="X52" s="674">
        <f>'Behaviour Calculations'!$E56</f>
        <v>0</v>
      </c>
      <c r="Y52" s="674">
        <f>'Behaviour Calculations'!$J56</f>
        <v>0</v>
      </c>
      <c r="Z52" s="674">
        <f>'Behaviour Calculations'!$O56</f>
        <v>0</v>
      </c>
      <c r="AA52" s="674">
        <f>'Reduced Power Lighting Calculat'!$H50</f>
        <v>0</v>
      </c>
      <c r="AB52" s="674">
        <f>'Hybrid Lighting Calculations'!H54</f>
        <v>0</v>
      </c>
      <c r="AC52" s="674">
        <f>'PIR Lighting Calculations'!$H50</f>
        <v>0</v>
      </c>
      <c r="AD52" s="674">
        <f>'Water Calculations'!$I50</f>
        <v>0</v>
      </c>
      <c r="AE52" s="674">
        <f>'Additional Initiatives'!$H63</f>
        <v>0</v>
      </c>
      <c r="AF52" s="679">
        <f t="shared" si="11"/>
        <v>0</v>
      </c>
      <c r="AG52" s="679">
        <f>(C52-B52) - (0.13 * 'Data Entry Fuel'!I$3) * (U52+AB52)</f>
        <v>0</v>
      </c>
      <c r="AH52" s="5"/>
      <c r="AI52" s="19">
        <v>1309</v>
      </c>
      <c r="AJ52" s="19">
        <f t="shared" si="12"/>
        <v>2013</v>
      </c>
      <c r="AK52" s="19">
        <f t="shared" si="13"/>
        <v>7</v>
      </c>
      <c r="AL52" s="19">
        <v>48</v>
      </c>
      <c r="AM52" s="697">
        <f t="shared" si="38"/>
        <v>0</v>
      </c>
      <c r="AN52" s="697">
        <f t="shared" si="17"/>
        <v>0</v>
      </c>
      <c r="AO52" s="697">
        <f t="shared" si="18"/>
        <v>0</v>
      </c>
      <c r="AP52" s="697">
        <f>IF(AP$4='Additional Initiatives'!$B$163,'Additional Initiatives'!$B211,IF(AP$4='Additional Initiatives'!$C$163,'Additional Initiatives'!$C211,IF(AP$4='Additional Initiatives'!$D$163,'Additional Initiatives'!$D211,IF(AP$4='Additional Initiatives'!$E$163,'Additional Initiatives'!$E211,IF(AP$4='Additional Initiatives'!$F$163,'Additional Initiatives'!$F211,0)))))+AP51</f>
        <v>0</v>
      </c>
      <c r="AQ52" s="697">
        <f>IF(AQ$4='Additional Initiatives'!$B$163,'Additional Initiatives'!$B211,IF(AQ$4='Additional Initiatives'!$C$163,'Additional Initiatives'!$C211,IF(AQ$4='Additional Initiatives'!$D$163,'Additional Initiatives'!$D211,IF(AQ$4='Additional Initiatives'!$E$163,'Additional Initiatives'!$E211,IF(AQ$4='Additional Initiatives'!$F$163,'Additional Initiatives'!$F211,0)))))+AQ51</f>
        <v>0</v>
      </c>
      <c r="AR52" s="697">
        <f>IF(AR$4='Additional Initiatives'!$B$163,'Additional Initiatives'!$B211,IF(AR$4='Additional Initiatives'!$C$163,'Additional Initiatives'!$C211,IF(AR$4='Additional Initiatives'!$D$163,'Additional Initiatives'!$D211,IF(AR$4='Additional Initiatives'!$E$163,'Additional Initiatives'!$E211,IF(AR$4='Additional Initiatives'!$F$163,'Additional Initiatives'!$F211,0)))))+AR51</f>
        <v>0</v>
      </c>
      <c r="AS52" s="697">
        <f t="shared" si="19"/>
        <v>0</v>
      </c>
      <c r="AT52" s="696">
        <f t="shared" si="39"/>
        <v>0</v>
      </c>
      <c r="AU52" s="696">
        <f t="shared" si="20"/>
        <v>0</v>
      </c>
      <c r="AV52" s="696">
        <f t="shared" si="21"/>
        <v>0</v>
      </c>
      <c r="AW52" s="696">
        <f t="shared" si="22"/>
        <v>0</v>
      </c>
      <c r="AX52" s="696">
        <f t="shared" si="23"/>
        <v>0</v>
      </c>
      <c r="AY52" s="696">
        <f t="shared" si="24"/>
        <v>0</v>
      </c>
      <c r="AZ52" s="696">
        <f t="shared" si="25"/>
        <v>0</v>
      </c>
      <c r="BA52" s="696">
        <f t="shared" si="26"/>
        <v>0</v>
      </c>
      <c r="BB52" s="696">
        <f t="shared" si="27"/>
        <v>0</v>
      </c>
      <c r="BC52" s="696">
        <f>IF(BC$4='Additional Initiatives'!$B$163,'Additional Initiatives'!$B211,IF(BC$4='Additional Initiatives'!$C$163,'Additional Initiatives'!$C211,IF(BC$4='Additional Initiatives'!$D$163,'Additional Initiatives'!$D211,IF(BC$4='Additional Initiatives'!$E$163,'Additional Initiatives'!$E211,IF(BC$4='Additional Initiatives'!$F$163,'Additional Initiatives'!$F211,0)))))+BC51</f>
        <v>0</v>
      </c>
      <c r="BD52" s="696">
        <f>IF(BD$4='Additional Initiatives'!$B$163,'Additional Initiatives'!$B211,IF(BD$4='Additional Initiatives'!$C$163,'Additional Initiatives'!$C211,IF(BD$4='Additional Initiatives'!$D$163,'Additional Initiatives'!$D211,IF(BD$4='Additional Initiatives'!$E$163,'Additional Initiatives'!$E211,IF(BD$4='Additional Initiatives'!$F$163,'Additional Initiatives'!$F211,0)))))+BD51</f>
        <v>0</v>
      </c>
      <c r="BE52" s="696">
        <f>IF(BE$4='Additional Initiatives'!$B$163,'Additional Initiatives'!$B211,IF(BE$4='Additional Initiatives'!$C$163,'Additional Initiatives'!$C211,IF(BE$4='Additional Initiatives'!$D$163,'Additional Initiatives'!$D211,IF(BE$4='Additional Initiatives'!$E$163,'Additional Initiatives'!$E211,IF(BE$4='Additional Initiatives'!$F$163,'Additional Initiatives'!$F211,0)))))+BE51</f>
        <v>0</v>
      </c>
      <c r="BF52" s="696">
        <f t="shared" si="28"/>
        <v>0</v>
      </c>
    </row>
    <row r="53" spans="1:58">
      <c r="A53" s="21" t="s">
        <v>8</v>
      </c>
      <c r="B53" s="672">
        <f>'Data Entry Fuel'!B52*'Data Entry Fuel'!B204
+'Data Entry Fuel'!C52*'Data Entry Fuel'!C204
+'Data Entry Fuel'!D52*'Data Entry Fuel'!D204
+'Data Entry Fuel'!E52*'Data Entry Fuel'!E204
+'Data Entry Fuel'!F52*'Data Entry Fuel'!F204
+'Data Entry Fuel'!G52*'Data Entry Fuel'!G204
+'Data Entry Fuel'!H52*'Data Entry Fuel'!H204
+'Data Entry Fuel'!I52*'Data Entry Fuel'!I204
+'Data Entry Fuel'!J52*'Data Entry Fuel'!J204</f>
        <v>0</v>
      </c>
      <c r="C53" s="672">
        <f>'Data Entry Fuel'!B52*'Data Entry Fuel'!B204
+'Data Entry Fuel'!C52*'Data Entry Fuel'!C204
+'Data Entry Fuel'!D52*'Data Entry Fuel'!D204
+'Data Entry Fuel'!E52*'Data Entry Fuel'!E204
+'Data Entry Fuel'!F52*'Data Entry Fuel'!F204
+'Data Entry Fuel'!G52*'Data Entry Fuel'!G204
+'Data Entry Fuel'!H52*'Data Entry Fuel'!H204
+'Data Entry Fuel'!I52*'Data Entry Fuel'!C204 *   (1 -  0.13 * 'Data Entry Fuel'!I$3)
+'Data Entry Fuel'!J52*'Data Entry Fuel'!J204</f>
        <v>0</v>
      </c>
      <c r="D53" s="677">
        <f>'Data Entry Electricity'!B52*'Data Entry Electricity'!L52+'Data Entry Electricity'!C52*'Data Entry Electricity'!M52+'Data Entry Electricity'!D52*'Data Entry Electricity'!N52+'Data Entry Electricity'!E52*'Data Entry Electricity'!O52</f>
        <v>0</v>
      </c>
      <c r="E53" s="776">
        <f>'Data Entry Electricity'!B52*'Data Entry Electricity'!L52+'Data Entry Electricity'!C52*'Data Entry Electricity'!L52+'Data Entry Electricity'!D52*'Data Entry Electricity'!N52+'Data Entry Electricity'!E52*'Data Entry Electricity'!O52</f>
        <v>0</v>
      </c>
      <c r="F53" s="777">
        <f>(SUM('Fuel Equipment Savings Calculat'!$B50:$S50))+(SUM('Efficient Site Offices DD &amp; Cal'!$B86:$F86))+'PFC Calculations'!$G51+(SUM('Behaviour Calculations'!$E57,'Behaviour Calculations'!$J57,'Behaviour Calculations'!$O57))+(SUM('Reduced Power Lighting Calculat'!$B51:$F51)+SUM('Hybrid Lighting Calculations'!$B55:$F55)+('PIR Lighting Calculations'!$H51)+SUM('Water Calculations'!$B51:$G51)+'Additional Initiatives'!$H64)</f>
        <v>0</v>
      </c>
      <c r="G53" s="778">
        <f t="shared" si="29"/>
        <v>0</v>
      </c>
      <c r="H53" s="778">
        <f t="shared" si="5"/>
        <v>0</v>
      </c>
      <c r="I53" s="778">
        <f t="shared" si="30"/>
        <v>0</v>
      </c>
      <c r="J53" s="798">
        <f t="shared" si="34"/>
        <v>0</v>
      </c>
      <c r="K53" s="779">
        <f t="shared" si="35"/>
        <v>0</v>
      </c>
      <c r="L53" s="780">
        <f t="shared" si="31"/>
        <v>0</v>
      </c>
      <c r="M53" s="780">
        <f t="shared" si="32"/>
        <v>0</v>
      </c>
      <c r="N53" s="781">
        <f t="shared" si="33"/>
        <v>0</v>
      </c>
      <c r="O53" s="781">
        <f t="shared" si="16"/>
        <v>0</v>
      </c>
      <c r="Q53" s="683">
        <f t="shared" si="36"/>
        <v>0</v>
      </c>
      <c r="R53" s="683">
        <f t="shared" si="37"/>
        <v>0</v>
      </c>
      <c r="T53" s="673">
        <f t="shared" si="10"/>
        <v>0</v>
      </c>
      <c r="U53" s="674">
        <f>'Fuel Equipment Savings Calculat'!$V50</f>
        <v>0</v>
      </c>
      <c r="V53" s="674">
        <f>'Efficient Site Offices DD &amp; Cal'!$H86</f>
        <v>0</v>
      </c>
      <c r="W53" s="674">
        <f>'PFC Calculations'!$G51</f>
        <v>0</v>
      </c>
      <c r="X53" s="674">
        <f>'Behaviour Calculations'!$E57</f>
        <v>0</v>
      </c>
      <c r="Y53" s="674">
        <f>'Behaviour Calculations'!$J57</f>
        <v>0</v>
      </c>
      <c r="Z53" s="674">
        <f>'Behaviour Calculations'!$O57</f>
        <v>0</v>
      </c>
      <c r="AA53" s="674">
        <f>'Reduced Power Lighting Calculat'!$H51</f>
        <v>0</v>
      </c>
      <c r="AB53" s="674">
        <f>'Hybrid Lighting Calculations'!H55</f>
        <v>0</v>
      </c>
      <c r="AC53" s="674">
        <f>'PIR Lighting Calculations'!$H51</f>
        <v>0</v>
      </c>
      <c r="AD53" s="674">
        <f>'Water Calculations'!$I51</f>
        <v>0</v>
      </c>
      <c r="AE53" s="674">
        <f>'Additional Initiatives'!$H64</f>
        <v>0</v>
      </c>
      <c r="AF53" s="679">
        <f t="shared" si="11"/>
        <v>0</v>
      </c>
      <c r="AG53" s="679">
        <f>(C53-B53) - (0.13 * 'Data Entry Fuel'!I$3) * (U53+AB53)</f>
        <v>0</v>
      </c>
      <c r="AH53" s="5"/>
      <c r="AI53" s="19">
        <v>1310</v>
      </c>
      <c r="AJ53" s="19">
        <f t="shared" si="12"/>
        <v>2013</v>
      </c>
      <c r="AK53" s="19">
        <f t="shared" si="13"/>
        <v>7</v>
      </c>
      <c r="AL53" s="19">
        <v>49</v>
      </c>
      <c r="AM53" s="697">
        <f t="shared" si="38"/>
        <v>0</v>
      </c>
      <c r="AN53" s="697">
        <f t="shared" si="17"/>
        <v>0</v>
      </c>
      <c r="AO53" s="697">
        <f t="shared" si="18"/>
        <v>0</v>
      </c>
      <c r="AP53" s="697">
        <f>IF(AP$4='Additional Initiatives'!$B$163,'Additional Initiatives'!$B212,IF(AP$4='Additional Initiatives'!$C$163,'Additional Initiatives'!$C212,IF(AP$4='Additional Initiatives'!$D$163,'Additional Initiatives'!$D212,IF(AP$4='Additional Initiatives'!$E$163,'Additional Initiatives'!$E212,IF(AP$4='Additional Initiatives'!$F$163,'Additional Initiatives'!$F212,0)))))+AP52</f>
        <v>0</v>
      </c>
      <c r="AQ53" s="697">
        <f>IF(AQ$4='Additional Initiatives'!$B$163,'Additional Initiatives'!$B212,IF(AQ$4='Additional Initiatives'!$C$163,'Additional Initiatives'!$C212,IF(AQ$4='Additional Initiatives'!$D$163,'Additional Initiatives'!$D212,IF(AQ$4='Additional Initiatives'!$E$163,'Additional Initiatives'!$E212,IF(AQ$4='Additional Initiatives'!$F$163,'Additional Initiatives'!$F212,0)))))+AQ52</f>
        <v>0</v>
      </c>
      <c r="AR53" s="697">
        <f>IF(AR$4='Additional Initiatives'!$B$163,'Additional Initiatives'!$B212,IF(AR$4='Additional Initiatives'!$C$163,'Additional Initiatives'!$C212,IF(AR$4='Additional Initiatives'!$D$163,'Additional Initiatives'!$D212,IF(AR$4='Additional Initiatives'!$E$163,'Additional Initiatives'!$E212,IF(AR$4='Additional Initiatives'!$F$163,'Additional Initiatives'!$F212,0)))))+AR52</f>
        <v>0</v>
      </c>
      <c r="AS53" s="697">
        <f t="shared" si="19"/>
        <v>0</v>
      </c>
      <c r="AT53" s="696">
        <f t="shared" si="39"/>
        <v>0</v>
      </c>
      <c r="AU53" s="696">
        <f t="shared" si="20"/>
        <v>0</v>
      </c>
      <c r="AV53" s="696">
        <f t="shared" si="21"/>
        <v>0</v>
      </c>
      <c r="AW53" s="696">
        <f t="shared" si="22"/>
        <v>0</v>
      </c>
      <c r="AX53" s="696">
        <f t="shared" si="23"/>
        <v>0</v>
      </c>
      <c r="AY53" s="696">
        <f t="shared" si="24"/>
        <v>0</v>
      </c>
      <c r="AZ53" s="696">
        <f t="shared" si="25"/>
        <v>0</v>
      </c>
      <c r="BA53" s="696">
        <f t="shared" si="26"/>
        <v>0</v>
      </c>
      <c r="BB53" s="696">
        <f t="shared" si="27"/>
        <v>0</v>
      </c>
      <c r="BC53" s="696">
        <f>IF(BC$4='Additional Initiatives'!$B$163,'Additional Initiatives'!$B212,IF(BC$4='Additional Initiatives'!$C$163,'Additional Initiatives'!$C212,IF(BC$4='Additional Initiatives'!$D$163,'Additional Initiatives'!$D212,IF(BC$4='Additional Initiatives'!$E$163,'Additional Initiatives'!$E212,IF(BC$4='Additional Initiatives'!$F$163,'Additional Initiatives'!$F212,0)))))+BC52</f>
        <v>0</v>
      </c>
      <c r="BD53" s="696">
        <f>IF(BD$4='Additional Initiatives'!$B$163,'Additional Initiatives'!$B212,IF(BD$4='Additional Initiatives'!$C$163,'Additional Initiatives'!$C212,IF(BD$4='Additional Initiatives'!$D$163,'Additional Initiatives'!$D212,IF(BD$4='Additional Initiatives'!$E$163,'Additional Initiatives'!$E212,IF(BD$4='Additional Initiatives'!$F$163,'Additional Initiatives'!$F212,0)))))+BD52</f>
        <v>0</v>
      </c>
      <c r="BE53" s="696">
        <f>IF(BE$4='Additional Initiatives'!$B$163,'Additional Initiatives'!$B212,IF(BE$4='Additional Initiatives'!$C$163,'Additional Initiatives'!$C212,IF(BE$4='Additional Initiatives'!$D$163,'Additional Initiatives'!$D212,IF(BE$4='Additional Initiatives'!$E$163,'Additional Initiatives'!$E212,IF(BE$4='Additional Initiatives'!$F$163,'Additional Initiatives'!$F212,0)))))+BE52</f>
        <v>0</v>
      </c>
      <c r="BF53" s="696">
        <f t="shared" si="28"/>
        <v>0</v>
      </c>
    </row>
    <row r="54" spans="1:58">
      <c r="A54" s="21" t="s">
        <v>9</v>
      </c>
      <c r="B54" s="672">
        <f>'Data Entry Fuel'!B53*'Data Entry Fuel'!B205
+'Data Entry Fuel'!C53*'Data Entry Fuel'!C205
+'Data Entry Fuel'!D53*'Data Entry Fuel'!D205
+'Data Entry Fuel'!E53*'Data Entry Fuel'!E205
+'Data Entry Fuel'!F53*'Data Entry Fuel'!F205
+'Data Entry Fuel'!G53*'Data Entry Fuel'!G205
+'Data Entry Fuel'!H53*'Data Entry Fuel'!H205
+'Data Entry Fuel'!I53*'Data Entry Fuel'!I205
+'Data Entry Fuel'!J53*'Data Entry Fuel'!J205</f>
        <v>0</v>
      </c>
      <c r="C54" s="672">
        <f>'Data Entry Fuel'!B53*'Data Entry Fuel'!B205
+'Data Entry Fuel'!C53*'Data Entry Fuel'!C205
+'Data Entry Fuel'!D53*'Data Entry Fuel'!D205
+'Data Entry Fuel'!E53*'Data Entry Fuel'!E205
+'Data Entry Fuel'!F53*'Data Entry Fuel'!F205
+'Data Entry Fuel'!G53*'Data Entry Fuel'!G205
+'Data Entry Fuel'!H53*'Data Entry Fuel'!H205
+'Data Entry Fuel'!I53*'Data Entry Fuel'!C205 *   (1 -  0.13 * 'Data Entry Fuel'!I$3)
+'Data Entry Fuel'!J53*'Data Entry Fuel'!J205</f>
        <v>0</v>
      </c>
      <c r="D54" s="677">
        <f>'Data Entry Electricity'!B53*'Data Entry Electricity'!L53+'Data Entry Electricity'!C53*'Data Entry Electricity'!M53+'Data Entry Electricity'!D53*'Data Entry Electricity'!N53+'Data Entry Electricity'!E53*'Data Entry Electricity'!O53</f>
        <v>0</v>
      </c>
      <c r="E54" s="776">
        <f>'Data Entry Electricity'!B53*'Data Entry Electricity'!L53+'Data Entry Electricity'!C53*'Data Entry Electricity'!L53+'Data Entry Electricity'!D53*'Data Entry Electricity'!N53+'Data Entry Electricity'!E53*'Data Entry Electricity'!O53</f>
        <v>0</v>
      </c>
      <c r="F54" s="777">
        <f>(SUM('Fuel Equipment Savings Calculat'!$B51:$S51))+(SUM('Efficient Site Offices DD &amp; Cal'!$B87:$F87))+'PFC Calculations'!$G52+(SUM('Behaviour Calculations'!$E58,'Behaviour Calculations'!$J58,'Behaviour Calculations'!$O58))+(SUM('Reduced Power Lighting Calculat'!$B52:$F52)+SUM('Hybrid Lighting Calculations'!$B56:$F56)+('PIR Lighting Calculations'!$H52)+SUM('Water Calculations'!$B52:$G52)+'Additional Initiatives'!$H65)</f>
        <v>0</v>
      </c>
      <c r="G54" s="778">
        <f t="shared" si="29"/>
        <v>0</v>
      </c>
      <c r="H54" s="778">
        <f t="shared" si="5"/>
        <v>0</v>
      </c>
      <c r="I54" s="778">
        <f t="shared" si="30"/>
        <v>0</v>
      </c>
      <c r="J54" s="798">
        <f t="shared" si="34"/>
        <v>0</v>
      </c>
      <c r="K54" s="779">
        <f t="shared" si="35"/>
        <v>0</v>
      </c>
      <c r="L54" s="780">
        <f t="shared" si="31"/>
        <v>0</v>
      </c>
      <c r="M54" s="780">
        <f t="shared" si="32"/>
        <v>0</v>
      </c>
      <c r="N54" s="781">
        <f t="shared" si="33"/>
        <v>0</v>
      </c>
      <c r="O54" s="781">
        <f t="shared" si="16"/>
        <v>0</v>
      </c>
      <c r="Q54" s="683">
        <f t="shared" si="36"/>
        <v>0</v>
      </c>
      <c r="R54" s="683">
        <f t="shared" si="37"/>
        <v>0</v>
      </c>
      <c r="T54" s="673">
        <f t="shared" si="10"/>
        <v>0</v>
      </c>
      <c r="U54" s="674">
        <f>'Fuel Equipment Savings Calculat'!$V51</f>
        <v>0</v>
      </c>
      <c r="V54" s="674">
        <f>'Efficient Site Offices DD &amp; Cal'!$H87</f>
        <v>0</v>
      </c>
      <c r="W54" s="674">
        <f>'PFC Calculations'!$G52</f>
        <v>0</v>
      </c>
      <c r="X54" s="674">
        <f>'Behaviour Calculations'!$E58</f>
        <v>0</v>
      </c>
      <c r="Y54" s="674">
        <f>'Behaviour Calculations'!$J58</f>
        <v>0</v>
      </c>
      <c r="Z54" s="674">
        <f>'Behaviour Calculations'!$O58</f>
        <v>0</v>
      </c>
      <c r="AA54" s="674">
        <f>'Reduced Power Lighting Calculat'!$H52</f>
        <v>0</v>
      </c>
      <c r="AB54" s="674">
        <f>'Hybrid Lighting Calculations'!H56</f>
        <v>0</v>
      </c>
      <c r="AC54" s="674">
        <f>'PIR Lighting Calculations'!$H52</f>
        <v>0</v>
      </c>
      <c r="AD54" s="674">
        <f>'Water Calculations'!$I52</f>
        <v>0</v>
      </c>
      <c r="AE54" s="674">
        <f>'Additional Initiatives'!$H65</f>
        <v>0</v>
      </c>
      <c r="AF54" s="679">
        <f t="shared" si="11"/>
        <v>0</v>
      </c>
      <c r="AG54" s="679">
        <f>(C54-B54) - (0.13 * 'Data Entry Fuel'!I$3) * (U54+AB54)</f>
        <v>0</v>
      </c>
      <c r="AH54" s="5"/>
      <c r="AI54" s="19">
        <v>1311</v>
      </c>
      <c r="AJ54" s="19">
        <f t="shared" si="12"/>
        <v>2013</v>
      </c>
      <c r="AK54" s="19">
        <f t="shared" si="13"/>
        <v>7</v>
      </c>
      <c r="AL54" s="19">
        <v>50</v>
      </c>
      <c r="AM54" s="697">
        <f t="shared" si="38"/>
        <v>0</v>
      </c>
      <c r="AN54" s="697">
        <f t="shared" si="17"/>
        <v>0</v>
      </c>
      <c r="AO54" s="697">
        <f t="shared" si="18"/>
        <v>0</v>
      </c>
      <c r="AP54" s="697">
        <f>IF(AP$4='Additional Initiatives'!$B$163,'Additional Initiatives'!$B213,IF(AP$4='Additional Initiatives'!$C$163,'Additional Initiatives'!$C213,IF(AP$4='Additional Initiatives'!$D$163,'Additional Initiatives'!$D213,IF(AP$4='Additional Initiatives'!$E$163,'Additional Initiatives'!$E213,IF(AP$4='Additional Initiatives'!$F$163,'Additional Initiatives'!$F213,0)))))+AP53</f>
        <v>0</v>
      </c>
      <c r="AQ54" s="697">
        <f>IF(AQ$4='Additional Initiatives'!$B$163,'Additional Initiatives'!$B213,IF(AQ$4='Additional Initiatives'!$C$163,'Additional Initiatives'!$C213,IF(AQ$4='Additional Initiatives'!$D$163,'Additional Initiatives'!$D213,IF(AQ$4='Additional Initiatives'!$E$163,'Additional Initiatives'!$E213,IF(AQ$4='Additional Initiatives'!$F$163,'Additional Initiatives'!$F213,0)))))+AQ53</f>
        <v>0</v>
      </c>
      <c r="AR54" s="697">
        <f>IF(AR$4='Additional Initiatives'!$B$163,'Additional Initiatives'!$B213,IF(AR$4='Additional Initiatives'!$C$163,'Additional Initiatives'!$C213,IF(AR$4='Additional Initiatives'!$D$163,'Additional Initiatives'!$D213,IF(AR$4='Additional Initiatives'!$E$163,'Additional Initiatives'!$E213,IF(AR$4='Additional Initiatives'!$F$163,'Additional Initiatives'!$F213,0)))))+AR53</f>
        <v>0</v>
      </c>
      <c r="AS54" s="697">
        <f t="shared" si="19"/>
        <v>0</v>
      </c>
      <c r="AT54" s="696">
        <f t="shared" si="39"/>
        <v>0</v>
      </c>
      <c r="AU54" s="696">
        <f t="shared" si="20"/>
        <v>0</v>
      </c>
      <c r="AV54" s="696">
        <f t="shared" si="21"/>
        <v>0</v>
      </c>
      <c r="AW54" s="696">
        <f t="shared" si="22"/>
        <v>0</v>
      </c>
      <c r="AX54" s="696">
        <f t="shared" si="23"/>
        <v>0</v>
      </c>
      <c r="AY54" s="696">
        <f t="shared" si="24"/>
        <v>0</v>
      </c>
      <c r="AZ54" s="696">
        <f t="shared" si="25"/>
        <v>0</v>
      </c>
      <c r="BA54" s="696">
        <f t="shared" si="26"/>
        <v>0</v>
      </c>
      <c r="BB54" s="696">
        <f t="shared" si="27"/>
        <v>0</v>
      </c>
      <c r="BC54" s="696">
        <f>IF(BC$4='Additional Initiatives'!$B$163,'Additional Initiatives'!$B213,IF(BC$4='Additional Initiatives'!$C$163,'Additional Initiatives'!$C213,IF(BC$4='Additional Initiatives'!$D$163,'Additional Initiatives'!$D213,IF(BC$4='Additional Initiatives'!$E$163,'Additional Initiatives'!$E213,IF(BC$4='Additional Initiatives'!$F$163,'Additional Initiatives'!$F213,0)))))+BC53</f>
        <v>0</v>
      </c>
      <c r="BD54" s="696">
        <f>IF(BD$4='Additional Initiatives'!$B$163,'Additional Initiatives'!$B213,IF(BD$4='Additional Initiatives'!$C$163,'Additional Initiatives'!$C213,IF(BD$4='Additional Initiatives'!$D$163,'Additional Initiatives'!$D213,IF(BD$4='Additional Initiatives'!$E$163,'Additional Initiatives'!$E213,IF(BD$4='Additional Initiatives'!$F$163,'Additional Initiatives'!$F213,0)))))+BD53</f>
        <v>0</v>
      </c>
      <c r="BE54" s="696">
        <f>IF(BE$4='Additional Initiatives'!$B$163,'Additional Initiatives'!$B213,IF(BE$4='Additional Initiatives'!$C$163,'Additional Initiatives'!$C213,IF(BE$4='Additional Initiatives'!$D$163,'Additional Initiatives'!$D213,IF(BE$4='Additional Initiatives'!$E$163,'Additional Initiatives'!$E213,IF(BE$4='Additional Initiatives'!$F$163,'Additional Initiatives'!$F213,0)))))+BE53</f>
        <v>0</v>
      </c>
      <c r="BF54" s="696">
        <f t="shared" si="28"/>
        <v>0</v>
      </c>
    </row>
    <row r="55" spans="1:58">
      <c r="A55" s="21" t="s">
        <v>10</v>
      </c>
      <c r="B55" s="672">
        <f>'Data Entry Fuel'!B54*'Data Entry Fuel'!B206
+'Data Entry Fuel'!C54*'Data Entry Fuel'!C206
+'Data Entry Fuel'!D54*'Data Entry Fuel'!D206
+'Data Entry Fuel'!E54*'Data Entry Fuel'!E206
+'Data Entry Fuel'!F54*'Data Entry Fuel'!F206
+'Data Entry Fuel'!G54*'Data Entry Fuel'!G206
+'Data Entry Fuel'!H54*'Data Entry Fuel'!H206
+'Data Entry Fuel'!I54*'Data Entry Fuel'!I206
+'Data Entry Fuel'!J54*'Data Entry Fuel'!J206</f>
        <v>0</v>
      </c>
      <c r="C55" s="672">
        <f>'Data Entry Fuel'!B54*'Data Entry Fuel'!B206
+'Data Entry Fuel'!C54*'Data Entry Fuel'!C206
+'Data Entry Fuel'!D54*'Data Entry Fuel'!D206
+'Data Entry Fuel'!E54*'Data Entry Fuel'!E206
+'Data Entry Fuel'!F54*'Data Entry Fuel'!F206
+'Data Entry Fuel'!G54*'Data Entry Fuel'!G206
+'Data Entry Fuel'!H54*'Data Entry Fuel'!H206
+'Data Entry Fuel'!I54*'Data Entry Fuel'!C206 *   (1 -  0.13 * 'Data Entry Fuel'!I$3)
+'Data Entry Fuel'!J54*'Data Entry Fuel'!J206</f>
        <v>0</v>
      </c>
      <c r="D55" s="677">
        <f>'Data Entry Electricity'!B54*'Data Entry Electricity'!L54+'Data Entry Electricity'!C54*'Data Entry Electricity'!M54+'Data Entry Electricity'!D54*'Data Entry Electricity'!N54+'Data Entry Electricity'!E54*'Data Entry Electricity'!O54</f>
        <v>0</v>
      </c>
      <c r="E55" s="776">
        <f>'Data Entry Electricity'!B54*'Data Entry Electricity'!L54+'Data Entry Electricity'!C54*'Data Entry Electricity'!L54+'Data Entry Electricity'!D54*'Data Entry Electricity'!N54+'Data Entry Electricity'!E54*'Data Entry Electricity'!O54</f>
        <v>0</v>
      </c>
      <c r="F55" s="777">
        <f>(SUM('Fuel Equipment Savings Calculat'!$B52:$S52))+(SUM('Efficient Site Offices DD &amp; Cal'!$B88:$F88))+'PFC Calculations'!$G53+(SUM('Behaviour Calculations'!$E59,'Behaviour Calculations'!$J59,'Behaviour Calculations'!$O59))+(SUM('Reduced Power Lighting Calculat'!$B53:$F53)+SUM('Hybrid Lighting Calculations'!$B57:$F57)+('PIR Lighting Calculations'!$H53)+SUM('Water Calculations'!$B53:$G53)+'Additional Initiatives'!$H66)</f>
        <v>0</v>
      </c>
      <c r="G55" s="778">
        <f t="shared" si="29"/>
        <v>0</v>
      </c>
      <c r="H55" s="778">
        <f t="shared" si="5"/>
        <v>0</v>
      </c>
      <c r="I55" s="778">
        <f t="shared" si="30"/>
        <v>0</v>
      </c>
      <c r="J55" s="798">
        <f t="shared" si="34"/>
        <v>0</v>
      </c>
      <c r="K55" s="779">
        <f t="shared" si="35"/>
        <v>0</v>
      </c>
      <c r="L55" s="780">
        <f t="shared" si="31"/>
        <v>0</v>
      </c>
      <c r="M55" s="780">
        <f t="shared" si="32"/>
        <v>0</v>
      </c>
      <c r="N55" s="781">
        <f t="shared" si="33"/>
        <v>0</v>
      </c>
      <c r="O55" s="781">
        <f t="shared" si="16"/>
        <v>0</v>
      </c>
      <c r="Q55" s="683">
        <f t="shared" si="36"/>
        <v>0</v>
      </c>
      <c r="R55" s="683">
        <f t="shared" si="37"/>
        <v>0</v>
      </c>
      <c r="T55" s="673">
        <f t="shared" si="10"/>
        <v>0</v>
      </c>
      <c r="U55" s="674">
        <f>'Fuel Equipment Savings Calculat'!$V52</f>
        <v>0</v>
      </c>
      <c r="V55" s="674">
        <f>'Efficient Site Offices DD &amp; Cal'!$H88</f>
        <v>0</v>
      </c>
      <c r="W55" s="674">
        <f>'PFC Calculations'!$G53</f>
        <v>0</v>
      </c>
      <c r="X55" s="674">
        <f>'Behaviour Calculations'!$E59</f>
        <v>0</v>
      </c>
      <c r="Y55" s="674">
        <f>'Behaviour Calculations'!$J59</f>
        <v>0</v>
      </c>
      <c r="Z55" s="674">
        <f>'Behaviour Calculations'!$O59</f>
        <v>0</v>
      </c>
      <c r="AA55" s="674">
        <f>'Reduced Power Lighting Calculat'!$H53</f>
        <v>0</v>
      </c>
      <c r="AB55" s="674">
        <f>'Hybrid Lighting Calculations'!H57</f>
        <v>0</v>
      </c>
      <c r="AC55" s="674">
        <f>'PIR Lighting Calculations'!$H53</f>
        <v>0</v>
      </c>
      <c r="AD55" s="674">
        <f>'Water Calculations'!$I53</f>
        <v>0</v>
      </c>
      <c r="AE55" s="674">
        <f>'Additional Initiatives'!$H66</f>
        <v>0</v>
      </c>
      <c r="AF55" s="679">
        <f t="shared" si="11"/>
        <v>0</v>
      </c>
      <c r="AG55" s="679">
        <f>(C55-B55) - (0.13 * 'Data Entry Fuel'!I$3) * (U55+AB55)</f>
        <v>0</v>
      </c>
      <c r="AH55" s="5"/>
      <c r="AI55" s="19">
        <v>1312</v>
      </c>
      <c r="AJ55" s="19">
        <f t="shared" si="12"/>
        <v>2013</v>
      </c>
      <c r="AK55" s="19">
        <f t="shared" si="13"/>
        <v>7</v>
      </c>
      <c r="AL55" s="19">
        <v>51</v>
      </c>
      <c r="AM55" s="697">
        <f t="shared" si="38"/>
        <v>0</v>
      </c>
      <c r="AN55" s="697">
        <f t="shared" si="17"/>
        <v>0</v>
      </c>
      <c r="AO55" s="697">
        <f t="shared" si="18"/>
        <v>0</v>
      </c>
      <c r="AP55" s="697">
        <f>IF(AP$4='Additional Initiatives'!$B$163,'Additional Initiatives'!$B214,IF(AP$4='Additional Initiatives'!$C$163,'Additional Initiatives'!$C214,IF(AP$4='Additional Initiatives'!$D$163,'Additional Initiatives'!$D214,IF(AP$4='Additional Initiatives'!$E$163,'Additional Initiatives'!$E214,IF(AP$4='Additional Initiatives'!$F$163,'Additional Initiatives'!$F214,0)))))+AP54</f>
        <v>0</v>
      </c>
      <c r="AQ55" s="697">
        <f>IF(AQ$4='Additional Initiatives'!$B$163,'Additional Initiatives'!$B214,IF(AQ$4='Additional Initiatives'!$C$163,'Additional Initiatives'!$C214,IF(AQ$4='Additional Initiatives'!$D$163,'Additional Initiatives'!$D214,IF(AQ$4='Additional Initiatives'!$E$163,'Additional Initiatives'!$E214,IF(AQ$4='Additional Initiatives'!$F$163,'Additional Initiatives'!$F214,0)))))+AQ54</f>
        <v>0</v>
      </c>
      <c r="AR55" s="697">
        <f>IF(AR$4='Additional Initiatives'!$B$163,'Additional Initiatives'!$B214,IF(AR$4='Additional Initiatives'!$C$163,'Additional Initiatives'!$C214,IF(AR$4='Additional Initiatives'!$D$163,'Additional Initiatives'!$D214,IF(AR$4='Additional Initiatives'!$E$163,'Additional Initiatives'!$E214,IF(AR$4='Additional Initiatives'!$F$163,'Additional Initiatives'!$F214,0)))))+AR54</f>
        <v>0</v>
      </c>
      <c r="AS55" s="697">
        <f t="shared" si="19"/>
        <v>0</v>
      </c>
      <c r="AT55" s="696">
        <f t="shared" si="39"/>
        <v>0</v>
      </c>
      <c r="AU55" s="696">
        <f t="shared" si="20"/>
        <v>0</v>
      </c>
      <c r="AV55" s="696">
        <f t="shared" si="21"/>
        <v>0</v>
      </c>
      <c r="AW55" s="696">
        <f t="shared" si="22"/>
        <v>0</v>
      </c>
      <c r="AX55" s="696">
        <f t="shared" si="23"/>
        <v>0</v>
      </c>
      <c r="AY55" s="696">
        <f t="shared" si="24"/>
        <v>0</v>
      </c>
      <c r="AZ55" s="696">
        <f t="shared" si="25"/>
        <v>0</v>
      </c>
      <c r="BA55" s="696">
        <f t="shared" si="26"/>
        <v>0</v>
      </c>
      <c r="BB55" s="696">
        <f t="shared" si="27"/>
        <v>0</v>
      </c>
      <c r="BC55" s="696">
        <f>IF(BC$4='Additional Initiatives'!$B$163,'Additional Initiatives'!$B214,IF(BC$4='Additional Initiatives'!$C$163,'Additional Initiatives'!$C214,IF(BC$4='Additional Initiatives'!$D$163,'Additional Initiatives'!$D214,IF(BC$4='Additional Initiatives'!$E$163,'Additional Initiatives'!$E214,IF(BC$4='Additional Initiatives'!$F$163,'Additional Initiatives'!$F214,0)))))+BC54</f>
        <v>0</v>
      </c>
      <c r="BD55" s="696">
        <f>IF(BD$4='Additional Initiatives'!$B$163,'Additional Initiatives'!$B214,IF(BD$4='Additional Initiatives'!$C$163,'Additional Initiatives'!$C214,IF(BD$4='Additional Initiatives'!$D$163,'Additional Initiatives'!$D214,IF(BD$4='Additional Initiatives'!$E$163,'Additional Initiatives'!$E214,IF(BD$4='Additional Initiatives'!$F$163,'Additional Initiatives'!$F214,0)))))+BD54</f>
        <v>0</v>
      </c>
      <c r="BE55" s="696">
        <f>IF(BE$4='Additional Initiatives'!$B$163,'Additional Initiatives'!$B214,IF(BE$4='Additional Initiatives'!$C$163,'Additional Initiatives'!$C214,IF(BE$4='Additional Initiatives'!$D$163,'Additional Initiatives'!$D214,IF(BE$4='Additional Initiatives'!$E$163,'Additional Initiatives'!$E214,IF(BE$4='Additional Initiatives'!$F$163,'Additional Initiatives'!$F214,0)))))+BE54</f>
        <v>0</v>
      </c>
      <c r="BF55" s="696">
        <f t="shared" si="28"/>
        <v>0</v>
      </c>
    </row>
    <row r="56" spans="1:58">
      <c r="A56" s="21" t="s">
        <v>11</v>
      </c>
      <c r="B56" s="672">
        <f>'Data Entry Fuel'!B55*'Data Entry Fuel'!B207
+'Data Entry Fuel'!C55*'Data Entry Fuel'!C207
+'Data Entry Fuel'!D55*'Data Entry Fuel'!D207
+'Data Entry Fuel'!E55*'Data Entry Fuel'!E207
+'Data Entry Fuel'!F55*'Data Entry Fuel'!F207
+'Data Entry Fuel'!G55*'Data Entry Fuel'!G207
+'Data Entry Fuel'!H55*'Data Entry Fuel'!H207
+'Data Entry Fuel'!I55*'Data Entry Fuel'!I207
+'Data Entry Fuel'!J55*'Data Entry Fuel'!J207</f>
        <v>0</v>
      </c>
      <c r="C56" s="672">
        <f>'Data Entry Fuel'!B55*'Data Entry Fuel'!B207
+'Data Entry Fuel'!C55*'Data Entry Fuel'!C207
+'Data Entry Fuel'!D55*'Data Entry Fuel'!D207
+'Data Entry Fuel'!E55*'Data Entry Fuel'!E207
+'Data Entry Fuel'!F55*'Data Entry Fuel'!F207
+'Data Entry Fuel'!G55*'Data Entry Fuel'!G207
+'Data Entry Fuel'!H55*'Data Entry Fuel'!H207
+'Data Entry Fuel'!I55*'Data Entry Fuel'!C207 *   (1 -  0.13 * 'Data Entry Fuel'!I$3)
+'Data Entry Fuel'!J55*'Data Entry Fuel'!J207</f>
        <v>0</v>
      </c>
      <c r="D56" s="677">
        <f>'Data Entry Electricity'!B55*'Data Entry Electricity'!L55+'Data Entry Electricity'!C55*'Data Entry Electricity'!M55+'Data Entry Electricity'!D55*'Data Entry Electricity'!N55+'Data Entry Electricity'!E55*'Data Entry Electricity'!O55</f>
        <v>0</v>
      </c>
      <c r="E56" s="776">
        <f>'Data Entry Electricity'!B55*'Data Entry Electricity'!L55+'Data Entry Electricity'!C55*'Data Entry Electricity'!L55+'Data Entry Electricity'!D55*'Data Entry Electricity'!N55+'Data Entry Electricity'!E55*'Data Entry Electricity'!O55</f>
        <v>0</v>
      </c>
      <c r="F56" s="777">
        <f>(SUM('Fuel Equipment Savings Calculat'!$B53:$S53))+(SUM('Efficient Site Offices DD &amp; Cal'!$B89:$F89))+'PFC Calculations'!$G54+(SUM('Behaviour Calculations'!$E60,'Behaviour Calculations'!$J60,'Behaviour Calculations'!$O60))+(SUM('Reduced Power Lighting Calculat'!$B54:$F54)+SUM('Hybrid Lighting Calculations'!$B58:$F58)+('PIR Lighting Calculations'!$H54)+SUM('Water Calculations'!$B54:$G54)+'Additional Initiatives'!$H67)</f>
        <v>0</v>
      </c>
      <c r="G56" s="778">
        <f t="shared" si="29"/>
        <v>0</v>
      </c>
      <c r="H56" s="778">
        <f t="shared" si="5"/>
        <v>0</v>
      </c>
      <c r="I56" s="778">
        <f t="shared" si="30"/>
        <v>0</v>
      </c>
      <c r="J56" s="798">
        <f t="shared" si="34"/>
        <v>0</v>
      </c>
      <c r="K56" s="779">
        <f t="shared" si="35"/>
        <v>0</v>
      </c>
      <c r="L56" s="780">
        <f t="shared" si="31"/>
        <v>0</v>
      </c>
      <c r="M56" s="780">
        <f t="shared" si="32"/>
        <v>0</v>
      </c>
      <c r="N56" s="781">
        <f t="shared" si="33"/>
        <v>0</v>
      </c>
      <c r="O56" s="781">
        <f t="shared" si="16"/>
        <v>0</v>
      </c>
      <c r="Q56" s="683">
        <f t="shared" si="36"/>
        <v>0</v>
      </c>
      <c r="R56" s="683">
        <f t="shared" si="37"/>
        <v>0</v>
      </c>
      <c r="T56" s="673">
        <f t="shared" si="10"/>
        <v>0</v>
      </c>
      <c r="U56" s="674">
        <f>'Fuel Equipment Savings Calculat'!$V53</f>
        <v>0</v>
      </c>
      <c r="V56" s="674">
        <f>'Efficient Site Offices DD &amp; Cal'!$H89</f>
        <v>0</v>
      </c>
      <c r="W56" s="674">
        <f>'PFC Calculations'!$G54</f>
        <v>0</v>
      </c>
      <c r="X56" s="674">
        <f>'Behaviour Calculations'!$E60</f>
        <v>0</v>
      </c>
      <c r="Y56" s="674">
        <f>'Behaviour Calculations'!$J60</f>
        <v>0</v>
      </c>
      <c r="Z56" s="674">
        <f>'Behaviour Calculations'!$O60</f>
        <v>0</v>
      </c>
      <c r="AA56" s="674">
        <f>'Reduced Power Lighting Calculat'!$H54</f>
        <v>0</v>
      </c>
      <c r="AB56" s="674">
        <f>'Hybrid Lighting Calculations'!H58</f>
        <v>0</v>
      </c>
      <c r="AC56" s="674">
        <f>'PIR Lighting Calculations'!$H54</f>
        <v>0</v>
      </c>
      <c r="AD56" s="674">
        <f>'Water Calculations'!$I54</f>
        <v>0</v>
      </c>
      <c r="AE56" s="674">
        <f>'Additional Initiatives'!$H67</f>
        <v>0</v>
      </c>
      <c r="AF56" s="679">
        <f t="shared" si="11"/>
        <v>0</v>
      </c>
      <c r="AG56" s="679">
        <f>(C56-B56) - (0.13 * 'Data Entry Fuel'!I$3) * (U56+AB56)</f>
        <v>0</v>
      </c>
      <c r="AH56" s="5"/>
      <c r="AI56" s="19">
        <v>1313</v>
      </c>
      <c r="AJ56" s="19">
        <f t="shared" si="12"/>
        <v>2013</v>
      </c>
      <c r="AK56" s="19">
        <f t="shared" si="13"/>
        <v>7</v>
      </c>
      <c r="AL56" s="19">
        <v>52</v>
      </c>
      <c r="AM56" s="697">
        <f t="shared" si="38"/>
        <v>0</v>
      </c>
      <c r="AN56" s="697">
        <f t="shared" si="17"/>
        <v>0</v>
      </c>
      <c r="AO56" s="697">
        <f t="shared" si="18"/>
        <v>0</v>
      </c>
      <c r="AP56" s="697">
        <f>IF(AP$4='Additional Initiatives'!$B$163,'Additional Initiatives'!$B215,IF(AP$4='Additional Initiatives'!$C$163,'Additional Initiatives'!$C215,IF(AP$4='Additional Initiatives'!$D$163,'Additional Initiatives'!$D215,IF(AP$4='Additional Initiatives'!$E$163,'Additional Initiatives'!$E215,IF(AP$4='Additional Initiatives'!$F$163,'Additional Initiatives'!$F215,0)))))+AP55</f>
        <v>0</v>
      </c>
      <c r="AQ56" s="697">
        <f>IF(AQ$4='Additional Initiatives'!$B$163,'Additional Initiatives'!$B215,IF(AQ$4='Additional Initiatives'!$C$163,'Additional Initiatives'!$C215,IF(AQ$4='Additional Initiatives'!$D$163,'Additional Initiatives'!$D215,IF(AQ$4='Additional Initiatives'!$E$163,'Additional Initiatives'!$E215,IF(AQ$4='Additional Initiatives'!$F$163,'Additional Initiatives'!$F215,0)))))+AQ55</f>
        <v>0</v>
      </c>
      <c r="AR56" s="697">
        <f>IF(AR$4='Additional Initiatives'!$B$163,'Additional Initiatives'!$B215,IF(AR$4='Additional Initiatives'!$C$163,'Additional Initiatives'!$C215,IF(AR$4='Additional Initiatives'!$D$163,'Additional Initiatives'!$D215,IF(AR$4='Additional Initiatives'!$E$163,'Additional Initiatives'!$E215,IF(AR$4='Additional Initiatives'!$F$163,'Additional Initiatives'!$F215,0)))))+AR55</f>
        <v>0</v>
      </c>
      <c r="AS56" s="697">
        <f t="shared" si="19"/>
        <v>0</v>
      </c>
      <c r="AT56" s="696">
        <f t="shared" si="39"/>
        <v>0</v>
      </c>
      <c r="AU56" s="696">
        <f t="shared" si="20"/>
        <v>0</v>
      </c>
      <c r="AV56" s="696">
        <f t="shared" si="21"/>
        <v>0</v>
      </c>
      <c r="AW56" s="696">
        <f t="shared" si="22"/>
        <v>0</v>
      </c>
      <c r="AX56" s="696">
        <f t="shared" si="23"/>
        <v>0</v>
      </c>
      <c r="AY56" s="696">
        <f t="shared" si="24"/>
        <v>0</v>
      </c>
      <c r="AZ56" s="696">
        <f t="shared" si="25"/>
        <v>0</v>
      </c>
      <c r="BA56" s="696">
        <f t="shared" si="26"/>
        <v>0</v>
      </c>
      <c r="BB56" s="696">
        <f t="shared" si="27"/>
        <v>0</v>
      </c>
      <c r="BC56" s="696">
        <f>IF(BC$4='Additional Initiatives'!$B$163,'Additional Initiatives'!$B215,IF(BC$4='Additional Initiatives'!$C$163,'Additional Initiatives'!$C215,IF(BC$4='Additional Initiatives'!$D$163,'Additional Initiatives'!$D215,IF(BC$4='Additional Initiatives'!$E$163,'Additional Initiatives'!$E215,IF(BC$4='Additional Initiatives'!$F$163,'Additional Initiatives'!$F215,0)))))+BC55</f>
        <v>0</v>
      </c>
      <c r="BD56" s="696">
        <f>IF(BD$4='Additional Initiatives'!$B$163,'Additional Initiatives'!$B215,IF(BD$4='Additional Initiatives'!$C$163,'Additional Initiatives'!$C215,IF(BD$4='Additional Initiatives'!$D$163,'Additional Initiatives'!$D215,IF(BD$4='Additional Initiatives'!$E$163,'Additional Initiatives'!$E215,IF(BD$4='Additional Initiatives'!$F$163,'Additional Initiatives'!$F215,0)))))+BD55</f>
        <v>0</v>
      </c>
      <c r="BE56" s="696">
        <f>IF(BE$4='Additional Initiatives'!$B$163,'Additional Initiatives'!$B215,IF(BE$4='Additional Initiatives'!$C$163,'Additional Initiatives'!$C215,IF(BE$4='Additional Initiatives'!$D$163,'Additional Initiatives'!$D215,IF(BE$4='Additional Initiatives'!$E$163,'Additional Initiatives'!$E215,IF(BE$4='Additional Initiatives'!$F$163,'Additional Initiatives'!$F215,0)))))+BE55</f>
        <v>0</v>
      </c>
      <c r="BF56" s="696">
        <f t="shared" si="28"/>
        <v>0</v>
      </c>
    </row>
    <row r="57" spans="1:58">
      <c r="A57" s="21" t="s">
        <v>67</v>
      </c>
      <c r="B57" s="672">
        <f>'Data Entry Fuel'!B56*'Data Entry Fuel'!B208
+'Data Entry Fuel'!C56*'Data Entry Fuel'!C208
+'Data Entry Fuel'!D56*'Data Entry Fuel'!D208
+'Data Entry Fuel'!E56*'Data Entry Fuel'!E208
+'Data Entry Fuel'!F56*'Data Entry Fuel'!F208
+'Data Entry Fuel'!G56*'Data Entry Fuel'!G208
+'Data Entry Fuel'!H56*'Data Entry Fuel'!H208
+'Data Entry Fuel'!I56*'Data Entry Fuel'!I208
+'Data Entry Fuel'!J56*'Data Entry Fuel'!J208</f>
        <v>9997.4752000000008</v>
      </c>
      <c r="C57" s="672">
        <f>'Data Entry Fuel'!B56*'Data Entry Fuel'!B208
+'Data Entry Fuel'!C56*'Data Entry Fuel'!C208
+'Data Entry Fuel'!D56*'Data Entry Fuel'!D208
+'Data Entry Fuel'!E56*'Data Entry Fuel'!E208
+'Data Entry Fuel'!F56*'Data Entry Fuel'!F208
+'Data Entry Fuel'!G56*'Data Entry Fuel'!G208
+'Data Entry Fuel'!H56*'Data Entry Fuel'!H208
+'Data Entry Fuel'!I56*'Data Entry Fuel'!C208 *   (1 -  0.13 * 'Data Entry Fuel'!I$3)
+'Data Entry Fuel'!J56*'Data Entry Fuel'!J208</f>
        <v>9997.4752000000008</v>
      </c>
      <c r="D57" s="677">
        <f>'Data Entry Electricity'!B56*'Data Entry Electricity'!L56+'Data Entry Electricity'!C56*'Data Entry Electricity'!M56+'Data Entry Electricity'!D56*'Data Entry Electricity'!N56+'Data Entry Electricity'!E56*'Data Entry Electricity'!O56</f>
        <v>2468.85016</v>
      </c>
      <c r="E57" s="776">
        <f>'Data Entry Electricity'!B56*'Data Entry Electricity'!L56+'Data Entry Electricity'!C56*'Data Entry Electricity'!L56+'Data Entry Electricity'!D56*'Data Entry Electricity'!N56+'Data Entry Electricity'!E56*'Data Entry Electricity'!O56</f>
        <v>2468.85016</v>
      </c>
      <c r="F57" s="777">
        <f>(SUM('Fuel Equipment Savings Calculat'!$B54:$S54))+(SUM('Efficient Site Offices DD &amp; Cal'!$B90:$F90))+'PFC Calculations'!$G55+(SUM('Behaviour Calculations'!$E61,'Behaviour Calculations'!$J61,'Behaviour Calculations'!$O61))+(SUM('Reduced Power Lighting Calculat'!$B55:$F55)+SUM('Hybrid Lighting Calculations'!$B59:$F59)+('PIR Lighting Calculations'!$H55)+SUM('Water Calculations'!$B55:$G55)+'Additional Initiatives'!$H68)</f>
        <v>6142.3031653768094</v>
      </c>
      <c r="G57" s="778">
        <f t="shared" si="29"/>
        <v>12466.325360000001</v>
      </c>
      <c r="H57" s="778">
        <f t="shared" si="5"/>
        <v>12466.325360000001</v>
      </c>
      <c r="I57" s="778">
        <f t="shared" si="30"/>
        <v>18608.628525376811</v>
      </c>
      <c r="J57" s="798">
        <f t="shared" si="34"/>
        <v>12466.325360000001</v>
      </c>
      <c r="K57" s="779">
        <f t="shared" si="35"/>
        <v>18608.628525376811</v>
      </c>
      <c r="L57" s="780">
        <f t="shared" si="31"/>
        <v>0.3300782299458811</v>
      </c>
      <c r="M57" s="780">
        <f t="shared" si="32"/>
        <v>0.3300782299458811</v>
      </c>
      <c r="N57" s="781">
        <f t="shared" si="33"/>
        <v>6142.3031653768103</v>
      </c>
      <c r="O57" s="781">
        <f t="shared" si="16"/>
        <v>6142.3031653768103</v>
      </c>
      <c r="Q57" s="683">
        <f t="shared" si="36"/>
        <v>9997.4752000000008</v>
      </c>
      <c r="R57" s="683">
        <f t="shared" si="37"/>
        <v>2468.85016</v>
      </c>
      <c r="T57" s="673">
        <f t="shared" si="10"/>
        <v>6142.3031653768094</v>
      </c>
      <c r="U57" s="674">
        <f>'Fuel Equipment Savings Calculat'!$V54</f>
        <v>5827.5247699768097</v>
      </c>
      <c r="V57" s="674">
        <f>'Efficient Site Offices DD &amp; Cal'!$H90</f>
        <v>314.77839540000002</v>
      </c>
      <c r="W57" s="674">
        <f>'PFC Calculations'!$G55</f>
        <v>0</v>
      </c>
      <c r="X57" s="674">
        <f>'Behaviour Calculations'!$E61</f>
        <v>0</v>
      </c>
      <c r="Y57" s="674">
        <f>'Behaviour Calculations'!$J61</f>
        <v>0</v>
      </c>
      <c r="Z57" s="674">
        <f>'Behaviour Calculations'!$O61</f>
        <v>0</v>
      </c>
      <c r="AA57" s="674">
        <f>'Reduced Power Lighting Calculat'!$H55</f>
        <v>0</v>
      </c>
      <c r="AB57" s="674">
        <f>'Hybrid Lighting Calculations'!H59</f>
        <v>0</v>
      </c>
      <c r="AC57" s="674">
        <f>'PIR Lighting Calculations'!$H55</f>
        <v>0</v>
      </c>
      <c r="AD57" s="674">
        <f>'Water Calculations'!$I55</f>
        <v>0</v>
      </c>
      <c r="AE57" s="674">
        <f>'Additional Initiatives'!$H68</f>
        <v>0</v>
      </c>
      <c r="AF57" s="679">
        <f t="shared" si="11"/>
        <v>0</v>
      </c>
      <c r="AG57" s="679">
        <f>(C57-B57) - (0.13 * 'Data Entry Fuel'!I$3) * (U57+AB57)</f>
        <v>0</v>
      </c>
      <c r="AH57" s="5"/>
      <c r="AI57" s="19">
        <v>1401</v>
      </c>
      <c r="AJ57" s="19">
        <f t="shared" si="12"/>
        <v>2013</v>
      </c>
      <c r="AK57" s="19">
        <f t="shared" si="13"/>
        <v>7</v>
      </c>
      <c r="AL57" s="19">
        <v>53</v>
      </c>
      <c r="AM57" s="697">
        <f t="shared" si="38"/>
        <v>9997.4752000000008</v>
      </c>
      <c r="AN57" s="697">
        <f t="shared" si="17"/>
        <v>5827.5247699768097</v>
      </c>
      <c r="AO57" s="697">
        <f t="shared" si="18"/>
        <v>0</v>
      </c>
      <c r="AP57" s="697">
        <f>IF(AP$4='Additional Initiatives'!$B$163,'Additional Initiatives'!$B216,IF(AP$4='Additional Initiatives'!$C$163,'Additional Initiatives'!$C216,IF(AP$4='Additional Initiatives'!$D$163,'Additional Initiatives'!$D216,IF(AP$4='Additional Initiatives'!$E$163,'Additional Initiatives'!$E216,IF(AP$4='Additional Initiatives'!$F$163,'Additional Initiatives'!$F216,0)))))+AP56</f>
        <v>0</v>
      </c>
      <c r="AQ57" s="697">
        <f>IF(AQ$4='Additional Initiatives'!$B$163,'Additional Initiatives'!$B216,IF(AQ$4='Additional Initiatives'!$C$163,'Additional Initiatives'!$C216,IF(AQ$4='Additional Initiatives'!$D$163,'Additional Initiatives'!$D216,IF(AQ$4='Additional Initiatives'!$E$163,'Additional Initiatives'!$E216,IF(AQ$4='Additional Initiatives'!$F$163,'Additional Initiatives'!$F216,0)))))+AQ56</f>
        <v>0</v>
      </c>
      <c r="AR57" s="697">
        <f>IF(AR$4='Additional Initiatives'!$B$163,'Additional Initiatives'!$B216,IF(AR$4='Additional Initiatives'!$C$163,'Additional Initiatives'!$C216,IF(AR$4='Additional Initiatives'!$D$163,'Additional Initiatives'!$D216,IF(AR$4='Additional Initiatives'!$E$163,'Additional Initiatives'!$E216,IF(AR$4='Additional Initiatives'!$F$163,'Additional Initiatives'!$F216,0)))))+AR56</f>
        <v>0</v>
      </c>
      <c r="AS57" s="697">
        <f t="shared" si="19"/>
        <v>0</v>
      </c>
      <c r="AT57" s="696">
        <f t="shared" si="39"/>
        <v>2468.85016</v>
      </c>
      <c r="AU57" s="696">
        <f t="shared" si="20"/>
        <v>314.77839540000002</v>
      </c>
      <c r="AV57" s="696">
        <f t="shared" si="21"/>
        <v>0</v>
      </c>
      <c r="AW57" s="696">
        <f t="shared" si="22"/>
        <v>0</v>
      </c>
      <c r="AX57" s="696">
        <f t="shared" si="23"/>
        <v>0</v>
      </c>
      <c r="AY57" s="696">
        <f t="shared" si="24"/>
        <v>0</v>
      </c>
      <c r="AZ57" s="696">
        <f t="shared" si="25"/>
        <v>0</v>
      </c>
      <c r="BA57" s="696">
        <f t="shared" si="26"/>
        <v>0</v>
      </c>
      <c r="BB57" s="696">
        <f t="shared" si="27"/>
        <v>0</v>
      </c>
      <c r="BC57" s="696">
        <f>IF(BC$4='Additional Initiatives'!$B$163,'Additional Initiatives'!$B216,IF(BC$4='Additional Initiatives'!$C$163,'Additional Initiatives'!$C216,IF(BC$4='Additional Initiatives'!$D$163,'Additional Initiatives'!$D216,IF(BC$4='Additional Initiatives'!$E$163,'Additional Initiatives'!$E216,IF(BC$4='Additional Initiatives'!$F$163,'Additional Initiatives'!$F216,0)))))+BC56</f>
        <v>0</v>
      </c>
      <c r="BD57" s="696">
        <f>IF(BD$4='Additional Initiatives'!$B$163,'Additional Initiatives'!$B216,IF(BD$4='Additional Initiatives'!$C$163,'Additional Initiatives'!$C216,IF(BD$4='Additional Initiatives'!$D$163,'Additional Initiatives'!$D216,IF(BD$4='Additional Initiatives'!$E$163,'Additional Initiatives'!$E216,IF(BD$4='Additional Initiatives'!$F$163,'Additional Initiatives'!$F216,0)))))+BD56</f>
        <v>0</v>
      </c>
      <c r="BE57" s="696">
        <f>IF(BE$4='Additional Initiatives'!$B$163,'Additional Initiatives'!$B216,IF(BE$4='Additional Initiatives'!$C$163,'Additional Initiatives'!$C216,IF(BE$4='Additional Initiatives'!$D$163,'Additional Initiatives'!$D216,IF(BE$4='Additional Initiatives'!$E$163,'Additional Initiatives'!$E216,IF(BE$4='Additional Initiatives'!$F$163,'Additional Initiatives'!$F216,0)))))+BE56</f>
        <v>0</v>
      </c>
      <c r="BF57" s="696">
        <f t="shared" si="28"/>
        <v>0</v>
      </c>
    </row>
    <row r="58" spans="1:58">
      <c r="A58" s="21" t="s">
        <v>68</v>
      </c>
      <c r="B58" s="672">
        <f>'Data Entry Fuel'!B57*'Data Entry Fuel'!B209
+'Data Entry Fuel'!C57*'Data Entry Fuel'!C209
+'Data Entry Fuel'!D57*'Data Entry Fuel'!D209
+'Data Entry Fuel'!E57*'Data Entry Fuel'!E209
+'Data Entry Fuel'!F57*'Data Entry Fuel'!F209
+'Data Entry Fuel'!G57*'Data Entry Fuel'!G209
+'Data Entry Fuel'!H57*'Data Entry Fuel'!H209
+'Data Entry Fuel'!I57*'Data Entry Fuel'!I209
+'Data Entry Fuel'!J57*'Data Entry Fuel'!J209</f>
        <v>24707.599999999999</v>
      </c>
      <c r="C58" s="672">
        <f>'Data Entry Fuel'!B57*'Data Entry Fuel'!B209
+'Data Entry Fuel'!C57*'Data Entry Fuel'!C209
+'Data Entry Fuel'!D57*'Data Entry Fuel'!D209
+'Data Entry Fuel'!E57*'Data Entry Fuel'!E209
+'Data Entry Fuel'!F57*'Data Entry Fuel'!F209
+'Data Entry Fuel'!G57*'Data Entry Fuel'!G209
+'Data Entry Fuel'!H57*'Data Entry Fuel'!H209
+'Data Entry Fuel'!I57*'Data Entry Fuel'!C209 *   (1 -  0.13 * 'Data Entry Fuel'!I$3)
+'Data Entry Fuel'!J57*'Data Entry Fuel'!J209</f>
        <v>24707.599999999999</v>
      </c>
      <c r="D58" s="677">
        <f>'Data Entry Electricity'!B57*'Data Entry Electricity'!L57+'Data Entry Electricity'!C57*'Data Entry Electricity'!M57+'Data Entry Electricity'!D57*'Data Entry Electricity'!N57+'Data Entry Electricity'!E57*'Data Entry Electricity'!O57</f>
        <v>3567.8493199999998</v>
      </c>
      <c r="E58" s="776">
        <f>'Data Entry Electricity'!B57*'Data Entry Electricity'!L57+'Data Entry Electricity'!C57*'Data Entry Electricity'!L57+'Data Entry Electricity'!D57*'Data Entry Electricity'!N57+'Data Entry Electricity'!E57*'Data Entry Electricity'!O57</f>
        <v>3567.8493199999998</v>
      </c>
      <c r="F58" s="777">
        <f>(SUM('Fuel Equipment Savings Calculat'!$B55:$S55))+(SUM('Efficient Site Offices DD &amp; Cal'!$B91:$F91))+'PFC Calculations'!$G56+(SUM('Behaviour Calculations'!$E62,'Behaviour Calculations'!$J62,'Behaviour Calculations'!$O62))+(SUM('Reduced Power Lighting Calculat'!$B56:$F56)+SUM('Hybrid Lighting Calculations'!$B60:$F60)+('PIR Lighting Calculations'!$H56)+SUM('Water Calculations'!$B56:$G56)+'Additional Initiatives'!$H69)</f>
        <v>6646.3461889168102</v>
      </c>
      <c r="G58" s="778">
        <f t="shared" si="29"/>
        <v>28275.44932</v>
      </c>
      <c r="H58" s="778">
        <f t="shared" si="5"/>
        <v>28275.44932</v>
      </c>
      <c r="I58" s="778">
        <f t="shared" si="30"/>
        <v>34921.79550891681</v>
      </c>
      <c r="J58" s="798">
        <f t="shared" si="34"/>
        <v>40741.774680000002</v>
      </c>
      <c r="K58" s="779">
        <f t="shared" si="35"/>
        <v>53530.424034293625</v>
      </c>
      <c r="L58" s="780">
        <f t="shared" si="31"/>
        <v>0.19032086099982326</v>
      </c>
      <c r="M58" s="780">
        <f t="shared" si="32"/>
        <v>0.23890431628377773</v>
      </c>
      <c r="N58" s="781">
        <f t="shared" si="33"/>
        <v>6646.3461889168102</v>
      </c>
      <c r="O58" s="781">
        <f t="shared" si="16"/>
        <v>12788.64935429362</v>
      </c>
      <c r="Q58" s="683">
        <f t="shared" si="36"/>
        <v>34705.075199999999</v>
      </c>
      <c r="R58" s="683">
        <f t="shared" si="37"/>
        <v>6036.6994799999993</v>
      </c>
      <c r="T58" s="673">
        <f t="shared" si="10"/>
        <v>6646.3461889168102</v>
      </c>
      <c r="U58" s="674">
        <f>'Fuel Equipment Savings Calculat'!$V55</f>
        <v>5827.5247699768097</v>
      </c>
      <c r="V58" s="674">
        <f>'Efficient Site Offices DD &amp; Cal'!$H91</f>
        <v>818.82141894000006</v>
      </c>
      <c r="W58" s="674">
        <f>'PFC Calculations'!$G56</f>
        <v>0</v>
      </c>
      <c r="X58" s="674">
        <f>'Behaviour Calculations'!$E62</f>
        <v>0</v>
      </c>
      <c r="Y58" s="674">
        <f>'Behaviour Calculations'!$J62</f>
        <v>0</v>
      </c>
      <c r="Z58" s="674">
        <f>'Behaviour Calculations'!$O62</f>
        <v>0</v>
      </c>
      <c r="AA58" s="674">
        <f>'Reduced Power Lighting Calculat'!$H56</f>
        <v>0</v>
      </c>
      <c r="AB58" s="674">
        <f>'Hybrid Lighting Calculations'!H60</f>
        <v>0</v>
      </c>
      <c r="AC58" s="674">
        <f>'PIR Lighting Calculations'!$H56</f>
        <v>0</v>
      </c>
      <c r="AD58" s="674">
        <f>'Water Calculations'!$I56</f>
        <v>0</v>
      </c>
      <c r="AE58" s="674">
        <f>'Additional Initiatives'!$H69</f>
        <v>0</v>
      </c>
      <c r="AF58" s="679">
        <f t="shared" si="11"/>
        <v>0</v>
      </c>
      <c r="AG58" s="679">
        <f>(C58-B58) - (0.13 * 'Data Entry Fuel'!I$3) * (U58+AB58)</f>
        <v>0</v>
      </c>
      <c r="AH58" s="5"/>
      <c r="AI58" s="19">
        <v>1402</v>
      </c>
      <c r="AJ58" s="19">
        <f t="shared" si="12"/>
        <v>2013</v>
      </c>
      <c r="AK58" s="19">
        <f t="shared" si="13"/>
        <v>7</v>
      </c>
      <c r="AL58" s="19">
        <v>54</v>
      </c>
      <c r="AM58" s="697">
        <f t="shared" si="38"/>
        <v>34705.075199999999</v>
      </c>
      <c r="AN58" s="697">
        <f t="shared" si="17"/>
        <v>11655.049539953619</v>
      </c>
      <c r="AO58" s="697">
        <f t="shared" si="18"/>
        <v>0</v>
      </c>
      <c r="AP58" s="697">
        <f>IF(AP$4='Additional Initiatives'!$B$163,'Additional Initiatives'!$B217,IF(AP$4='Additional Initiatives'!$C$163,'Additional Initiatives'!$C217,IF(AP$4='Additional Initiatives'!$D$163,'Additional Initiatives'!$D217,IF(AP$4='Additional Initiatives'!$E$163,'Additional Initiatives'!$E217,IF(AP$4='Additional Initiatives'!$F$163,'Additional Initiatives'!$F217,0)))))+AP57</f>
        <v>0</v>
      </c>
      <c r="AQ58" s="697">
        <f>IF(AQ$4='Additional Initiatives'!$B$163,'Additional Initiatives'!$B217,IF(AQ$4='Additional Initiatives'!$C$163,'Additional Initiatives'!$C217,IF(AQ$4='Additional Initiatives'!$D$163,'Additional Initiatives'!$D217,IF(AQ$4='Additional Initiatives'!$E$163,'Additional Initiatives'!$E217,IF(AQ$4='Additional Initiatives'!$F$163,'Additional Initiatives'!$F217,0)))))+AQ57</f>
        <v>0</v>
      </c>
      <c r="AR58" s="697">
        <f>IF(AR$4='Additional Initiatives'!$B$163,'Additional Initiatives'!$B217,IF(AR$4='Additional Initiatives'!$C$163,'Additional Initiatives'!$C217,IF(AR$4='Additional Initiatives'!$D$163,'Additional Initiatives'!$D217,IF(AR$4='Additional Initiatives'!$E$163,'Additional Initiatives'!$E217,IF(AR$4='Additional Initiatives'!$F$163,'Additional Initiatives'!$F217,0)))))+AR57</f>
        <v>0</v>
      </c>
      <c r="AS58" s="697">
        <f t="shared" si="19"/>
        <v>0</v>
      </c>
      <c r="AT58" s="696">
        <f t="shared" si="39"/>
        <v>6036.6994799999993</v>
      </c>
      <c r="AU58" s="696">
        <f t="shared" si="20"/>
        <v>1133.5998143400002</v>
      </c>
      <c r="AV58" s="696">
        <f t="shared" si="21"/>
        <v>0</v>
      </c>
      <c r="AW58" s="696">
        <f t="shared" si="22"/>
        <v>0</v>
      </c>
      <c r="AX58" s="696">
        <f t="shared" si="23"/>
        <v>0</v>
      </c>
      <c r="AY58" s="696">
        <f t="shared" si="24"/>
        <v>0</v>
      </c>
      <c r="AZ58" s="696">
        <f t="shared" si="25"/>
        <v>0</v>
      </c>
      <c r="BA58" s="696">
        <f t="shared" si="26"/>
        <v>0</v>
      </c>
      <c r="BB58" s="696">
        <f t="shared" si="27"/>
        <v>0</v>
      </c>
      <c r="BC58" s="696">
        <f>IF(BC$4='Additional Initiatives'!$B$163,'Additional Initiatives'!$B217,IF(BC$4='Additional Initiatives'!$C$163,'Additional Initiatives'!$C217,IF(BC$4='Additional Initiatives'!$D$163,'Additional Initiatives'!$D217,IF(BC$4='Additional Initiatives'!$E$163,'Additional Initiatives'!$E217,IF(BC$4='Additional Initiatives'!$F$163,'Additional Initiatives'!$F217,0)))))+BC57</f>
        <v>0</v>
      </c>
      <c r="BD58" s="696">
        <f>IF(BD$4='Additional Initiatives'!$B$163,'Additional Initiatives'!$B217,IF(BD$4='Additional Initiatives'!$C$163,'Additional Initiatives'!$C217,IF(BD$4='Additional Initiatives'!$D$163,'Additional Initiatives'!$D217,IF(BD$4='Additional Initiatives'!$E$163,'Additional Initiatives'!$E217,IF(BD$4='Additional Initiatives'!$F$163,'Additional Initiatives'!$F217,0)))))+BD57</f>
        <v>0</v>
      </c>
      <c r="BE58" s="696">
        <f>IF(BE$4='Additional Initiatives'!$B$163,'Additional Initiatives'!$B217,IF(BE$4='Additional Initiatives'!$C$163,'Additional Initiatives'!$C217,IF(BE$4='Additional Initiatives'!$D$163,'Additional Initiatives'!$D217,IF(BE$4='Additional Initiatives'!$E$163,'Additional Initiatives'!$E217,IF(BE$4='Additional Initiatives'!$F$163,'Additional Initiatives'!$F217,0)))))+BE57</f>
        <v>0</v>
      </c>
      <c r="BF58" s="696">
        <f t="shared" si="28"/>
        <v>0</v>
      </c>
    </row>
    <row r="59" spans="1:58">
      <c r="A59" s="21" t="s">
        <v>69</v>
      </c>
      <c r="B59" s="672">
        <f>'Data Entry Fuel'!B58*'Data Entry Fuel'!B210
+'Data Entry Fuel'!C58*'Data Entry Fuel'!C210
+'Data Entry Fuel'!D58*'Data Entry Fuel'!D210
+'Data Entry Fuel'!E58*'Data Entry Fuel'!E210
+'Data Entry Fuel'!F58*'Data Entry Fuel'!F210
+'Data Entry Fuel'!G58*'Data Entry Fuel'!G210
+'Data Entry Fuel'!H58*'Data Entry Fuel'!H210
+'Data Entry Fuel'!I58*'Data Entry Fuel'!I210
+'Data Entry Fuel'!J58*'Data Entry Fuel'!J210</f>
        <v>29654.347999999998</v>
      </c>
      <c r="C59" s="672">
        <f>'Data Entry Fuel'!B58*'Data Entry Fuel'!B210
+'Data Entry Fuel'!C58*'Data Entry Fuel'!C210
+'Data Entry Fuel'!D58*'Data Entry Fuel'!D210
+'Data Entry Fuel'!E58*'Data Entry Fuel'!E210
+'Data Entry Fuel'!F58*'Data Entry Fuel'!F210
+'Data Entry Fuel'!G58*'Data Entry Fuel'!G210
+'Data Entry Fuel'!H58*'Data Entry Fuel'!H210
+'Data Entry Fuel'!I58*'Data Entry Fuel'!C210 *   (1 -  0.13 * 'Data Entry Fuel'!I$3)
+'Data Entry Fuel'!J58*'Data Entry Fuel'!J210</f>
        <v>29654.347999999998</v>
      </c>
      <c r="D59" s="677">
        <f>'Data Entry Electricity'!B58*'Data Entry Electricity'!L58+'Data Entry Electricity'!C58*'Data Entry Electricity'!M58+'Data Entry Electricity'!D58*'Data Entry Electricity'!N58+'Data Entry Electricity'!E58*'Data Entry Electricity'!O58</f>
        <v>4425.1097799999998</v>
      </c>
      <c r="E59" s="776">
        <f>'Data Entry Electricity'!B58*'Data Entry Electricity'!L58+'Data Entry Electricity'!C58*'Data Entry Electricity'!L58+'Data Entry Electricity'!D58*'Data Entry Electricity'!N58+'Data Entry Electricity'!E58*'Data Entry Electricity'!O58</f>
        <v>4425.1097799999998</v>
      </c>
      <c r="F59" s="777">
        <f>(SUM('Fuel Equipment Savings Calculat'!$B56:$S56))+(SUM('Efficient Site Offices DD &amp; Cal'!$B92:$F92))+'PFC Calculations'!$G57+(SUM('Behaviour Calculations'!$E63,'Behaviour Calculations'!$J63,'Behaviour Calculations'!$O63))+(SUM('Reduced Power Lighting Calculat'!$B57:$F57)+SUM('Hybrid Lighting Calculations'!$B61:$F61)+('PIR Lighting Calculations'!$H57)+SUM('Water Calculations'!$B57:$G57)+'Additional Initiatives'!$H70)</f>
        <v>6846.6725304787979</v>
      </c>
      <c r="G59" s="778">
        <f t="shared" si="29"/>
        <v>34079.457779999997</v>
      </c>
      <c r="H59" s="778">
        <f t="shared" si="5"/>
        <v>34079.457779999997</v>
      </c>
      <c r="I59" s="778">
        <f t="shared" si="30"/>
        <v>40926.130310478795</v>
      </c>
      <c r="J59" s="798">
        <f t="shared" si="34"/>
        <v>74821.232459999999</v>
      </c>
      <c r="K59" s="779">
        <f t="shared" si="35"/>
        <v>94456.554344772419</v>
      </c>
      <c r="L59" s="780">
        <f t="shared" si="31"/>
        <v>0.16729342546040238</v>
      </c>
      <c r="M59" s="780">
        <f t="shared" si="32"/>
        <v>0.20787675372004621</v>
      </c>
      <c r="N59" s="781">
        <f t="shared" si="33"/>
        <v>6846.6725304787979</v>
      </c>
      <c r="O59" s="781">
        <f t="shared" si="16"/>
        <v>19635.32188477242</v>
      </c>
      <c r="Q59" s="683">
        <f t="shared" si="36"/>
        <v>64359.423199999997</v>
      </c>
      <c r="R59" s="683">
        <f t="shared" si="37"/>
        <v>10461.809259999998</v>
      </c>
      <c r="T59" s="673">
        <f t="shared" si="10"/>
        <v>6846.6725304787979</v>
      </c>
      <c r="U59" s="674">
        <f>'Fuel Equipment Savings Calculat'!$V56</f>
        <v>5831.1098359687976</v>
      </c>
      <c r="V59" s="674">
        <f>'Efficient Site Offices DD &amp; Cal'!$H92</f>
        <v>1015.56269451</v>
      </c>
      <c r="W59" s="674">
        <f>'PFC Calculations'!$G57</f>
        <v>0</v>
      </c>
      <c r="X59" s="674">
        <f>'Behaviour Calculations'!$E63</f>
        <v>0</v>
      </c>
      <c r="Y59" s="674">
        <f>'Behaviour Calculations'!$J63</f>
        <v>0</v>
      </c>
      <c r="Z59" s="674">
        <f>'Behaviour Calculations'!$O63</f>
        <v>0</v>
      </c>
      <c r="AA59" s="674">
        <f>'Reduced Power Lighting Calculat'!$H57</f>
        <v>0</v>
      </c>
      <c r="AB59" s="674">
        <f>'Hybrid Lighting Calculations'!H61</f>
        <v>0</v>
      </c>
      <c r="AC59" s="674">
        <f>'PIR Lighting Calculations'!$H57</f>
        <v>0</v>
      </c>
      <c r="AD59" s="674">
        <f>'Water Calculations'!$I57</f>
        <v>0</v>
      </c>
      <c r="AE59" s="674">
        <f>'Additional Initiatives'!$H70</f>
        <v>0</v>
      </c>
      <c r="AF59" s="679">
        <f t="shared" si="11"/>
        <v>0</v>
      </c>
      <c r="AG59" s="679">
        <f>(C59-B59) - (0.13 * 'Data Entry Fuel'!I$3) * (U59+AB59)</f>
        <v>0</v>
      </c>
      <c r="AH59" s="5"/>
      <c r="AI59" s="19">
        <v>1403</v>
      </c>
      <c r="AJ59" s="19">
        <f t="shared" si="12"/>
        <v>2014</v>
      </c>
      <c r="AK59" s="19">
        <f t="shared" si="13"/>
        <v>8</v>
      </c>
      <c r="AL59" s="19">
        <v>55</v>
      </c>
      <c r="AM59" s="697">
        <f t="shared" si="38"/>
        <v>64359.423199999997</v>
      </c>
      <c r="AN59" s="697">
        <f t="shared" si="17"/>
        <v>17486.159375922416</v>
      </c>
      <c r="AO59" s="697">
        <f t="shared" si="18"/>
        <v>0</v>
      </c>
      <c r="AP59" s="697">
        <f>IF(AP$4='Additional Initiatives'!$B$163,'Additional Initiatives'!$B218,IF(AP$4='Additional Initiatives'!$C$163,'Additional Initiatives'!$C218,IF(AP$4='Additional Initiatives'!$D$163,'Additional Initiatives'!$D218,IF(AP$4='Additional Initiatives'!$E$163,'Additional Initiatives'!$E218,IF(AP$4='Additional Initiatives'!$F$163,'Additional Initiatives'!$F218,0)))))+AP58</f>
        <v>0</v>
      </c>
      <c r="AQ59" s="697">
        <f>IF(AQ$4='Additional Initiatives'!$B$163,'Additional Initiatives'!$B218,IF(AQ$4='Additional Initiatives'!$C$163,'Additional Initiatives'!$C218,IF(AQ$4='Additional Initiatives'!$D$163,'Additional Initiatives'!$D218,IF(AQ$4='Additional Initiatives'!$E$163,'Additional Initiatives'!$E218,IF(AQ$4='Additional Initiatives'!$F$163,'Additional Initiatives'!$F218,0)))))+AQ58</f>
        <v>0</v>
      </c>
      <c r="AR59" s="697">
        <f>IF(AR$4='Additional Initiatives'!$B$163,'Additional Initiatives'!$B218,IF(AR$4='Additional Initiatives'!$C$163,'Additional Initiatives'!$C218,IF(AR$4='Additional Initiatives'!$D$163,'Additional Initiatives'!$D218,IF(AR$4='Additional Initiatives'!$E$163,'Additional Initiatives'!$E218,IF(AR$4='Additional Initiatives'!$F$163,'Additional Initiatives'!$F218,0)))))+AR58</f>
        <v>0</v>
      </c>
      <c r="AS59" s="697">
        <f t="shared" si="19"/>
        <v>0</v>
      </c>
      <c r="AT59" s="696">
        <f t="shared" si="39"/>
        <v>10461.809259999998</v>
      </c>
      <c r="AU59" s="696">
        <f t="shared" si="20"/>
        <v>2149.1625088500004</v>
      </c>
      <c r="AV59" s="696">
        <f t="shared" si="21"/>
        <v>0</v>
      </c>
      <c r="AW59" s="696">
        <f t="shared" si="22"/>
        <v>0</v>
      </c>
      <c r="AX59" s="696">
        <f t="shared" si="23"/>
        <v>0</v>
      </c>
      <c r="AY59" s="696">
        <f t="shared" si="24"/>
        <v>0</v>
      </c>
      <c r="AZ59" s="696">
        <f t="shared" si="25"/>
        <v>0</v>
      </c>
      <c r="BA59" s="696">
        <f t="shared" si="26"/>
        <v>0</v>
      </c>
      <c r="BB59" s="696">
        <f t="shared" si="27"/>
        <v>0</v>
      </c>
      <c r="BC59" s="696">
        <f>IF(BC$4='Additional Initiatives'!$B$163,'Additional Initiatives'!$B218,IF(BC$4='Additional Initiatives'!$C$163,'Additional Initiatives'!$C218,IF(BC$4='Additional Initiatives'!$D$163,'Additional Initiatives'!$D218,IF(BC$4='Additional Initiatives'!$E$163,'Additional Initiatives'!$E218,IF(BC$4='Additional Initiatives'!$F$163,'Additional Initiatives'!$F218,0)))))+BC58</f>
        <v>0</v>
      </c>
      <c r="BD59" s="696">
        <f>IF(BD$4='Additional Initiatives'!$B$163,'Additional Initiatives'!$B218,IF(BD$4='Additional Initiatives'!$C$163,'Additional Initiatives'!$C218,IF(BD$4='Additional Initiatives'!$D$163,'Additional Initiatives'!$D218,IF(BD$4='Additional Initiatives'!$E$163,'Additional Initiatives'!$E218,IF(BD$4='Additional Initiatives'!$F$163,'Additional Initiatives'!$F218,0)))))+BD58</f>
        <v>0</v>
      </c>
      <c r="BE59" s="696">
        <f>IF(BE$4='Additional Initiatives'!$B$163,'Additional Initiatives'!$B218,IF(BE$4='Additional Initiatives'!$C$163,'Additional Initiatives'!$C218,IF(BE$4='Additional Initiatives'!$D$163,'Additional Initiatives'!$D218,IF(BE$4='Additional Initiatives'!$E$163,'Additional Initiatives'!$E218,IF(BE$4='Additional Initiatives'!$F$163,'Additional Initiatives'!$F218,0)))))+BE58</f>
        <v>0</v>
      </c>
      <c r="BF59" s="696">
        <f t="shared" si="28"/>
        <v>0</v>
      </c>
    </row>
    <row r="60" spans="1:58">
      <c r="A60" s="21" t="s">
        <v>70</v>
      </c>
      <c r="B60" s="672">
        <f>'Data Entry Fuel'!B59*'Data Entry Fuel'!B211
+'Data Entry Fuel'!C59*'Data Entry Fuel'!C211
+'Data Entry Fuel'!D59*'Data Entry Fuel'!D211
+'Data Entry Fuel'!E59*'Data Entry Fuel'!E211
+'Data Entry Fuel'!F59*'Data Entry Fuel'!F211
+'Data Entry Fuel'!G59*'Data Entry Fuel'!G211
+'Data Entry Fuel'!H59*'Data Entry Fuel'!H211
+'Data Entry Fuel'!I59*'Data Entry Fuel'!I211
+'Data Entry Fuel'!J59*'Data Entry Fuel'!J211</f>
        <v>22162.038399999998</v>
      </c>
      <c r="C60" s="672">
        <f>'Data Entry Fuel'!B59*'Data Entry Fuel'!B211
+'Data Entry Fuel'!C59*'Data Entry Fuel'!C211
+'Data Entry Fuel'!D59*'Data Entry Fuel'!D211
+'Data Entry Fuel'!E59*'Data Entry Fuel'!E211
+'Data Entry Fuel'!F59*'Data Entry Fuel'!F211
+'Data Entry Fuel'!G59*'Data Entry Fuel'!G211
+'Data Entry Fuel'!H59*'Data Entry Fuel'!H211
+'Data Entry Fuel'!I59*'Data Entry Fuel'!C211 *   (1 -  0.13 * 'Data Entry Fuel'!I$3)
+'Data Entry Fuel'!J59*'Data Entry Fuel'!J211</f>
        <v>22162.038399999998</v>
      </c>
      <c r="D60" s="677">
        <f>'Data Entry Electricity'!B59*'Data Entry Electricity'!L59+'Data Entry Electricity'!C59*'Data Entry Electricity'!M59+'Data Entry Electricity'!D59*'Data Entry Electricity'!N59+'Data Entry Electricity'!E59*'Data Entry Electricity'!O59</f>
        <v>3475.1420599999997</v>
      </c>
      <c r="E60" s="776">
        <f>'Data Entry Electricity'!B59*'Data Entry Electricity'!L59+'Data Entry Electricity'!C59*'Data Entry Electricity'!L59+'Data Entry Electricity'!D59*'Data Entry Electricity'!N59+'Data Entry Electricity'!E59*'Data Entry Electricity'!O59</f>
        <v>3475.1420599999997</v>
      </c>
      <c r="F60" s="777">
        <f>(SUM('Fuel Equipment Savings Calculat'!$B57:$S57))+(SUM('Efficient Site Offices DD &amp; Cal'!$B93:$F93))+'PFC Calculations'!$G58+(SUM('Behaviour Calculations'!$E64,'Behaviour Calculations'!$J64,'Behaviour Calculations'!$O64))+(SUM('Reduced Power Lighting Calculat'!$B58:$F58)+SUM('Hybrid Lighting Calculations'!$B62:$F62)+('PIR Lighting Calculations'!$H58)+SUM('Water Calculations'!$B58:$G58)+'Additional Initiatives'!$H71)</f>
        <v>6628.6549387387977</v>
      </c>
      <c r="G60" s="778">
        <f t="shared" si="29"/>
        <v>25637.180459999996</v>
      </c>
      <c r="H60" s="778">
        <f t="shared" si="5"/>
        <v>25637.180459999996</v>
      </c>
      <c r="I60" s="778">
        <f t="shared" si="30"/>
        <v>32265.835398738793</v>
      </c>
      <c r="J60" s="798">
        <f t="shared" si="34"/>
        <v>100458.41292</v>
      </c>
      <c r="K60" s="779">
        <f t="shared" si="35"/>
        <v>126722.38974351122</v>
      </c>
      <c r="L60" s="780">
        <f t="shared" si="31"/>
        <v>0.2054388134329197</v>
      </c>
      <c r="M60" s="780">
        <f t="shared" si="32"/>
        <v>0.20725600958654622</v>
      </c>
      <c r="N60" s="781">
        <f t="shared" si="33"/>
        <v>6628.6549387387968</v>
      </c>
      <c r="O60" s="781">
        <f t="shared" si="16"/>
        <v>26263.976823511217</v>
      </c>
      <c r="Q60" s="683">
        <f t="shared" si="36"/>
        <v>86521.461599999995</v>
      </c>
      <c r="R60" s="683">
        <f t="shared" si="37"/>
        <v>13936.951319999998</v>
      </c>
      <c r="T60" s="673">
        <f t="shared" si="10"/>
        <v>6628.6549387387977</v>
      </c>
      <c r="U60" s="674">
        <f>'Fuel Equipment Savings Calculat'!$V57</f>
        <v>5831.1098359687976</v>
      </c>
      <c r="V60" s="674">
        <f>'Efficient Site Offices DD &amp; Cal'!$H93</f>
        <v>797.54510276999997</v>
      </c>
      <c r="W60" s="674">
        <f>'PFC Calculations'!$G58</f>
        <v>0</v>
      </c>
      <c r="X60" s="674">
        <f>'Behaviour Calculations'!$E64</f>
        <v>0</v>
      </c>
      <c r="Y60" s="674">
        <f>'Behaviour Calculations'!$J64</f>
        <v>0</v>
      </c>
      <c r="Z60" s="674">
        <f>'Behaviour Calculations'!$O64</f>
        <v>0</v>
      </c>
      <c r="AA60" s="674">
        <f>'Reduced Power Lighting Calculat'!$H58</f>
        <v>0</v>
      </c>
      <c r="AB60" s="674">
        <f>'Hybrid Lighting Calculations'!H62</f>
        <v>0</v>
      </c>
      <c r="AC60" s="674">
        <f>'PIR Lighting Calculations'!$H58</f>
        <v>0</v>
      </c>
      <c r="AD60" s="674">
        <f>'Water Calculations'!$I58</f>
        <v>0</v>
      </c>
      <c r="AE60" s="674">
        <f>'Additional Initiatives'!$H71</f>
        <v>0</v>
      </c>
      <c r="AF60" s="679">
        <f t="shared" si="11"/>
        <v>0</v>
      </c>
      <c r="AG60" s="679">
        <f>(C60-B60) - (0.13 * 'Data Entry Fuel'!I$3) * (U60+AB60)</f>
        <v>0</v>
      </c>
      <c r="AH60" s="5"/>
      <c r="AI60" s="19">
        <v>1404</v>
      </c>
      <c r="AJ60" s="19">
        <f t="shared" si="12"/>
        <v>2014</v>
      </c>
      <c r="AK60" s="19">
        <f t="shared" si="13"/>
        <v>8</v>
      </c>
      <c r="AL60" s="19">
        <v>56</v>
      </c>
      <c r="AM60" s="697">
        <f t="shared" si="38"/>
        <v>86521.461599999995</v>
      </c>
      <c r="AN60" s="697">
        <f t="shared" si="17"/>
        <v>23317.269211891213</v>
      </c>
      <c r="AO60" s="697">
        <f t="shared" si="18"/>
        <v>0</v>
      </c>
      <c r="AP60" s="697">
        <f>IF(AP$4='Additional Initiatives'!$B$163,'Additional Initiatives'!$B219,IF(AP$4='Additional Initiatives'!$C$163,'Additional Initiatives'!$C219,IF(AP$4='Additional Initiatives'!$D$163,'Additional Initiatives'!$D219,IF(AP$4='Additional Initiatives'!$E$163,'Additional Initiatives'!$E219,IF(AP$4='Additional Initiatives'!$F$163,'Additional Initiatives'!$F219,0)))))+AP59</f>
        <v>0</v>
      </c>
      <c r="AQ60" s="697">
        <f>IF(AQ$4='Additional Initiatives'!$B$163,'Additional Initiatives'!$B219,IF(AQ$4='Additional Initiatives'!$C$163,'Additional Initiatives'!$C219,IF(AQ$4='Additional Initiatives'!$D$163,'Additional Initiatives'!$D219,IF(AQ$4='Additional Initiatives'!$E$163,'Additional Initiatives'!$E219,IF(AQ$4='Additional Initiatives'!$F$163,'Additional Initiatives'!$F219,0)))))+AQ59</f>
        <v>0</v>
      </c>
      <c r="AR60" s="697">
        <f>IF(AR$4='Additional Initiatives'!$B$163,'Additional Initiatives'!$B219,IF(AR$4='Additional Initiatives'!$C$163,'Additional Initiatives'!$C219,IF(AR$4='Additional Initiatives'!$D$163,'Additional Initiatives'!$D219,IF(AR$4='Additional Initiatives'!$E$163,'Additional Initiatives'!$E219,IF(AR$4='Additional Initiatives'!$F$163,'Additional Initiatives'!$F219,0)))))+AR59</f>
        <v>0</v>
      </c>
      <c r="AS60" s="697">
        <f t="shared" si="19"/>
        <v>0</v>
      </c>
      <c r="AT60" s="696">
        <f t="shared" si="39"/>
        <v>13936.951319999998</v>
      </c>
      <c r="AU60" s="696">
        <f t="shared" si="20"/>
        <v>2946.7076116200005</v>
      </c>
      <c r="AV60" s="696">
        <f t="shared" si="21"/>
        <v>0</v>
      </c>
      <c r="AW60" s="696">
        <f t="shared" si="22"/>
        <v>0</v>
      </c>
      <c r="AX60" s="696">
        <f t="shared" si="23"/>
        <v>0</v>
      </c>
      <c r="AY60" s="696">
        <f t="shared" si="24"/>
        <v>0</v>
      </c>
      <c r="AZ60" s="696">
        <f t="shared" si="25"/>
        <v>0</v>
      </c>
      <c r="BA60" s="696">
        <f t="shared" si="26"/>
        <v>0</v>
      </c>
      <c r="BB60" s="696">
        <f t="shared" si="27"/>
        <v>0</v>
      </c>
      <c r="BC60" s="696">
        <f>IF(BC$4='Additional Initiatives'!$B$163,'Additional Initiatives'!$B219,IF(BC$4='Additional Initiatives'!$C$163,'Additional Initiatives'!$C219,IF(BC$4='Additional Initiatives'!$D$163,'Additional Initiatives'!$D219,IF(BC$4='Additional Initiatives'!$E$163,'Additional Initiatives'!$E219,IF(BC$4='Additional Initiatives'!$F$163,'Additional Initiatives'!$F219,0)))))+BC59</f>
        <v>0</v>
      </c>
      <c r="BD60" s="696">
        <f>IF(BD$4='Additional Initiatives'!$B$163,'Additional Initiatives'!$B219,IF(BD$4='Additional Initiatives'!$C$163,'Additional Initiatives'!$C219,IF(BD$4='Additional Initiatives'!$D$163,'Additional Initiatives'!$D219,IF(BD$4='Additional Initiatives'!$E$163,'Additional Initiatives'!$E219,IF(BD$4='Additional Initiatives'!$F$163,'Additional Initiatives'!$F219,0)))))+BD59</f>
        <v>0</v>
      </c>
      <c r="BE60" s="696">
        <f>IF(BE$4='Additional Initiatives'!$B$163,'Additional Initiatives'!$B219,IF(BE$4='Additional Initiatives'!$C$163,'Additional Initiatives'!$C219,IF(BE$4='Additional Initiatives'!$D$163,'Additional Initiatives'!$D219,IF(BE$4='Additional Initiatives'!$E$163,'Additional Initiatives'!$E219,IF(BE$4='Additional Initiatives'!$F$163,'Additional Initiatives'!$F219,0)))))+BE59</f>
        <v>0</v>
      </c>
      <c r="BF60" s="696">
        <f t="shared" si="28"/>
        <v>0</v>
      </c>
    </row>
    <row r="61" spans="1:58">
      <c r="A61" s="21" t="s">
        <v>71</v>
      </c>
      <c r="B61" s="672">
        <f>'Data Entry Fuel'!B60*'Data Entry Fuel'!B212
+'Data Entry Fuel'!C60*'Data Entry Fuel'!C212
+'Data Entry Fuel'!D60*'Data Entry Fuel'!D212
+'Data Entry Fuel'!E60*'Data Entry Fuel'!E212
+'Data Entry Fuel'!F60*'Data Entry Fuel'!F212
+'Data Entry Fuel'!G60*'Data Entry Fuel'!G212
+'Data Entry Fuel'!H60*'Data Entry Fuel'!H212
+'Data Entry Fuel'!I60*'Data Entry Fuel'!I212
+'Data Entry Fuel'!J60*'Data Entry Fuel'!J212</f>
        <v>37011.332799999996</v>
      </c>
      <c r="C61" s="672">
        <f>'Data Entry Fuel'!B60*'Data Entry Fuel'!B212
+'Data Entry Fuel'!C60*'Data Entry Fuel'!C212
+'Data Entry Fuel'!D60*'Data Entry Fuel'!D212
+'Data Entry Fuel'!E60*'Data Entry Fuel'!E212
+'Data Entry Fuel'!F60*'Data Entry Fuel'!F212
+'Data Entry Fuel'!G60*'Data Entry Fuel'!G212
+'Data Entry Fuel'!H60*'Data Entry Fuel'!H212
+'Data Entry Fuel'!I60*'Data Entry Fuel'!C212 *   (1 -  0.13 * 'Data Entry Fuel'!I$3)
+'Data Entry Fuel'!J60*'Data Entry Fuel'!J212</f>
        <v>37011.332799999996</v>
      </c>
      <c r="D61" s="677">
        <f>'Data Entry Electricity'!B60*'Data Entry Electricity'!L60+'Data Entry Electricity'!C60*'Data Entry Electricity'!M60+'Data Entry Electricity'!D60*'Data Entry Electricity'!N60+'Data Entry Electricity'!E60*'Data Entry Electricity'!O60</f>
        <v>6818.8109599999998</v>
      </c>
      <c r="E61" s="776">
        <f>'Data Entry Electricity'!B60*'Data Entry Electricity'!L60+'Data Entry Electricity'!C60*'Data Entry Electricity'!L60+'Data Entry Electricity'!D60*'Data Entry Electricity'!N60+'Data Entry Electricity'!E60*'Data Entry Electricity'!O60</f>
        <v>6818.8109599999998</v>
      </c>
      <c r="F61" s="777">
        <f>(SUM('Fuel Equipment Savings Calculat'!$B58:$S58))+(SUM('Efficient Site Offices DD &amp; Cal'!$B94:$F94))+'PFC Calculations'!$G59+(SUM('Behaviour Calculations'!$E65,'Behaviour Calculations'!$J65,'Behaviour Calculations'!$O65))+(SUM('Reduced Power Lighting Calculat'!$B59:$F59)+SUM('Hybrid Lighting Calculations'!$B63:$F63)+('PIR Lighting Calculations'!$H59)+SUM('Water Calculations'!$B59:$G59)+'Additional Initiatives'!$H72)</f>
        <v>7396.0269512887971</v>
      </c>
      <c r="G61" s="778">
        <f t="shared" si="29"/>
        <v>43830.143759999999</v>
      </c>
      <c r="H61" s="778">
        <f t="shared" si="5"/>
        <v>43830.143759999999</v>
      </c>
      <c r="I61" s="778">
        <f t="shared" si="30"/>
        <v>51226.170711288796</v>
      </c>
      <c r="J61" s="798">
        <f t="shared" si="34"/>
        <v>144288.55668000001</v>
      </c>
      <c r="K61" s="779">
        <f t="shared" si="35"/>
        <v>177948.56045480003</v>
      </c>
      <c r="L61" s="780">
        <f t="shared" si="31"/>
        <v>0.1443798521067069</v>
      </c>
      <c r="M61" s="780">
        <f t="shared" si="32"/>
        <v>0.18915580822217359</v>
      </c>
      <c r="N61" s="781">
        <f t="shared" si="33"/>
        <v>7396.0269512887971</v>
      </c>
      <c r="O61" s="781">
        <f t="shared" si="16"/>
        <v>33660.003774800018</v>
      </c>
      <c r="Q61" s="683">
        <f t="shared" si="36"/>
        <v>123532.79439999998</v>
      </c>
      <c r="R61" s="683">
        <f t="shared" si="37"/>
        <v>20755.762279999999</v>
      </c>
      <c r="T61" s="673">
        <f t="shared" si="10"/>
        <v>7396.0269512887971</v>
      </c>
      <c r="U61" s="674">
        <f>'Fuel Equipment Savings Calculat'!$V58</f>
        <v>5831.1098359687976</v>
      </c>
      <c r="V61" s="674">
        <f>'Efficient Site Offices DD &amp; Cal'!$H94</f>
        <v>1564.91711532</v>
      </c>
      <c r="W61" s="674">
        <f>'PFC Calculations'!$G59</f>
        <v>0</v>
      </c>
      <c r="X61" s="674">
        <f>'Behaviour Calculations'!$E65</f>
        <v>0</v>
      </c>
      <c r="Y61" s="674">
        <f>'Behaviour Calculations'!$J65</f>
        <v>0</v>
      </c>
      <c r="Z61" s="674">
        <f>'Behaviour Calculations'!$O65</f>
        <v>0</v>
      </c>
      <c r="AA61" s="674">
        <f>'Reduced Power Lighting Calculat'!$H59</f>
        <v>0</v>
      </c>
      <c r="AB61" s="674">
        <f>'Hybrid Lighting Calculations'!H63</f>
        <v>0</v>
      </c>
      <c r="AC61" s="674">
        <f>'PIR Lighting Calculations'!$H59</f>
        <v>0</v>
      </c>
      <c r="AD61" s="674">
        <f>'Water Calculations'!$I59</f>
        <v>0</v>
      </c>
      <c r="AE61" s="674">
        <f>'Additional Initiatives'!$H72</f>
        <v>0</v>
      </c>
      <c r="AF61" s="679">
        <f t="shared" si="11"/>
        <v>0</v>
      </c>
      <c r="AG61" s="679">
        <f>(C61-B61) - (0.13 * 'Data Entry Fuel'!I$3) * (U61+AB61)</f>
        <v>0</v>
      </c>
      <c r="AH61" s="5"/>
      <c r="AI61" s="19">
        <v>1405</v>
      </c>
      <c r="AJ61" s="19">
        <f t="shared" si="12"/>
        <v>2014</v>
      </c>
      <c r="AK61" s="19">
        <f t="shared" si="13"/>
        <v>8</v>
      </c>
      <c r="AL61" s="19">
        <v>57</v>
      </c>
      <c r="AM61" s="697">
        <f t="shared" si="38"/>
        <v>123532.79439999998</v>
      </c>
      <c r="AN61" s="697">
        <f t="shared" si="17"/>
        <v>29148.379047860009</v>
      </c>
      <c r="AO61" s="697">
        <f t="shared" si="18"/>
        <v>0</v>
      </c>
      <c r="AP61" s="697">
        <f>IF(AP$4='Additional Initiatives'!$B$163,'Additional Initiatives'!$B220,IF(AP$4='Additional Initiatives'!$C$163,'Additional Initiatives'!$C220,IF(AP$4='Additional Initiatives'!$D$163,'Additional Initiatives'!$D220,IF(AP$4='Additional Initiatives'!$E$163,'Additional Initiatives'!$E220,IF(AP$4='Additional Initiatives'!$F$163,'Additional Initiatives'!$F220,0)))))+AP60</f>
        <v>0</v>
      </c>
      <c r="AQ61" s="697">
        <f>IF(AQ$4='Additional Initiatives'!$B$163,'Additional Initiatives'!$B220,IF(AQ$4='Additional Initiatives'!$C$163,'Additional Initiatives'!$C220,IF(AQ$4='Additional Initiatives'!$D$163,'Additional Initiatives'!$D220,IF(AQ$4='Additional Initiatives'!$E$163,'Additional Initiatives'!$E220,IF(AQ$4='Additional Initiatives'!$F$163,'Additional Initiatives'!$F220,0)))))+AQ60</f>
        <v>0</v>
      </c>
      <c r="AR61" s="697">
        <f>IF(AR$4='Additional Initiatives'!$B$163,'Additional Initiatives'!$B220,IF(AR$4='Additional Initiatives'!$C$163,'Additional Initiatives'!$C220,IF(AR$4='Additional Initiatives'!$D$163,'Additional Initiatives'!$D220,IF(AR$4='Additional Initiatives'!$E$163,'Additional Initiatives'!$E220,IF(AR$4='Additional Initiatives'!$F$163,'Additional Initiatives'!$F220,0)))))+AR60</f>
        <v>0</v>
      </c>
      <c r="AS61" s="697">
        <f t="shared" si="19"/>
        <v>0</v>
      </c>
      <c r="AT61" s="696">
        <f t="shared" si="39"/>
        <v>20755.762279999999</v>
      </c>
      <c r="AU61" s="696">
        <f t="shared" si="20"/>
        <v>4511.624726940001</v>
      </c>
      <c r="AV61" s="696">
        <f t="shared" si="21"/>
        <v>0</v>
      </c>
      <c r="AW61" s="696">
        <f t="shared" si="22"/>
        <v>0</v>
      </c>
      <c r="AX61" s="696">
        <f t="shared" si="23"/>
        <v>0</v>
      </c>
      <c r="AY61" s="696">
        <f t="shared" si="24"/>
        <v>0</v>
      </c>
      <c r="AZ61" s="696">
        <f t="shared" si="25"/>
        <v>0</v>
      </c>
      <c r="BA61" s="696">
        <f t="shared" si="26"/>
        <v>0</v>
      </c>
      <c r="BB61" s="696">
        <f t="shared" si="27"/>
        <v>0</v>
      </c>
      <c r="BC61" s="696">
        <f>IF(BC$4='Additional Initiatives'!$B$163,'Additional Initiatives'!$B220,IF(BC$4='Additional Initiatives'!$C$163,'Additional Initiatives'!$C220,IF(BC$4='Additional Initiatives'!$D$163,'Additional Initiatives'!$D220,IF(BC$4='Additional Initiatives'!$E$163,'Additional Initiatives'!$E220,IF(BC$4='Additional Initiatives'!$F$163,'Additional Initiatives'!$F220,0)))))+BC60</f>
        <v>0</v>
      </c>
      <c r="BD61" s="696">
        <f>IF(BD$4='Additional Initiatives'!$B$163,'Additional Initiatives'!$B220,IF(BD$4='Additional Initiatives'!$C$163,'Additional Initiatives'!$C220,IF(BD$4='Additional Initiatives'!$D$163,'Additional Initiatives'!$D220,IF(BD$4='Additional Initiatives'!$E$163,'Additional Initiatives'!$E220,IF(BD$4='Additional Initiatives'!$F$163,'Additional Initiatives'!$F220,0)))))+BD60</f>
        <v>0</v>
      </c>
      <c r="BE61" s="696">
        <f>IF(BE$4='Additional Initiatives'!$B$163,'Additional Initiatives'!$B220,IF(BE$4='Additional Initiatives'!$C$163,'Additional Initiatives'!$C220,IF(BE$4='Additional Initiatives'!$D$163,'Additional Initiatives'!$D220,IF(BE$4='Additional Initiatives'!$E$163,'Additional Initiatives'!$E220,IF(BE$4='Additional Initiatives'!$F$163,'Additional Initiatives'!$F220,0)))))+BE60</f>
        <v>0</v>
      </c>
      <c r="BF61" s="696">
        <f t="shared" si="28"/>
        <v>0</v>
      </c>
    </row>
    <row r="62" spans="1:58">
      <c r="A62" s="21" t="s">
        <v>72</v>
      </c>
      <c r="B62" s="672">
        <f>'Data Entry Fuel'!B61*'Data Entry Fuel'!B213
+'Data Entry Fuel'!C61*'Data Entry Fuel'!C213
+'Data Entry Fuel'!D61*'Data Entry Fuel'!D213
+'Data Entry Fuel'!E61*'Data Entry Fuel'!E213
+'Data Entry Fuel'!F61*'Data Entry Fuel'!F213
+'Data Entry Fuel'!G61*'Data Entry Fuel'!G213
+'Data Entry Fuel'!H61*'Data Entry Fuel'!H213
+'Data Entry Fuel'!I61*'Data Entry Fuel'!I213
+'Data Entry Fuel'!J61*'Data Entry Fuel'!J213</f>
        <v>18461.425599999999</v>
      </c>
      <c r="C62" s="672">
        <f>'Data Entry Fuel'!B61*'Data Entry Fuel'!B213
+'Data Entry Fuel'!C61*'Data Entry Fuel'!C213
+'Data Entry Fuel'!D61*'Data Entry Fuel'!D213
+'Data Entry Fuel'!E61*'Data Entry Fuel'!E213
+'Data Entry Fuel'!F61*'Data Entry Fuel'!F213
+'Data Entry Fuel'!G61*'Data Entry Fuel'!G213
+'Data Entry Fuel'!H61*'Data Entry Fuel'!H213
+'Data Entry Fuel'!I61*'Data Entry Fuel'!C213 *   (1 -  0.13 * 'Data Entry Fuel'!I$3)
+'Data Entry Fuel'!J61*'Data Entry Fuel'!J213</f>
        <v>18461.425599999999</v>
      </c>
      <c r="D62" s="677">
        <f>'Data Entry Electricity'!B61*'Data Entry Electricity'!L61+'Data Entry Electricity'!C61*'Data Entry Electricity'!M61+'Data Entry Electricity'!D61*'Data Entry Electricity'!N61+'Data Entry Electricity'!E61*'Data Entry Electricity'!O61</f>
        <v>6772.35052</v>
      </c>
      <c r="E62" s="776">
        <f>'Data Entry Electricity'!B61*'Data Entry Electricity'!L61+'Data Entry Electricity'!C61*'Data Entry Electricity'!L61+'Data Entry Electricity'!D61*'Data Entry Electricity'!N61+'Data Entry Electricity'!E61*'Data Entry Electricity'!O61</f>
        <v>6772.35052</v>
      </c>
      <c r="F62" s="777">
        <f>(SUM('Fuel Equipment Savings Calculat'!$B59:$S59))+(SUM('Efficient Site Offices DD &amp; Cal'!$B95:$F95))+'PFC Calculations'!$G60+(SUM('Behaviour Calculations'!$E66,'Behaviour Calculations'!$J66,'Behaviour Calculations'!$O66))+(SUM('Reduced Power Lighting Calculat'!$B60:$F60)+SUM('Hybrid Lighting Calculations'!$B64:$F64)+('PIR Lighting Calculations'!$H60)+SUM('Water Calculations'!$B60:$G60)+'Additional Initiatives'!$H73)</f>
        <v>7676.1335110780283</v>
      </c>
      <c r="G62" s="778">
        <f t="shared" si="29"/>
        <v>25233.776119999999</v>
      </c>
      <c r="H62" s="778">
        <f t="shared" si="5"/>
        <v>25233.776119999999</v>
      </c>
      <c r="I62" s="778">
        <f t="shared" si="30"/>
        <v>32909.90963107803</v>
      </c>
      <c r="J62" s="798">
        <f t="shared" si="34"/>
        <v>169522.3328</v>
      </c>
      <c r="K62" s="779">
        <f t="shared" si="35"/>
        <v>210858.47008587804</v>
      </c>
      <c r="L62" s="780">
        <f t="shared" si="31"/>
        <v>0.23324687296707669</v>
      </c>
      <c r="M62" s="780">
        <f t="shared" si="32"/>
        <v>0.19603735751778306</v>
      </c>
      <c r="N62" s="781">
        <f t="shared" si="33"/>
        <v>7676.133511078031</v>
      </c>
      <c r="O62" s="781">
        <f t="shared" si="16"/>
        <v>41336.137285878052</v>
      </c>
      <c r="Q62" s="683">
        <f t="shared" si="36"/>
        <v>141994.21999999997</v>
      </c>
      <c r="R62" s="683">
        <f t="shared" si="37"/>
        <v>27528.112799999999</v>
      </c>
      <c r="T62" s="673">
        <f t="shared" si="10"/>
        <v>7676.1335110780283</v>
      </c>
      <c r="U62" s="674">
        <f>'Fuel Equipment Savings Calculat'!$V59</f>
        <v>5831.1098359687976</v>
      </c>
      <c r="V62" s="674">
        <f>'Efficient Site Offices DD &amp; Cal'!$H95</f>
        <v>1554.2544443400002</v>
      </c>
      <c r="W62" s="674">
        <f>'PFC Calculations'!$G60</f>
        <v>0</v>
      </c>
      <c r="X62" s="674">
        <f>'Behaviour Calculations'!$E66</f>
        <v>0</v>
      </c>
      <c r="Y62" s="674">
        <f>'Behaviour Calculations'!$J66</f>
        <v>0</v>
      </c>
      <c r="Z62" s="674">
        <f>'Behaviour Calculations'!$O66</f>
        <v>290.76923076923077</v>
      </c>
      <c r="AA62" s="674">
        <f>'Reduced Power Lighting Calculat'!$H60</f>
        <v>0</v>
      </c>
      <c r="AB62" s="674">
        <f>'Hybrid Lighting Calculations'!H64</f>
        <v>0</v>
      </c>
      <c r="AC62" s="674">
        <f>'PIR Lighting Calculations'!$H60</f>
        <v>0</v>
      </c>
      <c r="AD62" s="674">
        <f>'Water Calculations'!$I60</f>
        <v>0</v>
      </c>
      <c r="AE62" s="674">
        <f>'Additional Initiatives'!$H73</f>
        <v>0</v>
      </c>
      <c r="AF62" s="679">
        <f t="shared" si="11"/>
        <v>0</v>
      </c>
      <c r="AG62" s="679">
        <f>(C62-B62) - (0.13 * 'Data Entry Fuel'!I$3) * (U62+AB62)</f>
        <v>0</v>
      </c>
      <c r="AH62" s="5"/>
      <c r="AI62" s="19">
        <v>1406</v>
      </c>
      <c r="AJ62" s="19">
        <f t="shared" si="12"/>
        <v>2014</v>
      </c>
      <c r="AK62" s="19">
        <f t="shared" si="13"/>
        <v>8</v>
      </c>
      <c r="AL62" s="19">
        <v>58</v>
      </c>
      <c r="AM62" s="697">
        <f t="shared" si="38"/>
        <v>141994.21999999997</v>
      </c>
      <c r="AN62" s="697">
        <f t="shared" si="17"/>
        <v>34979.48888382881</v>
      </c>
      <c r="AO62" s="697">
        <f t="shared" si="18"/>
        <v>0</v>
      </c>
      <c r="AP62" s="697">
        <f>IF(AP$4='Additional Initiatives'!$B$163,'Additional Initiatives'!$B221,IF(AP$4='Additional Initiatives'!$C$163,'Additional Initiatives'!$C221,IF(AP$4='Additional Initiatives'!$D$163,'Additional Initiatives'!$D221,IF(AP$4='Additional Initiatives'!$E$163,'Additional Initiatives'!$E221,IF(AP$4='Additional Initiatives'!$F$163,'Additional Initiatives'!$F221,0)))))+AP61</f>
        <v>0</v>
      </c>
      <c r="AQ62" s="697">
        <f>IF(AQ$4='Additional Initiatives'!$B$163,'Additional Initiatives'!$B221,IF(AQ$4='Additional Initiatives'!$C$163,'Additional Initiatives'!$C221,IF(AQ$4='Additional Initiatives'!$D$163,'Additional Initiatives'!$D221,IF(AQ$4='Additional Initiatives'!$E$163,'Additional Initiatives'!$E221,IF(AQ$4='Additional Initiatives'!$F$163,'Additional Initiatives'!$F221,0)))))+AQ61</f>
        <v>0</v>
      </c>
      <c r="AR62" s="697">
        <f>IF(AR$4='Additional Initiatives'!$B$163,'Additional Initiatives'!$B221,IF(AR$4='Additional Initiatives'!$C$163,'Additional Initiatives'!$C221,IF(AR$4='Additional Initiatives'!$D$163,'Additional Initiatives'!$D221,IF(AR$4='Additional Initiatives'!$E$163,'Additional Initiatives'!$E221,IF(AR$4='Additional Initiatives'!$F$163,'Additional Initiatives'!$F221,0)))))+AR61</f>
        <v>0</v>
      </c>
      <c r="AS62" s="697">
        <f t="shared" si="19"/>
        <v>0</v>
      </c>
      <c r="AT62" s="696">
        <f t="shared" si="39"/>
        <v>27528.112799999999</v>
      </c>
      <c r="AU62" s="696">
        <f t="shared" si="20"/>
        <v>6065.8791712800012</v>
      </c>
      <c r="AV62" s="696">
        <f t="shared" si="21"/>
        <v>0</v>
      </c>
      <c r="AW62" s="696">
        <f t="shared" si="22"/>
        <v>0</v>
      </c>
      <c r="AX62" s="696">
        <f t="shared" si="23"/>
        <v>0</v>
      </c>
      <c r="AY62" s="696">
        <f t="shared" si="24"/>
        <v>0</v>
      </c>
      <c r="AZ62" s="696">
        <f t="shared" si="25"/>
        <v>0</v>
      </c>
      <c r="BA62" s="696">
        <f t="shared" si="26"/>
        <v>290.76923076923077</v>
      </c>
      <c r="BB62" s="696">
        <f t="shared" si="27"/>
        <v>0</v>
      </c>
      <c r="BC62" s="696">
        <f>IF(BC$4='Additional Initiatives'!$B$163,'Additional Initiatives'!$B221,IF(BC$4='Additional Initiatives'!$C$163,'Additional Initiatives'!$C221,IF(BC$4='Additional Initiatives'!$D$163,'Additional Initiatives'!$D221,IF(BC$4='Additional Initiatives'!$E$163,'Additional Initiatives'!$E221,IF(BC$4='Additional Initiatives'!$F$163,'Additional Initiatives'!$F221,0)))))+BC61</f>
        <v>0</v>
      </c>
      <c r="BD62" s="696">
        <f>IF(BD$4='Additional Initiatives'!$B$163,'Additional Initiatives'!$B221,IF(BD$4='Additional Initiatives'!$C$163,'Additional Initiatives'!$C221,IF(BD$4='Additional Initiatives'!$D$163,'Additional Initiatives'!$D221,IF(BD$4='Additional Initiatives'!$E$163,'Additional Initiatives'!$E221,IF(BD$4='Additional Initiatives'!$F$163,'Additional Initiatives'!$F221,0)))))+BD61</f>
        <v>0</v>
      </c>
      <c r="BE62" s="696">
        <f>IF(BE$4='Additional Initiatives'!$B$163,'Additional Initiatives'!$B221,IF(BE$4='Additional Initiatives'!$C$163,'Additional Initiatives'!$C221,IF(BE$4='Additional Initiatives'!$D$163,'Additional Initiatives'!$D221,IF(BE$4='Additional Initiatives'!$E$163,'Additional Initiatives'!$E221,IF(BE$4='Additional Initiatives'!$F$163,'Additional Initiatives'!$F221,0)))))+BE61</f>
        <v>0</v>
      </c>
      <c r="BF62" s="696">
        <f t="shared" si="28"/>
        <v>0</v>
      </c>
    </row>
    <row r="63" spans="1:58">
      <c r="A63" s="21" t="s">
        <v>73</v>
      </c>
      <c r="B63" s="672">
        <f>'Data Entry Fuel'!B62*'Data Entry Fuel'!B214
+'Data Entry Fuel'!C62*'Data Entry Fuel'!C214
+'Data Entry Fuel'!D62*'Data Entry Fuel'!D214
+'Data Entry Fuel'!E62*'Data Entry Fuel'!E214
+'Data Entry Fuel'!F62*'Data Entry Fuel'!F214
+'Data Entry Fuel'!G62*'Data Entry Fuel'!G214
+'Data Entry Fuel'!H62*'Data Entry Fuel'!H214
+'Data Entry Fuel'!I62*'Data Entry Fuel'!I214
+'Data Entry Fuel'!J62*'Data Entry Fuel'!J214</f>
        <v>107963.16639999999</v>
      </c>
      <c r="C63" s="672">
        <f>'Data Entry Fuel'!B62*'Data Entry Fuel'!B214
+'Data Entry Fuel'!C62*'Data Entry Fuel'!C214
+'Data Entry Fuel'!D62*'Data Entry Fuel'!D214
+'Data Entry Fuel'!E62*'Data Entry Fuel'!E214
+'Data Entry Fuel'!F62*'Data Entry Fuel'!F214
+'Data Entry Fuel'!G62*'Data Entry Fuel'!G214
+'Data Entry Fuel'!H62*'Data Entry Fuel'!H214
+'Data Entry Fuel'!I62*'Data Entry Fuel'!C214 *   (1 -  0.13 * 'Data Entry Fuel'!I$3)
+'Data Entry Fuel'!J62*'Data Entry Fuel'!J214</f>
        <v>107963.16639999999</v>
      </c>
      <c r="D63" s="677">
        <f>'Data Entry Electricity'!B62*'Data Entry Electricity'!L62+'Data Entry Electricity'!C62*'Data Entry Electricity'!M62+'Data Entry Electricity'!D62*'Data Entry Electricity'!N62+'Data Entry Electricity'!E62*'Data Entry Electricity'!O62</f>
        <v>6217.2965399999994</v>
      </c>
      <c r="E63" s="776">
        <f>'Data Entry Electricity'!B62*'Data Entry Electricity'!L62+'Data Entry Electricity'!C62*'Data Entry Electricity'!L62+'Data Entry Electricity'!D62*'Data Entry Electricity'!N62+'Data Entry Electricity'!E62*'Data Entry Electricity'!O62</f>
        <v>6217.2965399999994</v>
      </c>
      <c r="F63" s="777">
        <f>(SUM('Fuel Equipment Savings Calculat'!$B60:$S60))+(SUM('Efficient Site Offices DD &amp; Cal'!$B96:$F96))+'PFC Calculations'!$G61+(SUM('Behaviour Calculations'!$E67,'Behaviour Calculations'!$J67,'Behaviour Calculations'!$O67))+(SUM('Reduced Power Lighting Calculat'!$B61:$F61)+SUM('Hybrid Lighting Calculations'!$B65:$F65)+('PIR Lighting Calculations'!$H61)+SUM('Water Calculations'!$B61:$G61)+'Additional Initiatives'!$H74)</f>
        <v>12310.921015588023</v>
      </c>
      <c r="G63" s="778">
        <f t="shared" si="29"/>
        <v>114180.46293999998</v>
      </c>
      <c r="H63" s="778">
        <f t="shared" si="5"/>
        <v>114180.46293999998</v>
      </c>
      <c r="I63" s="778">
        <f t="shared" si="30"/>
        <v>126491.38395558801</v>
      </c>
      <c r="J63" s="798">
        <f t="shared" si="34"/>
        <v>283702.79573999997</v>
      </c>
      <c r="K63" s="779">
        <f t="shared" si="35"/>
        <v>337349.85404146602</v>
      </c>
      <c r="L63" s="780">
        <f t="shared" si="31"/>
        <v>9.7326162704571839E-2</v>
      </c>
      <c r="M63" s="780">
        <f t="shared" si="32"/>
        <v>0.15902499336748466</v>
      </c>
      <c r="N63" s="781">
        <f t="shared" si="33"/>
        <v>12310.921015588028</v>
      </c>
      <c r="O63" s="781">
        <f t="shared" si="16"/>
        <v>53647.058301466081</v>
      </c>
      <c r="Q63" s="683">
        <f t="shared" si="36"/>
        <v>249957.38639999996</v>
      </c>
      <c r="R63" s="683">
        <f t="shared" si="37"/>
        <v>33745.409339999998</v>
      </c>
      <c r="T63" s="673">
        <f t="shared" si="10"/>
        <v>12310.921015588023</v>
      </c>
      <c r="U63" s="674">
        <f>'Fuel Equipment Savings Calculat'!$V60</f>
        <v>11227.446475968793</v>
      </c>
      <c r="V63" s="674">
        <f>'Efficient Site Offices DD &amp; Cal'!$H96</f>
        <v>792.70530884999994</v>
      </c>
      <c r="W63" s="674">
        <f>'PFC Calculations'!$G61</f>
        <v>0</v>
      </c>
      <c r="X63" s="674">
        <f>'Behaviour Calculations'!$E67</f>
        <v>0</v>
      </c>
      <c r="Y63" s="674">
        <f>'Behaviour Calculations'!$J67</f>
        <v>0</v>
      </c>
      <c r="Z63" s="674">
        <f>'Behaviour Calculations'!$O67</f>
        <v>290.76923076923077</v>
      </c>
      <c r="AA63" s="674">
        <f>'Reduced Power Lighting Calculat'!$H61</f>
        <v>0</v>
      </c>
      <c r="AB63" s="674">
        <f>'Hybrid Lighting Calculations'!H65</f>
        <v>0</v>
      </c>
      <c r="AC63" s="674">
        <f>'PIR Lighting Calculations'!$H61</f>
        <v>0</v>
      </c>
      <c r="AD63" s="674">
        <f>'Water Calculations'!$I61</f>
        <v>0</v>
      </c>
      <c r="AE63" s="674">
        <f>'Additional Initiatives'!$H74</f>
        <v>0</v>
      </c>
      <c r="AF63" s="679">
        <f t="shared" si="11"/>
        <v>0</v>
      </c>
      <c r="AG63" s="679">
        <f>(C63-B63) - (0.13 * 'Data Entry Fuel'!I$3) * (U63+AB63)</f>
        <v>0</v>
      </c>
      <c r="AH63" s="5"/>
      <c r="AI63" s="19">
        <v>1407</v>
      </c>
      <c r="AJ63" s="19">
        <f t="shared" si="12"/>
        <v>2014</v>
      </c>
      <c r="AK63" s="19">
        <f t="shared" si="13"/>
        <v>8</v>
      </c>
      <c r="AL63" s="19">
        <v>59</v>
      </c>
      <c r="AM63" s="697">
        <f t="shared" si="38"/>
        <v>249957.38639999996</v>
      </c>
      <c r="AN63" s="697">
        <f t="shared" si="17"/>
        <v>46206.935359797601</v>
      </c>
      <c r="AO63" s="697">
        <f t="shared" si="18"/>
        <v>0</v>
      </c>
      <c r="AP63" s="697">
        <f>IF(AP$4='Additional Initiatives'!$B$163,'Additional Initiatives'!$B222,IF(AP$4='Additional Initiatives'!$C$163,'Additional Initiatives'!$C222,IF(AP$4='Additional Initiatives'!$D$163,'Additional Initiatives'!$D222,IF(AP$4='Additional Initiatives'!$E$163,'Additional Initiatives'!$E222,IF(AP$4='Additional Initiatives'!$F$163,'Additional Initiatives'!$F222,0)))))+AP62</f>
        <v>0</v>
      </c>
      <c r="AQ63" s="697">
        <f>IF(AQ$4='Additional Initiatives'!$B$163,'Additional Initiatives'!$B222,IF(AQ$4='Additional Initiatives'!$C$163,'Additional Initiatives'!$C222,IF(AQ$4='Additional Initiatives'!$D$163,'Additional Initiatives'!$D222,IF(AQ$4='Additional Initiatives'!$E$163,'Additional Initiatives'!$E222,IF(AQ$4='Additional Initiatives'!$F$163,'Additional Initiatives'!$F222,0)))))+AQ62</f>
        <v>0</v>
      </c>
      <c r="AR63" s="697">
        <f>IF(AR$4='Additional Initiatives'!$B$163,'Additional Initiatives'!$B222,IF(AR$4='Additional Initiatives'!$C$163,'Additional Initiatives'!$C222,IF(AR$4='Additional Initiatives'!$D$163,'Additional Initiatives'!$D222,IF(AR$4='Additional Initiatives'!$E$163,'Additional Initiatives'!$E222,IF(AR$4='Additional Initiatives'!$F$163,'Additional Initiatives'!$F222,0)))))+AR62</f>
        <v>0</v>
      </c>
      <c r="AS63" s="697">
        <f t="shared" si="19"/>
        <v>0</v>
      </c>
      <c r="AT63" s="696">
        <f t="shared" si="39"/>
        <v>33745.409339999998</v>
      </c>
      <c r="AU63" s="696">
        <f t="shared" si="20"/>
        <v>6858.5844801300009</v>
      </c>
      <c r="AV63" s="696">
        <f t="shared" si="21"/>
        <v>0</v>
      </c>
      <c r="AW63" s="696">
        <f t="shared" si="22"/>
        <v>0</v>
      </c>
      <c r="AX63" s="696">
        <f t="shared" si="23"/>
        <v>0</v>
      </c>
      <c r="AY63" s="696">
        <f t="shared" si="24"/>
        <v>0</v>
      </c>
      <c r="AZ63" s="696">
        <f t="shared" si="25"/>
        <v>0</v>
      </c>
      <c r="BA63" s="696">
        <f t="shared" si="26"/>
        <v>581.53846153846155</v>
      </c>
      <c r="BB63" s="696">
        <f t="shared" si="27"/>
        <v>0</v>
      </c>
      <c r="BC63" s="696">
        <f>IF(BC$4='Additional Initiatives'!$B$163,'Additional Initiatives'!$B222,IF(BC$4='Additional Initiatives'!$C$163,'Additional Initiatives'!$C222,IF(BC$4='Additional Initiatives'!$D$163,'Additional Initiatives'!$D222,IF(BC$4='Additional Initiatives'!$E$163,'Additional Initiatives'!$E222,IF(BC$4='Additional Initiatives'!$F$163,'Additional Initiatives'!$F222,0)))))+BC62</f>
        <v>0</v>
      </c>
      <c r="BD63" s="696">
        <f>IF(BD$4='Additional Initiatives'!$B$163,'Additional Initiatives'!$B222,IF(BD$4='Additional Initiatives'!$C$163,'Additional Initiatives'!$C222,IF(BD$4='Additional Initiatives'!$D$163,'Additional Initiatives'!$D222,IF(BD$4='Additional Initiatives'!$E$163,'Additional Initiatives'!$E222,IF(BD$4='Additional Initiatives'!$F$163,'Additional Initiatives'!$F222,0)))))+BD62</f>
        <v>0</v>
      </c>
      <c r="BE63" s="696">
        <f>IF(BE$4='Additional Initiatives'!$B$163,'Additional Initiatives'!$B222,IF(BE$4='Additional Initiatives'!$C$163,'Additional Initiatives'!$C222,IF(BE$4='Additional Initiatives'!$D$163,'Additional Initiatives'!$D222,IF(BE$4='Additional Initiatives'!$E$163,'Additional Initiatives'!$E222,IF(BE$4='Additional Initiatives'!$F$163,'Additional Initiatives'!$F222,0)))))+BE62</f>
        <v>0</v>
      </c>
      <c r="BF63" s="696">
        <f t="shared" si="28"/>
        <v>0</v>
      </c>
    </row>
    <row r="64" spans="1:58">
      <c r="A64" s="21" t="s">
        <v>74</v>
      </c>
      <c r="B64" s="672">
        <f>'Data Entry Fuel'!B63*'Data Entry Fuel'!B215
+'Data Entry Fuel'!C63*'Data Entry Fuel'!C215
+'Data Entry Fuel'!D63*'Data Entry Fuel'!D215
+'Data Entry Fuel'!E63*'Data Entry Fuel'!E215
+'Data Entry Fuel'!F63*'Data Entry Fuel'!F215
+'Data Entry Fuel'!G63*'Data Entry Fuel'!G215
+'Data Entry Fuel'!H63*'Data Entry Fuel'!H215
+'Data Entry Fuel'!I63*'Data Entry Fuel'!I215
+'Data Entry Fuel'!J63*'Data Entry Fuel'!J215</f>
        <v>62699.623199999995</v>
      </c>
      <c r="C64" s="672">
        <f>'Data Entry Fuel'!B63*'Data Entry Fuel'!B215
+'Data Entry Fuel'!C63*'Data Entry Fuel'!C215
+'Data Entry Fuel'!D63*'Data Entry Fuel'!D215
+'Data Entry Fuel'!E63*'Data Entry Fuel'!E215
+'Data Entry Fuel'!F63*'Data Entry Fuel'!F215
+'Data Entry Fuel'!G63*'Data Entry Fuel'!G215
+'Data Entry Fuel'!H63*'Data Entry Fuel'!H215
+'Data Entry Fuel'!I63*'Data Entry Fuel'!C215 *   (1 -  0.13 * 'Data Entry Fuel'!I$3)
+'Data Entry Fuel'!J63*'Data Entry Fuel'!J215</f>
        <v>62699.623199999995</v>
      </c>
      <c r="D64" s="677">
        <f>'Data Entry Electricity'!B63*'Data Entry Electricity'!L63+'Data Entry Electricity'!C63*'Data Entry Electricity'!M63+'Data Entry Electricity'!D63*'Data Entry Electricity'!N63+'Data Entry Electricity'!E63*'Data Entry Electricity'!O63</f>
        <v>10976.52608</v>
      </c>
      <c r="E64" s="776">
        <f>'Data Entry Electricity'!B63*'Data Entry Electricity'!L63+'Data Entry Electricity'!C63*'Data Entry Electricity'!L63+'Data Entry Electricity'!D63*'Data Entry Electricity'!N63+'Data Entry Electricity'!E63*'Data Entry Electricity'!O63</f>
        <v>10976.52608</v>
      </c>
      <c r="F64" s="777">
        <f>(SUM('Fuel Equipment Savings Calculat'!$B61:$S61))+(SUM('Efficient Site Offices DD &amp; Cal'!$B97:$F97))+'PFC Calculations'!$G62+(SUM('Behaviour Calculations'!$E68,'Behaviour Calculations'!$J68,'Behaviour Calculations'!$O68))+(SUM('Reduced Power Lighting Calculat'!$B62:$F62)+SUM('Hybrid Lighting Calculations'!$B66:$F66)+('PIR Lighting Calculations'!$H62)+SUM('Water Calculations'!$B62:$G62)+'Additional Initiatives'!$H75)</f>
        <v>20074.896442098023</v>
      </c>
      <c r="G64" s="778">
        <f t="shared" si="29"/>
        <v>73676.149279999998</v>
      </c>
      <c r="H64" s="778">
        <f t="shared" si="5"/>
        <v>73676.149279999998</v>
      </c>
      <c r="I64" s="778">
        <f t="shared" si="30"/>
        <v>93751.045722098017</v>
      </c>
      <c r="J64" s="798">
        <f t="shared" si="34"/>
        <v>357378.94501999998</v>
      </c>
      <c r="K64" s="779">
        <f t="shared" si="35"/>
        <v>431100.89976356406</v>
      </c>
      <c r="L64" s="780">
        <f t="shared" si="31"/>
        <v>0.21412984023245063</v>
      </c>
      <c r="M64" s="780">
        <f t="shared" si="32"/>
        <v>0.17100858472806868</v>
      </c>
      <c r="N64" s="781">
        <f t="shared" si="33"/>
        <v>20074.896442098019</v>
      </c>
      <c r="O64" s="781">
        <f t="shared" si="16"/>
        <v>73721.9547435641</v>
      </c>
      <c r="Q64" s="683">
        <f t="shared" si="36"/>
        <v>312657.00959999993</v>
      </c>
      <c r="R64" s="683">
        <f t="shared" si="37"/>
        <v>44721.935419999994</v>
      </c>
      <c r="T64" s="673">
        <f t="shared" si="10"/>
        <v>20074.896442098023</v>
      </c>
      <c r="U64" s="674">
        <f>'Fuel Equipment Savings Calculat'!$V61</f>
        <v>11227.446475968793</v>
      </c>
      <c r="V64" s="674">
        <f>'Efficient Site Offices DD &amp; Cal'!$H97</f>
        <v>2519.11273536</v>
      </c>
      <c r="W64" s="674">
        <f>'PFC Calculations'!$G62</f>
        <v>0</v>
      </c>
      <c r="X64" s="674">
        <f>'Behaviour Calculations'!$E68</f>
        <v>0</v>
      </c>
      <c r="Y64" s="674">
        <f>'Behaviour Calculations'!$J68</f>
        <v>0</v>
      </c>
      <c r="Z64" s="674">
        <f>'Behaviour Calculations'!$O68</f>
        <v>290.76923076923077</v>
      </c>
      <c r="AA64" s="674">
        <f>'Reduced Power Lighting Calculat'!$H62</f>
        <v>0</v>
      </c>
      <c r="AB64" s="674">
        <f>'Hybrid Lighting Calculations'!H66</f>
        <v>6037.5679999999993</v>
      </c>
      <c r="AC64" s="674">
        <f>'PIR Lighting Calculations'!$H62</f>
        <v>0</v>
      </c>
      <c r="AD64" s="674">
        <f>'Water Calculations'!$I62</f>
        <v>0</v>
      </c>
      <c r="AE64" s="674">
        <f>'Additional Initiatives'!$H75</f>
        <v>0</v>
      </c>
      <c r="AF64" s="679">
        <f t="shared" si="11"/>
        <v>0</v>
      </c>
      <c r="AG64" s="679">
        <f>(C64-B64) - (0.13 * 'Data Entry Fuel'!I$3) * (U64+AB64)</f>
        <v>0</v>
      </c>
      <c r="AH64" s="5"/>
      <c r="AI64" s="19">
        <v>1408</v>
      </c>
      <c r="AJ64" s="19">
        <f t="shared" si="12"/>
        <v>2014</v>
      </c>
      <c r="AK64" s="19">
        <f t="shared" si="13"/>
        <v>8</v>
      </c>
      <c r="AL64" s="19">
        <v>60</v>
      </c>
      <c r="AM64" s="697">
        <f t="shared" si="38"/>
        <v>312657.00959999993</v>
      </c>
      <c r="AN64" s="697">
        <f t="shared" si="17"/>
        <v>57434.381835766391</v>
      </c>
      <c r="AO64" s="697">
        <f t="shared" si="18"/>
        <v>6037.5679999999993</v>
      </c>
      <c r="AP64" s="697">
        <f>IF(AP$4='Additional Initiatives'!$B$163,'Additional Initiatives'!$B223,IF(AP$4='Additional Initiatives'!$C$163,'Additional Initiatives'!$C223,IF(AP$4='Additional Initiatives'!$D$163,'Additional Initiatives'!$D223,IF(AP$4='Additional Initiatives'!$E$163,'Additional Initiatives'!$E223,IF(AP$4='Additional Initiatives'!$F$163,'Additional Initiatives'!$F223,0)))))+AP63</f>
        <v>0</v>
      </c>
      <c r="AQ64" s="697">
        <f>IF(AQ$4='Additional Initiatives'!$B$163,'Additional Initiatives'!$B223,IF(AQ$4='Additional Initiatives'!$C$163,'Additional Initiatives'!$C223,IF(AQ$4='Additional Initiatives'!$D$163,'Additional Initiatives'!$D223,IF(AQ$4='Additional Initiatives'!$E$163,'Additional Initiatives'!$E223,IF(AQ$4='Additional Initiatives'!$F$163,'Additional Initiatives'!$F223,0)))))+AQ63</f>
        <v>0</v>
      </c>
      <c r="AR64" s="697">
        <f>IF(AR$4='Additional Initiatives'!$B$163,'Additional Initiatives'!$B223,IF(AR$4='Additional Initiatives'!$C$163,'Additional Initiatives'!$C223,IF(AR$4='Additional Initiatives'!$D$163,'Additional Initiatives'!$D223,IF(AR$4='Additional Initiatives'!$E$163,'Additional Initiatives'!$E223,IF(AR$4='Additional Initiatives'!$F$163,'Additional Initiatives'!$F223,0)))))+AR63</f>
        <v>0</v>
      </c>
      <c r="AS64" s="697">
        <f t="shared" si="19"/>
        <v>0</v>
      </c>
      <c r="AT64" s="696">
        <f t="shared" si="39"/>
        <v>44721.935419999994</v>
      </c>
      <c r="AU64" s="696">
        <f t="shared" si="20"/>
        <v>9377.6972154900013</v>
      </c>
      <c r="AV64" s="696">
        <f t="shared" si="21"/>
        <v>0</v>
      </c>
      <c r="AW64" s="696">
        <f t="shared" si="22"/>
        <v>0</v>
      </c>
      <c r="AX64" s="696">
        <f t="shared" si="23"/>
        <v>0</v>
      </c>
      <c r="AY64" s="696">
        <f t="shared" si="24"/>
        <v>0</v>
      </c>
      <c r="AZ64" s="696">
        <f t="shared" si="25"/>
        <v>0</v>
      </c>
      <c r="BA64" s="696">
        <f t="shared" si="26"/>
        <v>872.30769230769238</v>
      </c>
      <c r="BB64" s="696">
        <f t="shared" si="27"/>
        <v>0</v>
      </c>
      <c r="BC64" s="696">
        <f>IF(BC$4='Additional Initiatives'!$B$163,'Additional Initiatives'!$B223,IF(BC$4='Additional Initiatives'!$C$163,'Additional Initiatives'!$C223,IF(BC$4='Additional Initiatives'!$D$163,'Additional Initiatives'!$D223,IF(BC$4='Additional Initiatives'!$E$163,'Additional Initiatives'!$E223,IF(BC$4='Additional Initiatives'!$F$163,'Additional Initiatives'!$F223,0)))))+BC63</f>
        <v>0</v>
      </c>
      <c r="BD64" s="696">
        <f>IF(BD$4='Additional Initiatives'!$B$163,'Additional Initiatives'!$B223,IF(BD$4='Additional Initiatives'!$C$163,'Additional Initiatives'!$C223,IF(BD$4='Additional Initiatives'!$D$163,'Additional Initiatives'!$D223,IF(BD$4='Additional Initiatives'!$E$163,'Additional Initiatives'!$E223,IF(BD$4='Additional Initiatives'!$F$163,'Additional Initiatives'!$F223,0)))))+BD63</f>
        <v>0</v>
      </c>
      <c r="BE64" s="696">
        <f>IF(BE$4='Additional Initiatives'!$B$163,'Additional Initiatives'!$B223,IF(BE$4='Additional Initiatives'!$C$163,'Additional Initiatives'!$C223,IF(BE$4='Additional Initiatives'!$D$163,'Additional Initiatives'!$D223,IF(BE$4='Additional Initiatives'!$E$163,'Additional Initiatives'!$E223,IF(BE$4='Additional Initiatives'!$F$163,'Additional Initiatives'!$F223,0)))))+BE63</f>
        <v>0</v>
      </c>
      <c r="BF64" s="696">
        <f t="shared" si="28"/>
        <v>0</v>
      </c>
    </row>
    <row r="65" spans="1:58">
      <c r="A65" s="21" t="s">
        <v>75</v>
      </c>
      <c r="B65" s="672">
        <f>'Data Entry Fuel'!B64*'Data Entry Fuel'!B216
+'Data Entry Fuel'!C64*'Data Entry Fuel'!C216
+'Data Entry Fuel'!D64*'Data Entry Fuel'!D216
+'Data Entry Fuel'!E64*'Data Entry Fuel'!E216
+'Data Entry Fuel'!F64*'Data Entry Fuel'!F216
+'Data Entry Fuel'!G64*'Data Entry Fuel'!G216
+'Data Entry Fuel'!H64*'Data Entry Fuel'!H216
+'Data Entry Fuel'!I64*'Data Entry Fuel'!I216
+'Data Entry Fuel'!J64*'Data Entry Fuel'!J216</f>
        <v>71805.420799999993</v>
      </c>
      <c r="C65" s="672">
        <f>'Data Entry Fuel'!B64*'Data Entry Fuel'!B216
+'Data Entry Fuel'!C64*'Data Entry Fuel'!C216
+'Data Entry Fuel'!D64*'Data Entry Fuel'!D216
+'Data Entry Fuel'!E64*'Data Entry Fuel'!E216
+'Data Entry Fuel'!F64*'Data Entry Fuel'!F216
+'Data Entry Fuel'!G64*'Data Entry Fuel'!G216
+'Data Entry Fuel'!H64*'Data Entry Fuel'!H216
+'Data Entry Fuel'!I64*'Data Entry Fuel'!C216 *   (1 -  0.13 * 'Data Entry Fuel'!I$3)
+'Data Entry Fuel'!J64*'Data Entry Fuel'!J216</f>
        <v>71805.420799999993</v>
      </c>
      <c r="D65" s="677">
        <f>'Data Entry Electricity'!B64*'Data Entry Electricity'!L64+'Data Entry Electricity'!C64*'Data Entry Electricity'!M64+'Data Entry Electricity'!D64*'Data Entry Electricity'!N64+'Data Entry Electricity'!E64*'Data Entry Electricity'!O64</f>
        <v>5161.0629199999994</v>
      </c>
      <c r="E65" s="776">
        <f>'Data Entry Electricity'!B64*'Data Entry Electricity'!L64+'Data Entry Electricity'!C64*'Data Entry Electricity'!L64+'Data Entry Electricity'!D64*'Data Entry Electricity'!N64+'Data Entry Electricity'!E64*'Data Entry Electricity'!O64</f>
        <v>5161.0629199999994</v>
      </c>
      <c r="F65" s="777">
        <f>(SUM('Fuel Equipment Savings Calculat'!$B62:$S62))+(SUM('Efficient Site Offices DD &amp; Cal'!$B98:$F98))+'PFC Calculations'!$G63+(SUM('Behaviour Calculations'!$E69,'Behaviour Calculations'!$J69,'Behaviour Calculations'!$O69))+(SUM('Reduced Power Lighting Calculat'!$B63:$F63)+SUM('Hybrid Lighting Calculations'!$B67:$F67)+('PIR Lighting Calculations'!$H63)+SUM('Water Calculations'!$B63:$G63)+'Additional Initiatives'!$H76)</f>
        <v>19775.870723801097</v>
      </c>
      <c r="G65" s="778">
        <f t="shared" si="29"/>
        <v>76966.483719999989</v>
      </c>
      <c r="H65" s="778">
        <f t="shared" si="5"/>
        <v>76966.483719999989</v>
      </c>
      <c r="I65" s="778">
        <f t="shared" si="30"/>
        <v>96742.354443801087</v>
      </c>
      <c r="J65" s="798">
        <f t="shared" si="34"/>
        <v>434345.42874</v>
      </c>
      <c r="K65" s="779">
        <f t="shared" si="35"/>
        <v>527843.2542073651</v>
      </c>
      <c r="L65" s="780">
        <f t="shared" si="31"/>
        <v>0.20441791847529578</v>
      </c>
      <c r="M65" s="780">
        <f t="shared" si="32"/>
        <v>0.17713179949181301</v>
      </c>
      <c r="N65" s="781">
        <f t="shared" si="33"/>
        <v>19775.870723801097</v>
      </c>
      <c r="O65" s="781">
        <f t="shared" si="16"/>
        <v>93497.825467365197</v>
      </c>
      <c r="Q65" s="683">
        <f t="shared" si="36"/>
        <v>384462.43039999995</v>
      </c>
      <c r="R65" s="683">
        <f t="shared" si="37"/>
        <v>49882.998339999991</v>
      </c>
      <c r="T65" s="673">
        <f t="shared" si="10"/>
        <v>19775.870723801097</v>
      </c>
      <c r="U65" s="674">
        <f>'Fuel Equipment Savings Calculat'!$V62</f>
        <v>11227.446475968793</v>
      </c>
      <c r="V65" s="674">
        <f>'Efficient Site Offices DD &amp; Cal'!$H98</f>
        <v>1184.46394014</v>
      </c>
      <c r="W65" s="674">
        <f>'PFC Calculations'!$G63</f>
        <v>0</v>
      </c>
      <c r="X65" s="674">
        <f>'Behaviour Calculations'!$E69</f>
        <v>591.39230769230767</v>
      </c>
      <c r="Y65" s="674">
        <f>'Behaviour Calculations'!$J69</f>
        <v>444.23076923076923</v>
      </c>
      <c r="Z65" s="674">
        <f>'Behaviour Calculations'!$O69</f>
        <v>290.76923076923077</v>
      </c>
      <c r="AA65" s="674">
        <f>'Reduced Power Lighting Calculat'!$H63</f>
        <v>0</v>
      </c>
      <c r="AB65" s="674">
        <f>'Hybrid Lighting Calculations'!H67</f>
        <v>6037.5679999999993</v>
      </c>
      <c r="AC65" s="674">
        <f>'PIR Lighting Calculations'!$H63</f>
        <v>0</v>
      </c>
      <c r="AD65" s="674">
        <f>'Water Calculations'!$I63</f>
        <v>0</v>
      </c>
      <c r="AE65" s="674">
        <f>'Additional Initiatives'!$H76</f>
        <v>0</v>
      </c>
      <c r="AF65" s="679">
        <f t="shared" si="11"/>
        <v>0</v>
      </c>
      <c r="AG65" s="679">
        <f>(C65-B65) - (0.13 * 'Data Entry Fuel'!I$3) * (U65+AB65)</f>
        <v>0</v>
      </c>
      <c r="AH65" s="5"/>
      <c r="AI65" s="19">
        <v>1409</v>
      </c>
      <c r="AJ65" s="19">
        <f t="shared" si="12"/>
        <v>2014</v>
      </c>
      <c r="AK65" s="19">
        <f t="shared" si="13"/>
        <v>8</v>
      </c>
      <c r="AL65" s="19">
        <v>61</v>
      </c>
      <c r="AM65" s="697">
        <f t="shared" si="38"/>
        <v>384462.43039999995</v>
      </c>
      <c r="AN65" s="697">
        <f t="shared" si="17"/>
        <v>68661.828311735182</v>
      </c>
      <c r="AO65" s="697">
        <f t="shared" si="18"/>
        <v>12075.135999999999</v>
      </c>
      <c r="AP65" s="697">
        <f>IF(AP$4='Additional Initiatives'!$B$163,'Additional Initiatives'!$B224,IF(AP$4='Additional Initiatives'!$C$163,'Additional Initiatives'!$C224,IF(AP$4='Additional Initiatives'!$D$163,'Additional Initiatives'!$D224,IF(AP$4='Additional Initiatives'!$E$163,'Additional Initiatives'!$E224,IF(AP$4='Additional Initiatives'!$F$163,'Additional Initiatives'!$F224,0)))))+AP64</f>
        <v>0</v>
      </c>
      <c r="AQ65" s="697">
        <f>IF(AQ$4='Additional Initiatives'!$B$163,'Additional Initiatives'!$B224,IF(AQ$4='Additional Initiatives'!$C$163,'Additional Initiatives'!$C224,IF(AQ$4='Additional Initiatives'!$D$163,'Additional Initiatives'!$D224,IF(AQ$4='Additional Initiatives'!$E$163,'Additional Initiatives'!$E224,IF(AQ$4='Additional Initiatives'!$F$163,'Additional Initiatives'!$F224,0)))))+AQ64</f>
        <v>0</v>
      </c>
      <c r="AR65" s="697">
        <f>IF(AR$4='Additional Initiatives'!$B$163,'Additional Initiatives'!$B224,IF(AR$4='Additional Initiatives'!$C$163,'Additional Initiatives'!$C224,IF(AR$4='Additional Initiatives'!$D$163,'Additional Initiatives'!$D224,IF(AR$4='Additional Initiatives'!$E$163,'Additional Initiatives'!$E224,IF(AR$4='Additional Initiatives'!$F$163,'Additional Initiatives'!$F224,0)))))+AR64</f>
        <v>0</v>
      </c>
      <c r="AS65" s="697">
        <f t="shared" si="19"/>
        <v>0</v>
      </c>
      <c r="AT65" s="696">
        <f t="shared" si="39"/>
        <v>49882.998339999991</v>
      </c>
      <c r="AU65" s="696">
        <f t="shared" si="20"/>
        <v>10562.161155630001</v>
      </c>
      <c r="AV65" s="696">
        <f t="shared" si="21"/>
        <v>0</v>
      </c>
      <c r="AW65" s="696">
        <f t="shared" si="22"/>
        <v>0</v>
      </c>
      <c r="AX65" s="696">
        <f t="shared" si="23"/>
        <v>0</v>
      </c>
      <c r="AY65" s="696">
        <f t="shared" si="24"/>
        <v>591.39230769230767</v>
      </c>
      <c r="AZ65" s="696">
        <f t="shared" si="25"/>
        <v>444.23076923076923</v>
      </c>
      <c r="BA65" s="696">
        <f t="shared" si="26"/>
        <v>1163.0769230769231</v>
      </c>
      <c r="BB65" s="696">
        <f t="shared" si="27"/>
        <v>0</v>
      </c>
      <c r="BC65" s="696">
        <f>IF(BC$4='Additional Initiatives'!$B$163,'Additional Initiatives'!$B224,IF(BC$4='Additional Initiatives'!$C$163,'Additional Initiatives'!$C224,IF(BC$4='Additional Initiatives'!$D$163,'Additional Initiatives'!$D224,IF(BC$4='Additional Initiatives'!$E$163,'Additional Initiatives'!$E224,IF(BC$4='Additional Initiatives'!$F$163,'Additional Initiatives'!$F224,0)))))+BC64</f>
        <v>0</v>
      </c>
      <c r="BD65" s="696">
        <f>IF(BD$4='Additional Initiatives'!$B$163,'Additional Initiatives'!$B224,IF(BD$4='Additional Initiatives'!$C$163,'Additional Initiatives'!$C224,IF(BD$4='Additional Initiatives'!$D$163,'Additional Initiatives'!$D224,IF(BD$4='Additional Initiatives'!$E$163,'Additional Initiatives'!$E224,IF(BD$4='Additional Initiatives'!$F$163,'Additional Initiatives'!$F224,0)))))+BD64</f>
        <v>0</v>
      </c>
      <c r="BE65" s="696">
        <f>IF(BE$4='Additional Initiatives'!$B$163,'Additional Initiatives'!$B224,IF(BE$4='Additional Initiatives'!$C$163,'Additional Initiatives'!$C224,IF(BE$4='Additional Initiatives'!$D$163,'Additional Initiatives'!$D224,IF(BE$4='Additional Initiatives'!$E$163,'Additional Initiatives'!$E224,IF(BE$4='Additional Initiatives'!$F$163,'Additional Initiatives'!$F224,0)))))+BE64</f>
        <v>0</v>
      </c>
      <c r="BF65" s="696">
        <f t="shared" si="28"/>
        <v>0</v>
      </c>
    </row>
    <row r="66" spans="1:58">
      <c r="A66" s="21" t="s">
        <v>12</v>
      </c>
      <c r="B66" s="672">
        <f>'Data Entry Fuel'!B65*'Data Entry Fuel'!B217
+'Data Entry Fuel'!C65*'Data Entry Fuel'!C217
+'Data Entry Fuel'!D65*'Data Entry Fuel'!D217
+'Data Entry Fuel'!E65*'Data Entry Fuel'!E217
+'Data Entry Fuel'!F65*'Data Entry Fuel'!F217
+'Data Entry Fuel'!G65*'Data Entry Fuel'!G217
+'Data Entry Fuel'!H65*'Data Entry Fuel'!H217
+'Data Entry Fuel'!I65*'Data Entry Fuel'!I217
+'Data Entry Fuel'!J65*'Data Entry Fuel'!J217</f>
        <v>68677.335999999996</v>
      </c>
      <c r="C66" s="672">
        <f>'Data Entry Fuel'!B65*'Data Entry Fuel'!B217
+'Data Entry Fuel'!C65*'Data Entry Fuel'!C217
+'Data Entry Fuel'!D65*'Data Entry Fuel'!D217
+'Data Entry Fuel'!E65*'Data Entry Fuel'!E217
+'Data Entry Fuel'!F65*'Data Entry Fuel'!F217
+'Data Entry Fuel'!G65*'Data Entry Fuel'!G217
+'Data Entry Fuel'!H65*'Data Entry Fuel'!H217
+'Data Entry Fuel'!I65*'Data Entry Fuel'!C217 *   (1 -  0.13 * 'Data Entry Fuel'!I$3)
+'Data Entry Fuel'!J65*'Data Entry Fuel'!J217</f>
        <v>68677.335999999996</v>
      </c>
      <c r="D66" s="677">
        <f>'Data Entry Electricity'!B65*'Data Entry Electricity'!L65+'Data Entry Electricity'!C65*'Data Entry Electricity'!M65+'Data Entry Electricity'!D65*'Data Entry Electricity'!N65+'Data Entry Electricity'!E65*'Data Entry Electricity'!O65</f>
        <v>5274.2484599999998</v>
      </c>
      <c r="E66" s="776">
        <f>'Data Entry Electricity'!B65*'Data Entry Electricity'!L65+'Data Entry Electricity'!C65*'Data Entry Electricity'!L65+'Data Entry Electricity'!D65*'Data Entry Electricity'!N65+'Data Entry Electricity'!E65*'Data Entry Electricity'!O65</f>
        <v>5274.2484599999998</v>
      </c>
      <c r="F66" s="777">
        <f>(SUM('Fuel Equipment Savings Calculat'!$B63:$S63))+(SUM('Efficient Site Offices DD &amp; Cal'!$B99:$F99))+'PFC Calculations'!$G64+(SUM('Behaviour Calculations'!$E70,'Behaviour Calculations'!$J70,'Behaviour Calculations'!$O70))+(SUM('Reduced Power Lighting Calculat'!$B64:$F64)+SUM('Hybrid Lighting Calculations'!$B68:$F68)+('PIR Lighting Calculations'!$H64)+SUM('Water Calculations'!$B64:$G64)+'Additional Initiatives'!$H77)</f>
        <v>19831.739650031101</v>
      </c>
      <c r="G66" s="778">
        <f t="shared" si="29"/>
        <v>73951.584459999998</v>
      </c>
      <c r="H66" s="778">
        <f t="shared" si="5"/>
        <v>73951.584459999998</v>
      </c>
      <c r="I66" s="778">
        <f t="shared" si="30"/>
        <v>93783.324110031099</v>
      </c>
      <c r="J66" s="798">
        <f t="shared" si="34"/>
        <v>508297.01319999999</v>
      </c>
      <c r="K66" s="779">
        <f t="shared" si="35"/>
        <v>621626.57831739623</v>
      </c>
      <c r="L66" s="780">
        <f t="shared" si="31"/>
        <v>0.21146339008802406</v>
      </c>
      <c r="M66" s="780">
        <f t="shared" si="32"/>
        <v>0.18231132495034874</v>
      </c>
      <c r="N66" s="781">
        <f t="shared" si="33"/>
        <v>19831.739650031101</v>
      </c>
      <c r="O66" s="781">
        <f t="shared" si="16"/>
        <v>113329.5651173963</v>
      </c>
      <c r="Q66" s="683">
        <f t="shared" si="36"/>
        <v>453139.76639999996</v>
      </c>
      <c r="R66" s="683">
        <f t="shared" si="37"/>
        <v>55157.246799999994</v>
      </c>
      <c r="T66" s="673">
        <f t="shared" si="10"/>
        <v>19831.739650031101</v>
      </c>
      <c r="U66" s="674">
        <f>'Fuel Equipment Savings Calculat'!$V63</f>
        <v>11227.446475968793</v>
      </c>
      <c r="V66" s="674">
        <f>'Efficient Site Offices DD &amp; Cal'!$H99</f>
        <v>1210.44002157</v>
      </c>
      <c r="W66" s="674">
        <f>'PFC Calculations'!$G64</f>
        <v>0</v>
      </c>
      <c r="X66" s="674">
        <f>'Behaviour Calculations'!$E70</f>
        <v>591.39230769230767</v>
      </c>
      <c r="Y66" s="674">
        <f>'Behaviour Calculations'!$J70</f>
        <v>444.23076923076923</v>
      </c>
      <c r="Z66" s="674">
        <f>'Behaviour Calculations'!$O70</f>
        <v>290.76923076923077</v>
      </c>
      <c r="AA66" s="674">
        <f>'Reduced Power Lighting Calculat'!$H64</f>
        <v>0</v>
      </c>
      <c r="AB66" s="674">
        <f>'Hybrid Lighting Calculations'!H68</f>
        <v>6037.5679999999993</v>
      </c>
      <c r="AC66" s="674">
        <f>'PIR Lighting Calculations'!$H64</f>
        <v>29.892844799999999</v>
      </c>
      <c r="AD66" s="674">
        <f>'Water Calculations'!$I64</f>
        <v>0</v>
      </c>
      <c r="AE66" s="674">
        <f>'Additional Initiatives'!$H77</f>
        <v>0</v>
      </c>
      <c r="AF66" s="679">
        <f t="shared" si="11"/>
        <v>0</v>
      </c>
      <c r="AG66" s="679">
        <f>(C66-B66) - (0.13 * 'Data Entry Fuel'!I$3) * (U66+AB66)</f>
        <v>0</v>
      </c>
      <c r="AH66" s="5"/>
      <c r="AI66" s="19">
        <v>1410</v>
      </c>
      <c r="AJ66" s="19">
        <f t="shared" si="12"/>
        <v>2014</v>
      </c>
      <c r="AK66" s="19">
        <f t="shared" si="13"/>
        <v>8</v>
      </c>
      <c r="AL66" s="19">
        <v>62</v>
      </c>
      <c r="AM66" s="697">
        <f t="shared" si="38"/>
        <v>453139.76639999996</v>
      </c>
      <c r="AN66" s="697">
        <f t="shared" si="17"/>
        <v>79889.27478770398</v>
      </c>
      <c r="AO66" s="697">
        <f t="shared" si="18"/>
        <v>18112.703999999998</v>
      </c>
      <c r="AP66" s="697">
        <f>IF(AP$4='Additional Initiatives'!$B$163,'Additional Initiatives'!$B225,IF(AP$4='Additional Initiatives'!$C$163,'Additional Initiatives'!$C225,IF(AP$4='Additional Initiatives'!$D$163,'Additional Initiatives'!$D225,IF(AP$4='Additional Initiatives'!$E$163,'Additional Initiatives'!$E225,IF(AP$4='Additional Initiatives'!$F$163,'Additional Initiatives'!$F225,0)))))+AP65</f>
        <v>0</v>
      </c>
      <c r="AQ66" s="697">
        <f>IF(AQ$4='Additional Initiatives'!$B$163,'Additional Initiatives'!$B225,IF(AQ$4='Additional Initiatives'!$C$163,'Additional Initiatives'!$C225,IF(AQ$4='Additional Initiatives'!$D$163,'Additional Initiatives'!$D225,IF(AQ$4='Additional Initiatives'!$E$163,'Additional Initiatives'!$E225,IF(AQ$4='Additional Initiatives'!$F$163,'Additional Initiatives'!$F225,0)))))+AQ65</f>
        <v>0</v>
      </c>
      <c r="AR66" s="697">
        <f>IF(AR$4='Additional Initiatives'!$B$163,'Additional Initiatives'!$B225,IF(AR$4='Additional Initiatives'!$C$163,'Additional Initiatives'!$C225,IF(AR$4='Additional Initiatives'!$D$163,'Additional Initiatives'!$D225,IF(AR$4='Additional Initiatives'!$E$163,'Additional Initiatives'!$E225,IF(AR$4='Additional Initiatives'!$F$163,'Additional Initiatives'!$F225,0)))))+AR65</f>
        <v>0</v>
      </c>
      <c r="AS66" s="697">
        <f t="shared" si="19"/>
        <v>0</v>
      </c>
      <c r="AT66" s="696">
        <f t="shared" si="39"/>
        <v>55157.246799999994</v>
      </c>
      <c r="AU66" s="696">
        <f t="shared" si="20"/>
        <v>11772.601177200002</v>
      </c>
      <c r="AV66" s="696">
        <f t="shared" si="21"/>
        <v>0</v>
      </c>
      <c r="AW66" s="696">
        <f t="shared" si="22"/>
        <v>0</v>
      </c>
      <c r="AX66" s="696">
        <f t="shared" si="23"/>
        <v>29.892844799999999</v>
      </c>
      <c r="AY66" s="696">
        <f t="shared" si="24"/>
        <v>1182.7846153846153</v>
      </c>
      <c r="AZ66" s="696">
        <f t="shared" si="25"/>
        <v>888.46153846153845</v>
      </c>
      <c r="BA66" s="696">
        <f t="shared" si="26"/>
        <v>1453.8461538461538</v>
      </c>
      <c r="BB66" s="696">
        <f t="shared" si="27"/>
        <v>0</v>
      </c>
      <c r="BC66" s="696">
        <f>IF(BC$4='Additional Initiatives'!$B$163,'Additional Initiatives'!$B225,IF(BC$4='Additional Initiatives'!$C$163,'Additional Initiatives'!$C225,IF(BC$4='Additional Initiatives'!$D$163,'Additional Initiatives'!$D225,IF(BC$4='Additional Initiatives'!$E$163,'Additional Initiatives'!$E225,IF(BC$4='Additional Initiatives'!$F$163,'Additional Initiatives'!$F225,0)))))+BC65</f>
        <v>0</v>
      </c>
      <c r="BD66" s="696">
        <f>IF(BD$4='Additional Initiatives'!$B$163,'Additional Initiatives'!$B225,IF(BD$4='Additional Initiatives'!$C$163,'Additional Initiatives'!$C225,IF(BD$4='Additional Initiatives'!$D$163,'Additional Initiatives'!$D225,IF(BD$4='Additional Initiatives'!$E$163,'Additional Initiatives'!$E225,IF(BD$4='Additional Initiatives'!$F$163,'Additional Initiatives'!$F225,0)))))+BD65</f>
        <v>0</v>
      </c>
      <c r="BE66" s="696">
        <f>IF(BE$4='Additional Initiatives'!$B$163,'Additional Initiatives'!$B225,IF(BE$4='Additional Initiatives'!$C$163,'Additional Initiatives'!$C225,IF(BE$4='Additional Initiatives'!$D$163,'Additional Initiatives'!$D225,IF(BE$4='Additional Initiatives'!$E$163,'Additional Initiatives'!$E225,IF(BE$4='Additional Initiatives'!$F$163,'Additional Initiatives'!$F225,0)))))+BE65</f>
        <v>0</v>
      </c>
      <c r="BF66" s="696">
        <f t="shared" si="28"/>
        <v>0</v>
      </c>
    </row>
    <row r="67" spans="1:58">
      <c r="A67" s="21" t="s">
        <v>13</v>
      </c>
      <c r="B67" s="672">
        <f>'Data Entry Fuel'!B66*'Data Entry Fuel'!B218
+'Data Entry Fuel'!C66*'Data Entry Fuel'!C218
+'Data Entry Fuel'!D66*'Data Entry Fuel'!D218
+'Data Entry Fuel'!E66*'Data Entry Fuel'!E218
+'Data Entry Fuel'!F66*'Data Entry Fuel'!F218
+'Data Entry Fuel'!G66*'Data Entry Fuel'!G218
+'Data Entry Fuel'!H66*'Data Entry Fuel'!H218
+'Data Entry Fuel'!I66*'Data Entry Fuel'!I218
+'Data Entry Fuel'!J66*'Data Entry Fuel'!J218</f>
        <v>70262.1976</v>
      </c>
      <c r="C67" s="672">
        <f>'Data Entry Fuel'!B66*'Data Entry Fuel'!B218
+'Data Entry Fuel'!C66*'Data Entry Fuel'!C218
+'Data Entry Fuel'!D66*'Data Entry Fuel'!D218
+'Data Entry Fuel'!E66*'Data Entry Fuel'!E218
+'Data Entry Fuel'!F66*'Data Entry Fuel'!F218
+'Data Entry Fuel'!G66*'Data Entry Fuel'!G218
+'Data Entry Fuel'!H66*'Data Entry Fuel'!H218
+'Data Entry Fuel'!I66*'Data Entry Fuel'!C218 *   (1 -  0.13 * 'Data Entry Fuel'!I$3)
+'Data Entry Fuel'!J66*'Data Entry Fuel'!J218</f>
        <v>70262.1976</v>
      </c>
      <c r="D67" s="677">
        <f>'Data Entry Electricity'!B66*'Data Entry Electricity'!L66+'Data Entry Electricity'!C66*'Data Entry Electricity'!M66+'Data Entry Electricity'!D66*'Data Entry Electricity'!N66+'Data Entry Electricity'!E66*'Data Entry Electricity'!O66</f>
        <v>5056.7740599999997</v>
      </c>
      <c r="E67" s="776">
        <f>'Data Entry Electricity'!B66*'Data Entry Electricity'!L66+'Data Entry Electricity'!C66*'Data Entry Electricity'!L66+'Data Entry Electricity'!D66*'Data Entry Electricity'!N66+'Data Entry Electricity'!E66*'Data Entry Electricity'!O66</f>
        <v>5056.7740599999997</v>
      </c>
      <c r="F67" s="777">
        <f>(SUM('Fuel Equipment Savings Calculat'!$B64:$S64))+(SUM('Efficient Site Offices DD &amp; Cal'!$B100:$F100))+'PFC Calculations'!$G65+(SUM('Behaviour Calculations'!$E71,'Behaviour Calculations'!$J71,'Behaviour Calculations'!$O71))+(SUM('Reduced Power Lighting Calculat'!$B65:$F65)+SUM('Hybrid Lighting Calculations'!$B69:$F69)+('PIR Lighting Calculations'!$H65)+SUM('Water Calculations'!$B65:$G65)+'Additional Initiatives'!$H78)</f>
        <v>19266.0383211111</v>
      </c>
      <c r="G67" s="778">
        <f t="shared" si="29"/>
        <v>75318.971659999996</v>
      </c>
      <c r="H67" s="778">
        <f t="shared" si="5"/>
        <v>75318.971659999996</v>
      </c>
      <c r="I67" s="778">
        <f t="shared" si="30"/>
        <v>94585.009981111099</v>
      </c>
      <c r="J67" s="798">
        <f t="shared" si="34"/>
        <v>583615.98485999997</v>
      </c>
      <c r="K67" s="779">
        <f t="shared" si="35"/>
        <v>716211.58829850727</v>
      </c>
      <c r="L67" s="780">
        <f t="shared" si="31"/>
        <v>0.203690186478371</v>
      </c>
      <c r="M67" s="780">
        <f t="shared" si="32"/>
        <v>0.18513468031634706</v>
      </c>
      <c r="N67" s="781">
        <f t="shared" si="33"/>
        <v>19266.038321111104</v>
      </c>
      <c r="O67" s="781">
        <f t="shared" si="16"/>
        <v>132595.60343850742</v>
      </c>
      <c r="Q67" s="683">
        <f t="shared" si="36"/>
        <v>523401.96399999998</v>
      </c>
      <c r="R67" s="683">
        <f t="shared" si="37"/>
        <v>60214.02085999999</v>
      </c>
      <c r="T67" s="673">
        <f t="shared" si="10"/>
        <v>19266.0383211111</v>
      </c>
      <c r="U67" s="674">
        <f>'Fuel Equipment Savings Calculat'!$V64</f>
        <v>11227.446475968793</v>
      </c>
      <c r="V67" s="674">
        <f>'Efficient Site Offices DD &amp; Cal'!$H100</f>
        <v>644.73869264999996</v>
      </c>
      <c r="W67" s="674">
        <f>'PFC Calculations'!$G65</f>
        <v>0</v>
      </c>
      <c r="X67" s="674">
        <f>'Behaviour Calculations'!$E71</f>
        <v>591.39230769230767</v>
      </c>
      <c r="Y67" s="674">
        <f>'Behaviour Calculations'!$J71</f>
        <v>444.23076923076923</v>
      </c>
      <c r="Z67" s="674">
        <f>'Behaviour Calculations'!$O71</f>
        <v>290.76923076923077</v>
      </c>
      <c r="AA67" s="674">
        <f>'Reduced Power Lighting Calculat'!$H65</f>
        <v>0</v>
      </c>
      <c r="AB67" s="674">
        <f>'Hybrid Lighting Calculations'!H69</f>
        <v>6037.5679999999993</v>
      </c>
      <c r="AC67" s="674">
        <f>'PIR Lighting Calculations'!$H65</f>
        <v>29.892844799999999</v>
      </c>
      <c r="AD67" s="674">
        <f>'Water Calculations'!$I65</f>
        <v>0</v>
      </c>
      <c r="AE67" s="674">
        <f>'Additional Initiatives'!$H78</f>
        <v>0</v>
      </c>
      <c r="AF67" s="679">
        <f t="shared" si="11"/>
        <v>0</v>
      </c>
      <c r="AG67" s="679">
        <f>(C67-B67) - (0.13 * 'Data Entry Fuel'!I$3) * (U67+AB67)</f>
        <v>0</v>
      </c>
      <c r="AH67" s="5"/>
      <c r="AI67" s="19">
        <v>1411</v>
      </c>
      <c r="AJ67" s="19">
        <f t="shared" si="12"/>
        <v>2014</v>
      </c>
      <c r="AK67" s="19">
        <f t="shared" si="13"/>
        <v>8</v>
      </c>
      <c r="AL67" s="19">
        <v>63</v>
      </c>
      <c r="AM67" s="697">
        <f t="shared" si="38"/>
        <v>523401.96399999998</v>
      </c>
      <c r="AN67" s="697">
        <f t="shared" si="17"/>
        <v>91116.721263672778</v>
      </c>
      <c r="AO67" s="697">
        <f t="shared" si="18"/>
        <v>24150.271999999997</v>
      </c>
      <c r="AP67" s="697">
        <f>IF(AP$4='Additional Initiatives'!$B$163,'Additional Initiatives'!$B226,IF(AP$4='Additional Initiatives'!$C$163,'Additional Initiatives'!$C226,IF(AP$4='Additional Initiatives'!$D$163,'Additional Initiatives'!$D226,IF(AP$4='Additional Initiatives'!$E$163,'Additional Initiatives'!$E226,IF(AP$4='Additional Initiatives'!$F$163,'Additional Initiatives'!$F226,0)))))+AP66</f>
        <v>0</v>
      </c>
      <c r="AQ67" s="697">
        <f>IF(AQ$4='Additional Initiatives'!$B$163,'Additional Initiatives'!$B226,IF(AQ$4='Additional Initiatives'!$C$163,'Additional Initiatives'!$C226,IF(AQ$4='Additional Initiatives'!$D$163,'Additional Initiatives'!$D226,IF(AQ$4='Additional Initiatives'!$E$163,'Additional Initiatives'!$E226,IF(AQ$4='Additional Initiatives'!$F$163,'Additional Initiatives'!$F226,0)))))+AQ66</f>
        <v>0</v>
      </c>
      <c r="AR67" s="697">
        <f>IF(AR$4='Additional Initiatives'!$B$163,'Additional Initiatives'!$B226,IF(AR$4='Additional Initiatives'!$C$163,'Additional Initiatives'!$C226,IF(AR$4='Additional Initiatives'!$D$163,'Additional Initiatives'!$D226,IF(AR$4='Additional Initiatives'!$E$163,'Additional Initiatives'!$E226,IF(AR$4='Additional Initiatives'!$F$163,'Additional Initiatives'!$F226,0)))))+AR66</f>
        <v>0</v>
      </c>
      <c r="AS67" s="697">
        <f t="shared" si="19"/>
        <v>0</v>
      </c>
      <c r="AT67" s="696">
        <f t="shared" si="39"/>
        <v>60214.02085999999</v>
      </c>
      <c r="AU67" s="696">
        <f t="shared" si="20"/>
        <v>12417.339869850002</v>
      </c>
      <c r="AV67" s="696">
        <f t="shared" si="21"/>
        <v>0</v>
      </c>
      <c r="AW67" s="696">
        <f t="shared" si="22"/>
        <v>0</v>
      </c>
      <c r="AX67" s="696">
        <f t="shared" si="23"/>
        <v>59.785689599999998</v>
      </c>
      <c r="AY67" s="696">
        <f t="shared" si="24"/>
        <v>1774.176923076923</v>
      </c>
      <c r="AZ67" s="696">
        <f t="shared" si="25"/>
        <v>1332.6923076923076</v>
      </c>
      <c r="BA67" s="696">
        <f t="shared" si="26"/>
        <v>1744.6153846153845</v>
      </c>
      <c r="BB67" s="696">
        <f t="shared" si="27"/>
        <v>0</v>
      </c>
      <c r="BC67" s="696">
        <f>IF(BC$4='Additional Initiatives'!$B$163,'Additional Initiatives'!$B226,IF(BC$4='Additional Initiatives'!$C$163,'Additional Initiatives'!$C226,IF(BC$4='Additional Initiatives'!$D$163,'Additional Initiatives'!$D226,IF(BC$4='Additional Initiatives'!$E$163,'Additional Initiatives'!$E226,IF(BC$4='Additional Initiatives'!$F$163,'Additional Initiatives'!$F226,0)))))+BC66</f>
        <v>0</v>
      </c>
      <c r="BD67" s="696">
        <f>IF(BD$4='Additional Initiatives'!$B$163,'Additional Initiatives'!$B226,IF(BD$4='Additional Initiatives'!$C$163,'Additional Initiatives'!$C226,IF(BD$4='Additional Initiatives'!$D$163,'Additional Initiatives'!$D226,IF(BD$4='Additional Initiatives'!$E$163,'Additional Initiatives'!$E226,IF(BD$4='Additional Initiatives'!$F$163,'Additional Initiatives'!$F226,0)))))+BD66</f>
        <v>0</v>
      </c>
      <c r="BE67" s="696">
        <f>IF(BE$4='Additional Initiatives'!$B$163,'Additional Initiatives'!$B226,IF(BE$4='Additional Initiatives'!$C$163,'Additional Initiatives'!$C226,IF(BE$4='Additional Initiatives'!$D$163,'Additional Initiatives'!$D226,IF(BE$4='Additional Initiatives'!$E$163,'Additional Initiatives'!$E226,IF(BE$4='Additional Initiatives'!$F$163,'Additional Initiatives'!$F226,0)))))+BE66</f>
        <v>0</v>
      </c>
      <c r="BF67" s="696">
        <f t="shared" si="28"/>
        <v>0</v>
      </c>
    </row>
    <row r="68" spans="1:58">
      <c r="A68" s="21" t="s">
        <v>14</v>
      </c>
      <c r="B68" s="672">
        <f>'Data Entry Fuel'!B67*'Data Entry Fuel'!B219
+'Data Entry Fuel'!C67*'Data Entry Fuel'!C219
+'Data Entry Fuel'!D67*'Data Entry Fuel'!D219
+'Data Entry Fuel'!E67*'Data Entry Fuel'!E219
+'Data Entry Fuel'!F67*'Data Entry Fuel'!F219
+'Data Entry Fuel'!G67*'Data Entry Fuel'!G219
+'Data Entry Fuel'!H67*'Data Entry Fuel'!H219
+'Data Entry Fuel'!I67*'Data Entry Fuel'!I219
+'Data Entry Fuel'!J67*'Data Entry Fuel'!J219</f>
        <v>66150.405599999998</v>
      </c>
      <c r="C68" s="672">
        <f>'Data Entry Fuel'!B67*'Data Entry Fuel'!B219
+'Data Entry Fuel'!C67*'Data Entry Fuel'!C219
+'Data Entry Fuel'!D67*'Data Entry Fuel'!D219
+'Data Entry Fuel'!E67*'Data Entry Fuel'!E219
+'Data Entry Fuel'!F67*'Data Entry Fuel'!F219
+'Data Entry Fuel'!G67*'Data Entry Fuel'!G219
+'Data Entry Fuel'!H67*'Data Entry Fuel'!H219
+'Data Entry Fuel'!I67*'Data Entry Fuel'!C219 *   (1 -  0.13 * 'Data Entry Fuel'!I$3)
+'Data Entry Fuel'!J67*'Data Entry Fuel'!J219</f>
        <v>66150.405599999998</v>
      </c>
      <c r="D68" s="677">
        <f>'Data Entry Electricity'!B67*'Data Entry Electricity'!L67+'Data Entry Electricity'!C67*'Data Entry Electricity'!M67+'Data Entry Electricity'!D67*'Data Entry Electricity'!N67+'Data Entry Electricity'!E67*'Data Entry Electricity'!O67</f>
        <v>4937.1631399999997</v>
      </c>
      <c r="E68" s="776">
        <f>'Data Entry Electricity'!B67*'Data Entry Electricity'!L67+'Data Entry Electricity'!C67*'Data Entry Electricity'!L67+'Data Entry Electricity'!D67*'Data Entry Electricity'!N67+'Data Entry Electricity'!E67*'Data Entry Electricity'!O67</f>
        <v>4937.1631399999997</v>
      </c>
      <c r="F68" s="777">
        <f>(SUM('Fuel Equipment Savings Calculat'!$B65:$S65))+(SUM('Efficient Site Offices DD &amp; Cal'!$B101:$F101))+'PFC Calculations'!$G66+(SUM('Behaviour Calculations'!$E72,'Behaviour Calculations'!$J72,'Behaviour Calculations'!$O72))+(SUM('Reduced Power Lighting Calculat'!$B66:$F66)+SUM('Hybrid Lighting Calculations'!$B70:$F70)+('PIR Lighting Calculations'!$H66)+SUM('Water Calculations'!$B66:$G66)+'Additional Initiatives'!$H79)</f>
        <v>19754.378569091099</v>
      </c>
      <c r="G68" s="778">
        <f t="shared" si="29"/>
        <v>71087.568740000002</v>
      </c>
      <c r="H68" s="778">
        <f t="shared" si="5"/>
        <v>71087.568740000002</v>
      </c>
      <c r="I68" s="778">
        <f t="shared" si="30"/>
        <v>90841.947309091105</v>
      </c>
      <c r="J68" s="798">
        <f t="shared" si="34"/>
        <v>654703.55359999998</v>
      </c>
      <c r="K68" s="779">
        <f t="shared" si="35"/>
        <v>807053.53560759837</v>
      </c>
      <c r="L68" s="780">
        <f t="shared" si="31"/>
        <v>0.21745877487496534</v>
      </c>
      <c r="M68" s="780">
        <f t="shared" si="32"/>
        <v>0.18877308045357877</v>
      </c>
      <c r="N68" s="781">
        <f t="shared" si="33"/>
        <v>19754.378569091103</v>
      </c>
      <c r="O68" s="781">
        <f t="shared" si="16"/>
        <v>152349.9820075985</v>
      </c>
      <c r="Q68" s="683">
        <f t="shared" si="36"/>
        <v>589552.36959999998</v>
      </c>
      <c r="R68" s="683">
        <f t="shared" si="37"/>
        <v>65151.183999999987</v>
      </c>
      <c r="T68" s="673">
        <f t="shared" si="10"/>
        <v>19754.378569091103</v>
      </c>
      <c r="U68" s="674">
        <f>'Fuel Equipment Savings Calculat'!$V65</f>
        <v>11227.446475968793</v>
      </c>
      <c r="V68" s="674">
        <f>'Efficient Site Offices DD &amp; Cal'!$H101</f>
        <v>1133.07894063</v>
      </c>
      <c r="W68" s="674">
        <f>'PFC Calculations'!$G66</f>
        <v>0</v>
      </c>
      <c r="X68" s="674">
        <f>'Behaviour Calculations'!$E72</f>
        <v>591.39230769230767</v>
      </c>
      <c r="Y68" s="674">
        <f>'Behaviour Calculations'!$J72</f>
        <v>444.23076923076923</v>
      </c>
      <c r="Z68" s="674">
        <f>'Behaviour Calculations'!$O72</f>
        <v>290.76923076923077</v>
      </c>
      <c r="AA68" s="674">
        <f>'Reduced Power Lighting Calculat'!$H66</f>
        <v>0</v>
      </c>
      <c r="AB68" s="674">
        <f>'Hybrid Lighting Calculations'!H70</f>
        <v>6037.5679999999993</v>
      </c>
      <c r="AC68" s="674">
        <f>'PIR Lighting Calculations'!$H66</f>
        <v>29.892844799999999</v>
      </c>
      <c r="AD68" s="674">
        <f>'Water Calculations'!$I66</f>
        <v>0</v>
      </c>
      <c r="AE68" s="674">
        <f>'Additional Initiatives'!$H79</f>
        <v>0</v>
      </c>
      <c r="AF68" s="679">
        <f t="shared" si="11"/>
        <v>0</v>
      </c>
      <c r="AG68" s="679">
        <f>(C68-B68) - (0.13 * 'Data Entry Fuel'!I$3) * (U68+AB68)</f>
        <v>0</v>
      </c>
      <c r="AH68" s="5"/>
      <c r="AI68" s="19">
        <v>1412</v>
      </c>
      <c r="AJ68" s="19">
        <f t="shared" si="12"/>
        <v>2014</v>
      </c>
      <c r="AK68" s="19">
        <f t="shared" si="13"/>
        <v>8</v>
      </c>
      <c r="AL68" s="19">
        <v>64</v>
      </c>
      <c r="AM68" s="697">
        <f t="shared" si="38"/>
        <v>589552.36959999998</v>
      </c>
      <c r="AN68" s="697">
        <f t="shared" si="17"/>
        <v>102344.16773964158</v>
      </c>
      <c r="AO68" s="697">
        <f t="shared" si="18"/>
        <v>30187.839999999997</v>
      </c>
      <c r="AP68" s="697">
        <f>IF(AP$4='Additional Initiatives'!$B$163,'Additional Initiatives'!$B227,IF(AP$4='Additional Initiatives'!$C$163,'Additional Initiatives'!$C227,IF(AP$4='Additional Initiatives'!$D$163,'Additional Initiatives'!$D227,IF(AP$4='Additional Initiatives'!$E$163,'Additional Initiatives'!$E227,IF(AP$4='Additional Initiatives'!$F$163,'Additional Initiatives'!$F227,0)))))+AP67</f>
        <v>0</v>
      </c>
      <c r="AQ68" s="697">
        <f>IF(AQ$4='Additional Initiatives'!$B$163,'Additional Initiatives'!$B227,IF(AQ$4='Additional Initiatives'!$C$163,'Additional Initiatives'!$C227,IF(AQ$4='Additional Initiatives'!$D$163,'Additional Initiatives'!$D227,IF(AQ$4='Additional Initiatives'!$E$163,'Additional Initiatives'!$E227,IF(AQ$4='Additional Initiatives'!$F$163,'Additional Initiatives'!$F227,0)))))+AQ67</f>
        <v>0</v>
      </c>
      <c r="AR68" s="697">
        <f>IF(AR$4='Additional Initiatives'!$B$163,'Additional Initiatives'!$B227,IF(AR$4='Additional Initiatives'!$C$163,'Additional Initiatives'!$C227,IF(AR$4='Additional Initiatives'!$D$163,'Additional Initiatives'!$D227,IF(AR$4='Additional Initiatives'!$E$163,'Additional Initiatives'!$E227,IF(AR$4='Additional Initiatives'!$F$163,'Additional Initiatives'!$F227,0)))))+AR67</f>
        <v>0</v>
      </c>
      <c r="AS68" s="697">
        <f t="shared" si="19"/>
        <v>0</v>
      </c>
      <c r="AT68" s="696">
        <f t="shared" si="39"/>
        <v>65151.183999999987</v>
      </c>
      <c r="AU68" s="696">
        <f t="shared" si="20"/>
        <v>13550.418810480001</v>
      </c>
      <c r="AV68" s="696">
        <f t="shared" si="21"/>
        <v>0</v>
      </c>
      <c r="AW68" s="696">
        <f t="shared" si="22"/>
        <v>0</v>
      </c>
      <c r="AX68" s="696">
        <f t="shared" si="23"/>
        <v>89.67853439999999</v>
      </c>
      <c r="AY68" s="696">
        <f t="shared" si="24"/>
        <v>2365.5692307692307</v>
      </c>
      <c r="AZ68" s="696">
        <f t="shared" si="25"/>
        <v>1776.9230769230769</v>
      </c>
      <c r="BA68" s="696">
        <f t="shared" si="26"/>
        <v>2035.3846153846152</v>
      </c>
      <c r="BB68" s="696">
        <f t="shared" si="27"/>
        <v>0</v>
      </c>
      <c r="BC68" s="696">
        <f>IF(BC$4='Additional Initiatives'!$B$163,'Additional Initiatives'!$B227,IF(BC$4='Additional Initiatives'!$C$163,'Additional Initiatives'!$C227,IF(BC$4='Additional Initiatives'!$D$163,'Additional Initiatives'!$D227,IF(BC$4='Additional Initiatives'!$E$163,'Additional Initiatives'!$E227,IF(BC$4='Additional Initiatives'!$F$163,'Additional Initiatives'!$F227,0)))))+BC67</f>
        <v>0</v>
      </c>
      <c r="BD68" s="696">
        <f>IF(BD$4='Additional Initiatives'!$B$163,'Additional Initiatives'!$B227,IF(BD$4='Additional Initiatives'!$C$163,'Additional Initiatives'!$C227,IF(BD$4='Additional Initiatives'!$D$163,'Additional Initiatives'!$D227,IF(BD$4='Additional Initiatives'!$E$163,'Additional Initiatives'!$E227,IF(BD$4='Additional Initiatives'!$F$163,'Additional Initiatives'!$F227,0)))))+BD67</f>
        <v>0</v>
      </c>
      <c r="BE68" s="696">
        <f>IF(BE$4='Additional Initiatives'!$B$163,'Additional Initiatives'!$B227,IF(BE$4='Additional Initiatives'!$C$163,'Additional Initiatives'!$C227,IF(BE$4='Additional Initiatives'!$D$163,'Additional Initiatives'!$D227,IF(BE$4='Additional Initiatives'!$E$163,'Additional Initiatives'!$E227,IF(BE$4='Additional Initiatives'!$F$163,'Additional Initiatives'!$F227,0)))))+BE67</f>
        <v>0</v>
      </c>
      <c r="BF68" s="696">
        <f t="shared" si="28"/>
        <v>0</v>
      </c>
    </row>
    <row r="69" spans="1:58">
      <c r="A69" s="21" t="s">
        <v>15</v>
      </c>
      <c r="B69" s="672">
        <f>'Data Entry Fuel'!B68*'Data Entry Fuel'!B220
+'Data Entry Fuel'!C68*'Data Entry Fuel'!C220
+'Data Entry Fuel'!D68*'Data Entry Fuel'!D220
+'Data Entry Fuel'!E68*'Data Entry Fuel'!E220
+'Data Entry Fuel'!F68*'Data Entry Fuel'!F220
+'Data Entry Fuel'!G68*'Data Entry Fuel'!G220
+'Data Entry Fuel'!H68*'Data Entry Fuel'!H220
+'Data Entry Fuel'!I68*'Data Entry Fuel'!I220
+'Data Entry Fuel'!J68*'Data Entry Fuel'!J220</f>
        <v>59829.175999999999</v>
      </c>
      <c r="C69" s="672">
        <f>'Data Entry Fuel'!B68*'Data Entry Fuel'!B220
+'Data Entry Fuel'!C68*'Data Entry Fuel'!C220
+'Data Entry Fuel'!D68*'Data Entry Fuel'!D220
+'Data Entry Fuel'!E68*'Data Entry Fuel'!E220
+'Data Entry Fuel'!F68*'Data Entry Fuel'!F220
+'Data Entry Fuel'!G68*'Data Entry Fuel'!G220
+'Data Entry Fuel'!H68*'Data Entry Fuel'!H220
+'Data Entry Fuel'!I68*'Data Entry Fuel'!C220 *   (1 -  0.13 * 'Data Entry Fuel'!I$3)
+'Data Entry Fuel'!J68*'Data Entry Fuel'!J220</f>
        <v>59829.175999999999</v>
      </c>
      <c r="D69" s="677">
        <f>'Data Entry Electricity'!B68*'Data Entry Electricity'!L68+'Data Entry Electricity'!C68*'Data Entry Electricity'!M68+'Data Entry Electricity'!D68*'Data Entry Electricity'!N68+'Data Entry Electricity'!E68*'Data Entry Electricity'!O68</f>
        <v>4824.4718599999997</v>
      </c>
      <c r="E69" s="776">
        <f>'Data Entry Electricity'!B68*'Data Entry Electricity'!L68+'Data Entry Electricity'!C68*'Data Entry Electricity'!L68+'Data Entry Electricity'!D68*'Data Entry Electricity'!N68+'Data Entry Electricity'!E68*'Data Entry Electricity'!O68</f>
        <v>4824.4718599999997</v>
      </c>
      <c r="F69" s="777">
        <f>(SUM('Fuel Equipment Savings Calculat'!$B66:$S66))+(SUM('Efficient Site Offices DD &amp; Cal'!$B102:$F102))+'PFC Calculations'!$G67+(SUM('Behaviour Calculations'!$E73,'Behaviour Calculations'!$J73,'Behaviour Calculations'!$O73))+(SUM('Reduced Power Lighting Calculat'!$B67:$F67)+SUM('Hybrid Lighting Calculations'!$B71:$F71)+('PIR Lighting Calculations'!$H67)+SUM('Water Calculations'!$B67:$G67)+'Additional Initiatives'!$H80)</f>
        <v>19728.515920331098</v>
      </c>
      <c r="G69" s="778">
        <f t="shared" ref="G69:G100" si="40">(B69+D69)</f>
        <v>64653.647859999997</v>
      </c>
      <c r="H69" s="778">
        <f t="shared" si="5"/>
        <v>64653.647859999997</v>
      </c>
      <c r="I69" s="778">
        <f t="shared" ref="I69:I100" si="41">H69+F69</f>
        <v>84382.163780331088</v>
      </c>
      <c r="J69" s="798">
        <f t="shared" si="34"/>
        <v>719357.20146000001</v>
      </c>
      <c r="K69" s="779">
        <f t="shared" si="35"/>
        <v>891435.6993879294</v>
      </c>
      <c r="L69" s="780">
        <f t="shared" ref="L69:L100" si="42">IFERROR(1-(G69/I69),0)</f>
        <v>0.23379959740887413</v>
      </c>
      <c r="M69" s="780">
        <f t="shared" ref="M69:M100" si="43">IFERROR(1-(J69/K69),0)</f>
        <v>0.19303523299109582</v>
      </c>
      <c r="N69" s="781">
        <f t="shared" ref="N69:N100" si="44">I69-G69</f>
        <v>19728.51592033109</v>
      </c>
      <c r="O69" s="781">
        <f t="shared" si="16"/>
        <v>172078.49792792959</v>
      </c>
      <c r="Q69" s="683">
        <f t="shared" si="36"/>
        <v>649381.54559999995</v>
      </c>
      <c r="R69" s="683">
        <f t="shared" si="37"/>
        <v>69975.655859999984</v>
      </c>
      <c r="T69" s="673">
        <f t="shared" si="10"/>
        <v>19728.515920331098</v>
      </c>
      <c r="U69" s="674">
        <f>'Fuel Equipment Savings Calculat'!$V66</f>
        <v>11227.446475968793</v>
      </c>
      <c r="V69" s="674">
        <f>'Efficient Site Offices DD &amp; Cal'!$H102</f>
        <v>1107.2162918700001</v>
      </c>
      <c r="W69" s="674">
        <f>'PFC Calculations'!$G67</f>
        <v>0</v>
      </c>
      <c r="X69" s="674">
        <f>'Behaviour Calculations'!$E73</f>
        <v>591.39230769230767</v>
      </c>
      <c r="Y69" s="674">
        <f>'Behaviour Calculations'!$J73</f>
        <v>444.23076923076923</v>
      </c>
      <c r="Z69" s="674">
        <f>'Behaviour Calculations'!$O73</f>
        <v>290.76923076923077</v>
      </c>
      <c r="AA69" s="674">
        <f>'Reduced Power Lighting Calculat'!$H67</f>
        <v>0</v>
      </c>
      <c r="AB69" s="674">
        <f>'Hybrid Lighting Calculations'!H71</f>
        <v>6037.5679999999993</v>
      </c>
      <c r="AC69" s="674">
        <f>'PIR Lighting Calculations'!$H67</f>
        <v>29.892844799999999</v>
      </c>
      <c r="AD69" s="674">
        <f>'Water Calculations'!$I67</f>
        <v>0</v>
      </c>
      <c r="AE69" s="674">
        <f>'Additional Initiatives'!$H80</f>
        <v>0</v>
      </c>
      <c r="AF69" s="679">
        <f t="shared" si="11"/>
        <v>0</v>
      </c>
      <c r="AG69" s="679">
        <f>(C69-B69) - (0.13 * 'Data Entry Fuel'!I$3) * (U69+AB69)</f>
        <v>0</v>
      </c>
      <c r="AH69" s="5"/>
      <c r="AI69" s="19">
        <v>1413</v>
      </c>
      <c r="AJ69" s="19">
        <f t="shared" si="12"/>
        <v>2014</v>
      </c>
      <c r="AK69" s="19">
        <f t="shared" si="13"/>
        <v>8</v>
      </c>
      <c r="AL69" s="19">
        <v>65</v>
      </c>
      <c r="AM69" s="697">
        <f t="shared" si="38"/>
        <v>649381.54559999995</v>
      </c>
      <c r="AN69" s="697">
        <f t="shared" si="17"/>
        <v>113571.61421561037</v>
      </c>
      <c r="AO69" s="697">
        <f t="shared" si="18"/>
        <v>36225.407999999996</v>
      </c>
      <c r="AP69" s="697">
        <f>IF(AP$4='Additional Initiatives'!$B$163,'Additional Initiatives'!$B228,IF(AP$4='Additional Initiatives'!$C$163,'Additional Initiatives'!$C228,IF(AP$4='Additional Initiatives'!$D$163,'Additional Initiatives'!$D228,IF(AP$4='Additional Initiatives'!$E$163,'Additional Initiatives'!$E228,IF(AP$4='Additional Initiatives'!$F$163,'Additional Initiatives'!$F228,0)))))+AP68</f>
        <v>0</v>
      </c>
      <c r="AQ69" s="697">
        <f>IF(AQ$4='Additional Initiatives'!$B$163,'Additional Initiatives'!$B228,IF(AQ$4='Additional Initiatives'!$C$163,'Additional Initiatives'!$C228,IF(AQ$4='Additional Initiatives'!$D$163,'Additional Initiatives'!$D228,IF(AQ$4='Additional Initiatives'!$E$163,'Additional Initiatives'!$E228,IF(AQ$4='Additional Initiatives'!$F$163,'Additional Initiatives'!$F228,0)))))+AQ68</f>
        <v>0</v>
      </c>
      <c r="AR69" s="697">
        <f>IF(AR$4='Additional Initiatives'!$B$163,'Additional Initiatives'!$B228,IF(AR$4='Additional Initiatives'!$C$163,'Additional Initiatives'!$C228,IF(AR$4='Additional Initiatives'!$D$163,'Additional Initiatives'!$D228,IF(AR$4='Additional Initiatives'!$E$163,'Additional Initiatives'!$E228,IF(AR$4='Additional Initiatives'!$F$163,'Additional Initiatives'!$F228,0)))))+AR68</f>
        <v>0</v>
      </c>
      <c r="AS69" s="697">
        <f t="shared" si="19"/>
        <v>0</v>
      </c>
      <c r="AT69" s="696">
        <f t="shared" si="39"/>
        <v>69975.655859999984</v>
      </c>
      <c r="AU69" s="696">
        <f t="shared" si="20"/>
        <v>14657.635102350001</v>
      </c>
      <c r="AV69" s="696">
        <f t="shared" si="21"/>
        <v>0</v>
      </c>
      <c r="AW69" s="696">
        <f t="shared" si="22"/>
        <v>0</v>
      </c>
      <c r="AX69" s="696">
        <f t="shared" si="23"/>
        <v>119.5713792</v>
      </c>
      <c r="AY69" s="696">
        <f t="shared" si="24"/>
        <v>2956.9615384615381</v>
      </c>
      <c r="AZ69" s="696">
        <f t="shared" si="25"/>
        <v>2221.1538461538462</v>
      </c>
      <c r="BA69" s="696">
        <f t="shared" si="26"/>
        <v>2326.1538461538462</v>
      </c>
      <c r="BB69" s="696">
        <f t="shared" si="27"/>
        <v>0</v>
      </c>
      <c r="BC69" s="696">
        <f>IF(BC$4='Additional Initiatives'!$B$163,'Additional Initiatives'!$B228,IF(BC$4='Additional Initiatives'!$C$163,'Additional Initiatives'!$C228,IF(BC$4='Additional Initiatives'!$D$163,'Additional Initiatives'!$D228,IF(BC$4='Additional Initiatives'!$E$163,'Additional Initiatives'!$E228,IF(BC$4='Additional Initiatives'!$F$163,'Additional Initiatives'!$F228,0)))))+BC68</f>
        <v>0</v>
      </c>
      <c r="BD69" s="696">
        <f>IF(BD$4='Additional Initiatives'!$B$163,'Additional Initiatives'!$B228,IF(BD$4='Additional Initiatives'!$C$163,'Additional Initiatives'!$C228,IF(BD$4='Additional Initiatives'!$D$163,'Additional Initiatives'!$D228,IF(BD$4='Additional Initiatives'!$E$163,'Additional Initiatives'!$E228,IF(BD$4='Additional Initiatives'!$F$163,'Additional Initiatives'!$F228,0)))))+BD68</f>
        <v>0</v>
      </c>
      <c r="BE69" s="696">
        <f>IF(BE$4='Additional Initiatives'!$B$163,'Additional Initiatives'!$B228,IF(BE$4='Additional Initiatives'!$C$163,'Additional Initiatives'!$C228,IF(BE$4='Additional Initiatives'!$D$163,'Additional Initiatives'!$D228,IF(BE$4='Additional Initiatives'!$E$163,'Additional Initiatives'!$E228,IF(BE$4='Additional Initiatives'!$F$163,'Additional Initiatives'!$F228,0)))))+BE68</f>
        <v>0</v>
      </c>
      <c r="BF69" s="696">
        <f t="shared" si="28"/>
        <v>0</v>
      </c>
    </row>
    <row r="70" spans="1:58">
      <c r="A70" s="21" t="s">
        <v>76</v>
      </c>
      <c r="B70" s="672">
        <f>'Data Entry Fuel'!B69*'Data Entry Fuel'!B221
+'Data Entry Fuel'!C69*'Data Entry Fuel'!C221
+'Data Entry Fuel'!D69*'Data Entry Fuel'!D221
+'Data Entry Fuel'!E69*'Data Entry Fuel'!E221
+'Data Entry Fuel'!F69*'Data Entry Fuel'!F221
+'Data Entry Fuel'!G69*'Data Entry Fuel'!G221
+'Data Entry Fuel'!H69*'Data Entry Fuel'!H221
+'Data Entry Fuel'!I69*'Data Entry Fuel'!I221
+'Data Entry Fuel'!J69*'Data Entry Fuel'!J221</f>
        <v>63888.92</v>
      </c>
      <c r="C70" s="672">
        <f>'Data Entry Fuel'!B69*'Data Entry Fuel'!B221
+'Data Entry Fuel'!C69*'Data Entry Fuel'!C221
+'Data Entry Fuel'!D69*'Data Entry Fuel'!D221
+'Data Entry Fuel'!E69*'Data Entry Fuel'!E221
+'Data Entry Fuel'!F69*'Data Entry Fuel'!F221
+'Data Entry Fuel'!G69*'Data Entry Fuel'!G221
+'Data Entry Fuel'!H69*'Data Entry Fuel'!H221
+'Data Entry Fuel'!I69*'Data Entry Fuel'!C221 *   (1 -  0.13 * 'Data Entry Fuel'!I$3)
+'Data Entry Fuel'!J69*'Data Entry Fuel'!J221</f>
        <v>63888.92</v>
      </c>
      <c r="D70" s="677">
        <f>'Data Entry Electricity'!B69*'Data Entry Electricity'!L69+'Data Entry Electricity'!C69*'Data Entry Electricity'!M69+'Data Entry Electricity'!D69*'Data Entry Electricity'!N69+'Data Entry Electricity'!E69*'Data Entry Electricity'!O69</f>
        <v>4703.8724199999997</v>
      </c>
      <c r="E70" s="776">
        <f>'Data Entry Electricity'!B69*'Data Entry Electricity'!L69+'Data Entry Electricity'!C69*'Data Entry Electricity'!L69+'Data Entry Electricity'!D69*'Data Entry Electricity'!N69+'Data Entry Electricity'!E69*'Data Entry Electricity'!O69</f>
        <v>4703.8724199999997</v>
      </c>
      <c r="F70" s="777">
        <f>(SUM('Fuel Equipment Savings Calculat'!$B67:$S67))+(SUM('Efficient Site Offices DD &amp; Cal'!$B103:$F103))+'PFC Calculations'!$G68+(SUM('Behaviour Calculations'!$E74,'Behaviour Calculations'!$J74,'Behaviour Calculations'!$O74))+(SUM('Reduced Power Lighting Calculat'!$B68:$F68)+SUM('Hybrid Lighting Calculations'!$B72:$F72)+('PIR Lighting Calculations'!$H68)+SUM('Water Calculations'!$B68:$G68)+'Additional Initiatives'!$H81)</f>
        <v>21763.444640051101</v>
      </c>
      <c r="G70" s="778">
        <f t="shared" si="40"/>
        <v>68592.792419999998</v>
      </c>
      <c r="H70" s="778">
        <f t="shared" ref="H70:H121" si="45">C70+E70</f>
        <v>68592.792419999998</v>
      </c>
      <c r="I70" s="778">
        <f t="shared" si="41"/>
        <v>90356.237060051091</v>
      </c>
      <c r="J70" s="798">
        <f t="shared" ref="J70:J101" si="46">G70+J69</f>
        <v>787949.99387999997</v>
      </c>
      <c r="K70" s="779">
        <f t="shared" ref="K70:K101" si="47">I70+K69</f>
        <v>981791.93644798046</v>
      </c>
      <c r="L70" s="780">
        <f t="shared" si="42"/>
        <v>0.24086267144554752</v>
      </c>
      <c r="M70" s="780">
        <f t="shared" si="43"/>
        <v>0.1974368859345903</v>
      </c>
      <c r="N70" s="781">
        <f t="shared" si="44"/>
        <v>21763.444640051093</v>
      </c>
      <c r="O70" s="781">
        <f t="shared" si="16"/>
        <v>193841.94256798067</v>
      </c>
      <c r="Q70" s="683">
        <f t="shared" ref="Q70:Q101" si="48">B70+Q69</f>
        <v>713270.4656</v>
      </c>
      <c r="R70" s="683">
        <f t="shared" ref="R70:R101" si="49">D70+R69</f>
        <v>74679.528279999984</v>
      </c>
      <c r="T70" s="673">
        <f t="shared" ref="T70:T121" si="50">SUM(U70:AE70)</f>
        <v>21763.444640051101</v>
      </c>
      <c r="U70" s="674">
        <f>'Fuel Equipment Savings Calculat'!$V67</f>
        <v>11227.446475968793</v>
      </c>
      <c r="V70" s="674">
        <f>'Efficient Site Offices DD &amp; Cal'!$H103</f>
        <v>1079.53872039</v>
      </c>
      <c r="W70" s="674">
        <f>'PFC Calculations'!$G68</f>
        <v>0</v>
      </c>
      <c r="X70" s="674">
        <f>'Behaviour Calculations'!$E74</f>
        <v>591.39230769230767</v>
      </c>
      <c r="Y70" s="674">
        <f>'Behaviour Calculations'!$J74</f>
        <v>444.23076923076923</v>
      </c>
      <c r="Z70" s="674">
        <f>'Behaviour Calculations'!$O74</f>
        <v>290.76923076923077</v>
      </c>
      <c r="AA70" s="674">
        <f>'Reduced Power Lighting Calculat'!$H68</f>
        <v>0</v>
      </c>
      <c r="AB70" s="674">
        <f>'Hybrid Lighting Calculations'!H72</f>
        <v>6037.5679999999993</v>
      </c>
      <c r="AC70" s="674">
        <f>'PIR Lighting Calculations'!$H68</f>
        <v>2092.4991359999999</v>
      </c>
      <c r="AD70" s="674">
        <f>'Water Calculations'!$I68</f>
        <v>0</v>
      </c>
      <c r="AE70" s="674">
        <f>'Additional Initiatives'!$H81</f>
        <v>0</v>
      </c>
      <c r="AF70" s="679">
        <f t="shared" ref="AF70:AF121" si="51">E70-D70</f>
        <v>0</v>
      </c>
      <c r="AG70" s="679">
        <f>(C70-B70) - (0.13 * 'Data Entry Fuel'!I$3) * (U70+AB70)</f>
        <v>0</v>
      </c>
      <c r="AH70" s="5"/>
      <c r="AI70" s="19">
        <v>1501</v>
      </c>
      <c r="AJ70" s="19">
        <f t="shared" ref="AJ70:AJ121" si="52">IF(AI70&lt;=1002,2009,IF(AI70&lt;=1102,2010,IF(AI70&lt;=1202,2011,IF(AI70&lt;=1302,2012,IF(AI70&lt;=1402,2013,IF(AI70&lt;=1502,2014,IF(AI70&lt;=1602,2015,IF(AI70&lt;=1702,2016,IF(AI70&lt;=1802,2017,IF(AI70&lt;=1902,2018,0))))))))))</f>
        <v>2014</v>
      </c>
      <c r="AK70" s="19">
        <f t="shared" ref="AK70:AK121" si="53">IF(AI70&lt;=1002,3,IF(AI70&lt;=1102,4,IF(AI70&lt;=1202,5,IF(AI70&lt;=1302,6,IF(AI70&lt;=1402,7,IF(AI70&lt;=1502,8,IF(AI70&lt;=1602,9,IF(AI70&lt;=1702,10,IF(AI70&lt;=1802,11,IF(AI70&lt;=1902,12,0))))))))))</f>
        <v>8</v>
      </c>
      <c r="AL70" s="19">
        <v>66</v>
      </c>
      <c r="AM70" s="697">
        <f t="shared" ref="AM70:AM101" si="54">AM69+B70</f>
        <v>713270.4656</v>
      </c>
      <c r="AN70" s="697">
        <f t="shared" si="17"/>
        <v>124799.06069157917</v>
      </c>
      <c r="AO70" s="697">
        <f t="shared" si="18"/>
        <v>42262.975999999995</v>
      </c>
      <c r="AP70" s="697">
        <f>IF(AP$4='Additional Initiatives'!$B$163,'Additional Initiatives'!$B229,IF(AP$4='Additional Initiatives'!$C$163,'Additional Initiatives'!$C229,IF(AP$4='Additional Initiatives'!$D$163,'Additional Initiatives'!$D229,IF(AP$4='Additional Initiatives'!$E$163,'Additional Initiatives'!$E229,IF(AP$4='Additional Initiatives'!$F$163,'Additional Initiatives'!$F229,0)))))+AP69</f>
        <v>0</v>
      </c>
      <c r="AQ70" s="697">
        <f>IF(AQ$4='Additional Initiatives'!$B$163,'Additional Initiatives'!$B229,IF(AQ$4='Additional Initiatives'!$C$163,'Additional Initiatives'!$C229,IF(AQ$4='Additional Initiatives'!$D$163,'Additional Initiatives'!$D229,IF(AQ$4='Additional Initiatives'!$E$163,'Additional Initiatives'!$E229,IF(AQ$4='Additional Initiatives'!$F$163,'Additional Initiatives'!$F229,0)))))+AQ69</f>
        <v>0</v>
      </c>
      <c r="AR70" s="697">
        <f>IF(AR$4='Additional Initiatives'!$B$163,'Additional Initiatives'!$B229,IF(AR$4='Additional Initiatives'!$C$163,'Additional Initiatives'!$C229,IF(AR$4='Additional Initiatives'!$D$163,'Additional Initiatives'!$D229,IF(AR$4='Additional Initiatives'!$E$163,'Additional Initiatives'!$E229,IF(AR$4='Additional Initiatives'!$F$163,'Additional Initiatives'!$F229,0)))))+AR69</f>
        <v>0</v>
      </c>
      <c r="AS70" s="697">
        <f t="shared" si="19"/>
        <v>0</v>
      </c>
      <c r="AT70" s="696">
        <f t="shared" ref="AT70:AT101" si="55">D70+AT69</f>
        <v>74679.528279999984</v>
      </c>
      <c r="AU70" s="696">
        <f t="shared" si="20"/>
        <v>15737.173822740002</v>
      </c>
      <c r="AV70" s="696">
        <f t="shared" si="21"/>
        <v>0</v>
      </c>
      <c r="AW70" s="696">
        <f t="shared" si="22"/>
        <v>0</v>
      </c>
      <c r="AX70" s="696">
        <f t="shared" si="23"/>
        <v>2212.0705152</v>
      </c>
      <c r="AY70" s="696">
        <f t="shared" si="24"/>
        <v>3548.3538461538456</v>
      </c>
      <c r="AZ70" s="696">
        <f t="shared" si="25"/>
        <v>2665.3846153846152</v>
      </c>
      <c r="BA70" s="696">
        <f t="shared" si="26"/>
        <v>2616.9230769230771</v>
      </c>
      <c r="BB70" s="696">
        <f t="shared" si="27"/>
        <v>0</v>
      </c>
      <c r="BC70" s="696">
        <f>IF(BC$4='Additional Initiatives'!$B$163,'Additional Initiatives'!$B229,IF(BC$4='Additional Initiatives'!$C$163,'Additional Initiatives'!$C229,IF(BC$4='Additional Initiatives'!$D$163,'Additional Initiatives'!$D229,IF(BC$4='Additional Initiatives'!$E$163,'Additional Initiatives'!$E229,IF(BC$4='Additional Initiatives'!$F$163,'Additional Initiatives'!$F229,0)))))+BC69</f>
        <v>0</v>
      </c>
      <c r="BD70" s="696">
        <f>IF(BD$4='Additional Initiatives'!$B$163,'Additional Initiatives'!$B229,IF(BD$4='Additional Initiatives'!$C$163,'Additional Initiatives'!$C229,IF(BD$4='Additional Initiatives'!$D$163,'Additional Initiatives'!$D229,IF(BD$4='Additional Initiatives'!$E$163,'Additional Initiatives'!$E229,IF(BD$4='Additional Initiatives'!$F$163,'Additional Initiatives'!$F229,0)))))+BD69</f>
        <v>0</v>
      </c>
      <c r="BE70" s="696">
        <f>IF(BE$4='Additional Initiatives'!$B$163,'Additional Initiatives'!$B229,IF(BE$4='Additional Initiatives'!$C$163,'Additional Initiatives'!$C229,IF(BE$4='Additional Initiatives'!$D$163,'Additional Initiatives'!$D229,IF(BE$4='Additional Initiatives'!$E$163,'Additional Initiatives'!$E229,IF(BE$4='Additional Initiatives'!$F$163,'Additional Initiatives'!$F229,0)))))+BE69</f>
        <v>0</v>
      </c>
      <c r="BF70" s="696">
        <f t="shared" si="28"/>
        <v>0</v>
      </c>
    </row>
    <row r="71" spans="1:58">
      <c r="A71" s="21" t="s">
        <v>77</v>
      </c>
      <c r="B71" s="672">
        <f>'Data Entry Fuel'!B70*'Data Entry Fuel'!B222
+'Data Entry Fuel'!C70*'Data Entry Fuel'!C222
+'Data Entry Fuel'!D70*'Data Entry Fuel'!D222
+'Data Entry Fuel'!E70*'Data Entry Fuel'!E222
+'Data Entry Fuel'!F70*'Data Entry Fuel'!F222
+'Data Entry Fuel'!G70*'Data Entry Fuel'!G222
+'Data Entry Fuel'!H70*'Data Entry Fuel'!H222
+'Data Entry Fuel'!I70*'Data Entry Fuel'!I222
+'Data Entry Fuel'!J70*'Data Entry Fuel'!J222</f>
        <v>65059.999999999993</v>
      </c>
      <c r="C71" s="672">
        <f>'Data Entry Fuel'!B70*'Data Entry Fuel'!B222
+'Data Entry Fuel'!C70*'Data Entry Fuel'!C222
+'Data Entry Fuel'!D70*'Data Entry Fuel'!D222
+'Data Entry Fuel'!E70*'Data Entry Fuel'!E222
+'Data Entry Fuel'!F70*'Data Entry Fuel'!F222
+'Data Entry Fuel'!G70*'Data Entry Fuel'!G222
+'Data Entry Fuel'!H70*'Data Entry Fuel'!H222
+'Data Entry Fuel'!I70*'Data Entry Fuel'!C222 *   (1 -  0.13 * 'Data Entry Fuel'!I$3)
+'Data Entry Fuel'!J70*'Data Entry Fuel'!J222</f>
        <v>65059.999999999993</v>
      </c>
      <c r="D71" s="677">
        <f>'Data Entry Electricity'!B70*'Data Entry Electricity'!L70+'Data Entry Electricity'!C70*'Data Entry Electricity'!M70+'Data Entry Electricity'!D70*'Data Entry Electricity'!N70+'Data Entry Electricity'!E70*'Data Entry Electricity'!O70</f>
        <v>4599.58356</v>
      </c>
      <c r="E71" s="776">
        <f>'Data Entry Electricity'!B70*'Data Entry Electricity'!L70+'Data Entry Electricity'!C70*'Data Entry Electricity'!L70+'Data Entry Electricity'!D70*'Data Entry Electricity'!N70+'Data Entry Electricity'!E70*'Data Entry Electricity'!O70</f>
        <v>4599.58356</v>
      </c>
      <c r="F71" s="777">
        <f>(SUM('Fuel Equipment Savings Calculat'!$B68:$S68))+(SUM('Efficient Site Offices DD &amp; Cal'!$B104:$F104))+'PFC Calculations'!$G69+(SUM('Behaviour Calculations'!$E75,'Behaviour Calculations'!$J75,'Behaviour Calculations'!$O75))+(SUM('Reduced Power Lighting Calculat'!$B69:$F69)+SUM('Hybrid Lighting Calculations'!$B73:$F73)+('PIR Lighting Calculations'!$H69)+SUM('Water Calculations'!$B69:$G69)+'Additional Initiatives'!$H82)</f>
        <v>21739.510346681098</v>
      </c>
      <c r="G71" s="778">
        <f t="shared" si="40"/>
        <v>69659.583559999999</v>
      </c>
      <c r="H71" s="778">
        <f t="shared" si="45"/>
        <v>69659.583559999999</v>
      </c>
      <c r="I71" s="778">
        <f t="shared" si="41"/>
        <v>91399.093906681097</v>
      </c>
      <c r="J71" s="798">
        <f t="shared" si="46"/>
        <v>857609.57743999991</v>
      </c>
      <c r="K71" s="779">
        <f t="shared" si="47"/>
        <v>1073191.0303546616</v>
      </c>
      <c r="L71" s="780">
        <f t="shared" si="42"/>
        <v>0.23785258056143577</v>
      </c>
      <c r="M71" s="780">
        <f t="shared" si="43"/>
        <v>0.20087891793450574</v>
      </c>
      <c r="N71" s="781">
        <f t="shared" si="44"/>
        <v>21739.510346681098</v>
      </c>
      <c r="O71" s="781">
        <f t="shared" ref="O71:O121" si="56">N71+O70</f>
        <v>215581.45291466179</v>
      </c>
      <c r="Q71" s="683">
        <f t="shared" si="48"/>
        <v>778330.4656</v>
      </c>
      <c r="R71" s="683">
        <f t="shared" si="49"/>
        <v>79279.111839999983</v>
      </c>
      <c r="T71" s="673">
        <f t="shared" si="50"/>
        <v>21739.510346681098</v>
      </c>
      <c r="U71" s="674">
        <f>'Fuel Equipment Savings Calculat'!$V68</f>
        <v>11227.446475968793</v>
      </c>
      <c r="V71" s="674">
        <f>'Efficient Site Offices DD &amp; Cal'!$H104</f>
        <v>1055.60442702</v>
      </c>
      <c r="W71" s="674">
        <f>'PFC Calculations'!$G69</f>
        <v>0</v>
      </c>
      <c r="X71" s="674">
        <f>'Behaviour Calculations'!$E75</f>
        <v>591.39230769230767</v>
      </c>
      <c r="Y71" s="674">
        <f>'Behaviour Calculations'!$J75</f>
        <v>444.23076923076923</v>
      </c>
      <c r="Z71" s="674">
        <f>'Behaviour Calculations'!$O75</f>
        <v>290.76923076923077</v>
      </c>
      <c r="AA71" s="674">
        <f>'Reduced Power Lighting Calculat'!$H69</f>
        <v>0</v>
      </c>
      <c r="AB71" s="674">
        <f>'Hybrid Lighting Calculations'!H73</f>
        <v>6037.5679999999993</v>
      </c>
      <c r="AC71" s="674">
        <f>'PIR Lighting Calculations'!$H69</f>
        <v>2092.4991359999999</v>
      </c>
      <c r="AD71" s="674">
        <f>'Water Calculations'!$I69</f>
        <v>0</v>
      </c>
      <c r="AE71" s="674">
        <f>'Additional Initiatives'!$H82</f>
        <v>0</v>
      </c>
      <c r="AF71" s="679">
        <f t="shared" si="51"/>
        <v>0</v>
      </c>
      <c r="AG71" s="679">
        <f>(C71-B71) - (0.13 * 'Data Entry Fuel'!I$3) * (U71+AB71)</f>
        <v>0</v>
      </c>
      <c r="AH71" s="5"/>
      <c r="AI71" s="19">
        <v>1502</v>
      </c>
      <c r="AJ71" s="19">
        <f t="shared" si="52"/>
        <v>2014</v>
      </c>
      <c r="AK71" s="19">
        <f t="shared" si="53"/>
        <v>8</v>
      </c>
      <c r="AL71" s="19">
        <v>67</v>
      </c>
      <c r="AM71" s="697">
        <f t="shared" si="54"/>
        <v>778330.4656</v>
      </c>
      <c r="AN71" s="697">
        <f t="shared" ref="AN71:AN121" si="57">AN70+U71</f>
        <v>136026.50716754797</v>
      </c>
      <c r="AO71" s="697">
        <f t="shared" ref="AO71:AO121" si="58">AO70+AB71</f>
        <v>48300.543999999994</v>
      </c>
      <c r="AP71" s="697">
        <f>IF(AP$4='Additional Initiatives'!$B$163,'Additional Initiatives'!$B230,IF(AP$4='Additional Initiatives'!$C$163,'Additional Initiatives'!$C230,IF(AP$4='Additional Initiatives'!$D$163,'Additional Initiatives'!$D230,IF(AP$4='Additional Initiatives'!$E$163,'Additional Initiatives'!$E230,IF(AP$4='Additional Initiatives'!$F$163,'Additional Initiatives'!$F230,0)))))+AP70</f>
        <v>0</v>
      </c>
      <c r="AQ71" s="697">
        <f>IF(AQ$4='Additional Initiatives'!$B$163,'Additional Initiatives'!$B230,IF(AQ$4='Additional Initiatives'!$C$163,'Additional Initiatives'!$C230,IF(AQ$4='Additional Initiatives'!$D$163,'Additional Initiatives'!$D230,IF(AQ$4='Additional Initiatives'!$E$163,'Additional Initiatives'!$E230,IF(AQ$4='Additional Initiatives'!$F$163,'Additional Initiatives'!$F230,0)))))+AQ70</f>
        <v>0</v>
      </c>
      <c r="AR71" s="697">
        <f>IF(AR$4='Additional Initiatives'!$B$163,'Additional Initiatives'!$B230,IF(AR$4='Additional Initiatives'!$C$163,'Additional Initiatives'!$C230,IF(AR$4='Additional Initiatives'!$D$163,'Additional Initiatives'!$D230,IF(AR$4='Additional Initiatives'!$E$163,'Additional Initiatives'!$E230,IF(AR$4='Additional Initiatives'!$F$163,'Additional Initiatives'!$F230,0)))))+AR70</f>
        <v>0</v>
      </c>
      <c r="AS71" s="697">
        <f t="shared" ref="AS71:AS121" si="59">AG71+AS70</f>
        <v>0</v>
      </c>
      <c r="AT71" s="696">
        <f t="shared" si="55"/>
        <v>79279.111839999983</v>
      </c>
      <c r="AU71" s="696">
        <f t="shared" ref="AU71:AU121" si="60">V71+AU70</f>
        <v>16792.778249760002</v>
      </c>
      <c r="AV71" s="696">
        <f t="shared" ref="AV71:AV121" si="61">W71</f>
        <v>0</v>
      </c>
      <c r="AW71" s="696">
        <f t="shared" ref="AW71:AW121" si="62">AA71+AW70</f>
        <v>0</v>
      </c>
      <c r="AX71" s="696">
        <f t="shared" ref="AX71:AX121" si="63">AC71+AX70</f>
        <v>4304.5696511999995</v>
      </c>
      <c r="AY71" s="696">
        <f t="shared" ref="AY71:AY121" si="64">X71+AY70</f>
        <v>4139.746153846153</v>
      </c>
      <c r="AZ71" s="696">
        <f t="shared" ref="AZ71:AZ121" si="65">Y71+AZ70</f>
        <v>3109.6153846153843</v>
      </c>
      <c r="BA71" s="696">
        <f t="shared" ref="BA71:BA121" si="66">Z71+BA70</f>
        <v>2907.6923076923081</v>
      </c>
      <c r="BB71" s="696">
        <f t="shared" ref="BB71:BB121" si="67">AD71+BB70</f>
        <v>0</v>
      </c>
      <c r="BC71" s="696">
        <f>IF(BC$4='Additional Initiatives'!$B$163,'Additional Initiatives'!$B230,IF(BC$4='Additional Initiatives'!$C$163,'Additional Initiatives'!$C230,IF(BC$4='Additional Initiatives'!$D$163,'Additional Initiatives'!$D230,IF(BC$4='Additional Initiatives'!$E$163,'Additional Initiatives'!$E230,IF(BC$4='Additional Initiatives'!$F$163,'Additional Initiatives'!$F230,0)))))+BC70</f>
        <v>0</v>
      </c>
      <c r="BD71" s="696">
        <f>IF(BD$4='Additional Initiatives'!$B$163,'Additional Initiatives'!$B230,IF(BD$4='Additional Initiatives'!$C$163,'Additional Initiatives'!$C230,IF(BD$4='Additional Initiatives'!$D$163,'Additional Initiatives'!$D230,IF(BD$4='Additional Initiatives'!$E$163,'Additional Initiatives'!$E230,IF(BD$4='Additional Initiatives'!$F$163,'Additional Initiatives'!$F230,0)))))+BD70</f>
        <v>0</v>
      </c>
      <c r="BE71" s="696">
        <f>IF(BE$4='Additional Initiatives'!$B$163,'Additional Initiatives'!$B230,IF(BE$4='Additional Initiatives'!$C$163,'Additional Initiatives'!$C230,IF(BE$4='Additional Initiatives'!$D$163,'Additional Initiatives'!$D230,IF(BE$4='Additional Initiatives'!$E$163,'Additional Initiatives'!$E230,IF(BE$4='Additional Initiatives'!$F$163,'Additional Initiatives'!$F230,0)))))+BE70</f>
        <v>0</v>
      </c>
      <c r="BF71" s="696">
        <f t="shared" ref="BF71:BF121" si="68">AF71+BF70</f>
        <v>0</v>
      </c>
    </row>
    <row r="72" spans="1:58">
      <c r="A72" s="21" t="s">
        <v>78</v>
      </c>
      <c r="B72" s="672">
        <f>'Data Entry Fuel'!B71*'Data Entry Fuel'!B223
+'Data Entry Fuel'!C71*'Data Entry Fuel'!C223
+'Data Entry Fuel'!D71*'Data Entry Fuel'!D223
+'Data Entry Fuel'!E71*'Data Entry Fuel'!E223
+'Data Entry Fuel'!F71*'Data Entry Fuel'!F223
+'Data Entry Fuel'!G71*'Data Entry Fuel'!G223
+'Data Entry Fuel'!H71*'Data Entry Fuel'!H223
+'Data Entry Fuel'!I71*'Data Entry Fuel'!I223
+'Data Entry Fuel'!J71*'Data Entry Fuel'!J223</f>
        <v>67181.399999999994</v>
      </c>
      <c r="C72" s="672">
        <f>'Data Entry Fuel'!B71*'Data Entry Fuel'!B223
+'Data Entry Fuel'!C71*'Data Entry Fuel'!C223
+'Data Entry Fuel'!D71*'Data Entry Fuel'!D223
+'Data Entry Fuel'!E71*'Data Entry Fuel'!E223
+'Data Entry Fuel'!F71*'Data Entry Fuel'!F223
+'Data Entry Fuel'!G71*'Data Entry Fuel'!G223
+'Data Entry Fuel'!H71*'Data Entry Fuel'!H223
+'Data Entry Fuel'!I71*'Data Entry Fuel'!C223 *   (1 -  0.13 * 'Data Entry Fuel'!I$3)
+'Data Entry Fuel'!J71*'Data Entry Fuel'!J223</f>
        <v>67181.399999999994</v>
      </c>
      <c r="D72" s="677">
        <f>'Data Entry Electricity'!B71*'Data Entry Electricity'!L71+'Data Entry Electricity'!C71*'Data Entry Electricity'!M71+'Data Entry Electricity'!D71*'Data Entry Electricity'!N71+'Data Entry Electricity'!E71*'Data Entry Electricity'!O71</f>
        <v>4200.9185309000004</v>
      </c>
      <c r="E72" s="776">
        <f>'Data Entry Electricity'!B71*'Data Entry Electricity'!L71+'Data Entry Electricity'!C71*'Data Entry Electricity'!L71+'Data Entry Electricity'!D71*'Data Entry Electricity'!N71+'Data Entry Electricity'!E71*'Data Entry Electricity'!O71</f>
        <v>4200.9185309000004</v>
      </c>
      <c r="F72" s="777">
        <f>(SUM('Fuel Equipment Savings Calculat'!$B69:$S69))+(SUM('Efficient Site Offices DD &amp; Cal'!$B105:$F105))+'PFC Calculations'!$G70+(SUM('Behaviour Calculations'!$E76,'Behaviour Calculations'!$J76,'Behaviour Calculations'!$O76))+(SUM('Reduced Power Lighting Calculat'!$B70:$F70)+SUM('Hybrid Lighting Calculations'!$B74:$F74)+('PIR Lighting Calculations'!$H70)+SUM('Water Calculations'!$B70:$G70)+'Additional Initiatives'!$H83)</f>
        <v>21389.545537130289</v>
      </c>
      <c r="G72" s="778">
        <f t="shared" si="40"/>
        <v>71382.318530899996</v>
      </c>
      <c r="H72" s="778">
        <f t="shared" si="45"/>
        <v>71382.318530899996</v>
      </c>
      <c r="I72" s="778">
        <f t="shared" si="41"/>
        <v>92771.864068030292</v>
      </c>
      <c r="J72" s="798">
        <f t="shared" si="46"/>
        <v>928991.89597089984</v>
      </c>
      <c r="K72" s="779">
        <f t="shared" si="47"/>
        <v>1165962.894422692</v>
      </c>
      <c r="L72" s="780">
        <f t="shared" si="42"/>
        <v>0.23056069587483097</v>
      </c>
      <c r="M72" s="780">
        <f t="shared" si="43"/>
        <v>0.20324060018147028</v>
      </c>
      <c r="N72" s="781">
        <f t="shared" si="44"/>
        <v>21389.545537130296</v>
      </c>
      <c r="O72" s="781">
        <f t="shared" si="56"/>
        <v>236970.99845179208</v>
      </c>
      <c r="Q72" s="683">
        <f t="shared" si="48"/>
        <v>845511.86560000002</v>
      </c>
      <c r="R72" s="683">
        <f t="shared" si="49"/>
        <v>83480.030370899985</v>
      </c>
      <c r="T72" s="673">
        <f t="shared" si="50"/>
        <v>21389.545537130285</v>
      </c>
      <c r="U72" s="674">
        <f>'Fuel Equipment Savings Calculat'!$V69</f>
        <v>11147.63255043643</v>
      </c>
      <c r="V72" s="674">
        <f>'Efficient Site Offices DD &amp; Cal'!$H105</f>
        <v>964.11080284155014</v>
      </c>
      <c r="W72" s="674">
        <f>'PFC Calculations'!$G70</f>
        <v>0</v>
      </c>
      <c r="X72" s="674">
        <f>'Behaviour Calculations'!$E76</f>
        <v>591.39230769230767</v>
      </c>
      <c r="Y72" s="674">
        <f>'Behaviour Calculations'!$J76</f>
        <v>444.23076923076923</v>
      </c>
      <c r="Z72" s="674">
        <f>'Behaviour Calculations'!$O76</f>
        <v>290.76923076923077</v>
      </c>
      <c r="AA72" s="674">
        <f>'Reduced Power Lighting Calculat'!$H70</f>
        <v>0</v>
      </c>
      <c r="AB72" s="674">
        <f>'Hybrid Lighting Calculations'!H74</f>
        <v>5994.6479999999992</v>
      </c>
      <c r="AC72" s="674">
        <f>'PIR Lighting Calculations'!$H70</f>
        <v>1956.7618761600002</v>
      </c>
      <c r="AD72" s="674">
        <f>'Water Calculations'!$I70</f>
        <v>0</v>
      </c>
      <c r="AE72" s="674">
        <f>'Additional Initiatives'!$H83</f>
        <v>0</v>
      </c>
      <c r="AF72" s="679">
        <f t="shared" si="51"/>
        <v>0</v>
      </c>
      <c r="AG72" s="679">
        <f>(C72-B72) - (0.13 * 'Data Entry Fuel'!I$3) * (U72+AB72)</f>
        <v>0</v>
      </c>
      <c r="AH72" s="5"/>
      <c r="AI72" s="19">
        <v>1503</v>
      </c>
      <c r="AJ72" s="19">
        <f t="shared" si="52"/>
        <v>2015</v>
      </c>
      <c r="AK72" s="19">
        <f t="shared" si="53"/>
        <v>9</v>
      </c>
      <c r="AL72" s="19">
        <v>68</v>
      </c>
      <c r="AM72" s="697">
        <f t="shared" si="54"/>
        <v>845511.86560000002</v>
      </c>
      <c r="AN72" s="697">
        <f t="shared" si="57"/>
        <v>147174.13971798439</v>
      </c>
      <c r="AO72" s="697">
        <f t="shared" si="58"/>
        <v>54295.191999999995</v>
      </c>
      <c r="AP72" s="697">
        <f>IF(AP$4='Additional Initiatives'!$B$163,'Additional Initiatives'!$B231,IF(AP$4='Additional Initiatives'!$C$163,'Additional Initiatives'!$C231,IF(AP$4='Additional Initiatives'!$D$163,'Additional Initiatives'!$D231,IF(AP$4='Additional Initiatives'!$E$163,'Additional Initiatives'!$E231,IF(AP$4='Additional Initiatives'!$F$163,'Additional Initiatives'!$F231,0)))))+AP71</f>
        <v>0</v>
      </c>
      <c r="AQ72" s="697">
        <f>IF(AQ$4='Additional Initiatives'!$B$163,'Additional Initiatives'!$B231,IF(AQ$4='Additional Initiatives'!$C$163,'Additional Initiatives'!$C231,IF(AQ$4='Additional Initiatives'!$D$163,'Additional Initiatives'!$D231,IF(AQ$4='Additional Initiatives'!$E$163,'Additional Initiatives'!$E231,IF(AQ$4='Additional Initiatives'!$F$163,'Additional Initiatives'!$F231,0)))))+AQ71</f>
        <v>0</v>
      </c>
      <c r="AR72" s="697">
        <f>IF(AR$4='Additional Initiatives'!$B$163,'Additional Initiatives'!$B231,IF(AR$4='Additional Initiatives'!$C$163,'Additional Initiatives'!$C231,IF(AR$4='Additional Initiatives'!$D$163,'Additional Initiatives'!$D231,IF(AR$4='Additional Initiatives'!$E$163,'Additional Initiatives'!$E231,IF(AR$4='Additional Initiatives'!$F$163,'Additional Initiatives'!$F231,0)))))+AR71</f>
        <v>0</v>
      </c>
      <c r="AS72" s="697">
        <f t="shared" si="59"/>
        <v>0</v>
      </c>
      <c r="AT72" s="696">
        <f t="shared" si="55"/>
        <v>83480.030370899985</v>
      </c>
      <c r="AU72" s="696">
        <f t="shared" si="60"/>
        <v>17756.889052601553</v>
      </c>
      <c r="AV72" s="696">
        <f t="shared" si="61"/>
        <v>0</v>
      </c>
      <c r="AW72" s="696">
        <f t="shared" si="62"/>
        <v>0</v>
      </c>
      <c r="AX72" s="696">
        <f t="shared" si="63"/>
        <v>6261.3315273600001</v>
      </c>
      <c r="AY72" s="696">
        <f t="shared" si="64"/>
        <v>4731.1384615384604</v>
      </c>
      <c r="AZ72" s="696">
        <f t="shared" si="65"/>
        <v>3553.8461538461534</v>
      </c>
      <c r="BA72" s="696">
        <f t="shared" si="66"/>
        <v>3198.461538461539</v>
      </c>
      <c r="BB72" s="696">
        <f t="shared" si="67"/>
        <v>0</v>
      </c>
      <c r="BC72" s="696">
        <f>IF(BC$4='Additional Initiatives'!$B$163,'Additional Initiatives'!$B231,IF(BC$4='Additional Initiatives'!$C$163,'Additional Initiatives'!$C231,IF(BC$4='Additional Initiatives'!$D$163,'Additional Initiatives'!$D231,IF(BC$4='Additional Initiatives'!$E$163,'Additional Initiatives'!$E231,IF(BC$4='Additional Initiatives'!$F$163,'Additional Initiatives'!$F231,0)))))+BC71</f>
        <v>0</v>
      </c>
      <c r="BD72" s="696">
        <f>IF(BD$4='Additional Initiatives'!$B$163,'Additional Initiatives'!$B231,IF(BD$4='Additional Initiatives'!$C$163,'Additional Initiatives'!$C231,IF(BD$4='Additional Initiatives'!$D$163,'Additional Initiatives'!$D231,IF(BD$4='Additional Initiatives'!$E$163,'Additional Initiatives'!$E231,IF(BD$4='Additional Initiatives'!$F$163,'Additional Initiatives'!$F231,0)))))+BD71</f>
        <v>0</v>
      </c>
      <c r="BE72" s="696">
        <f>IF(BE$4='Additional Initiatives'!$B$163,'Additional Initiatives'!$B231,IF(BE$4='Additional Initiatives'!$C$163,'Additional Initiatives'!$C231,IF(BE$4='Additional Initiatives'!$D$163,'Additional Initiatives'!$D231,IF(BE$4='Additional Initiatives'!$E$163,'Additional Initiatives'!$E231,IF(BE$4='Additional Initiatives'!$F$163,'Additional Initiatives'!$F231,0)))))+BE71</f>
        <v>0</v>
      </c>
      <c r="BF72" s="696">
        <f t="shared" si="68"/>
        <v>0</v>
      </c>
    </row>
    <row r="73" spans="1:58">
      <c r="A73" s="21" t="s">
        <v>79</v>
      </c>
      <c r="B73" s="672">
        <f>'Data Entry Fuel'!B72*'Data Entry Fuel'!B224
+'Data Entry Fuel'!C72*'Data Entry Fuel'!C224
+'Data Entry Fuel'!D72*'Data Entry Fuel'!D224
+'Data Entry Fuel'!E72*'Data Entry Fuel'!E224
+'Data Entry Fuel'!F72*'Data Entry Fuel'!F224
+'Data Entry Fuel'!G72*'Data Entry Fuel'!G224
+'Data Entry Fuel'!H72*'Data Entry Fuel'!H224
+'Data Entry Fuel'!I72*'Data Entry Fuel'!I224
+'Data Entry Fuel'!J72*'Data Entry Fuel'!J224</f>
        <v>67181.399999999994</v>
      </c>
      <c r="C73" s="672">
        <f>'Data Entry Fuel'!B72*'Data Entry Fuel'!B224
+'Data Entry Fuel'!C72*'Data Entry Fuel'!C224
+'Data Entry Fuel'!D72*'Data Entry Fuel'!D224
+'Data Entry Fuel'!E72*'Data Entry Fuel'!E224
+'Data Entry Fuel'!F72*'Data Entry Fuel'!F224
+'Data Entry Fuel'!G72*'Data Entry Fuel'!G224
+'Data Entry Fuel'!H72*'Data Entry Fuel'!H224
+'Data Entry Fuel'!I72*'Data Entry Fuel'!C224 *   (1 -  0.13 * 'Data Entry Fuel'!I$3)
+'Data Entry Fuel'!J72*'Data Entry Fuel'!J224</f>
        <v>67181.399999999994</v>
      </c>
      <c r="D73" s="677">
        <f>'Data Entry Electricity'!B72*'Data Entry Electricity'!L72+'Data Entry Electricity'!C72*'Data Entry Electricity'!M72+'Data Entry Electricity'!D72*'Data Entry Electricity'!N72+'Data Entry Electricity'!E72*'Data Entry Electricity'!O72</f>
        <v>4159.7829000000002</v>
      </c>
      <c r="E73" s="776">
        <f>'Data Entry Electricity'!B72*'Data Entry Electricity'!L72+'Data Entry Electricity'!C72*'Data Entry Electricity'!L72+'Data Entry Electricity'!D72*'Data Entry Electricity'!N72+'Data Entry Electricity'!E72*'Data Entry Electricity'!O72</f>
        <v>4159.7829000000002</v>
      </c>
      <c r="F73" s="777">
        <f>(SUM('Fuel Equipment Savings Calculat'!$B70:$S70))+(SUM('Efficient Site Offices DD &amp; Cal'!$B106:$F106))+'PFC Calculations'!$G71+(SUM('Behaviour Calculations'!$E77,'Behaviour Calculations'!$J77,'Behaviour Calculations'!$O77))+(SUM('Reduced Power Lighting Calculat'!$B71:$F71)+SUM('Hybrid Lighting Calculations'!$B75:$F75)+('PIR Lighting Calculations'!$H71)+SUM('Water Calculations'!$B71:$G71)+'Additional Initiatives'!$H84)</f>
        <v>15385.456909838738</v>
      </c>
      <c r="G73" s="778">
        <f t="shared" si="40"/>
        <v>71341.1829</v>
      </c>
      <c r="H73" s="778">
        <f t="shared" si="45"/>
        <v>71341.1829</v>
      </c>
      <c r="I73" s="778">
        <f t="shared" si="41"/>
        <v>86726.639809838744</v>
      </c>
      <c r="J73" s="798">
        <f t="shared" si="46"/>
        <v>1000333.0788708999</v>
      </c>
      <c r="K73" s="779">
        <f t="shared" si="47"/>
        <v>1252689.5342325307</v>
      </c>
      <c r="L73" s="780">
        <f t="shared" si="42"/>
        <v>0.17740174119017738</v>
      </c>
      <c r="M73" s="780">
        <f t="shared" si="43"/>
        <v>0.20145171526178585</v>
      </c>
      <c r="N73" s="781">
        <f t="shared" si="44"/>
        <v>15385.456909838744</v>
      </c>
      <c r="O73" s="781">
        <f t="shared" si="56"/>
        <v>252356.45536163083</v>
      </c>
      <c r="Q73" s="683">
        <f t="shared" si="48"/>
        <v>912693.26560000004</v>
      </c>
      <c r="R73" s="683">
        <f t="shared" si="49"/>
        <v>87639.813270899991</v>
      </c>
      <c r="T73" s="673">
        <f t="shared" si="50"/>
        <v>15385.456909838738</v>
      </c>
      <c r="U73" s="674">
        <f>'Fuel Equipment Savings Calculat'!$V70</f>
        <v>11147.63255043643</v>
      </c>
      <c r="V73" s="674">
        <f>'Efficient Site Offices DD &amp; Cal'!$H106</f>
        <v>954.67017555000007</v>
      </c>
      <c r="W73" s="674">
        <f>'PFC Calculations'!$G71</f>
        <v>0</v>
      </c>
      <c r="X73" s="674">
        <f>'Behaviour Calculations'!$E77</f>
        <v>591.39230769230767</v>
      </c>
      <c r="Y73" s="674">
        <f>'Behaviour Calculations'!$J77</f>
        <v>444.23076923076923</v>
      </c>
      <c r="Z73" s="674">
        <f>'Behaviour Calculations'!$O77</f>
        <v>290.76923076923077</v>
      </c>
      <c r="AA73" s="674">
        <f>'Reduced Power Lighting Calculat'!$H71</f>
        <v>0</v>
      </c>
      <c r="AB73" s="674">
        <f>'Hybrid Lighting Calculations'!H75</f>
        <v>0</v>
      </c>
      <c r="AC73" s="674">
        <f>'PIR Lighting Calculations'!$H71</f>
        <v>1956.7618761600002</v>
      </c>
      <c r="AD73" s="674">
        <f>'Water Calculations'!$I71</f>
        <v>0</v>
      </c>
      <c r="AE73" s="674">
        <f>'Additional Initiatives'!$H84</f>
        <v>0</v>
      </c>
      <c r="AF73" s="679">
        <f t="shared" si="51"/>
        <v>0</v>
      </c>
      <c r="AG73" s="679">
        <f>(C73-B73) - (0.13 * 'Data Entry Fuel'!I$3) * (U73+AB73)</f>
        <v>0</v>
      </c>
      <c r="AH73" s="5"/>
      <c r="AI73" s="19">
        <v>1504</v>
      </c>
      <c r="AJ73" s="19">
        <f t="shared" si="52"/>
        <v>2015</v>
      </c>
      <c r="AK73" s="19">
        <f t="shared" si="53"/>
        <v>9</v>
      </c>
      <c r="AL73" s="19">
        <v>69</v>
      </c>
      <c r="AM73" s="697">
        <f t="shared" si="54"/>
        <v>912693.26560000004</v>
      </c>
      <c r="AN73" s="697">
        <f t="shared" si="57"/>
        <v>158321.77226842081</v>
      </c>
      <c r="AO73" s="697">
        <f t="shared" si="58"/>
        <v>54295.191999999995</v>
      </c>
      <c r="AP73" s="697">
        <f>IF(AP$4='Additional Initiatives'!$B$163,'Additional Initiatives'!$B232,IF(AP$4='Additional Initiatives'!$C$163,'Additional Initiatives'!$C232,IF(AP$4='Additional Initiatives'!$D$163,'Additional Initiatives'!$D232,IF(AP$4='Additional Initiatives'!$E$163,'Additional Initiatives'!$E232,IF(AP$4='Additional Initiatives'!$F$163,'Additional Initiatives'!$F232,0)))))+AP72</f>
        <v>0</v>
      </c>
      <c r="AQ73" s="697">
        <f>IF(AQ$4='Additional Initiatives'!$B$163,'Additional Initiatives'!$B232,IF(AQ$4='Additional Initiatives'!$C$163,'Additional Initiatives'!$C232,IF(AQ$4='Additional Initiatives'!$D$163,'Additional Initiatives'!$D232,IF(AQ$4='Additional Initiatives'!$E$163,'Additional Initiatives'!$E232,IF(AQ$4='Additional Initiatives'!$F$163,'Additional Initiatives'!$F232,0)))))+AQ72</f>
        <v>0</v>
      </c>
      <c r="AR73" s="697">
        <f>IF(AR$4='Additional Initiatives'!$B$163,'Additional Initiatives'!$B232,IF(AR$4='Additional Initiatives'!$C$163,'Additional Initiatives'!$C232,IF(AR$4='Additional Initiatives'!$D$163,'Additional Initiatives'!$D232,IF(AR$4='Additional Initiatives'!$E$163,'Additional Initiatives'!$E232,IF(AR$4='Additional Initiatives'!$F$163,'Additional Initiatives'!$F232,0)))))+AR72</f>
        <v>0</v>
      </c>
      <c r="AS73" s="697">
        <f t="shared" si="59"/>
        <v>0</v>
      </c>
      <c r="AT73" s="696">
        <f t="shared" si="55"/>
        <v>87639.813270899991</v>
      </c>
      <c r="AU73" s="696">
        <f t="shared" si="60"/>
        <v>18711.559228151553</v>
      </c>
      <c r="AV73" s="696">
        <f t="shared" si="61"/>
        <v>0</v>
      </c>
      <c r="AW73" s="696">
        <f t="shared" si="62"/>
        <v>0</v>
      </c>
      <c r="AX73" s="696">
        <f t="shared" si="63"/>
        <v>8218.0934035200007</v>
      </c>
      <c r="AY73" s="696">
        <f t="shared" si="64"/>
        <v>5322.5307692307679</v>
      </c>
      <c r="AZ73" s="696">
        <f t="shared" si="65"/>
        <v>3998.0769230769224</v>
      </c>
      <c r="BA73" s="696">
        <f t="shared" si="66"/>
        <v>3489.23076923077</v>
      </c>
      <c r="BB73" s="696">
        <f t="shared" si="67"/>
        <v>0</v>
      </c>
      <c r="BC73" s="696">
        <f>IF(BC$4='Additional Initiatives'!$B$163,'Additional Initiatives'!$B232,IF(BC$4='Additional Initiatives'!$C$163,'Additional Initiatives'!$C232,IF(BC$4='Additional Initiatives'!$D$163,'Additional Initiatives'!$D232,IF(BC$4='Additional Initiatives'!$E$163,'Additional Initiatives'!$E232,IF(BC$4='Additional Initiatives'!$F$163,'Additional Initiatives'!$F232,0)))))+BC72</f>
        <v>0</v>
      </c>
      <c r="BD73" s="696">
        <f>IF(BD$4='Additional Initiatives'!$B$163,'Additional Initiatives'!$B232,IF(BD$4='Additional Initiatives'!$C$163,'Additional Initiatives'!$C232,IF(BD$4='Additional Initiatives'!$D$163,'Additional Initiatives'!$D232,IF(BD$4='Additional Initiatives'!$E$163,'Additional Initiatives'!$E232,IF(BD$4='Additional Initiatives'!$F$163,'Additional Initiatives'!$F232,0)))))+BD72</f>
        <v>0</v>
      </c>
      <c r="BE73" s="696">
        <f>IF(BE$4='Additional Initiatives'!$B$163,'Additional Initiatives'!$B232,IF(BE$4='Additional Initiatives'!$C$163,'Additional Initiatives'!$C232,IF(BE$4='Additional Initiatives'!$D$163,'Additional Initiatives'!$D232,IF(BE$4='Additional Initiatives'!$E$163,'Additional Initiatives'!$E232,IF(BE$4='Additional Initiatives'!$F$163,'Additional Initiatives'!$F232,0)))))+BE72</f>
        <v>0</v>
      </c>
      <c r="BF73" s="696">
        <f t="shared" si="68"/>
        <v>0</v>
      </c>
    </row>
    <row r="74" spans="1:58">
      <c r="A74" s="21" t="s">
        <v>80</v>
      </c>
      <c r="B74" s="672">
        <f>'Data Entry Fuel'!B73*'Data Entry Fuel'!B225
+'Data Entry Fuel'!C73*'Data Entry Fuel'!C225
+'Data Entry Fuel'!D73*'Data Entry Fuel'!D225
+'Data Entry Fuel'!E73*'Data Entry Fuel'!E225
+'Data Entry Fuel'!F73*'Data Entry Fuel'!F225
+'Data Entry Fuel'!G73*'Data Entry Fuel'!G225
+'Data Entry Fuel'!H73*'Data Entry Fuel'!H225
+'Data Entry Fuel'!I73*'Data Entry Fuel'!I225
+'Data Entry Fuel'!J73*'Data Entry Fuel'!J225</f>
        <v>67181.399999999994</v>
      </c>
      <c r="C74" s="672">
        <f>'Data Entry Fuel'!B73*'Data Entry Fuel'!B225
+'Data Entry Fuel'!C73*'Data Entry Fuel'!C225
+'Data Entry Fuel'!D73*'Data Entry Fuel'!D225
+'Data Entry Fuel'!E73*'Data Entry Fuel'!E225
+'Data Entry Fuel'!F73*'Data Entry Fuel'!F225
+'Data Entry Fuel'!G73*'Data Entry Fuel'!G225
+'Data Entry Fuel'!H73*'Data Entry Fuel'!H225
+'Data Entry Fuel'!I73*'Data Entry Fuel'!C225 *   (1 -  0.13 * 'Data Entry Fuel'!I$3)
+'Data Entry Fuel'!J73*'Data Entry Fuel'!J225</f>
        <v>67181.399999999994</v>
      </c>
      <c r="D74" s="677">
        <f>'Data Entry Electricity'!B73*'Data Entry Electricity'!L73+'Data Entry Electricity'!C73*'Data Entry Electricity'!M73+'Data Entry Electricity'!D73*'Data Entry Electricity'!N73+'Data Entry Electricity'!E73*'Data Entry Electricity'!O73</f>
        <v>4159.7829000000002</v>
      </c>
      <c r="E74" s="776">
        <f>'Data Entry Electricity'!B73*'Data Entry Electricity'!L73+'Data Entry Electricity'!C73*'Data Entry Electricity'!L73+'Data Entry Electricity'!D73*'Data Entry Electricity'!N73+'Data Entry Electricity'!E73*'Data Entry Electricity'!O73</f>
        <v>4159.7829000000002</v>
      </c>
      <c r="F74" s="777">
        <f>(SUM('Fuel Equipment Savings Calculat'!$B71:$S71))+(SUM('Efficient Site Offices DD &amp; Cal'!$B107:$F107))+'PFC Calculations'!$G72+(SUM('Behaviour Calculations'!$E78,'Behaviour Calculations'!$J78,'Behaviour Calculations'!$O78))+(SUM('Reduced Power Lighting Calculat'!$B72:$F72)+SUM('Hybrid Lighting Calculations'!$B76:$F76)+('PIR Lighting Calculations'!$H72)+SUM('Water Calculations'!$B72:$G72)+'Additional Initiatives'!$H85)</f>
        <v>15385.456909838738</v>
      </c>
      <c r="G74" s="778">
        <f t="shared" si="40"/>
        <v>71341.1829</v>
      </c>
      <c r="H74" s="778">
        <f t="shared" si="45"/>
        <v>71341.1829</v>
      </c>
      <c r="I74" s="778">
        <f t="shared" si="41"/>
        <v>86726.639809838744</v>
      </c>
      <c r="J74" s="798">
        <f t="shared" si="46"/>
        <v>1071674.2617708999</v>
      </c>
      <c r="K74" s="779">
        <f t="shared" si="47"/>
        <v>1339416.1740423695</v>
      </c>
      <c r="L74" s="780">
        <f t="shared" si="42"/>
        <v>0.17740174119017738</v>
      </c>
      <c r="M74" s="780">
        <f t="shared" si="43"/>
        <v>0.19989448945014765</v>
      </c>
      <c r="N74" s="781">
        <f t="shared" si="44"/>
        <v>15385.456909838744</v>
      </c>
      <c r="O74" s="781">
        <f t="shared" si="56"/>
        <v>267741.9122714696</v>
      </c>
      <c r="Q74" s="683">
        <f t="shared" si="48"/>
        <v>979874.66560000007</v>
      </c>
      <c r="R74" s="683">
        <f t="shared" si="49"/>
        <v>91799.596170899997</v>
      </c>
      <c r="T74" s="673">
        <f t="shared" si="50"/>
        <v>15385.456909838738</v>
      </c>
      <c r="U74" s="674">
        <f>'Fuel Equipment Savings Calculat'!$V71</f>
        <v>11147.63255043643</v>
      </c>
      <c r="V74" s="674">
        <f>'Efficient Site Offices DD &amp; Cal'!$H107</f>
        <v>954.67017555000007</v>
      </c>
      <c r="W74" s="674">
        <f>'PFC Calculations'!$G72</f>
        <v>0</v>
      </c>
      <c r="X74" s="674">
        <f>'Behaviour Calculations'!$E78</f>
        <v>591.39230769230767</v>
      </c>
      <c r="Y74" s="674">
        <f>'Behaviour Calculations'!$J78</f>
        <v>444.23076923076923</v>
      </c>
      <c r="Z74" s="674">
        <f>'Behaviour Calculations'!$O78</f>
        <v>290.76923076923077</v>
      </c>
      <c r="AA74" s="674">
        <f>'Reduced Power Lighting Calculat'!$H72</f>
        <v>0</v>
      </c>
      <c r="AB74" s="674">
        <f>'Hybrid Lighting Calculations'!H76</f>
        <v>0</v>
      </c>
      <c r="AC74" s="674">
        <f>'PIR Lighting Calculations'!$H72</f>
        <v>1956.7618761600002</v>
      </c>
      <c r="AD74" s="674">
        <f>'Water Calculations'!$I72</f>
        <v>0</v>
      </c>
      <c r="AE74" s="674">
        <f>'Additional Initiatives'!$H85</f>
        <v>0</v>
      </c>
      <c r="AF74" s="679">
        <f t="shared" si="51"/>
        <v>0</v>
      </c>
      <c r="AG74" s="679">
        <f>(C74-B74) - (0.13 * 'Data Entry Fuel'!I$3) * (U74+AB74)</f>
        <v>0</v>
      </c>
      <c r="AH74" s="5"/>
      <c r="AI74" s="19">
        <v>1505</v>
      </c>
      <c r="AJ74" s="19">
        <f t="shared" si="52"/>
        <v>2015</v>
      </c>
      <c r="AK74" s="19">
        <f t="shared" si="53"/>
        <v>9</v>
      </c>
      <c r="AL74" s="19">
        <v>70</v>
      </c>
      <c r="AM74" s="697">
        <f t="shared" si="54"/>
        <v>979874.66560000007</v>
      </c>
      <c r="AN74" s="697">
        <f t="shared" si="57"/>
        <v>169469.40481885723</v>
      </c>
      <c r="AO74" s="697">
        <f t="shared" si="58"/>
        <v>54295.191999999995</v>
      </c>
      <c r="AP74" s="697">
        <f>IF(AP$4='Additional Initiatives'!$B$163,'Additional Initiatives'!$B233,IF(AP$4='Additional Initiatives'!$C$163,'Additional Initiatives'!$C233,IF(AP$4='Additional Initiatives'!$D$163,'Additional Initiatives'!$D233,IF(AP$4='Additional Initiatives'!$E$163,'Additional Initiatives'!$E233,IF(AP$4='Additional Initiatives'!$F$163,'Additional Initiatives'!$F233,0)))))+AP73</f>
        <v>0</v>
      </c>
      <c r="AQ74" s="697">
        <f>IF(AQ$4='Additional Initiatives'!$B$163,'Additional Initiatives'!$B233,IF(AQ$4='Additional Initiatives'!$C$163,'Additional Initiatives'!$C233,IF(AQ$4='Additional Initiatives'!$D$163,'Additional Initiatives'!$D233,IF(AQ$4='Additional Initiatives'!$E$163,'Additional Initiatives'!$E233,IF(AQ$4='Additional Initiatives'!$F$163,'Additional Initiatives'!$F233,0)))))+AQ73</f>
        <v>0</v>
      </c>
      <c r="AR74" s="697">
        <f>IF(AR$4='Additional Initiatives'!$B$163,'Additional Initiatives'!$B233,IF(AR$4='Additional Initiatives'!$C$163,'Additional Initiatives'!$C233,IF(AR$4='Additional Initiatives'!$D$163,'Additional Initiatives'!$D233,IF(AR$4='Additional Initiatives'!$E$163,'Additional Initiatives'!$E233,IF(AR$4='Additional Initiatives'!$F$163,'Additional Initiatives'!$F233,0)))))+AR73</f>
        <v>0</v>
      </c>
      <c r="AS74" s="697">
        <f t="shared" si="59"/>
        <v>0</v>
      </c>
      <c r="AT74" s="696">
        <f t="shared" si="55"/>
        <v>91799.596170899997</v>
      </c>
      <c r="AU74" s="696">
        <f t="shared" si="60"/>
        <v>19666.229403701553</v>
      </c>
      <c r="AV74" s="696">
        <f t="shared" si="61"/>
        <v>0</v>
      </c>
      <c r="AW74" s="696">
        <f t="shared" si="62"/>
        <v>0</v>
      </c>
      <c r="AX74" s="696">
        <f t="shared" si="63"/>
        <v>10174.855279680001</v>
      </c>
      <c r="AY74" s="696">
        <f t="shared" si="64"/>
        <v>5913.9230769230753</v>
      </c>
      <c r="AZ74" s="696">
        <f t="shared" si="65"/>
        <v>4442.3076923076915</v>
      </c>
      <c r="BA74" s="696">
        <f t="shared" si="66"/>
        <v>3780.0000000000009</v>
      </c>
      <c r="BB74" s="696">
        <f t="shared" si="67"/>
        <v>0</v>
      </c>
      <c r="BC74" s="696">
        <f>IF(BC$4='Additional Initiatives'!$B$163,'Additional Initiatives'!$B233,IF(BC$4='Additional Initiatives'!$C$163,'Additional Initiatives'!$C233,IF(BC$4='Additional Initiatives'!$D$163,'Additional Initiatives'!$D233,IF(BC$4='Additional Initiatives'!$E$163,'Additional Initiatives'!$E233,IF(BC$4='Additional Initiatives'!$F$163,'Additional Initiatives'!$F233,0)))))+BC73</f>
        <v>0</v>
      </c>
      <c r="BD74" s="696">
        <f>IF(BD$4='Additional Initiatives'!$B$163,'Additional Initiatives'!$B233,IF(BD$4='Additional Initiatives'!$C$163,'Additional Initiatives'!$C233,IF(BD$4='Additional Initiatives'!$D$163,'Additional Initiatives'!$D233,IF(BD$4='Additional Initiatives'!$E$163,'Additional Initiatives'!$E233,IF(BD$4='Additional Initiatives'!$F$163,'Additional Initiatives'!$F233,0)))))+BD73</f>
        <v>0</v>
      </c>
      <c r="BE74" s="696">
        <f>IF(BE$4='Additional Initiatives'!$B$163,'Additional Initiatives'!$B233,IF(BE$4='Additional Initiatives'!$C$163,'Additional Initiatives'!$C233,IF(BE$4='Additional Initiatives'!$D$163,'Additional Initiatives'!$D233,IF(BE$4='Additional Initiatives'!$E$163,'Additional Initiatives'!$E233,IF(BE$4='Additional Initiatives'!$F$163,'Additional Initiatives'!$F233,0)))))+BE73</f>
        <v>0</v>
      </c>
      <c r="BF74" s="696">
        <f t="shared" si="68"/>
        <v>0</v>
      </c>
    </row>
    <row r="75" spans="1:58">
      <c r="A75" s="21" t="s">
        <v>81</v>
      </c>
      <c r="B75" s="672">
        <f>'Data Entry Fuel'!B74*'Data Entry Fuel'!B226
+'Data Entry Fuel'!C74*'Data Entry Fuel'!C226
+'Data Entry Fuel'!D74*'Data Entry Fuel'!D226
+'Data Entry Fuel'!E74*'Data Entry Fuel'!E226
+'Data Entry Fuel'!F74*'Data Entry Fuel'!F226
+'Data Entry Fuel'!G74*'Data Entry Fuel'!G226
+'Data Entry Fuel'!H74*'Data Entry Fuel'!H226
+'Data Entry Fuel'!I74*'Data Entry Fuel'!I226
+'Data Entry Fuel'!J74*'Data Entry Fuel'!J226</f>
        <v>67181.399999999994</v>
      </c>
      <c r="C75" s="672">
        <f>'Data Entry Fuel'!B74*'Data Entry Fuel'!B226
+'Data Entry Fuel'!C74*'Data Entry Fuel'!C226
+'Data Entry Fuel'!D74*'Data Entry Fuel'!D226
+'Data Entry Fuel'!E74*'Data Entry Fuel'!E226
+'Data Entry Fuel'!F74*'Data Entry Fuel'!F226
+'Data Entry Fuel'!G74*'Data Entry Fuel'!G226
+'Data Entry Fuel'!H74*'Data Entry Fuel'!H226
+'Data Entry Fuel'!I74*'Data Entry Fuel'!C226 *   (1 -  0.13 * 'Data Entry Fuel'!I$3)
+'Data Entry Fuel'!J74*'Data Entry Fuel'!J226</f>
        <v>67181.399999999994</v>
      </c>
      <c r="D75" s="677">
        <f>'Data Entry Electricity'!B74*'Data Entry Electricity'!L74+'Data Entry Electricity'!C74*'Data Entry Electricity'!M74+'Data Entry Electricity'!D74*'Data Entry Electricity'!N74+'Data Entry Electricity'!E74*'Data Entry Electricity'!O74</f>
        <v>4159.7829000000002</v>
      </c>
      <c r="E75" s="776">
        <f>'Data Entry Electricity'!B74*'Data Entry Electricity'!L74+'Data Entry Electricity'!C74*'Data Entry Electricity'!L74+'Data Entry Electricity'!D74*'Data Entry Electricity'!N74+'Data Entry Electricity'!E74*'Data Entry Electricity'!O74</f>
        <v>4159.7829000000002</v>
      </c>
      <c r="F75" s="777">
        <f>(SUM('Fuel Equipment Savings Calculat'!$B72:$S72))+(SUM('Efficient Site Offices DD &amp; Cal'!$B108:$F108))+'PFC Calculations'!$G73+(SUM('Behaviour Calculations'!$E79,'Behaviour Calculations'!$J79,'Behaviour Calculations'!$O79))+(SUM('Reduced Power Lighting Calculat'!$B73:$F73)+SUM('Hybrid Lighting Calculations'!$B77:$F77)+('PIR Lighting Calculations'!$H73)+SUM('Water Calculations'!$B73:$G73)+'Additional Initiatives'!$H86)</f>
        <v>15385.456909838738</v>
      </c>
      <c r="G75" s="778">
        <f t="shared" si="40"/>
        <v>71341.1829</v>
      </c>
      <c r="H75" s="778">
        <f t="shared" si="45"/>
        <v>71341.1829</v>
      </c>
      <c r="I75" s="778">
        <f t="shared" si="41"/>
        <v>86726.639809838744</v>
      </c>
      <c r="J75" s="798">
        <f t="shared" si="46"/>
        <v>1143015.4446708998</v>
      </c>
      <c r="K75" s="779">
        <f t="shared" si="47"/>
        <v>1426142.8138522082</v>
      </c>
      <c r="L75" s="780">
        <f t="shared" si="42"/>
        <v>0.17740174119017738</v>
      </c>
      <c r="M75" s="780">
        <f t="shared" si="43"/>
        <v>0.19852665976455919</v>
      </c>
      <c r="N75" s="781">
        <f t="shared" si="44"/>
        <v>15385.456909838744</v>
      </c>
      <c r="O75" s="781">
        <f t="shared" si="56"/>
        <v>283127.36918130831</v>
      </c>
      <c r="Q75" s="683">
        <f t="shared" si="48"/>
        <v>1047056.0656000001</v>
      </c>
      <c r="R75" s="683">
        <f t="shared" si="49"/>
        <v>95959.379070900002</v>
      </c>
      <c r="T75" s="673">
        <f t="shared" si="50"/>
        <v>15385.456909838738</v>
      </c>
      <c r="U75" s="674">
        <f>'Fuel Equipment Savings Calculat'!$V72</f>
        <v>11147.63255043643</v>
      </c>
      <c r="V75" s="674">
        <f>'Efficient Site Offices DD &amp; Cal'!$H108</f>
        <v>954.67017555000007</v>
      </c>
      <c r="W75" s="674">
        <f>'PFC Calculations'!$G73</f>
        <v>0</v>
      </c>
      <c r="X75" s="674">
        <f>'Behaviour Calculations'!$E79</f>
        <v>591.39230769230767</v>
      </c>
      <c r="Y75" s="674">
        <f>'Behaviour Calculations'!$J79</f>
        <v>444.23076923076923</v>
      </c>
      <c r="Z75" s="674">
        <f>'Behaviour Calculations'!$O79</f>
        <v>290.76923076923077</v>
      </c>
      <c r="AA75" s="674">
        <f>'Reduced Power Lighting Calculat'!$H73</f>
        <v>0</v>
      </c>
      <c r="AB75" s="674">
        <f>'Hybrid Lighting Calculations'!H77</f>
        <v>0</v>
      </c>
      <c r="AC75" s="674">
        <f>'PIR Lighting Calculations'!$H73</f>
        <v>1956.7618761600002</v>
      </c>
      <c r="AD75" s="674">
        <f>'Water Calculations'!$I73</f>
        <v>0</v>
      </c>
      <c r="AE75" s="674">
        <f>'Additional Initiatives'!$H86</f>
        <v>0</v>
      </c>
      <c r="AF75" s="679">
        <f t="shared" si="51"/>
        <v>0</v>
      </c>
      <c r="AG75" s="679">
        <f>(C75-B75) - (0.13 * 'Data Entry Fuel'!I$3) * (U75+AB75)</f>
        <v>0</v>
      </c>
      <c r="AH75" s="5"/>
      <c r="AI75" s="19">
        <v>1506</v>
      </c>
      <c r="AJ75" s="19">
        <f t="shared" si="52"/>
        <v>2015</v>
      </c>
      <c r="AK75" s="19">
        <f t="shared" si="53"/>
        <v>9</v>
      </c>
      <c r="AL75" s="19">
        <v>71</v>
      </c>
      <c r="AM75" s="697">
        <f t="shared" si="54"/>
        <v>1047056.0656000001</v>
      </c>
      <c r="AN75" s="697">
        <f t="shared" si="57"/>
        <v>180617.03736929366</v>
      </c>
      <c r="AO75" s="697">
        <f t="shared" si="58"/>
        <v>54295.191999999995</v>
      </c>
      <c r="AP75" s="697">
        <f>IF(AP$4='Additional Initiatives'!$B$163,'Additional Initiatives'!$B234,IF(AP$4='Additional Initiatives'!$C$163,'Additional Initiatives'!$C234,IF(AP$4='Additional Initiatives'!$D$163,'Additional Initiatives'!$D234,IF(AP$4='Additional Initiatives'!$E$163,'Additional Initiatives'!$E234,IF(AP$4='Additional Initiatives'!$F$163,'Additional Initiatives'!$F234,0)))))+AP74</f>
        <v>0</v>
      </c>
      <c r="AQ75" s="697">
        <f>IF(AQ$4='Additional Initiatives'!$B$163,'Additional Initiatives'!$B234,IF(AQ$4='Additional Initiatives'!$C$163,'Additional Initiatives'!$C234,IF(AQ$4='Additional Initiatives'!$D$163,'Additional Initiatives'!$D234,IF(AQ$4='Additional Initiatives'!$E$163,'Additional Initiatives'!$E234,IF(AQ$4='Additional Initiatives'!$F$163,'Additional Initiatives'!$F234,0)))))+AQ74</f>
        <v>0</v>
      </c>
      <c r="AR75" s="697">
        <f>IF(AR$4='Additional Initiatives'!$B$163,'Additional Initiatives'!$B234,IF(AR$4='Additional Initiatives'!$C$163,'Additional Initiatives'!$C234,IF(AR$4='Additional Initiatives'!$D$163,'Additional Initiatives'!$D234,IF(AR$4='Additional Initiatives'!$E$163,'Additional Initiatives'!$E234,IF(AR$4='Additional Initiatives'!$F$163,'Additional Initiatives'!$F234,0)))))+AR74</f>
        <v>0</v>
      </c>
      <c r="AS75" s="697">
        <f t="shared" si="59"/>
        <v>0</v>
      </c>
      <c r="AT75" s="696">
        <f t="shared" si="55"/>
        <v>95959.379070900002</v>
      </c>
      <c r="AU75" s="696">
        <f t="shared" si="60"/>
        <v>20620.899579251552</v>
      </c>
      <c r="AV75" s="696">
        <f t="shared" si="61"/>
        <v>0</v>
      </c>
      <c r="AW75" s="696">
        <f t="shared" si="62"/>
        <v>0</v>
      </c>
      <c r="AX75" s="696">
        <f t="shared" si="63"/>
        <v>12131.617155840002</v>
      </c>
      <c r="AY75" s="696">
        <f t="shared" si="64"/>
        <v>6505.3153846153828</v>
      </c>
      <c r="AZ75" s="696">
        <f t="shared" si="65"/>
        <v>4886.538461538461</v>
      </c>
      <c r="BA75" s="696">
        <f t="shared" si="66"/>
        <v>4070.7692307692319</v>
      </c>
      <c r="BB75" s="696">
        <f t="shared" si="67"/>
        <v>0</v>
      </c>
      <c r="BC75" s="696">
        <f>IF(BC$4='Additional Initiatives'!$B$163,'Additional Initiatives'!$B234,IF(BC$4='Additional Initiatives'!$C$163,'Additional Initiatives'!$C234,IF(BC$4='Additional Initiatives'!$D$163,'Additional Initiatives'!$D234,IF(BC$4='Additional Initiatives'!$E$163,'Additional Initiatives'!$E234,IF(BC$4='Additional Initiatives'!$F$163,'Additional Initiatives'!$F234,0)))))+BC74</f>
        <v>0</v>
      </c>
      <c r="BD75" s="696">
        <f>IF(BD$4='Additional Initiatives'!$B$163,'Additional Initiatives'!$B234,IF(BD$4='Additional Initiatives'!$C$163,'Additional Initiatives'!$C234,IF(BD$4='Additional Initiatives'!$D$163,'Additional Initiatives'!$D234,IF(BD$4='Additional Initiatives'!$E$163,'Additional Initiatives'!$E234,IF(BD$4='Additional Initiatives'!$F$163,'Additional Initiatives'!$F234,0)))))+BD74</f>
        <v>0</v>
      </c>
      <c r="BE75" s="696">
        <f>IF(BE$4='Additional Initiatives'!$B$163,'Additional Initiatives'!$B234,IF(BE$4='Additional Initiatives'!$C$163,'Additional Initiatives'!$C234,IF(BE$4='Additional Initiatives'!$D$163,'Additional Initiatives'!$D234,IF(BE$4='Additional Initiatives'!$E$163,'Additional Initiatives'!$E234,IF(BE$4='Additional Initiatives'!$F$163,'Additional Initiatives'!$F234,0)))))+BE74</f>
        <v>0</v>
      </c>
      <c r="BF75" s="696">
        <f t="shared" si="68"/>
        <v>0</v>
      </c>
    </row>
    <row r="76" spans="1:58">
      <c r="A76" s="21" t="s">
        <v>82</v>
      </c>
      <c r="B76" s="672">
        <f>'Data Entry Fuel'!B75*'Data Entry Fuel'!B227
+'Data Entry Fuel'!C75*'Data Entry Fuel'!C227
+'Data Entry Fuel'!D75*'Data Entry Fuel'!D227
+'Data Entry Fuel'!E75*'Data Entry Fuel'!E227
+'Data Entry Fuel'!F75*'Data Entry Fuel'!F227
+'Data Entry Fuel'!G75*'Data Entry Fuel'!G227
+'Data Entry Fuel'!H75*'Data Entry Fuel'!H227
+'Data Entry Fuel'!I75*'Data Entry Fuel'!I227
+'Data Entry Fuel'!J75*'Data Entry Fuel'!J227</f>
        <v>67181.399999999994</v>
      </c>
      <c r="C76" s="672">
        <f>'Data Entry Fuel'!B75*'Data Entry Fuel'!B227
+'Data Entry Fuel'!C75*'Data Entry Fuel'!C227
+'Data Entry Fuel'!D75*'Data Entry Fuel'!D227
+'Data Entry Fuel'!E75*'Data Entry Fuel'!E227
+'Data Entry Fuel'!F75*'Data Entry Fuel'!F227
+'Data Entry Fuel'!G75*'Data Entry Fuel'!G227
+'Data Entry Fuel'!H75*'Data Entry Fuel'!H227
+'Data Entry Fuel'!I75*'Data Entry Fuel'!C227 *   (1 -  0.13 * 'Data Entry Fuel'!I$3)
+'Data Entry Fuel'!J75*'Data Entry Fuel'!J227</f>
        <v>67181.399999999994</v>
      </c>
      <c r="D76" s="677">
        <f>'Data Entry Electricity'!B75*'Data Entry Electricity'!L75+'Data Entry Electricity'!C75*'Data Entry Electricity'!M75+'Data Entry Electricity'!D75*'Data Entry Electricity'!N75+'Data Entry Electricity'!E75*'Data Entry Electricity'!O75</f>
        <v>4159.7829000000002</v>
      </c>
      <c r="E76" s="776">
        <f>'Data Entry Electricity'!B75*'Data Entry Electricity'!L75+'Data Entry Electricity'!C75*'Data Entry Electricity'!L75+'Data Entry Electricity'!D75*'Data Entry Electricity'!N75+'Data Entry Electricity'!E75*'Data Entry Electricity'!O75</f>
        <v>4159.7829000000002</v>
      </c>
      <c r="F76" s="777">
        <f>(SUM('Fuel Equipment Savings Calculat'!$B73:$S73))+(SUM('Efficient Site Offices DD &amp; Cal'!$B109:$F109))+'PFC Calculations'!$G74+(SUM('Behaviour Calculations'!$E80,'Behaviour Calculations'!$J80,'Behaviour Calculations'!$O80))+(SUM('Reduced Power Lighting Calculat'!$B74:$F74)+SUM('Hybrid Lighting Calculations'!$B78:$F78)+('PIR Lighting Calculations'!$H74)+SUM('Water Calculations'!$B74:$G74)+'Additional Initiatives'!$H87)</f>
        <v>15385.456909838738</v>
      </c>
      <c r="G76" s="778">
        <f t="shared" si="40"/>
        <v>71341.1829</v>
      </c>
      <c r="H76" s="778">
        <f t="shared" si="45"/>
        <v>71341.1829</v>
      </c>
      <c r="I76" s="778">
        <f t="shared" si="41"/>
        <v>86726.639809838744</v>
      </c>
      <c r="J76" s="798">
        <f t="shared" si="46"/>
        <v>1214356.6275708997</v>
      </c>
      <c r="K76" s="779">
        <f t="shared" si="47"/>
        <v>1512869.4536620469</v>
      </c>
      <c r="L76" s="780">
        <f t="shared" si="42"/>
        <v>0.17740174119017738</v>
      </c>
      <c r="M76" s="780">
        <f t="shared" si="43"/>
        <v>0.1973156542810538</v>
      </c>
      <c r="N76" s="781">
        <f t="shared" si="44"/>
        <v>15385.456909838744</v>
      </c>
      <c r="O76" s="781">
        <f t="shared" si="56"/>
        <v>298512.82609114703</v>
      </c>
      <c r="Q76" s="683">
        <f t="shared" si="48"/>
        <v>1114237.4656</v>
      </c>
      <c r="R76" s="683">
        <f t="shared" si="49"/>
        <v>100119.16197090001</v>
      </c>
      <c r="T76" s="673">
        <f t="shared" si="50"/>
        <v>15385.456909838738</v>
      </c>
      <c r="U76" s="674">
        <f>'Fuel Equipment Savings Calculat'!$V73</f>
        <v>11147.63255043643</v>
      </c>
      <c r="V76" s="674">
        <f>'Efficient Site Offices DD &amp; Cal'!$H109</f>
        <v>954.67017555000007</v>
      </c>
      <c r="W76" s="674">
        <f>'PFC Calculations'!$G74</f>
        <v>0</v>
      </c>
      <c r="X76" s="674">
        <f>'Behaviour Calculations'!$E80</f>
        <v>591.39230769230767</v>
      </c>
      <c r="Y76" s="674">
        <f>'Behaviour Calculations'!$J80</f>
        <v>444.23076923076923</v>
      </c>
      <c r="Z76" s="674">
        <f>'Behaviour Calculations'!$O80</f>
        <v>290.76923076923077</v>
      </c>
      <c r="AA76" s="674">
        <f>'Reduced Power Lighting Calculat'!$H74</f>
        <v>0</v>
      </c>
      <c r="AB76" s="674">
        <f>'Hybrid Lighting Calculations'!H78</f>
        <v>0</v>
      </c>
      <c r="AC76" s="674">
        <f>'PIR Lighting Calculations'!$H74</f>
        <v>1956.7618761600002</v>
      </c>
      <c r="AD76" s="674">
        <f>'Water Calculations'!$I74</f>
        <v>0</v>
      </c>
      <c r="AE76" s="674">
        <f>'Additional Initiatives'!$H87</f>
        <v>0</v>
      </c>
      <c r="AF76" s="679">
        <f t="shared" si="51"/>
        <v>0</v>
      </c>
      <c r="AG76" s="679">
        <f>(C76-B76) - (0.13 * 'Data Entry Fuel'!I$3) * (U76+AB76)</f>
        <v>0</v>
      </c>
      <c r="AH76" s="5"/>
      <c r="AI76" s="19">
        <v>1507</v>
      </c>
      <c r="AJ76" s="19">
        <f t="shared" si="52"/>
        <v>2015</v>
      </c>
      <c r="AK76" s="19">
        <f t="shared" si="53"/>
        <v>9</v>
      </c>
      <c r="AL76" s="19">
        <v>72</v>
      </c>
      <c r="AM76" s="697">
        <f t="shared" si="54"/>
        <v>1114237.4656</v>
      </c>
      <c r="AN76" s="697">
        <f t="shared" si="57"/>
        <v>191764.66991973008</v>
      </c>
      <c r="AO76" s="697">
        <f t="shared" si="58"/>
        <v>54295.191999999995</v>
      </c>
      <c r="AP76" s="697">
        <f>IF(AP$4='Additional Initiatives'!$B$163,'Additional Initiatives'!$B235,IF(AP$4='Additional Initiatives'!$C$163,'Additional Initiatives'!$C235,IF(AP$4='Additional Initiatives'!$D$163,'Additional Initiatives'!$D235,IF(AP$4='Additional Initiatives'!$E$163,'Additional Initiatives'!$E235,IF(AP$4='Additional Initiatives'!$F$163,'Additional Initiatives'!$F235,0)))))+AP75</f>
        <v>0</v>
      </c>
      <c r="AQ76" s="697">
        <f>IF(AQ$4='Additional Initiatives'!$B$163,'Additional Initiatives'!$B235,IF(AQ$4='Additional Initiatives'!$C$163,'Additional Initiatives'!$C235,IF(AQ$4='Additional Initiatives'!$D$163,'Additional Initiatives'!$D235,IF(AQ$4='Additional Initiatives'!$E$163,'Additional Initiatives'!$E235,IF(AQ$4='Additional Initiatives'!$F$163,'Additional Initiatives'!$F235,0)))))+AQ75</f>
        <v>0</v>
      </c>
      <c r="AR76" s="697">
        <f>IF(AR$4='Additional Initiatives'!$B$163,'Additional Initiatives'!$B235,IF(AR$4='Additional Initiatives'!$C$163,'Additional Initiatives'!$C235,IF(AR$4='Additional Initiatives'!$D$163,'Additional Initiatives'!$D235,IF(AR$4='Additional Initiatives'!$E$163,'Additional Initiatives'!$E235,IF(AR$4='Additional Initiatives'!$F$163,'Additional Initiatives'!$F235,0)))))+AR75</f>
        <v>0</v>
      </c>
      <c r="AS76" s="697">
        <f t="shared" si="59"/>
        <v>0</v>
      </c>
      <c r="AT76" s="696">
        <f t="shared" si="55"/>
        <v>100119.16197090001</v>
      </c>
      <c r="AU76" s="696">
        <f t="shared" si="60"/>
        <v>21575.569754801552</v>
      </c>
      <c r="AV76" s="696">
        <f t="shared" si="61"/>
        <v>0</v>
      </c>
      <c r="AW76" s="696">
        <f t="shared" si="62"/>
        <v>0</v>
      </c>
      <c r="AX76" s="696">
        <f t="shared" si="63"/>
        <v>14088.379032000003</v>
      </c>
      <c r="AY76" s="696">
        <f t="shared" si="64"/>
        <v>7096.7076923076902</v>
      </c>
      <c r="AZ76" s="696">
        <f t="shared" si="65"/>
        <v>5330.7692307692305</v>
      </c>
      <c r="BA76" s="696">
        <f t="shared" si="66"/>
        <v>4361.5384615384628</v>
      </c>
      <c r="BB76" s="696">
        <f t="shared" si="67"/>
        <v>0</v>
      </c>
      <c r="BC76" s="696">
        <f>IF(BC$4='Additional Initiatives'!$B$163,'Additional Initiatives'!$B235,IF(BC$4='Additional Initiatives'!$C$163,'Additional Initiatives'!$C235,IF(BC$4='Additional Initiatives'!$D$163,'Additional Initiatives'!$D235,IF(BC$4='Additional Initiatives'!$E$163,'Additional Initiatives'!$E235,IF(BC$4='Additional Initiatives'!$F$163,'Additional Initiatives'!$F235,0)))))+BC75</f>
        <v>0</v>
      </c>
      <c r="BD76" s="696">
        <f>IF(BD$4='Additional Initiatives'!$B$163,'Additional Initiatives'!$B235,IF(BD$4='Additional Initiatives'!$C$163,'Additional Initiatives'!$C235,IF(BD$4='Additional Initiatives'!$D$163,'Additional Initiatives'!$D235,IF(BD$4='Additional Initiatives'!$E$163,'Additional Initiatives'!$E235,IF(BD$4='Additional Initiatives'!$F$163,'Additional Initiatives'!$F235,0)))))+BD75</f>
        <v>0</v>
      </c>
      <c r="BE76" s="696">
        <f>IF(BE$4='Additional Initiatives'!$B$163,'Additional Initiatives'!$B235,IF(BE$4='Additional Initiatives'!$C$163,'Additional Initiatives'!$C235,IF(BE$4='Additional Initiatives'!$D$163,'Additional Initiatives'!$D235,IF(BE$4='Additional Initiatives'!$E$163,'Additional Initiatives'!$E235,IF(BE$4='Additional Initiatives'!$F$163,'Additional Initiatives'!$F235,0)))))+BE75</f>
        <v>0</v>
      </c>
      <c r="BF76" s="696">
        <f t="shared" si="68"/>
        <v>0</v>
      </c>
    </row>
    <row r="77" spans="1:58">
      <c r="A77" s="21" t="s">
        <v>83</v>
      </c>
      <c r="B77" s="672">
        <f>'Data Entry Fuel'!B76*'Data Entry Fuel'!B228
+'Data Entry Fuel'!C76*'Data Entry Fuel'!C228
+'Data Entry Fuel'!D76*'Data Entry Fuel'!D228
+'Data Entry Fuel'!E76*'Data Entry Fuel'!E228
+'Data Entry Fuel'!F76*'Data Entry Fuel'!F228
+'Data Entry Fuel'!G76*'Data Entry Fuel'!G228
+'Data Entry Fuel'!H76*'Data Entry Fuel'!H228
+'Data Entry Fuel'!I76*'Data Entry Fuel'!I228
+'Data Entry Fuel'!J76*'Data Entry Fuel'!J228</f>
        <v>64597.5</v>
      </c>
      <c r="C77" s="672">
        <f>'Data Entry Fuel'!B76*'Data Entry Fuel'!B228
+'Data Entry Fuel'!C76*'Data Entry Fuel'!C228
+'Data Entry Fuel'!D76*'Data Entry Fuel'!D228
+'Data Entry Fuel'!E76*'Data Entry Fuel'!E228
+'Data Entry Fuel'!F76*'Data Entry Fuel'!F228
+'Data Entry Fuel'!G76*'Data Entry Fuel'!G228
+'Data Entry Fuel'!H76*'Data Entry Fuel'!H228
+'Data Entry Fuel'!I76*'Data Entry Fuel'!C228 *   (1 -  0.13 * 'Data Entry Fuel'!I$3)
+'Data Entry Fuel'!J76*'Data Entry Fuel'!J228</f>
        <v>64597.5</v>
      </c>
      <c r="D77" s="677">
        <f>'Data Entry Electricity'!B76*'Data Entry Electricity'!L76+'Data Entry Electricity'!C76*'Data Entry Electricity'!M76+'Data Entry Electricity'!D76*'Data Entry Electricity'!N76+'Data Entry Electricity'!E76*'Data Entry Electricity'!O76</f>
        <v>3235.3867</v>
      </c>
      <c r="E77" s="776">
        <f>'Data Entry Electricity'!B76*'Data Entry Electricity'!L76+'Data Entry Electricity'!C76*'Data Entry Electricity'!L76+'Data Entry Electricity'!D76*'Data Entry Electricity'!N76+'Data Entry Electricity'!E76*'Data Entry Electricity'!O76</f>
        <v>3235.3867</v>
      </c>
      <c r="F77" s="777">
        <f>(SUM('Fuel Equipment Savings Calculat'!$B74:$S74))+(SUM('Efficient Site Offices DD &amp; Cal'!$B110:$F110))+'PFC Calculations'!$G75+(SUM('Behaviour Calculations'!$E81,'Behaviour Calculations'!$J81,'Behaviour Calculations'!$O81))+(SUM('Reduced Power Lighting Calculat'!$B75:$F75)+SUM('Hybrid Lighting Calculations'!$B79:$F79)+('PIR Lighting Calculations'!$H75)+SUM('Water Calculations'!$B75:$G75)+'Additional Initiatives'!$H88)</f>
        <v>15173.307981938739</v>
      </c>
      <c r="G77" s="778">
        <f t="shared" si="40"/>
        <v>67832.886700000003</v>
      </c>
      <c r="H77" s="778">
        <f t="shared" si="45"/>
        <v>67832.886700000003</v>
      </c>
      <c r="I77" s="778">
        <f t="shared" si="41"/>
        <v>83006.194681938738</v>
      </c>
      <c r="J77" s="798">
        <f t="shared" si="46"/>
        <v>1282189.5142708996</v>
      </c>
      <c r="K77" s="779">
        <f t="shared" si="47"/>
        <v>1595875.6483439857</v>
      </c>
      <c r="L77" s="780">
        <f t="shared" si="42"/>
        <v>0.18279729651599463</v>
      </c>
      <c r="M77" s="780">
        <f t="shared" si="43"/>
        <v>0.19656051171567979</v>
      </c>
      <c r="N77" s="781">
        <f t="shared" si="44"/>
        <v>15173.307981938735</v>
      </c>
      <c r="O77" s="781">
        <f t="shared" si="56"/>
        <v>313686.13407308573</v>
      </c>
      <c r="Q77" s="683">
        <f t="shared" si="48"/>
        <v>1178834.9656</v>
      </c>
      <c r="R77" s="683">
        <f t="shared" si="49"/>
        <v>103354.54867090001</v>
      </c>
      <c r="T77" s="673">
        <f t="shared" si="50"/>
        <v>15173.307981938739</v>
      </c>
      <c r="U77" s="674">
        <f>'Fuel Equipment Savings Calculat'!$V74</f>
        <v>11147.63255043643</v>
      </c>
      <c r="V77" s="674">
        <f>'Efficient Site Offices DD &amp; Cal'!$H110</f>
        <v>742.52124765000008</v>
      </c>
      <c r="W77" s="674">
        <f>'PFC Calculations'!$G75</f>
        <v>0</v>
      </c>
      <c r="X77" s="674">
        <f>'Behaviour Calculations'!$E81</f>
        <v>591.39230769230767</v>
      </c>
      <c r="Y77" s="674">
        <f>'Behaviour Calculations'!$J81</f>
        <v>444.23076923076923</v>
      </c>
      <c r="Z77" s="674">
        <f>'Behaviour Calculations'!$O81</f>
        <v>290.76923076923077</v>
      </c>
      <c r="AA77" s="674">
        <f>'Reduced Power Lighting Calculat'!$H75</f>
        <v>0</v>
      </c>
      <c r="AB77" s="674">
        <f>'Hybrid Lighting Calculations'!H79</f>
        <v>0</v>
      </c>
      <c r="AC77" s="674">
        <f>'PIR Lighting Calculations'!$H75</f>
        <v>1956.7618761600002</v>
      </c>
      <c r="AD77" s="674">
        <f>'Water Calculations'!$I75</f>
        <v>0</v>
      </c>
      <c r="AE77" s="674">
        <f>'Additional Initiatives'!$H88</f>
        <v>0</v>
      </c>
      <c r="AF77" s="679">
        <f t="shared" si="51"/>
        <v>0</v>
      </c>
      <c r="AG77" s="679">
        <f>(C77-B77) - (0.13 * 'Data Entry Fuel'!I$3) * (U77+AB77)</f>
        <v>0</v>
      </c>
      <c r="AH77" s="5"/>
      <c r="AI77" s="19">
        <v>1508</v>
      </c>
      <c r="AJ77" s="19">
        <f t="shared" si="52"/>
        <v>2015</v>
      </c>
      <c r="AK77" s="19">
        <f t="shared" si="53"/>
        <v>9</v>
      </c>
      <c r="AL77" s="19">
        <v>73</v>
      </c>
      <c r="AM77" s="697">
        <f t="shared" si="54"/>
        <v>1178834.9656</v>
      </c>
      <c r="AN77" s="697">
        <f t="shared" si="57"/>
        <v>202912.3024701665</v>
      </c>
      <c r="AO77" s="697">
        <f t="shared" si="58"/>
        <v>54295.191999999995</v>
      </c>
      <c r="AP77" s="697">
        <f>IF(AP$4='Additional Initiatives'!$B$163,'Additional Initiatives'!$B236,IF(AP$4='Additional Initiatives'!$C$163,'Additional Initiatives'!$C236,IF(AP$4='Additional Initiatives'!$D$163,'Additional Initiatives'!$D236,IF(AP$4='Additional Initiatives'!$E$163,'Additional Initiatives'!$E236,IF(AP$4='Additional Initiatives'!$F$163,'Additional Initiatives'!$F236,0)))))+AP76</f>
        <v>0</v>
      </c>
      <c r="AQ77" s="697">
        <f>IF(AQ$4='Additional Initiatives'!$B$163,'Additional Initiatives'!$B236,IF(AQ$4='Additional Initiatives'!$C$163,'Additional Initiatives'!$C236,IF(AQ$4='Additional Initiatives'!$D$163,'Additional Initiatives'!$D236,IF(AQ$4='Additional Initiatives'!$E$163,'Additional Initiatives'!$E236,IF(AQ$4='Additional Initiatives'!$F$163,'Additional Initiatives'!$F236,0)))))+AQ76</f>
        <v>0</v>
      </c>
      <c r="AR77" s="697">
        <f>IF(AR$4='Additional Initiatives'!$B$163,'Additional Initiatives'!$B236,IF(AR$4='Additional Initiatives'!$C$163,'Additional Initiatives'!$C236,IF(AR$4='Additional Initiatives'!$D$163,'Additional Initiatives'!$D236,IF(AR$4='Additional Initiatives'!$E$163,'Additional Initiatives'!$E236,IF(AR$4='Additional Initiatives'!$F$163,'Additional Initiatives'!$F236,0)))))+AR76</f>
        <v>0</v>
      </c>
      <c r="AS77" s="697">
        <f t="shared" si="59"/>
        <v>0</v>
      </c>
      <c r="AT77" s="696">
        <f t="shared" si="55"/>
        <v>103354.54867090001</v>
      </c>
      <c r="AU77" s="696">
        <f t="shared" si="60"/>
        <v>22318.091002451554</v>
      </c>
      <c r="AV77" s="696">
        <f t="shared" si="61"/>
        <v>0</v>
      </c>
      <c r="AW77" s="696">
        <f t="shared" si="62"/>
        <v>0</v>
      </c>
      <c r="AX77" s="696">
        <f t="shared" si="63"/>
        <v>16045.140908160003</v>
      </c>
      <c r="AY77" s="696">
        <f t="shared" si="64"/>
        <v>7688.0999999999976</v>
      </c>
      <c r="AZ77" s="696">
        <f t="shared" si="65"/>
        <v>5775</v>
      </c>
      <c r="BA77" s="696">
        <f t="shared" si="66"/>
        <v>4652.3076923076933</v>
      </c>
      <c r="BB77" s="696">
        <f t="shared" si="67"/>
        <v>0</v>
      </c>
      <c r="BC77" s="696">
        <f>IF(BC$4='Additional Initiatives'!$B$163,'Additional Initiatives'!$B236,IF(BC$4='Additional Initiatives'!$C$163,'Additional Initiatives'!$C236,IF(BC$4='Additional Initiatives'!$D$163,'Additional Initiatives'!$D236,IF(BC$4='Additional Initiatives'!$E$163,'Additional Initiatives'!$E236,IF(BC$4='Additional Initiatives'!$F$163,'Additional Initiatives'!$F236,0)))))+BC76</f>
        <v>0</v>
      </c>
      <c r="BD77" s="696">
        <f>IF(BD$4='Additional Initiatives'!$B$163,'Additional Initiatives'!$B236,IF(BD$4='Additional Initiatives'!$C$163,'Additional Initiatives'!$C236,IF(BD$4='Additional Initiatives'!$D$163,'Additional Initiatives'!$D236,IF(BD$4='Additional Initiatives'!$E$163,'Additional Initiatives'!$E236,IF(BD$4='Additional Initiatives'!$F$163,'Additional Initiatives'!$F236,0)))))+BD76</f>
        <v>0</v>
      </c>
      <c r="BE77" s="696">
        <f>IF(BE$4='Additional Initiatives'!$B$163,'Additional Initiatives'!$B236,IF(BE$4='Additional Initiatives'!$C$163,'Additional Initiatives'!$C236,IF(BE$4='Additional Initiatives'!$D$163,'Additional Initiatives'!$D236,IF(BE$4='Additional Initiatives'!$E$163,'Additional Initiatives'!$E236,IF(BE$4='Additional Initiatives'!$F$163,'Additional Initiatives'!$F236,0)))))+BE76</f>
        <v>0</v>
      </c>
      <c r="BF77" s="696">
        <f t="shared" si="68"/>
        <v>0</v>
      </c>
    </row>
    <row r="78" spans="1:58">
      <c r="A78" s="21" t="s">
        <v>84</v>
      </c>
      <c r="B78" s="672">
        <f>'Data Entry Fuel'!B77*'Data Entry Fuel'!B229
+'Data Entry Fuel'!C77*'Data Entry Fuel'!C229
+'Data Entry Fuel'!D77*'Data Entry Fuel'!D229
+'Data Entry Fuel'!E77*'Data Entry Fuel'!E229
+'Data Entry Fuel'!F77*'Data Entry Fuel'!F229
+'Data Entry Fuel'!G77*'Data Entry Fuel'!G229
+'Data Entry Fuel'!H77*'Data Entry Fuel'!H229
+'Data Entry Fuel'!I77*'Data Entry Fuel'!I229
+'Data Entry Fuel'!J77*'Data Entry Fuel'!J229</f>
        <v>59429.7</v>
      </c>
      <c r="C78" s="672">
        <f>'Data Entry Fuel'!B77*'Data Entry Fuel'!B229
+'Data Entry Fuel'!C77*'Data Entry Fuel'!C229
+'Data Entry Fuel'!D77*'Data Entry Fuel'!D229
+'Data Entry Fuel'!E77*'Data Entry Fuel'!E229
+'Data Entry Fuel'!F77*'Data Entry Fuel'!F229
+'Data Entry Fuel'!G77*'Data Entry Fuel'!G229
+'Data Entry Fuel'!H77*'Data Entry Fuel'!H229
+'Data Entry Fuel'!I77*'Data Entry Fuel'!C229 *   (1 -  0.13 * 'Data Entry Fuel'!I$3)
+'Data Entry Fuel'!J77*'Data Entry Fuel'!J229</f>
        <v>59429.7</v>
      </c>
      <c r="D78" s="677">
        <f>'Data Entry Electricity'!B77*'Data Entry Electricity'!L77+'Data Entry Electricity'!C77*'Data Entry Electricity'!M77+'Data Entry Electricity'!D77*'Data Entry Electricity'!N77+'Data Entry Electricity'!E77*'Data Entry Electricity'!O77</f>
        <v>3235.3867</v>
      </c>
      <c r="E78" s="776">
        <f>'Data Entry Electricity'!B77*'Data Entry Electricity'!L77+'Data Entry Electricity'!C77*'Data Entry Electricity'!L77+'Data Entry Electricity'!D77*'Data Entry Electricity'!N77+'Data Entry Electricity'!E77*'Data Entry Electricity'!O77</f>
        <v>3235.3867</v>
      </c>
      <c r="F78" s="777">
        <f>(SUM('Fuel Equipment Savings Calculat'!$B75:$S75))+(SUM('Efficient Site Offices DD &amp; Cal'!$B111:$F111))+'PFC Calculations'!$G76+(SUM('Behaviour Calculations'!$E82,'Behaviour Calculations'!$J82,'Behaviour Calculations'!$O82))+(SUM('Reduced Power Lighting Calculat'!$B76:$F76)+SUM('Hybrid Lighting Calculations'!$B80:$F80)+('PIR Lighting Calculations'!$H76)+SUM('Water Calculations'!$B76:$G76)+'Additional Initiatives'!$H89)</f>
        <v>15173.307981938739</v>
      </c>
      <c r="G78" s="778">
        <f t="shared" si="40"/>
        <v>62665.0867</v>
      </c>
      <c r="H78" s="778">
        <f t="shared" si="45"/>
        <v>62665.0867</v>
      </c>
      <c r="I78" s="778">
        <f t="shared" si="41"/>
        <v>77838.394681938735</v>
      </c>
      <c r="J78" s="798">
        <f t="shared" si="46"/>
        <v>1344854.6009708997</v>
      </c>
      <c r="K78" s="779">
        <f t="shared" si="47"/>
        <v>1673714.0430259244</v>
      </c>
      <c r="L78" s="780">
        <f t="shared" si="42"/>
        <v>0.1949334649556882</v>
      </c>
      <c r="M78" s="780">
        <f t="shared" si="43"/>
        <v>0.19648484364776941</v>
      </c>
      <c r="N78" s="781">
        <f t="shared" si="44"/>
        <v>15173.307981938735</v>
      </c>
      <c r="O78" s="781">
        <f t="shared" si="56"/>
        <v>328859.44205502444</v>
      </c>
      <c r="Q78" s="683">
        <f t="shared" si="48"/>
        <v>1238264.6655999999</v>
      </c>
      <c r="R78" s="683">
        <f t="shared" si="49"/>
        <v>106589.93537090001</v>
      </c>
      <c r="T78" s="673">
        <f t="shared" si="50"/>
        <v>15173.307981938739</v>
      </c>
      <c r="U78" s="674">
        <f>'Fuel Equipment Savings Calculat'!$V75</f>
        <v>11147.63255043643</v>
      </c>
      <c r="V78" s="674">
        <f>'Efficient Site Offices DD &amp; Cal'!$H111</f>
        <v>742.52124765000008</v>
      </c>
      <c r="W78" s="674">
        <f>'PFC Calculations'!$G76</f>
        <v>0</v>
      </c>
      <c r="X78" s="674">
        <f>'Behaviour Calculations'!$E82</f>
        <v>591.39230769230767</v>
      </c>
      <c r="Y78" s="674">
        <f>'Behaviour Calculations'!$J82</f>
        <v>444.23076923076923</v>
      </c>
      <c r="Z78" s="674">
        <f>'Behaviour Calculations'!$O82</f>
        <v>290.76923076923077</v>
      </c>
      <c r="AA78" s="674">
        <f>'Reduced Power Lighting Calculat'!$H76</f>
        <v>0</v>
      </c>
      <c r="AB78" s="674">
        <f>'Hybrid Lighting Calculations'!H80</f>
        <v>0</v>
      </c>
      <c r="AC78" s="674">
        <f>'PIR Lighting Calculations'!$H76</f>
        <v>1956.7618761600002</v>
      </c>
      <c r="AD78" s="674">
        <f>'Water Calculations'!$I76</f>
        <v>0</v>
      </c>
      <c r="AE78" s="674">
        <f>'Additional Initiatives'!$H89</f>
        <v>0</v>
      </c>
      <c r="AF78" s="679">
        <f t="shared" si="51"/>
        <v>0</v>
      </c>
      <c r="AG78" s="679">
        <f>(C78-B78) - (0.13 * 'Data Entry Fuel'!I$3) * (U78+AB78)</f>
        <v>0</v>
      </c>
      <c r="AH78" s="5"/>
      <c r="AI78" s="19">
        <v>1509</v>
      </c>
      <c r="AJ78" s="19">
        <f t="shared" si="52"/>
        <v>2015</v>
      </c>
      <c r="AK78" s="19">
        <f t="shared" si="53"/>
        <v>9</v>
      </c>
      <c r="AL78" s="19">
        <v>74</v>
      </c>
      <c r="AM78" s="697">
        <f t="shared" si="54"/>
        <v>1238264.6655999999</v>
      </c>
      <c r="AN78" s="697">
        <f t="shared" si="57"/>
        <v>214059.93502060292</v>
      </c>
      <c r="AO78" s="697">
        <f t="shared" si="58"/>
        <v>54295.191999999995</v>
      </c>
      <c r="AP78" s="697">
        <f>IF(AP$4='Additional Initiatives'!$B$163,'Additional Initiatives'!$B237,IF(AP$4='Additional Initiatives'!$C$163,'Additional Initiatives'!$C237,IF(AP$4='Additional Initiatives'!$D$163,'Additional Initiatives'!$D237,IF(AP$4='Additional Initiatives'!$E$163,'Additional Initiatives'!$E237,IF(AP$4='Additional Initiatives'!$F$163,'Additional Initiatives'!$F237,0)))))+AP77</f>
        <v>0</v>
      </c>
      <c r="AQ78" s="697">
        <f>IF(AQ$4='Additional Initiatives'!$B$163,'Additional Initiatives'!$B237,IF(AQ$4='Additional Initiatives'!$C$163,'Additional Initiatives'!$C237,IF(AQ$4='Additional Initiatives'!$D$163,'Additional Initiatives'!$D237,IF(AQ$4='Additional Initiatives'!$E$163,'Additional Initiatives'!$E237,IF(AQ$4='Additional Initiatives'!$F$163,'Additional Initiatives'!$F237,0)))))+AQ77</f>
        <v>0</v>
      </c>
      <c r="AR78" s="697">
        <f>IF(AR$4='Additional Initiatives'!$B$163,'Additional Initiatives'!$B237,IF(AR$4='Additional Initiatives'!$C$163,'Additional Initiatives'!$C237,IF(AR$4='Additional Initiatives'!$D$163,'Additional Initiatives'!$D237,IF(AR$4='Additional Initiatives'!$E$163,'Additional Initiatives'!$E237,IF(AR$4='Additional Initiatives'!$F$163,'Additional Initiatives'!$F237,0)))))+AR77</f>
        <v>0</v>
      </c>
      <c r="AS78" s="697">
        <f t="shared" si="59"/>
        <v>0</v>
      </c>
      <c r="AT78" s="696">
        <f t="shared" si="55"/>
        <v>106589.93537090001</v>
      </c>
      <c r="AU78" s="696">
        <f t="shared" si="60"/>
        <v>23060.612250101556</v>
      </c>
      <c r="AV78" s="696">
        <f t="shared" si="61"/>
        <v>0</v>
      </c>
      <c r="AW78" s="696">
        <f t="shared" si="62"/>
        <v>0</v>
      </c>
      <c r="AX78" s="696">
        <f t="shared" si="63"/>
        <v>18001.902784320002</v>
      </c>
      <c r="AY78" s="696">
        <f t="shared" si="64"/>
        <v>8279.492307692306</v>
      </c>
      <c r="AZ78" s="696">
        <f t="shared" si="65"/>
        <v>6219.2307692307695</v>
      </c>
      <c r="BA78" s="696">
        <f t="shared" si="66"/>
        <v>4943.0769230769238</v>
      </c>
      <c r="BB78" s="696">
        <f t="shared" si="67"/>
        <v>0</v>
      </c>
      <c r="BC78" s="696">
        <f>IF(BC$4='Additional Initiatives'!$B$163,'Additional Initiatives'!$B237,IF(BC$4='Additional Initiatives'!$C$163,'Additional Initiatives'!$C237,IF(BC$4='Additional Initiatives'!$D$163,'Additional Initiatives'!$D237,IF(BC$4='Additional Initiatives'!$E$163,'Additional Initiatives'!$E237,IF(BC$4='Additional Initiatives'!$F$163,'Additional Initiatives'!$F237,0)))))+BC77</f>
        <v>0</v>
      </c>
      <c r="BD78" s="696">
        <f>IF(BD$4='Additional Initiatives'!$B$163,'Additional Initiatives'!$B237,IF(BD$4='Additional Initiatives'!$C$163,'Additional Initiatives'!$C237,IF(BD$4='Additional Initiatives'!$D$163,'Additional Initiatives'!$D237,IF(BD$4='Additional Initiatives'!$E$163,'Additional Initiatives'!$E237,IF(BD$4='Additional Initiatives'!$F$163,'Additional Initiatives'!$F237,0)))))+BD77</f>
        <v>0</v>
      </c>
      <c r="BE78" s="696">
        <f>IF(BE$4='Additional Initiatives'!$B$163,'Additional Initiatives'!$B237,IF(BE$4='Additional Initiatives'!$C$163,'Additional Initiatives'!$C237,IF(BE$4='Additional Initiatives'!$D$163,'Additional Initiatives'!$D237,IF(BE$4='Additional Initiatives'!$E$163,'Additional Initiatives'!$E237,IF(BE$4='Additional Initiatives'!$F$163,'Additional Initiatives'!$F237,0)))))+BE77</f>
        <v>0</v>
      </c>
      <c r="BF78" s="696">
        <f t="shared" si="68"/>
        <v>0</v>
      </c>
    </row>
    <row r="79" spans="1:58">
      <c r="A79" s="21" t="s">
        <v>16</v>
      </c>
      <c r="B79" s="672">
        <f>'Data Entry Fuel'!B78*'Data Entry Fuel'!B230
+'Data Entry Fuel'!C78*'Data Entry Fuel'!C230
+'Data Entry Fuel'!D78*'Data Entry Fuel'!D230
+'Data Entry Fuel'!E78*'Data Entry Fuel'!E230
+'Data Entry Fuel'!F78*'Data Entry Fuel'!F230
+'Data Entry Fuel'!G78*'Data Entry Fuel'!G230
+'Data Entry Fuel'!H78*'Data Entry Fuel'!H230
+'Data Entry Fuel'!I78*'Data Entry Fuel'!I230
+'Data Entry Fuel'!J78*'Data Entry Fuel'!J230</f>
        <v>59429.7</v>
      </c>
      <c r="C79" s="672">
        <f>'Data Entry Fuel'!B78*'Data Entry Fuel'!B230
+'Data Entry Fuel'!C78*'Data Entry Fuel'!C230
+'Data Entry Fuel'!D78*'Data Entry Fuel'!D230
+'Data Entry Fuel'!E78*'Data Entry Fuel'!E230
+'Data Entry Fuel'!F78*'Data Entry Fuel'!F230
+'Data Entry Fuel'!G78*'Data Entry Fuel'!G230
+'Data Entry Fuel'!H78*'Data Entry Fuel'!H230
+'Data Entry Fuel'!I78*'Data Entry Fuel'!C230 *   (1 -  0.13 * 'Data Entry Fuel'!I$3)
+'Data Entry Fuel'!J78*'Data Entry Fuel'!J230</f>
        <v>59429.7</v>
      </c>
      <c r="D79" s="677">
        <f>'Data Entry Electricity'!B78*'Data Entry Electricity'!L78+'Data Entry Electricity'!C78*'Data Entry Electricity'!M78+'Data Entry Electricity'!D78*'Data Entry Electricity'!N78+'Data Entry Electricity'!E78*'Data Entry Electricity'!O78</f>
        <v>3235.3867</v>
      </c>
      <c r="E79" s="776">
        <f>'Data Entry Electricity'!B78*'Data Entry Electricity'!L78+'Data Entry Electricity'!C78*'Data Entry Electricity'!L78+'Data Entry Electricity'!D78*'Data Entry Electricity'!N78+'Data Entry Electricity'!E78*'Data Entry Electricity'!O78</f>
        <v>3235.3867</v>
      </c>
      <c r="F79" s="777">
        <f>(SUM('Fuel Equipment Savings Calculat'!$B76:$S76))+(SUM('Efficient Site Offices DD &amp; Cal'!$B112:$F112))+'PFC Calculations'!$G77+(SUM('Behaviour Calculations'!$E83,'Behaviour Calculations'!$J83,'Behaviour Calculations'!$O83))+(SUM('Reduced Power Lighting Calculat'!$B77:$F77)+SUM('Hybrid Lighting Calculations'!$B81:$F81)+('PIR Lighting Calculations'!$H77)+SUM('Water Calculations'!$B77:$G77)+'Additional Initiatives'!$H90)</f>
        <v>15173.307981938739</v>
      </c>
      <c r="G79" s="778">
        <f t="shared" si="40"/>
        <v>62665.0867</v>
      </c>
      <c r="H79" s="778">
        <f t="shared" si="45"/>
        <v>62665.0867</v>
      </c>
      <c r="I79" s="778">
        <f t="shared" si="41"/>
        <v>77838.394681938735</v>
      </c>
      <c r="J79" s="798">
        <f t="shared" si="46"/>
        <v>1407519.6876708998</v>
      </c>
      <c r="K79" s="779">
        <f t="shared" si="47"/>
        <v>1751552.437707863</v>
      </c>
      <c r="L79" s="780">
        <f t="shared" si="42"/>
        <v>0.1949334649556882</v>
      </c>
      <c r="M79" s="780">
        <f t="shared" si="43"/>
        <v>0.19641590090627004</v>
      </c>
      <c r="N79" s="781">
        <f t="shared" si="44"/>
        <v>15173.307981938735</v>
      </c>
      <c r="O79" s="781">
        <f t="shared" si="56"/>
        <v>344032.75003696315</v>
      </c>
      <c r="Q79" s="683">
        <f t="shared" si="48"/>
        <v>1297694.3655999999</v>
      </c>
      <c r="R79" s="683">
        <f t="shared" si="49"/>
        <v>109825.32207090002</v>
      </c>
      <c r="T79" s="673">
        <f t="shared" si="50"/>
        <v>15173.307981938739</v>
      </c>
      <c r="U79" s="674">
        <f>'Fuel Equipment Savings Calculat'!$V76</f>
        <v>11147.63255043643</v>
      </c>
      <c r="V79" s="674">
        <f>'Efficient Site Offices DD &amp; Cal'!$H112</f>
        <v>742.52124765000008</v>
      </c>
      <c r="W79" s="674">
        <f>'PFC Calculations'!$G77</f>
        <v>0</v>
      </c>
      <c r="X79" s="674">
        <f>'Behaviour Calculations'!$E83</f>
        <v>591.39230769230767</v>
      </c>
      <c r="Y79" s="674">
        <f>'Behaviour Calculations'!$J83</f>
        <v>444.23076923076923</v>
      </c>
      <c r="Z79" s="674">
        <f>'Behaviour Calculations'!$O83</f>
        <v>290.76923076923077</v>
      </c>
      <c r="AA79" s="674">
        <f>'Reduced Power Lighting Calculat'!$H77</f>
        <v>0</v>
      </c>
      <c r="AB79" s="674">
        <f>'Hybrid Lighting Calculations'!H81</f>
        <v>0</v>
      </c>
      <c r="AC79" s="674">
        <f>'PIR Lighting Calculations'!$H77</f>
        <v>1956.7618761600002</v>
      </c>
      <c r="AD79" s="674">
        <f>'Water Calculations'!$I77</f>
        <v>0</v>
      </c>
      <c r="AE79" s="674">
        <f>'Additional Initiatives'!$H90</f>
        <v>0</v>
      </c>
      <c r="AF79" s="679">
        <f t="shared" si="51"/>
        <v>0</v>
      </c>
      <c r="AG79" s="679">
        <f>(C79-B79) - (0.13 * 'Data Entry Fuel'!I$3) * (U79+AB79)</f>
        <v>0</v>
      </c>
      <c r="AH79" s="5"/>
      <c r="AI79" s="19">
        <v>1510</v>
      </c>
      <c r="AJ79" s="19">
        <f t="shared" si="52"/>
        <v>2015</v>
      </c>
      <c r="AK79" s="19">
        <f t="shared" si="53"/>
        <v>9</v>
      </c>
      <c r="AL79" s="19">
        <v>75</v>
      </c>
      <c r="AM79" s="697">
        <f t="shared" si="54"/>
        <v>1297694.3655999999</v>
      </c>
      <c r="AN79" s="697">
        <f t="shared" si="57"/>
        <v>225207.56757103934</v>
      </c>
      <c r="AO79" s="697">
        <f t="shared" si="58"/>
        <v>54295.191999999995</v>
      </c>
      <c r="AP79" s="697">
        <f>IF(AP$4='Additional Initiatives'!$B$163,'Additional Initiatives'!$B238,IF(AP$4='Additional Initiatives'!$C$163,'Additional Initiatives'!$C238,IF(AP$4='Additional Initiatives'!$D$163,'Additional Initiatives'!$D238,IF(AP$4='Additional Initiatives'!$E$163,'Additional Initiatives'!$E238,IF(AP$4='Additional Initiatives'!$F$163,'Additional Initiatives'!$F238,0)))))+AP78</f>
        <v>0</v>
      </c>
      <c r="AQ79" s="697">
        <f>IF(AQ$4='Additional Initiatives'!$B$163,'Additional Initiatives'!$B238,IF(AQ$4='Additional Initiatives'!$C$163,'Additional Initiatives'!$C238,IF(AQ$4='Additional Initiatives'!$D$163,'Additional Initiatives'!$D238,IF(AQ$4='Additional Initiatives'!$E$163,'Additional Initiatives'!$E238,IF(AQ$4='Additional Initiatives'!$F$163,'Additional Initiatives'!$F238,0)))))+AQ78</f>
        <v>0</v>
      </c>
      <c r="AR79" s="697">
        <f>IF(AR$4='Additional Initiatives'!$B$163,'Additional Initiatives'!$B238,IF(AR$4='Additional Initiatives'!$C$163,'Additional Initiatives'!$C238,IF(AR$4='Additional Initiatives'!$D$163,'Additional Initiatives'!$D238,IF(AR$4='Additional Initiatives'!$E$163,'Additional Initiatives'!$E238,IF(AR$4='Additional Initiatives'!$F$163,'Additional Initiatives'!$F238,0)))))+AR78</f>
        <v>0</v>
      </c>
      <c r="AS79" s="697">
        <f t="shared" si="59"/>
        <v>0</v>
      </c>
      <c r="AT79" s="696">
        <f t="shared" si="55"/>
        <v>109825.32207090002</v>
      </c>
      <c r="AU79" s="696">
        <f t="shared" si="60"/>
        <v>23803.133497751558</v>
      </c>
      <c r="AV79" s="696">
        <f t="shared" si="61"/>
        <v>0</v>
      </c>
      <c r="AW79" s="696">
        <f t="shared" si="62"/>
        <v>0</v>
      </c>
      <c r="AX79" s="696">
        <f t="shared" si="63"/>
        <v>19958.664660480001</v>
      </c>
      <c r="AY79" s="696">
        <f t="shared" si="64"/>
        <v>8870.8846153846134</v>
      </c>
      <c r="AZ79" s="696">
        <f t="shared" si="65"/>
        <v>6663.461538461539</v>
      </c>
      <c r="BA79" s="696">
        <f t="shared" si="66"/>
        <v>5233.8461538461543</v>
      </c>
      <c r="BB79" s="696">
        <f t="shared" si="67"/>
        <v>0</v>
      </c>
      <c r="BC79" s="696">
        <f>IF(BC$4='Additional Initiatives'!$B$163,'Additional Initiatives'!$B238,IF(BC$4='Additional Initiatives'!$C$163,'Additional Initiatives'!$C238,IF(BC$4='Additional Initiatives'!$D$163,'Additional Initiatives'!$D238,IF(BC$4='Additional Initiatives'!$E$163,'Additional Initiatives'!$E238,IF(BC$4='Additional Initiatives'!$F$163,'Additional Initiatives'!$F238,0)))))+BC78</f>
        <v>0</v>
      </c>
      <c r="BD79" s="696">
        <f>IF(BD$4='Additional Initiatives'!$B$163,'Additional Initiatives'!$B238,IF(BD$4='Additional Initiatives'!$C$163,'Additional Initiatives'!$C238,IF(BD$4='Additional Initiatives'!$D$163,'Additional Initiatives'!$D238,IF(BD$4='Additional Initiatives'!$E$163,'Additional Initiatives'!$E238,IF(BD$4='Additional Initiatives'!$F$163,'Additional Initiatives'!$F238,0)))))+BD78</f>
        <v>0</v>
      </c>
      <c r="BE79" s="696">
        <f>IF(BE$4='Additional Initiatives'!$B$163,'Additional Initiatives'!$B238,IF(BE$4='Additional Initiatives'!$C$163,'Additional Initiatives'!$C238,IF(BE$4='Additional Initiatives'!$D$163,'Additional Initiatives'!$D238,IF(BE$4='Additional Initiatives'!$E$163,'Additional Initiatives'!$E238,IF(BE$4='Additional Initiatives'!$F$163,'Additional Initiatives'!$F238,0)))))+BE78</f>
        <v>0</v>
      </c>
      <c r="BF79" s="696">
        <f t="shared" si="68"/>
        <v>0</v>
      </c>
    </row>
    <row r="80" spans="1:58">
      <c r="A80" s="21" t="s">
        <v>17</v>
      </c>
      <c r="B80" s="672">
        <f>'Data Entry Fuel'!B79*'Data Entry Fuel'!B231
+'Data Entry Fuel'!C79*'Data Entry Fuel'!C231
+'Data Entry Fuel'!D79*'Data Entry Fuel'!D231
+'Data Entry Fuel'!E79*'Data Entry Fuel'!E231
+'Data Entry Fuel'!F79*'Data Entry Fuel'!F231
+'Data Entry Fuel'!G79*'Data Entry Fuel'!G231
+'Data Entry Fuel'!H79*'Data Entry Fuel'!H231
+'Data Entry Fuel'!I79*'Data Entry Fuel'!I231
+'Data Entry Fuel'!J79*'Data Entry Fuel'!J231</f>
        <v>51678</v>
      </c>
      <c r="C80" s="672">
        <f>'Data Entry Fuel'!B79*'Data Entry Fuel'!B231
+'Data Entry Fuel'!C79*'Data Entry Fuel'!C231
+'Data Entry Fuel'!D79*'Data Entry Fuel'!D231
+'Data Entry Fuel'!E79*'Data Entry Fuel'!E231
+'Data Entry Fuel'!F79*'Data Entry Fuel'!F231
+'Data Entry Fuel'!G79*'Data Entry Fuel'!G231
+'Data Entry Fuel'!H79*'Data Entry Fuel'!H231
+'Data Entry Fuel'!I79*'Data Entry Fuel'!C231 *   (1 -  0.13 * 'Data Entry Fuel'!I$3)
+'Data Entry Fuel'!J79*'Data Entry Fuel'!J231</f>
        <v>51678</v>
      </c>
      <c r="D80" s="677">
        <f>'Data Entry Electricity'!B79*'Data Entry Electricity'!L79+'Data Entry Electricity'!C79*'Data Entry Electricity'!M79+'Data Entry Electricity'!D79*'Data Entry Electricity'!N79+'Data Entry Electricity'!E79*'Data Entry Electricity'!O79</f>
        <v>2310.9904999999999</v>
      </c>
      <c r="E80" s="776">
        <f>'Data Entry Electricity'!B79*'Data Entry Electricity'!L79+'Data Entry Electricity'!C79*'Data Entry Electricity'!L79+'Data Entry Electricity'!D79*'Data Entry Electricity'!N79+'Data Entry Electricity'!E79*'Data Entry Electricity'!O79</f>
        <v>2310.9904999999999</v>
      </c>
      <c r="F80" s="777">
        <f>(SUM('Fuel Equipment Savings Calculat'!$B77:$S77))+(SUM('Efficient Site Offices DD &amp; Cal'!$B113:$F113))+'PFC Calculations'!$G78+(SUM('Behaviour Calculations'!$E84,'Behaviour Calculations'!$J84,'Behaviour Calculations'!$O84))+(SUM('Reduced Power Lighting Calculat'!$B78:$F78)+SUM('Hybrid Lighting Calculations'!$B82:$F82)+('PIR Lighting Calculations'!$H78)+SUM('Water Calculations'!$B78:$G78)+'Additional Initiatives'!$H91)</f>
        <v>14961.159054038739</v>
      </c>
      <c r="G80" s="778">
        <f t="shared" si="40"/>
        <v>53988.9905</v>
      </c>
      <c r="H80" s="778">
        <f t="shared" si="45"/>
        <v>53988.9905</v>
      </c>
      <c r="I80" s="778">
        <f t="shared" si="41"/>
        <v>68950.14955403874</v>
      </c>
      <c r="J80" s="798">
        <f t="shared" si="46"/>
        <v>1461508.6781708999</v>
      </c>
      <c r="K80" s="779">
        <f t="shared" si="47"/>
        <v>1820502.5872619017</v>
      </c>
      <c r="L80" s="780">
        <f t="shared" si="42"/>
        <v>0.21698515740438151</v>
      </c>
      <c r="M80" s="780">
        <f t="shared" si="43"/>
        <v>0.19719494583687514</v>
      </c>
      <c r="N80" s="781">
        <f t="shared" si="44"/>
        <v>14961.159054038741</v>
      </c>
      <c r="O80" s="781">
        <f t="shared" si="56"/>
        <v>358993.9090910019</v>
      </c>
      <c r="Q80" s="683">
        <f t="shared" si="48"/>
        <v>1349372.3655999999</v>
      </c>
      <c r="R80" s="683">
        <f t="shared" si="49"/>
        <v>112136.31257090002</v>
      </c>
      <c r="T80" s="673">
        <f t="shared" si="50"/>
        <v>14961.159054038739</v>
      </c>
      <c r="U80" s="674">
        <f>'Fuel Equipment Savings Calculat'!$V77</f>
        <v>11147.63255043643</v>
      </c>
      <c r="V80" s="674">
        <f>'Efficient Site Offices DD &amp; Cal'!$H113</f>
        <v>530.37231974999997</v>
      </c>
      <c r="W80" s="674">
        <f>'PFC Calculations'!$G78</f>
        <v>0</v>
      </c>
      <c r="X80" s="674">
        <f>'Behaviour Calculations'!$E84</f>
        <v>591.39230769230767</v>
      </c>
      <c r="Y80" s="674">
        <f>'Behaviour Calculations'!$J84</f>
        <v>444.23076923076923</v>
      </c>
      <c r="Z80" s="674">
        <f>'Behaviour Calculations'!$O84</f>
        <v>290.76923076923077</v>
      </c>
      <c r="AA80" s="674">
        <f>'Reduced Power Lighting Calculat'!$H78</f>
        <v>0</v>
      </c>
      <c r="AB80" s="674">
        <f>'Hybrid Lighting Calculations'!H82</f>
        <v>0</v>
      </c>
      <c r="AC80" s="674">
        <f>'PIR Lighting Calculations'!$H78</f>
        <v>1956.7618761600002</v>
      </c>
      <c r="AD80" s="674">
        <f>'Water Calculations'!$I78</f>
        <v>0</v>
      </c>
      <c r="AE80" s="674">
        <f>'Additional Initiatives'!$H91</f>
        <v>0</v>
      </c>
      <c r="AF80" s="679">
        <f t="shared" si="51"/>
        <v>0</v>
      </c>
      <c r="AG80" s="679">
        <f>(C80-B80) - (0.13 * 'Data Entry Fuel'!I$3) * (U80+AB80)</f>
        <v>0</v>
      </c>
      <c r="AH80" s="5"/>
      <c r="AI80" s="19">
        <v>1511</v>
      </c>
      <c r="AJ80" s="19">
        <f t="shared" si="52"/>
        <v>2015</v>
      </c>
      <c r="AK80" s="19">
        <f t="shared" si="53"/>
        <v>9</v>
      </c>
      <c r="AL80" s="19">
        <v>76</v>
      </c>
      <c r="AM80" s="697">
        <f t="shared" si="54"/>
        <v>1349372.3655999999</v>
      </c>
      <c r="AN80" s="697">
        <f t="shared" si="57"/>
        <v>236355.20012147576</v>
      </c>
      <c r="AO80" s="697">
        <f t="shared" si="58"/>
        <v>54295.191999999995</v>
      </c>
      <c r="AP80" s="697">
        <f>IF(AP$4='Additional Initiatives'!$B$163,'Additional Initiatives'!$B239,IF(AP$4='Additional Initiatives'!$C$163,'Additional Initiatives'!$C239,IF(AP$4='Additional Initiatives'!$D$163,'Additional Initiatives'!$D239,IF(AP$4='Additional Initiatives'!$E$163,'Additional Initiatives'!$E239,IF(AP$4='Additional Initiatives'!$F$163,'Additional Initiatives'!$F239,0)))))+AP79</f>
        <v>0</v>
      </c>
      <c r="AQ80" s="697">
        <f>IF(AQ$4='Additional Initiatives'!$B$163,'Additional Initiatives'!$B239,IF(AQ$4='Additional Initiatives'!$C$163,'Additional Initiatives'!$C239,IF(AQ$4='Additional Initiatives'!$D$163,'Additional Initiatives'!$D239,IF(AQ$4='Additional Initiatives'!$E$163,'Additional Initiatives'!$E239,IF(AQ$4='Additional Initiatives'!$F$163,'Additional Initiatives'!$F239,0)))))+AQ79</f>
        <v>0</v>
      </c>
      <c r="AR80" s="697">
        <f>IF(AR$4='Additional Initiatives'!$B$163,'Additional Initiatives'!$B239,IF(AR$4='Additional Initiatives'!$C$163,'Additional Initiatives'!$C239,IF(AR$4='Additional Initiatives'!$D$163,'Additional Initiatives'!$D239,IF(AR$4='Additional Initiatives'!$E$163,'Additional Initiatives'!$E239,IF(AR$4='Additional Initiatives'!$F$163,'Additional Initiatives'!$F239,0)))))+AR79</f>
        <v>0</v>
      </c>
      <c r="AS80" s="697">
        <f t="shared" si="59"/>
        <v>0</v>
      </c>
      <c r="AT80" s="696">
        <f t="shared" si="55"/>
        <v>112136.31257090002</v>
      </c>
      <c r="AU80" s="696">
        <f t="shared" si="60"/>
        <v>24333.505817501558</v>
      </c>
      <c r="AV80" s="696">
        <f t="shared" si="61"/>
        <v>0</v>
      </c>
      <c r="AW80" s="696">
        <f t="shared" si="62"/>
        <v>0</v>
      </c>
      <c r="AX80" s="696">
        <f t="shared" si="63"/>
        <v>21915.42653664</v>
      </c>
      <c r="AY80" s="696">
        <f t="shared" si="64"/>
        <v>9462.2769230769209</v>
      </c>
      <c r="AZ80" s="696">
        <f t="shared" si="65"/>
        <v>7107.6923076923085</v>
      </c>
      <c r="BA80" s="696">
        <f t="shared" si="66"/>
        <v>5524.6153846153848</v>
      </c>
      <c r="BB80" s="696">
        <f t="shared" si="67"/>
        <v>0</v>
      </c>
      <c r="BC80" s="696">
        <f>IF(BC$4='Additional Initiatives'!$B$163,'Additional Initiatives'!$B239,IF(BC$4='Additional Initiatives'!$C$163,'Additional Initiatives'!$C239,IF(BC$4='Additional Initiatives'!$D$163,'Additional Initiatives'!$D239,IF(BC$4='Additional Initiatives'!$E$163,'Additional Initiatives'!$E239,IF(BC$4='Additional Initiatives'!$F$163,'Additional Initiatives'!$F239,0)))))+BC79</f>
        <v>0</v>
      </c>
      <c r="BD80" s="696">
        <f>IF(BD$4='Additional Initiatives'!$B$163,'Additional Initiatives'!$B239,IF(BD$4='Additional Initiatives'!$C$163,'Additional Initiatives'!$C239,IF(BD$4='Additional Initiatives'!$D$163,'Additional Initiatives'!$D239,IF(BD$4='Additional Initiatives'!$E$163,'Additional Initiatives'!$E239,IF(BD$4='Additional Initiatives'!$F$163,'Additional Initiatives'!$F239,0)))))+BD79</f>
        <v>0</v>
      </c>
      <c r="BE80" s="696">
        <f>IF(BE$4='Additional Initiatives'!$B$163,'Additional Initiatives'!$B239,IF(BE$4='Additional Initiatives'!$C$163,'Additional Initiatives'!$C239,IF(BE$4='Additional Initiatives'!$D$163,'Additional Initiatives'!$D239,IF(BE$4='Additional Initiatives'!$E$163,'Additional Initiatives'!$E239,IF(BE$4='Additional Initiatives'!$F$163,'Additional Initiatives'!$F239,0)))))+BE79</f>
        <v>0</v>
      </c>
      <c r="BF80" s="696">
        <f t="shared" si="68"/>
        <v>0</v>
      </c>
    </row>
    <row r="81" spans="1:58">
      <c r="A81" s="21" t="s">
        <v>18</v>
      </c>
      <c r="B81" s="672">
        <f>'Data Entry Fuel'!B80*'Data Entry Fuel'!B232
+'Data Entry Fuel'!C80*'Data Entry Fuel'!C232
+'Data Entry Fuel'!D80*'Data Entry Fuel'!D232
+'Data Entry Fuel'!E80*'Data Entry Fuel'!E232
+'Data Entry Fuel'!F80*'Data Entry Fuel'!F232
+'Data Entry Fuel'!G80*'Data Entry Fuel'!G232
+'Data Entry Fuel'!H80*'Data Entry Fuel'!H232
+'Data Entry Fuel'!I80*'Data Entry Fuel'!I232
+'Data Entry Fuel'!J80*'Data Entry Fuel'!J232</f>
        <v>51678</v>
      </c>
      <c r="C81" s="672">
        <f>'Data Entry Fuel'!B80*'Data Entry Fuel'!B232
+'Data Entry Fuel'!C80*'Data Entry Fuel'!C232
+'Data Entry Fuel'!D80*'Data Entry Fuel'!D232
+'Data Entry Fuel'!E80*'Data Entry Fuel'!E232
+'Data Entry Fuel'!F80*'Data Entry Fuel'!F232
+'Data Entry Fuel'!G80*'Data Entry Fuel'!G232
+'Data Entry Fuel'!H80*'Data Entry Fuel'!H232
+'Data Entry Fuel'!I80*'Data Entry Fuel'!C232 *   (1 -  0.13 * 'Data Entry Fuel'!I$3)
+'Data Entry Fuel'!J80*'Data Entry Fuel'!J232</f>
        <v>51678</v>
      </c>
      <c r="D81" s="677">
        <f>'Data Entry Electricity'!B80*'Data Entry Electricity'!L80+'Data Entry Electricity'!C80*'Data Entry Electricity'!M80+'Data Entry Electricity'!D80*'Data Entry Electricity'!N80+'Data Entry Electricity'!E80*'Data Entry Electricity'!O80</f>
        <v>2310.9904999999999</v>
      </c>
      <c r="E81" s="776">
        <f>'Data Entry Electricity'!B80*'Data Entry Electricity'!L80+'Data Entry Electricity'!C80*'Data Entry Electricity'!L80+'Data Entry Electricity'!D80*'Data Entry Electricity'!N80+'Data Entry Electricity'!E80*'Data Entry Electricity'!O80</f>
        <v>2310.9904999999999</v>
      </c>
      <c r="F81" s="777">
        <f>(SUM('Fuel Equipment Savings Calculat'!$B78:$S78))+(SUM('Efficient Site Offices DD &amp; Cal'!$B114:$F114))+'PFC Calculations'!$G79+(SUM('Behaviour Calculations'!$E85,'Behaviour Calculations'!$J85,'Behaviour Calculations'!$O85))+(SUM('Reduced Power Lighting Calculat'!$B79:$F79)+SUM('Hybrid Lighting Calculations'!$B83:$F83)+('PIR Lighting Calculations'!$H79)+SUM('Water Calculations'!$B79:$G79)+'Additional Initiatives'!$H92)</f>
        <v>14961.159054038739</v>
      </c>
      <c r="G81" s="778">
        <f t="shared" si="40"/>
        <v>53988.9905</v>
      </c>
      <c r="H81" s="778">
        <f t="shared" si="45"/>
        <v>53988.9905</v>
      </c>
      <c r="I81" s="778">
        <f t="shared" si="41"/>
        <v>68950.14955403874</v>
      </c>
      <c r="J81" s="798">
        <f t="shared" si="46"/>
        <v>1515497.6686708999</v>
      </c>
      <c r="K81" s="779">
        <f t="shared" si="47"/>
        <v>1889452.7368159404</v>
      </c>
      <c r="L81" s="780">
        <f t="shared" si="42"/>
        <v>0.21698515740438151</v>
      </c>
      <c r="M81" s="780">
        <f t="shared" si="43"/>
        <v>0.19791713275412248</v>
      </c>
      <c r="N81" s="781">
        <f t="shared" si="44"/>
        <v>14961.159054038741</v>
      </c>
      <c r="O81" s="781">
        <f t="shared" si="56"/>
        <v>373955.06814504066</v>
      </c>
      <c r="Q81" s="683">
        <f t="shared" si="48"/>
        <v>1401050.3655999999</v>
      </c>
      <c r="R81" s="683">
        <f t="shared" si="49"/>
        <v>114447.30307090002</v>
      </c>
      <c r="T81" s="673">
        <f t="shared" si="50"/>
        <v>14961.159054038739</v>
      </c>
      <c r="U81" s="674">
        <f>'Fuel Equipment Savings Calculat'!$V78</f>
        <v>11147.63255043643</v>
      </c>
      <c r="V81" s="674">
        <f>'Efficient Site Offices DD &amp; Cal'!$H114</f>
        <v>530.37231974999997</v>
      </c>
      <c r="W81" s="674">
        <f>'PFC Calculations'!$G79</f>
        <v>0</v>
      </c>
      <c r="X81" s="674">
        <f>'Behaviour Calculations'!$E85</f>
        <v>591.39230769230767</v>
      </c>
      <c r="Y81" s="674">
        <f>'Behaviour Calculations'!$J85</f>
        <v>444.23076923076923</v>
      </c>
      <c r="Z81" s="674">
        <f>'Behaviour Calculations'!$O85</f>
        <v>290.76923076923077</v>
      </c>
      <c r="AA81" s="674">
        <f>'Reduced Power Lighting Calculat'!$H79</f>
        <v>0</v>
      </c>
      <c r="AB81" s="674">
        <f>'Hybrid Lighting Calculations'!H83</f>
        <v>0</v>
      </c>
      <c r="AC81" s="674">
        <f>'PIR Lighting Calculations'!$H79</f>
        <v>1956.7618761600002</v>
      </c>
      <c r="AD81" s="674">
        <f>'Water Calculations'!$I79</f>
        <v>0</v>
      </c>
      <c r="AE81" s="674">
        <f>'Additional Initiatives'!$H92</f>
        <v>0</v>
      </c>
      <c r="AF81" s="679">
        <f t="shared" si="51"/>
        <v>0</v>
      </c>
      <c r="AG81" s="679">
        <f>(C81-B81) - (0.13 * 'Data Entry Fuel'!I$3) * (U81+AB81)</f>
        <v>0</v>
      </c>
      <c r="AH81" s="5"/>
      <c r="AI81" s="19">
        <v>1512</v>
      </c>
      <c r="AJ81" s="19">
        <f t="shared" si="52"/>
        <v>2015</v>
      </c>
      <c r="AK81" s="19">
        <f t="shared" si="53"/>
        <v>9</v>
      </c>
      <c r="AL81" s="19">
        <v>77</v>
      </c>
      <c r="AM81" s="697">
        <f t="shared" si="54"/>
        <v>1401050.3655999999</v>
      </c>
      <c r="AN81" s="697">
        <f t="shared" si="57"/>
        <v>247502.83267191218</v>
      </c>
      <c r="AO81" s="697">
        <f t="shared" si="58"/>
        <v>54295.191999999995</v>
      </c>
      <c r="AP81" s="697">
        <f>IF(AP$4='Additional Initiatives'!$B$163,'Additional Initiatives'!$B240,IF(AP$4='Additional Initiatives'!$C$163,'Additional Initiatives'!$C240,IF(AP$4='Additional Initiatives'!$D$163,'Additional Initiatives'!$D240,IF(AP$4='Additional Initiatives'!$E$163,'Additional Initiatives'!$E240,IF(AP$4='Additional Initiatives'!$F$163,'Additional Initiatives'!$F240,0)))))+AP80</f>
        <v>0</v>
      </c>
      <c r="AQ81" s="697">
        <f>IF(AQ$4='Additional Initiatives'!$B$163,'Additional Initiatives'!$B240,IF(AQ$4='Additional Initiatives'!$C$163,'Additional Initiatives'!$C240,IF(AQ$4='Additional Initiatives'!$D$163,'Additional Initiatives'!$D240,IF(AQ$4='Additional Initiatives'!$E$163,'Additional Initiatives'!$E240,IF(AQ$4='Additional Initiatives'!$F$163,'Additional Initiatives'!$F240,0)))))+AQ80</f>
        <v>0</v>
      </c>
      <c r="AR81" s="697">
        <f>IF(AR$4='Additional Initiatives'!$B$163,'Additional Initiatives'!$B240,IF(AR$4='Additional Initiatives'!$C$163,'Additional Initiatives'!$C240,IF(AR$4='Additional Initiatives'!$D$163,'Additional Initiatives'!$D240,IF(AR$4='Additional Initiatives'!$E$163,'Additional Initiatives'!$E240,IF(AR$4='Additional Initiatives'!$F$163,'Additional Initiatives'!$F240,0)))))+AR80</f>
        <v>0</v>
      </c>
      <c r="AS81" s="697">
        <f t="shared" si="59"/>
        <v>0</v>
      </c>
      <c r="AT81" s="696">
        <f t="shared" si="55"/>
        <v>114447.30307090002</v>
      </c>
      <c r="AU81" s="696">
        <f t="shared" si="60"/>
        <v>24863.878137251559</v>
      </c>
      <c r="AV81" s="696">
        <f t="shared" si="61"/>
        <v>0</v>
      </c>
      <c r="AW81" s="696">
        <f t="shared" si="62"/>
        <v>0</v>
      </c>
      <c r="AX81" s="696">
        <f t="shared" si="63"/>
        <v>23872.188412799998</v>
      </c>
      <c r="AY81" s="696">
        <f t="shared" si="64"/>
        <v>10053.669230769228</v>
      </c>
      <c r="AZ81" s="696">
        <f t="shared" si="65"/>
        <v>7551.923076923078</v>
      </c>
      <c r="BA81" s="696">
        <f t="shared" si="66"/>
        <v>5815.3846153846152</v>
      </c>
      <c r="BB81" s="696">
        <f t="shared" si="67"/>
        <v>0</v>
      </c>
      <c r="BC81" s="696">
        <f>IF(BC$4='Additional Initiatives'!$B$163,'Additional Initiatives'!$B240,IF(BC$4='Additional Initiatives'!$C$163,'Additional Initiatives'!$C240,IF(BC$4='Additional Initiatives'!$D$163,'Additional Initiatives'!$D240,IF(BC$4='Additional Initiatives'!$E$163,'Additional Initiatives'!$E240,IF(BC$4='Additional Initiatives'!$F$163,'Additional Initiatives'!$F240,0)))))+BC80</f>
        <v>0</v>
      </c>
      <c r="BD81" s="696">
        <f>IF(BD$4='Additional Initiatives'!$B$163,'Additional Initiatives'!$B240,IF(BD$4='Additional Initiatives'!$C$163,'Additional Initiatives'!$C240,IF(BD$4='Additional Initiatives'!$D$163,'Additional Initiatives'!$D240,IF(BD$4='Additional Initiatives'!$E$163,'Additional Initiatives'!$E240,IF(BD$4='Additional Initiatives'!$F$163,'Additional Initiatives'!$F240,0)))))+BD80</f>
        <v>0</v>
      </c>
      <c r="BE81" s="696">
        <f>IF(BE$4='Additional Initiatives'!$B$163,'Additional Initiatives'!$B240,IF(BE$4='Additional Initiatives'!$C$163,'Additional Initiatives'!$C240,IF(BE$4='Additional Initiatives'!$D$163,'Additional Initiatives'!$D240,IF(BE$4='Additional Initiatives'!$E$163,'Additional Initiatives'!$E240,IF(BE$4='Additional Initiatives'!$F$163,'Additional Initiatives'!$F240,0)))))+BE80</f>
        <v>0</v>
      </c>
      <c r="BF81" s="696">
        <f t="shared" si="68"/>
        <v>0</v>
      </c>
    </row>
    <row r="82" spans="1:58">
      <c r="A82" s="21" t="s">
        <v>19</v>
      </c>
      <c r="B82" s="672">
        <f>'Data Entry Fuel'!B81*'Data Entry Fuel'!B233
+'Data Entry Fuel'!C81*'Data Entry Fuel'!C233
+'Data Entry Fuel'!D81*'Data Entry Fuel'!D233
+'Data Entry Fuel'!E81*'Data Entry Fuel'!E233
+'Data Entry Fuel'!F81*'Data Entry Fuel'!F233
+'Data Entry Fuel'!G81*'Data Entry Fuel'!G233
+'Data Entry Fuel'!H81*'Data Entry Fuel'!H233
+'Data Entry Fuel'!I81*'Data Entry Fuel'!I233
+'Data Entry Fuel'!J81*'Data Entry Fuel'!J233</f>
        <v>46510.2</v>
      </c>
      <c r="C82" s="672">
        <f>'Data Entry Fuel'!B81*'Data Entry Fuel'!B233
+'Data Entry Fuel'!C81*'Data Entry Fuel'!C233
+'Data Entry Fuel'!D81*'Data Entry Fuel'!D233
+'Data Entry Fuel'!E81*'Data Entry Fuel'!E233
+'Data Entry Fuel'!F81*'Data Entry Fuel'!F233
+'Data Entry Fuel'!G81*'Data Entry Fuel'!G233
+'Data Entry Fuel'!H81*'Data Entry Fuel'!H233
+'Data Entry Fuel'!I81*'Data Entry Fuel'!C233 *   (1 -  0.13 * 'Data Entry Fuel'!I$3)
+'Data Entry Fuel'!J81*'Data Entry Fuel'!J233</f>
        <v>46510.2</v>
      </c>
      <c r="D82" s="677">
        <f>'Data Entry Electricity'!B81*'Data Entry Electricity'!L81+'Data Entry Electricity'!C81*'Data Entry Electricity'!M81+'Data Entry Electricity'!D81*'Data Entry Electricity'!N81+'Data Entry Electricity'!E81*'Data Entry Electricity'!O81</f>
        <v>2310.9904999999999</v>
      </c>
      <c r="E82" s="776">
        <f>'Data Entry Electricity'!B81*'Data Entry Electricity'!L81+'Data Entry Electricity'!C81*'Data Entry Electricity'!L81+'Data Entry Electricity'!D81*'Data Entry Electricity'!N81+'Data Entry Electricity'!E81*'Data Entry Electricity'!O81</f>
        <v>2310.9904999999999</v>
      </c>
      <c r="F82" s="777">
        <f>(SUM('Fuel Equipment Savings Calculat'!$B79:$S79))+(SUM('Efficient Site Offices DD &amp; Cal'!$B115:$F115))+'PFC Calculations'!$G80+(SUM('Behaviour Calculations'!$E86,'Behaviour Calculations'!$J86,'Behaviour Calculations'!$O86))+(SUM('Reduced Power Lighting Calculat'!$B80:$F80)+SUM('Hybrid Lighting Calculations'!$B84:$F84)+('PIR Lighting Calculations'!$H80)+SUM('Water Calculations'!$B80:$G80)+'Additional Initiatives'!$H93)</f>
        <v>14961.159054038739</v>
      </c>
      <c r="G82" s="778">
        <f t="shared" si="40"/>
        <v>48821.190499999997</v>
      </c>
      <c r="H82" s="778">
        <f t="shared" si="45"/>
        <v>48821.190499999997</v>
      </c>
      <c r="I82" s="778">
        <f t="shared" si="41"/>
        <v>63782.349554038738</v>
      </c>
      <c r="J82" s="798">
        <f t="shared" si="46"/>
        <v>1564318.8591709</v>
      </c>
      <c r="K82" s="779">
        <f t="shared" si="47"/>
        <v>1953235.0863699792</v>
      </c>
      <c r="L82" s="780">
        <f t="shared" si="42"/>
        <v>0.23456581889262484</v>
      </c>
      <c r="M82" s="780">
        <f t="shared" si="43"/>
        <v>0.19911388542680075</v>
      </c>
      <c r="N82" s="781">
        <f t="shared" si="44"/>
        <v>14961.159054038741</v>
      </c>
      <c r="O82" s="781">
        <f t="shared" si="56"/>
        <v>388916.22719907941</v>
      </c>
      <c r="Q82" s="683">
        <f t="shared" si="48"/>
        <v>1447560.5655999999</v>
      </c>
      <c r="R82" s="683">
        <f t="shared" si="49"/>
        <v>116758.29357090002</v>
      </c>
      <c r="T82" s="673">
        <f t="shared" si="50"/>
        <v>14961.159054038739</v>
      </c>
      <c r="U82" s="674">
        <f>'Fuel Equipment Savings Calculat'!$V79</f>
        <v>11147.63255043643</v>
      </c>
      <c r="V82" s="674">
        <f>'Efficient Site Offices DD &amp; Cal'!$H115</f>
        <v>530.37231974999997</v>
      </c>
      <c r="W82" s="674">
        <f>'PFC Calculations'!$G80</f>
        <v>0</v>
      </c>
      <c r="X82" s="674">
        <f>'Behaviour Calculations'!$E86</f>
        <v>591.39230769230767</v>
      </c>
      <c r="Y82" s="674">
        <f>'Behaviour Calculations'!$J86</f>
        <v>444.23076923076923</v>
      </c>
      <c r="Z82" s="674">
        <f>'Behaviour Calculations'!$O86</f>
        <v>290.76923076923077</v>
      </c>
      <c r="AA82" s="674">
        <f>'Reduced Power Lighting Calculat'!$H80</f>
        <v>0</v>
      </c>
      <c r="AB82" s="674">
        <f>'Hybrid Lighting Calculations'!H84</f>
        <v>0</v>
      </c>
      <c r="AC82" s="674">
        <f>'PIR Lighting Calculations'!$H80</f>
        <v>1956.7618761600002</v>
      </c>
      <c r="AD82" s="674">
        <f>'Water Calculations'!$I80</f>
        <v>0</v>
      </c>
      <c r="AE82" s="674">
        <f>'Additional Initiatives'!$H93</f>
        <v>0</v>
      </c>
      <c r="AF82" s="679">
        <f t="shared" si="51"/>
        <v>0</v>
      </c>
      <c r="AG82" s="679">
        <f>(C82-B82) - (0.13 * 'Data Entry Fuel'!I$3) * (U82+AB82)</f>
        <v>0</v>
      </c>
      <c r="AH82" s="5"/>
      <c r="AI82" s="19">
        <v>1513</v>
      </c>
      <c r="AJ82" s="19">
        <f t="shared" si="52"/>
        <v>2015</v>
      </c>
      <c r="AK82" s="19">
        <f t="shared" si="53"/>
        <v>9</v>
      </c>
      <c r="AL82" s="19">
        <v>78</v>
      </c>
      <c r="AM82" s="697">
        <f t="shared" si="54"/>
        <v>1447560.5655999999</v>
      </c>
      <c r="AN82" s="697">
        <f t="shared" si="57"/>
        <v>258650.4652223486</v>
      </c>
      <c r="AO82" s="697">
        <f t="shared" si="58"/>
        <v>54295.191999999995</v>
      </c>
      <c r="AP82" s="697">
        <f>IF(AP$4='Additional Initiatives'!$B$163,'Additional Initiatives'!$B241,IF(AP$4='Additional Initiatives'!$C$163,'Additional Initiatives'!$C241,IF(AP$4='Additional Initiatives'!$D$163,'Additional Initiatives'!$D241,IF(AP$4='Additional Initiatives'!$E$163,'Additional Initiatives'!$E241,IF(AP$4='Additional Initiatives'!$F$163,'Additional Initiatives'!$F241,0)))))+AP81</f>
        <v>0</v>
      </c>
      <c r="AQ82" s="697">
        <f>IF(AQ$4='Additional Initiatives'!$B$163,'Additional Initiatives'!$B241,IF(AQ$4='Additional Initiatives'!$C$163,'Additional Initiatives'!$C241,IF(AQ$4='Additional Initiatives'!$D$163,'Additional Initiatives'!$D241,IF(AQ$4='Additional Initiatives'!$E$163,'Additional Initiatives'!$E241,IF(AQ$4='Additional Initiatives'!$F$163,'Additional Initiatives'!$F241,0)))))+AQ81</f>
        <v>0</v>
      </c>
      <c r="AR82" s="697">
        <f>IF(AR$4='Additional Initiatives'!$B$163,'Additional Initiatives'!$B241,IF(AR$4='Additional Initiatives'!$C$163,'Additional Initiatives'!$C241,IF(AR$4='Additional Initiatives'!$D$163,'Additional Initiatives'!$D241,IF(AR$4='Additional Initiatives'!$E$163,'Additional Initiatives'!$E241,IF(AR$4='Additional Initiatives'!$F$163,'Additional Initiatives'!$F241,0)))))+AR81</f>
        <v>0</v>
      </c>
      <c r="AS82" s="697">
        <f t="shared" si="59"/>
        <v>0</v>
      </c>
      <c r="AT82" s="696">
        <f t="shared" si="55"/>
        <v>116758.29357090002</v>
      </c>
      <c r="AU82" s="696">
        <f t="shared" si="60"/>
        <v>25394.250457001559</v>
      </c>
      <c r="AV82" s="696">
        <f t="shared" si="61"/>
        <v>0</v>
      </c>
      <c r="AW82" s="696">
        <f t="shared" si="62"/>
        <v>0</v>
      </c>
      <c r="AX82" s="696">
        <f t="shared" si="63"/>
        <v>25828.950288959997</v>
      </c>
      <c r="AY82" s="696">
        <f t="shared" si="64"/>
        <v>10645.061538461536</v>
      </c>
      <c r="AZ82" s="696">
        <f t="shared" si="65"/>
        <v>7996.1538461538476</v>
      </c>
      <c r="BA82" s="696">
        <f t="shared" si="66"/>
        <v>6106.1538461538457</v>
      </c>
      <c r="BB82" s="696">
        <f t="shared" si="67"/>
        <v>0</v>
      </c>
      <c r="BC82" s="696">
        <f>IF(BC$4='Additional Initiatives'!$B$163,'Additional Initiatives'!$B241,IF(BC$4='Additional Initiatives'!$C$163,'Additional Initiatives'!$C241,IF(BC$4='Additional Initiatives'!$D$163,'Additional Initiatives'!$D241,IF(BC$4='Additional Initiatives'!$E$163,'Additional Initiatives'!$E241,IF(BC$4='Additional Initiatives'!$F$163,'Additional Initiatives'!$F241,0)))))+BC81</f>
        <v>0</v>
      </c>
      <c r="BD82" s="696">
        <f>IF(BD$4='Additional Initiatives'!$B$163,'Additional Initiatives'!$B241,IF(BD$4='Additional Initiatives'!$C$163,'Additional Initiatives'!$C241,IF(BD$4='Additional Initiatives'!$D$163,'Additional Initiatives'!$D241,IF(BD$4='Additional Initiatives'!$E$163,'Additional Initiatives'!$E241,IF(BD$4='Additional Initiatives'!$F$163,'Additional Initiatives'!$F241,0)))))+BD81</f>
        <v>0</v>
      </c>
      <c r="BE82" s="696">
        <f>IF(BE$4='Additional Initiatives'!$B$163,'Additional Initiatives'!$B241,IF(BE$4='Additional Initiatives'!$C$163,'Additional Initiatives'!$C241,IF(BE$4='Additional Initiatives'!$D$163,'Additional Initiatives'!$D241,IF(BE$4='Additional Initiatives'!$E$163,'Additional Initiatives'!$E241,IF(BE$4='Additional Initiatives'!$F$163,'Additional Initiatives'!$F241,0)))))+BE81</f>
        <v>0</v>
      </c>
      <c r="BF82" s="696">
        <f t="shared" si="68"/>
        <v>0</v>
      </c>
    </row>
    <row r="83" spans="1:58">
      <c r="A83" s="21" t="s">
        <v>85</v>
      </c>
      <c r="B83" s="672">
        <f>'Data Entry Fuel'!B82*'Data Entry Fuel'!B234
+'Data Entry Fuel'!C82*'Data Entry Fuel'!C234
+'Data Entry Fuel'!D82*'Data Entry Fuel'!D234
+'Data Entry Fuel'!E82*'Data Entry Fuel'!E234
+'Data Entry Fuel'!F82*'Data Entry Fuel'!F234
+'Data Entry Fuel'!G82*'Data Entry Fuel'!G234
+'Data Entry Fuel'!H82*'Data Entry Fuel'!H234
+'Data Entry Fuel'!I82*'Data Entry Fuel'!I234
+'Data Entry Fuel'!J82*'Data Entry Fuel'!J234</f>
        <v>36174.6</v>
      </c>
      <c r="C83" s="672">
        <f>'Data Entry Fuel'!B82*'Data Entry Fuel'!B234
+'Data Entry Fuel'!C82*'Data Entry Fuel'!C234
+'Data Entry Fuel'!D82*'Data Entry Fuel'!D234
+'Data Entry Fuel'!E82*'Data Entry Fuel'!E234
+'Data Entry Fuel'!F82*'Data Entry Fuel'!F234
+'Data Entry Fuel'!G82*'Data Entry Fuel'!G234
+'Data Entry Fuel'!H82*'Data Entry Fuel'!H234
+'Data Entry Fuel'!I82*'Data Entry Fuel'!C234 *   (1 -  0.13 * 'Data Entry Fuel'!I$3)
+'Data Entry Fuel'!J82*'Data Entry Fuel'!J234</f>
        <v>36174.6</v>
      </c>
      <c r="D83" s="677">
        <f>'Data Entry Electricity'!B82*'Data Entry Electricity'!L82+'Data Entry Electricity'!C82*'Data Entry Electricity'!M82+'Data Entry Electricity'!D82*'Data Entry Electricity'!N82+'Data Entry Electricity'!E82*'Data Entry Electricity'!O82</f>
        <v>1848.7924</v>
      </c>
      <c r="E83" s="776">
        <f>'Data Entry Electricity'!B82*'Data Entry Electricity'!L82+'Data Entry Electricity'!C82*'Data Entry Electricity'!L82+'Data Entry Electricity'!D82*'Data Entry Electricity'!N82+'Data Entry Electricity'!E82*'Data Entry Electricity'!O82</f>
        <v>1848.7924</v>
      </c>
      <c r="F83" s="777">
        <f>(SUM('Fuel Equipment Savings Calculat'!$B80:$S80))+(SUM('Efficient Site Offices DD &amp; Cal'!$B116:$F116))+'PFC Calculations'!$G81+(SUM('Behaviour Calculations'!$E87,'Behaviour Calculations'!$J87,'Behaviour Calculations'!$O87))+(SUM('Reduced Power Lighting Calculat'!$B81:$F81)+SUM('Hybrid Lighting Calculations'!$B85:$F85)+('PIR Lighting Calculations'!$H81)+SUM('Water Calculations'!$B81:$G81)+'Additional Initiatives'!$H94)</f>
        <v>0</v>
      </c>
      <c r="G83" s="778">
        <f t="shared" si="40"/>
        <v>38023.392399999997</v>
      </c>
      <c r="H83" s="778">
        <f t="shared" si="45"/>
        <v>38023.392399999997</v>
      </c>
      <c r="I83" s="778">
        <f t="shared" si="41"/>
        <v>38023.392399999997</v>
      </c>
      <c r="J83" s="798">
        <f t="shared" si="46"/>
        <v>1602342.2515709</v>
      </c>
      <c r="K83" s="779">
        <f t="shared" si="47"/>
        <v>1991258.4787699792</v>
      </c>
      <c r="L83" s="780">
        <f t="shared" si="42"/>
        <v>0</v>
      </c>
      <c r="M83" s="780">
        <f t="shared" si="43"/>
        <v>0.19531177461166005</v>
      </c>
      <c r="N83" s="781">
        <f t="shared" si="44"/>
        <v>0</v>
      </c>
      <c r="O83" s="781">
        <f t="shared" si="56"/>
        <v>388916.22719907941</v>
      </c>
      <c r="Q83" s="683">
        <f t="shared" si="48"/>
        <v>1483735.1655999999</v>
      </c>
      <c r="R83" s="683">
        <f t="shared" si="49"/>
        <v>118607.08597090002</v>
      </c>
      <c r="T83" s="673">
        <f t="shared" si="50"/>
        <v>0</v>
      </c>
      <c r="U83" s="674">
        <f>'Fuel Equipment Savings Calculat'!$V80</f>
        <v>0</v>
      </c>
      <c r="V83" s="674">
        <f>'Efficient Site Offices DD &amp; Cal'!$H116</f>
        <v>0</v>
      </c>
      <c r="W83" s="674">
        <f>'PFC Calculations'!$G81</f>
        <v>0</v>
      </c>
      <c r="X83" s="674">
        <f>'Behaviour Calculations'!$E87</f>
        <v>0</v>
      </c>
      <c r="Y83" s="674">
        <f>'Behaviour Calculations'!$J87</f>
        <v>0</v>
      </c>
      <c r="Z83" s="674">
        <f>'Behaviour Calculations'!$O87</f>
        <v>0</v>
      </c>
      <c r="AA83" s="674">
        <f>'Reduced Power Lighting Calculat'!$H81</f>
        <v>0</v>
      </c>
      <c r="AB83" s="674">
        <f>'Hybrid Lighting Calculations'!H85</f>
        <v>0</v>
      </c>
      <c r="AC83" s="674">
        <f>'PIR Lighting Calculations'!$H81</f>
        <v>0</v>
      </c>
      <c r="AD83" s="674">
        <f>'Water Calculations'!$I81</f>
        <v>0</v>
      </c>
      <c r="AE83" s="674">
        <f>'Additional Initiatives'!$H94</f>
        <v>0</v>
      </c>
      <c r="AF83" s="679">
        <f t="shared" si="51"/>
        <v>0</v>
      </c>
      <c r="AG83" s="679">
        <f>(C83-B83) - (0.13 * 'Data Entry Fuel'!I$3) * (U83+AB83)</f>
        <v>0</v>
      </c>
      <c r="AH83" s="5"/>
      <c r="AI83" s="19">
        <v>1601</v>
      </c>
      <c r="AJ83" s="19">
        <f t="shared" si="52"/>
        <v>2015</v>
      </c>
      <c r="AK83" s="19">
        <f t="shared" si="53"/>
        <v>9</v>
      </c>
      <c r="AL83" s="19">
        <v>79</v>
      </c>
      <c r="AM83" s="697">
        <f t="shared" si="54"/>
        <v>1483735.1655999999</v>
      </c>
      <c r="AN83" s="697">
        <f t="shared" si="57"/>
        <v>258650.4652223486</v>
      </c>
      <c r="AO83" s="697">
        <f t="shared" si="58"/>
        <v>54295.191999999995</v>
      </c>
      <c r="AP83" s="697">
        <f>IF(AP$4='Additional Initiatives'!$B$163,'Additional Initiatives'!$B242,IF(AP$4='Additional Initiatives'!$C$163,'Additional Initiatives'!$C242,IF(AP$4='Additional Initiatives'!$D$163,'Additional Initiatives'!$D242,IF(AP$4='Additional Initiatives'!$E$163,'Additional Initiatives'!$E242,IF(AP$4='Additional Initiatives'!$F$163,'Additional Initiatives'!$F242,0)))))+AP82</f>
        <v>0</v>
      </c>
      <c r="AQ83" s="697">
        <f>IF(AQ$4='Additional Initiatives'!$B$163,'Additional Initiatives'!$B242,IF(AQ$4='Additional Initiatives'!$C$163,'Additional Initiatives'!$C242,IF(AQ$4='Additional Initiatives'!$D$163,'Additional Initiatives'!$D242,IF(AQ$4='Additional Initiatives'!$E$163,'Additional Initiatives'!$E242,IF(AQ$4='Additional Initiatives'!$F$163,'Additional Initiatives'!$F242,0)))))+AQ82</f>
        <v>0</v>
      </c>
      <c r="AR83" s="697">
        <f>IF(AR$4='Additional Initiatives'!$B$163,'Additional Initiatives'!$B242,IF(AR$4='Additional Initiatives'!$C$163,'Additional Initiatives'!$C242,IF(AR$4='Additional Initiatives'!$D$163,'Additional Initiatives'!$D242,IF(AR$4='Additional Initiatives'!$E$163,'Additional Initiatives'!$E242,IF(AR$4='Additional Initiatives'!$F$163,'Additional Initiatives'!$F242,0)))))+AR82</f>
        <v>0</v>
      </c>
      <c r="AS83" s="697">
        <f t="shared" si="59"/>
        <v>0</v>
      </c>
      <c r="AT83" s="696">
        <f t="shared" si="55"/>
        <v>118607.08597090002</v>
      </c>
      <c r="AU83" s="696">
        <f t="shared" si="60"/>
        <v>25394.250457001559</v>
      </c>
      <c r="AV83" s="696">
        <f t="shared" si="61"/>
        <v>0</v>
      </c>
      <c r="AW83" s="696">
        <f t="shared" si="62"/>
        <v>0</v>
      </c>
      <c r="AX83" s="696">
        <f t="shared" si="63"/>
        <v>25828.950288959997</v>
      </c>
      <c r="AY83" s="696">
        <f t="shared" si="64"/>
        <v>10645.061538461536</v>
      </c>
      <c r="AZ83" s="696">
        <f t="shared" si="65"/>
        <v>7996.1538461538476</v>
      </c>
      <c r="BA83" s="696">
        <f t="shared" si="66"/>
        <v>6106.1538461538457</v>
      </c>
      <c r="BB83" s="696">
        <f t="shared" si="67"/>
        <v>0</v>
      </c>
      <c r="BC83" s="696">
        <f>IF(BC$4='Additional Initiatives'!$B$163,'Additional Initiatives'!$B242,IF(BC$4='Additional Initiatives'!$C$163,'Additional Initiatives'!$C242,IF(BC$4='Additional Initiatives'!$D$163,'Additional Initiatives'!$D242,IF(BC$4='Additional Initiatives'!$E$163,'Additional Initiatives'!$E242,IF(BC$4='Additional Initiatives'!$F$163,'Additional Initiatives'!$F242,0)))))+BC82</f>
        <v>0</v>
      </c>
      <c r="BD83" s="696">
        <f>IF(BD$4='Additional Initiatives'!$B$163,'Additional Initiatives'!$B242,IF(BD$4='Additional Initiatives'!$C$163,'Additional Initiatives'!$C242,IF(BD$4='Additional Initiatives'!$D$163,'Additional Initiatives'!$D242,IF(BD$4='Additional Initiatives'!$E$163,'Additional Initiatives'!$E242,IF(BD$4='Additional Initiatives'!$F$163,'Additional Initiatives'!$F242,0)))))+BD82</f>
        <v>0</v>
      </c>
      <c r="BE83" s="696">
        <f>IF(BE$4='Additional Initiatives'!$B$163,'Additional Initiatives'!$B242,IF(BE$4='Additional Initiatives'!$C$163,'Additional Initiatives'!$C242,IF(BE$4='Additional Initiatives'!$D$163,'Additional Initiatives'!$D242,IF(BE$4='Additional Initiatives'!$E$163,'Additional Initiatives'!$E242,IF(BE$4='Additional Initiatives'!$F$163,'Additional Initiatives'!$F242,0)))))+BE82</f>
        <v>0</v>
      </c>
      <c r="BF83" s="696">
        <f t="shared" si="68"/>
        <v>0</v>
      </c>
    </row>
    <row r="84" spans="1:58">
      <c r="A84" s="21" t="s">
        <v>86</v>
      </c>
      <c r="B84" s="672">
        <f>'Data Entry Fuel'!B83*'Data Entry Fuel'!B235
+'Data Entry Fuel'!C83*'Data Entry Fuel'!C235
+'Data Entry Fuel'!D83*'Data Entry Fuel'!D235
+'Data Entry Fuel'!E83*'Data Entry Fuel'!E235
+'Data Entry Fuel'!F83*'Data Entry Fuel'!F235
+'Data Entry Fuel'!G83*'Data Entry Fuel'!G235
+'Data Entry Fuel'!H83*'Data Entry Fuel'!H235
+'Data Entry Fuel'!I83*'Data Entry Fuel'!I235
+'Data Entry Fuel'!J83*'Data Entry Fuel'!J235</f>
        <v>36174.6</v>
      </c>
      <c r="C84" s="672">
        <f>'Data Entry Fuel'!B83*'Data Entry Fuel'!B235
+'Data Entry Fuel'!C83*'Data Entry Fuel'!C235
+'Data Entry Fuel'!D83*'Data Entry Fuel'!D235
+'Data Entry Fuel'!E83*'Data Entry Fuel'!E235
+'Data Entry Fuel'!F83*'Data Entry Fuel'!F235
+'Data Entry Fuel'!G83*'Data Entry Fuel'!G235
+'Data Entry Fuel'!H83*'Data Entry Fuel'!H235
+'Data Entry Fuel'!I83*'Data Entry Fuel'!C235 *   (1 -  0.13 * 'Data Entry Fuel'!I$3)
+'Data Entry Fuel'!J83*'Data Entry Fuel'!J235</f>
        <v>36174.6</v>
      </c>
      <c r="D84" s="677">
        <f>'Data Entry Electricity'!B83*'Data Entry Electricity'!L83+'Data Entry Electricity'!C83*'Data Entry Electricity'!M83+'Data Entry Electricity'!D83*'Data Entry Electricity'!N83+'Data Entry Electricity'!E83*'Data Entry Electricity'!O83</f>
        <v>1848.7924</v>
      </c>
      <c r="E84" s="776">
        <f>'Data Entry Electricity'!B83*'Data Entry Electricity'!L83+'Data Entry Electricity'!C83*'Data Entry Electricity'!L83+'Data Entry Electricity'!D83*'Data Entry Electricity'!N83+'Data Entry Electricity'!E83*'Data Entry Electricity'!O83</f>
        <v>1848.7924</v>
      </c>
      <c r="F84" s="777">
        <f>(SUM('Fuel Equipment Savings Calculat'!$B81:$S81))+(SUM('Efficient Site Offices DD &amp; Cal'!$B117:$F117))+'PFC Calculations'!$G82+(SUM('Behaviour Calculations'!$E88,'Behaviour Calculations'!$J88,'Behaviour Calculations'!$O88))+(SUM('Reduced Power Lighting Calculat'!$B82:$F82)+SUM('Hybrid Lighting Calculations'!$B86:$F86)+('PIR Lighting Calculations'!$H82)+SUM('Water Calculations'!$B82:$G82)+'Additional Initiatives'!$H95)</f>
        <v>0</v>
      </c>
      <c r="G84" s="778">
        <f t="shared" si="40"/>
        <v>38023.392399999997</v>
      </c>
      <c r="H84" s="778">
        <f t="shared" si="45"/>
        <v>38023.392399999997</v>
      </c>
      <c r="I84" s="778">
        <f t="shared" si="41"/>
        <v>38023.392399999997</v>
      </c>
      <c r="J84" s="798">
        <f t="shared" si="46"/>
        <v>1640365.6439709</v>
      </c>
      <c r="K84" s="779">
        <f t="shared" si="47"/>
        <v>2029281.8711699792</v>
      </c>
      <c r="L84" s="780">
        <f t="shared" si="42"/>
        <v>0</v>
      </c>
      <c r="M84" s="780">
        <f t="shared" si="43"/>
        <v>0.19165214686259935</v>
      </c>
      <c r="N84" s="781">
        <f t="shared" si="44"/>
        <v>0</v>
      </c>
      <c r="O84" s="781">
        <f t="shared" si="56"/>
        <v>388916.22719907941</v>
      </c>
      <c r="Q84" s="683">
        <f t="shared" si="48"/>
        <v>1519909.7656</v>
      </c>
      <c r="R84" s="683">
        <f t="shared" si="49"/>
        <v>120455.87837090003</v>
      </c>
      <c r="T84" s="673">
        <f t="shared" si="50"/>
        <v>0</v>
      </c>
      <c r="U84" s="674">
        <f>'Fuel Equipment Savings Calculat'!$V81</f>
        <v>0</v>
      </c>
      <c r="V84" s="674">
        <f>'Efficient Site Offices DD &amp; Cal'!$H117</f>
        <v>0</v>
      </c>
      <c r="W84" s="674">
        <f>'PFC Calculations'!$G82</f>
        <v>0</v>
      </c>
      <c r="X84" s="674">
        <f>'Behaviour Calculations'!$E88</f>
        <v>0</v>
      </c>
      <c r="Y84" s="674">
        <f>'Behaviour Calculations'!$J88</f>
        <v>0</v>
      </c>
      <c r="Z84" s="674">
        <f>'Behaviour Calculations'!$O88</f>
        <v>0</v>
      </c>
      <c r="AA84" s="674">
        <f>'Reduced Power Lighting Calculat'!$H82</f>
        <v>0</v>
      </c>
      <c r="AB84" s="674">
        <f>'Hybrid Lighting Calculations'!H86</f>
        <v>0</v>
      </c>
      <c r="AC84" s="674">
        <f>'PIR Lighting Calculations'!$H82</f>
        <v>0</v>
      </c>
      <c r="AD84" s="674">
        <f>'Water Calculations'!$I82</f>
        <v>0</v>
      </c>
      <c r="AE84" s="674">
        <f>'Additional Initiatives'!$H95</f>
        <v>0</v>
      </c>
      <c r="AF84" s="679">
        <f t="shared" si="51"/>
        <v>0</v>
      </c>
      <c r="AG84" s="679">
        <f>(C84-B84) - (0.13 * 'Data Entry Fuel'!I$3) * (U84+AB84)</f>
        <v>0</v>
      </c>
      <c r="AH84" s="5"/>
      <c r="AI84" s="19">
        <v>1602</v>
      </c>
      <c r="AJ84" s="19">
        <f t="shared" si="52"/>
        <v>2015</v>
      </c>
      <c r="AK84" s="19">
        <f t="shared" si="53"/>
        <v>9</v>
      </c>
      <c r="AL84" s="19">
        <v>80</v>
      </c>
      <c r="AM84" s="697">
        <f t="shared" si="54"/>
        <v>1519909.7656</v>
      </c>
      <c r="AN84" s="697">
        <f t="shared" si="57"/>
        <v>258650.4652223486</v>
      </c>
      <c r="AO84" s="697">
        <f t="shared" si="58"/>
        <v>54295.191999999995</v>
      </c>
      <c r="AP84" s="697">
        <f>IF(AP$4='Additional Initiatives'!$B$163,'Additional Initiatives'!$B243,IF(AP$4='Additional Initiatives'!$C$163,'Additional Initiatives'!$C243,IF(AP$4='Additional Initiatives'!$D$163,'Additional Initiatives'!$D243,IF(AP$4='Additional Initiatives'!$E$163,'Additional Initiatives'!$E243,IF(AP$4='Additional Initiatives'!$F$163,'Additional Initiatives'!$F243,0)))))+AP83</f>
        <v>0</v>
      </c>
      <c r="AQ84" s="697">
        <f>IF(AQ$4='Additional Initiatives'!$B$163,'Additional Initiatives'!$B243,IF(AQ$4='Additional Initiatives'!$C$163,'Additional Initiatives'!$C243,IF(AQ$4='Additional Initiatives'!$D$163,'Additional Initiatives'!$D243,IF(AQ$4='Additional Initiatives'!$E$163,'Additional Initiatives'!$E243,IF(AQ$4='Additional Initiatives'!$F$163,'Additional Initiatives'!$F243,0)))))+AQ83</f>
        <v>0</v>
      </c>
      <c r="AR84" s="697">
        <f>IF(AR$4='Additional Initiatives'!$B$163,'Additional Initiatives'!$B243,IF(AR$4='Additional Initiatives'!$C$163,'Additional Initiatives'!$C243,IF(AR$4='Additional Initiatives'!$D$163,'Additional Initiatives'!$D243,IF(AR$4='Additional Initiatives'!$E$163,'Additional Initiatives'!$E243,IF(AR$4='Additional Initiatives'!$F$163,'Additional Initiatives'!$F243,0)))))+AR83</f>
        <v>0</v>
      </c>
      <c r="AS84" s="697">
        <f t="shared" si="59"/>
        <v>0</v>
      </c>
      <c r="AT84" s="696">
        <f t="shared" si="55"/>
        <v>120455.87837090003</v>
      </c>
      <c r="AU84" s="696">
        <f t="shared" si="60"/>
        <v>25394.250457001559</v>
      </c>
      <c r="AV84" s="696">
        <f t="shared" si="61"/>
        <v>0</v>
      </c>
      <c r="AW84" s="696">
        <f t="shared" si="62"/>
        <v>0</v>
      </c>
      <c r="AX84" s="696">
        <f t="shared" si="63"/>
        <v>25828.950288959997</v>
      </c>
      <c r="AY84" s="696">
        <f t="shared" si="64"/>
        <v>10645.061538461536</v>
      </c>
      <c r="AZ84" s="696">
        <f t="shared" si="65"/>
        <v>7996.1538461538476</v>
      </c>
      <c r="BA84" s="696">
        <f t="shared" si="66"/>
        <v>6106.1538461538457</v>
      </c>
      <c r="BB84" s="696">
        <f t="shared" si="67"/>
        <v>0</v>
      </c>
      <c r="BC84" s="696">
        <f>IF(BC$4='Additional Initiatives'!$B$163,'Additional Initiatives'!$B243,IF(BC$4='Additional Initiatives'!$C$163,'Additional Initiatives'!$C243,IF(BC$4='Additional Initiatives'!$D$163,'Additional Initiatives'!$D243,IF(BC$4='Additional Initiatives'!$E$163,'Additional Initiatives'!$E243,IF(BC$4='Additional Initiatives'!$F$163,'Additional Initiatives'!$F243,0)))))+BC83</f>
        <v>0</v>
      </c>
      <c r="BD84" s="696">
        <f>IF(BD$4='Additional Initiatives'!$B$163,'Additional Initiatives'!$B243,IF(BD$4='Additional Initiatives'!$C$163,'Additional Initiatives'!$C243,IF(BD$4='Additional Initiatives'!$D$163,'Additional Initiatives'!$D243,IF(BD$4='Additional Initiatives'!$E$163,'Additional Initiatives'!$E243,IF(BD$4='Additional Initiatives'!$F$163,'Additional Initiatives'!$F243,0)))))+BD83</f>
        <v>0</v>
      </c>
      <c r="BE84" s="696">
        <f>IF(BE$4='Additional Initiatives'!$B$163,'Additional Initiatives'!$B243,IF(BE$4='Additional Initiatives'!$C$163,'Additional Initiatives'!$C243,IF(BE$4='Additional Initiatives'!$D$163,'Additional Initiatives'!$D243,IF(BE$4='Additional Initiatives'!$E$163,'Additional Initiatives'!$E243,IF(BE$4='Additional Initiatives'!$F$163,'Additional Initiatives'!$F243,0)))))+BE83</f>
        <v>0</v>
      </c>
      <c r="BF84" s="696">
        <f t="shared" si="68"/>
        <v>0</v>
      </c>
    </row>
    <row r="85" spans="1:58">
      <c r="A85" s="21" t="s">
        <v>87</v>
      </c>
      <c r="B85" s="672">
        <f>'Data Entry Fuel'!B84*'Data Entry Fuel'!B236
+'Data Entry Fuel'!C84*'Data Entry Fuel'!C236
+'Data Entry Fuel'!D84*'Data Entry Fuel'!D236
+'Data Entry Fuel'!E84*'Data Entry Fuel'!E236
+'Data Entry Fuel'!F84*'Data Entry Fuel'!F236
+'Data Entry Fuel'!G84*'Data Entry Fuel'!G236
+'Data Entry Fuel'!H84*'Data Entry Fuel'!H236
+'Data Entry Fuel'!I84*'Data Entry Fuel'!I236
+'Data Entry Fuel'!J84*'Data Entry Fuel'!J236</f>
        <v>26194.166666666599</v>
      </c>
      <c r="C85" s="672">
        <f>'Data Entry Fuel'!B84*'Data Entry Fuel'!B236
+'Data Entry Fuel'!C84*'Data Entry Fuel'!C236
+'Data Entry Fuel'!D84*'Data Entry Fuel'!D236
+'Data Entry Fuel'!E84*'Data Entry Fuel'!E236
+'Data Entry Fuel'!F84*'Data Entry Fuel'!F236
+'Data Entry Fuel'!G84*'Data Entry Fuel'!G236
+'Data Entry Fuel'!H84*'Data Entry Fuel'!H236
+'Data Entry Fuel'!I84*'Data Entry Fuel'!C236 *   (1 -  0.13 * 'Data Entry Fuel'!I$3)
+'Data Entry Fuel'!J84*'Data Entry Fuel'!J236</f>
        <v>26194.166666666599</v>
      </c>
      <c r="D85" s="677">
        <f>'Data Entry Electricity'!B84*'Data Entry Electricity'!L84+'Data Entry Electricity'!C84*'Data Entry Electricity'!M84+'Data Entry Electricity'!D84*'Data Entry Electricity'!N84+'Data Entry Electricity'!E84*'Data Entry Electricity'!O84</f>
        <v>1455.93</v>
      </c>
      <c r="E85" s="776">
        <f>'Data Entry Electricity'!B84*'Data Entry Electricity'!L84+'Data Entry Electricity'!C84*'Data Entry Electricity'!L84+'Data Entry Electricity'!D84*'Data Entry Electricity'!N84+'Data Entry Electricity'!E84*'Data Entry Electricity'!O84</f>
        <v>1455.93</v>
      </c>
      <c r="F85" s="777">
        <f>(SUM('Fuel Equipment Savings Calculat'!$B82:$S82))+(SUM('Efficient Site Offices DD &amp; Cal'!$B118:$F118))+'PFC Calculations'!$G83+(SUM('Behaviour Calculations'!$E89,'Behaviour Calculations'!$J89,'Behaviour Calculations'!$O89))+(SUM('Reduced Power Lighting Calculat'!$B83:$F83)+SUM('Hybrid Lighting Calculations'!$B87:$F87)+('PIR Lighting Calculations'!$H83)+SUM('Water Calculations'!$B83:$G83)+'Additional Initiatives'!$H96)</f>
        <v>0</v>
      </c>
      <c r="G85" s="778">
        <f t="shared" si="40"/>
        <v>27650.096666666599</v>
      </c>
      <c r="H85" s="778">
        <f t="shared" si="45"/>
        <v>27650.096666666599</v>
      </c>
      <c r="I85" s="778">
        <f t="shared" si="41"/>
        <v>27650.096666666599</v>
      </c>
      <c r="J85" s="798">
        <f t="shared" si="46"/>
        <v>1668015.7406375667</v>
      </c>
      <c r="K85" s="779">
        <f t="shared" si="47"/>
        <v>2056931.9678366459</v>
      </c>
      <c r="L85" s="780">
        <f t="shared" si="42"/>
        <v>0</v>
      </c>
      <c r="M85" s="780">
        <f t="shared" si="43"/>
        <v>0.18907588256704344</v>
      </c>
      <c r="N85" s="781">
        <f t="shared" si="44"/>
        <v>0</v>
      </c>
      <c r="O85" s="781">
        <f t="shared" si="56"/>
        <v>388916.22719907941</v>
      </c>
      <c r="Q85" s="683">
        <f t="shared" si="48"/>
        <v>1546103.9322666666</v>
      </c>
      <c r="R85" s="683">
        <f t="shared" si="49"/>
        <v>121911.80837090002</v>
      </c>
      <c r="T85" s="673">
        <f t="shared" si="50"/>
        <v>0</v>
      </c>
      <c r="U85" s="674">
        <f>'Fuel Equipment Savings Calculat'!$V82</f>
        <v>0</v>
      </c>
      <c r="V85" s="674">
        <f>'Efficient Site Offices DD &amp; Cal'!$H118</f>
        <v>0</v>
      </c>
      <c r="W85" s="674">
        <f>'PFC Calculations'!$G83</f>
        <v>0</v>
      </c>
      <c r="X85" s="674">
        <f>'Behaviour Calculations'!$E89</f>
        <v>0</v>
      </c>
      <c r="Y85" s="674">
        <f>'Behaviour Calculations'!$J89</f>
        <v>0</v>
      </c>
      <c r="Z85" s="674">
        <f>'Behaviour Calculations'!$O89</f>
        <v>0</v>
      </c>
      <c r="AA85" s="674">
        <f>'Reduced Power Lighting Calculat'!$H83</f>
        <v>0</v>
      </c>
      <c r="AB85" s="674">
        <f>'Hybrid Lighting Calculations'!H87</f>
        <v>0</v>
      </c>
      <c r="AC85" s="674">
        <f>'PIR Lighting Calculations'!$H83</f>
        <v>0</v>
      </c>
      <c r="AD85" s="674">
        <f>'Water Calculations'!$I83</f>
        <v>0</v>
      </c>
      <c r="AE85" s="674">
        <f>'Additional Initiatives'!$H96</f>
        <v>0</v>
      </c>
      <c r="AF85" s="679">
        <f t="shared" si="51"/>
        <v>0</v>
      </c>
      <c r="AG85" s="679">
        <f>(C85-B85) - (0.13 * 'Data Entry Fuel'!I$3) * (U85+AB85)</f>
        <v>0</v>
      </c>
      <c r="AH85" s="5"/>
      <c r="AI85" s="19">
        <v>1603</v>
      </c>
      <c r="AJ85" s="19">
        <f t="shared" si="52"/>
        <v>2016</v>
      </c>
      <c r="AK85" s="19">
        <f t="shared" si="53"/>
        <v>10</v>
      </c>
      <c r="AL85" s="19">
        <v>81</v>
      </c>
      <c r="AM85" s="697">
        <f t="shared" si="54"/>
        <v>1546103.9322666666</v>
      </c>
      <c r="AN85" s="697">
        <f t="shared" si="57"/>
        <v>258650.4652223486</v>
      </c>
      <c r="AO85" s="697">
        <f t="shared" si="58"/>
        <v>54295.191999999995</v>
      </c>
      <c r="AP85" s="697">
        <f>IF(AP$4='Additional Initiatives'!$B$163,'Additional Initiatives'!$B244,IF(AP$4='Additional Initiatives'!$C$163,'Additional Initiatives'!$C244,IF(AP$4='Additional Initiatives'!$D$163,'Additional Initiatives'!$D244,IF(AP$4='Additional Initiatives'!$E$163,'Additional Initiatives'!$E244,IF(AP$4='Additional Initiatives'!$F$163,'Additional Initiatives'!$F244,0)))))+AP84</f>
        <v>0</v>
      </c>
      <c r="AQ85" s="697">
        <f>IF(AQ$4='Additional Initiatives'!$B$163,'Additional Initiatives'!$B244,IF(AQ$4='Additional Initiatives'!$C$163,'Additional Initiatives'!$C244,IF(AQ$4='Additional Initiatives'!$D$163,'Additional Initiatives'!$D244,IF(AQ$4='Additional Initiatives'!$E$163,'Additional Initiatives'!$E244,IF(AQ$4='Additional Initiatives'!$F$163,'Additional Initiatives'!$F244,0)))))+AQ84</f>
        <v>0</v>
      </c>
      <c r="AR85" s="697">
        <f>IF(AR$4='Additional Initiatives'!$B$163,'Additional Initiatives'!$B244,IF(AR$4='Additional Initiatives'!$C$163,'Additional Initiatives'!$C244,IF(AR$4='Additional Initiatives'!$D$163,'Additional Initiatives'!$D244,IF(AR$4='Additional Initiatives'!$E$163,'Additional Initiatives'!$E244,IF(AR$4='Additional Initiatives'!$F$163,'Additional Initiatives'!$F244,0)))))+AR84</f>
        <v>0</v>
      </c>
      <c r="AS85" s="697">
        <f t="shared" si="59"/>
        <v>0</v>
      </c>
      <c r="AT85" s="696">
        <f t="shared" si="55"/>
        <v>121911.80837090002</v>
      </c>
      <c r="AU85" s="696">
        <f t="shared" si="60"/>
        <v>25394.250457001559</v>
      </c>
      <c r="AV85" s="696">
        <f t="shared" si="61"/>
        <v>0</v>
      </c>
      <c r="AW85" s="696">
        <f t="shared" si="62"/>
        <v>0</v>
      </c>
      <c r="AX85" s="696">
        <f t="shared" si="63"/>
        <v>25828.950288959997</v>
      </c>
      <c r="AY85" s="696">
        <f t="shared" si="64"/>
        <v>10645.061538461536</v>
      </c>
      <c r="AZ85" s="696">
        <f t="shared" si="65"/>
        <v>7996.1538461538476</v>
      </c>
      <c r="BA85" s="696">
        <f t="shared" si="66"/>
        <v>6106.1538461538457</v>
      </c>
      <c r="BB85" s="696">
        <f t="shared" si="67"/>
        <v>0</v>
      </c>
      <c r="BC85" s="696">
        <f>IF(BC$4='Additional Initiatives'!$B$163,'Additional Initiatives'!$B244,IF(BC$4='Additional Initiatives'!$C$163,'Additional Initiatives'!$C244,IF(BC$4='Additional Initiatives'!$D$163,'Additional Initiatives'!$D244,IF(BC$4='Additional Initiatives'!$E$163,'Additional Initiatives'!$E244,IF(BC$4='Additional Initiatives'!$F$163,'Additional Initiatives'!$F244,0)))))+BC84</f>
        <v>0</v>
      </c>
      <c r="BD85" s="696">
        <f>IF(BD$4='Additional Initiatives'!$B$163,'Additional Initiatives'!$B244,IF(BD$4='Additional Initiatives'!$C$163,'Additional Initiatives'!$C244,IF(BD$4='Additional Initiatives'!$D$163,'Additional Initiatives'!$D244,IF(BD$4='Additional Initiatives'!$E$163,'Additional Initiatives'!$E244,IF(BD$4='Additional Initiatives'!$F$163,'Additional Initiatives'!$F244,0)))))+BD84</f>
        <v>0</v>
      </c>
      <c r="BE85" s="696">
        <f>IF(BE$4='Additional Initiatives'!$B$163,'Additional Initiatives'!$B244,IF(BE$4='Additional Initiatives'!$C$163,'Additional Initiatives'!$C244,IF(BE$4='Additional Initiatives'!$D$163,'Additional Initiatives'!$D244,IF(BE$4='Additional Initiatives'!$E$163,'Additional Initiatives'!$E244,IF(BE$4='Additional Initiatives'!$F$163,'Additional Initiatives'!$F244,0)))))+BE84</f>
        <v>0</v>
      </c>
      <c r="BF85" s="696">
        <f t="shared" si="68"/>
        <v>0</v>
      </c>
    </row>
    <row r="86" spans="1:58">
      <c r="A86" s="21" t="s">
        <v>88</v>
      </c>
      <c r="B86" s="672">
        <f>'Data Entry Fuel'!B85*'Data Entry Fuel'!B237
+'Data Entry Fuel'!C85*'Data Entry Fuel'!C237
+'Data Entry Fuel'!D85*'Data Entry Fuel'!D237
+'Data Entry Fuel'!E85*'Data Entry Fuel'!E237
+'Data Entry Fuel'!F85*'Data Entry Fuel'!F237
+'Data Entry Fuel'!G85*'Data Entry Fuel'!G237
+'Data Entry Fuel'!H85*'Data Entry Fuel'!H237
+'Data Entry Fuel'!I85*'Data Entry Fuel'!I237
+'Data Entry Fuel'!J85*'Data Entry Fuel'!J237</f>
        <v>0</v>
      </c>
      <c r="C86" s="672">
        <f>'Data Entry Fuel'!B85*'Data Entry Fuel'!B237
+'Data Entry Fuel'!C85*'Data Entry Fuel'!C237
+'Data Entry Fuel'!D85*'Data Entry Fuel'!D237
+'Data Entry Fuel'!E85*'Data Entry Fuel'!E237
+'Data Entry Fuel'!F85*'Data Entry Fuel'!F237
+'Data Entry Fuel'!G85*'Data Entry Fuel'!G237
+'Data Entry Fuel'!H85*'Data Entry Fuel'!H237
+'Data Entry Fuel'!I85*'Data Entry Fuel'!C237 *   (1 -  0.13 * 'Data Entry Fuel'!I$3)
+'Data Entry Fuel'!J85*'Data Entry Fuel'!J237</f>
        <v>0</v>
      </c>
      <c r="D86" s="677">
        <f>'Data Entry Electricity'!B85*'Data Entry Electricity'!L85+'Data Entry Electricity'!C85*'Data Entry Electricity'!M85+'Data Entry Electricity'!D85*'Data Entry Electricity'!N85+'Data Entry Electricity'!E85*'Data Entry Electricity'!O85</f>
        <v>0</v>
      </c>
      <c r="E86" s="776">
        <f>'Data Entry Electricity'!B85*'Data Entry Electricity'!L85+'Data Entry Electricity'!C85*'Data Entry Electricity'!L85+'Data Entry Electricity'!D85*'Data Entry Electricity'!N85+'Data Entry Electricity'!E85*'Data Entry Electricity'!O85</f>
        <v>0</v>
      </c>
      <c r="F86" s="777">
        <f>(SUM('Fuel Equipment Savings Calculat'!$B83:$S83))+(SUM('Efficient Site Offices DD &amp; Cal'!$B119:$F119))+'PFC Calculations'!$G84+(SUM('Behaviour Calculations'!$E90,'Behaviour Calculations'!$J90,'Behaviour Calculations'!$O90))+(SUM('Reduced Power Lighting Calculat'!$B84:$F84)+SUM('Hybrid Lighting Calculations'!$B88:$F88)+('PIR Lighting Calculations'!$H84)+SUM('Water Calculations'!$B84:$G84)+'Additional Initiatives'!$H97)</f>
        <v>0</v>
      </c>
      <c r="G86" s="778">
        <f t="shared" si="40"/>
        <v>0</v>
      </c>
      <c r="H86" s="778">
        <f t="shared" si="45"/>
        <v>0</v>
      </c>
      <c r="I86" s="778">
        <f t="shared" si="41"/>
        <v>0</v>
      </c>
      <c r="J86" s="798">
        <f t="shared" si="46"/>
        <v>1668015.7406375667</v>
      </c>
      <c r="K86" s="779">
        <f t="shared" si="47"/>
        <v>2056931.9678366459</v>
      </c>
      <c r="L86" s="780">
        <f t="shared" si="42"/>
        <v>0</v>
      </c>
      <c r="M86" s="780">
        <f t="shared" si="43"/>
        <v>0.18907588256704344</v>
      </c>
      <c r="N86" s="781">
        <f t="shared" si="44"/>
        <v>0</v>
      </c>
      <c r="O86" s="781">
        <f t="shared" si="56"/>
        <v>388916.22719907941</v>
      </c>
      <c r="Q86" s="683">
        <f t="shared" si="48"/>
        <v>1546103.9322666666</v>
      </c>
      <c r="R86" s="683">
        <f t="shared" si="49"/>
        <v>121911.80837090002</v>
      </c>
      <c r="T86" s="673">
        <f t="shared" si="50"/>
        <v>0</v>
      </c>
      <c r="U86" s="674">
        <f>'Fuel Equipment Savings Calculat'!$V83</f>
        <v>0</v>
      </c>
      <c r="V86" s="674">
        <f>'Efficient Site Offices DD &amp; Cal'!$H119</f>
        <v>0</v>
      </c>
      <c r="W86" s="674">
        <f>'PFC Calculations'!$G84</f>
        <v>0</v>
      </c>
      <c r="X86" s="674">
        <f>'Behaviour Calculations'!$E90</f>
        <v>0</v>
      </c>
      <c r="Y86" s="674">
        <f>'Behaviour Calculations'!$J90</f>
        <v>0</v>
      </c>
      <c r="Z86" s="674">
        <f>'Behaviour Calculations'!$O90</f>
        <v>0</v>
      </c>
      <c r="AA86" s="674">
        <f>'Reduced Power Lighting Calculat'!$H84</f>
        <v>0</v>
      </c>
      <c r="AB86" s="674">
        <f>'Hybrid Lighting Calculations'!H88</f>
        <v>0</v>
      </c>
      <c r="AC86" s="674">
        <f>'PIR Lighting Calculations'!$H84</f>
        <v>0</v>
      </c>
      <c r="AD86" s="674">
        <f>'Water Calculations'!$I84</f>
        <v>0</v>
      </c>
      <c r="AE86" s="674">
        <f>'Additional Initiatives'!$H97</f>
        <v>0</v>
      </c>
      <c r="AF86" s="679">
        <f t="shared" si="51"/>
        <v>0</v>
      </c>
      <c r="AG86" s="679">
        <f>(C86-B86) - (0.13 * 'Data Entry Fuel'!I$3) * (U86+AB86)</f>
        <v>0</v>
      </c>
      <c r="AH86" s="5"/>
      <c r="AI86" s="19">
        <v>1604</v>
      </c>
      <c r="AJ86" s="19">
        <f t="shared" si="52"/>
        <v>2016</v>
      </c>
      <c r="AK86" s="19">
        <f t="shared" si="53"/>
        <v>10</v>
      </c>
      <c r="AL86" s="19">
        <v>82</v>
      </c>
      <c r="AM86" s="697">
        <f t="shared" si="54"/>
        <v>1546103.9322666666</v>
      </c>
      <c r="AN86" s="697">
        <f t="shared" si="57"/>
        <v>258650.4652223486</v>
      </c>
      <c r="AO86" s="697">
        <f t="shared" si="58"/>
        <v>54295.191999999995</v>
      </c>
      <c r="AP86" s="697">
        <f>IF(AP$4='Additional Initiatives'!$B$163,'Additional Initiatives'!$B245,IF(AP$4='Additional Initiatives'!$C$163,'Additional Initiatives'!$C245,IF(AP$4='Additional Initiatives'!$D$163,'Additional Initiatives'!$D245,IF(AP$4='Additional Initiatives'!$E$163,'Additional Initiatives'!$E245,IF(AP$4='Additional Initiatives'!$F$163,'Additional Initiatives'!$F245,0)))))+AP85</f>
        <v>0</v>
      </c>
      <c r="AQ86" s="697">
        <f>IF(AQ$4='Additional Initiatives'!$B$163,'Additional Initiatives'!$B245,IF(AQ$4='Additional Initiatives'!$C$163,'Additional Initiatives'!$C245,IF(AQ$4='Additional Initiatives'!$D$163,'Additional Initiatives'!$D245,IF(AQ$4='Additional Initiatives'!$E$163,'Additional Initiatives'!$E245,IF(AQ$4='Additional Initiatives'!$F$163,'Additional Initiatives'!$F245,0)))))+AQ85</f>
        <v>0</v>
      </c>
      <c r="AR86" s="697">
        <f>IF(AR$4='Additional Initiatives'!$B$163,'Additional Initiatives'!$B245,IF(AR$4='Additional Initiatives'!$C$163,'Additional Initiatives'!$C245,IF(AR$4='Additional Initiatives'!$D$163,'Additional Initiatives'!$D245,IF(AR$4='Additional Initiatives'!$E$163,'Additional Initiatives'!$E245,IF(AR$4='Additional Initiatives'!$F$163,'Additional Initiatives'!$F245,0)))))+AR85</f>
        <v>0</v>
      </c>
      <c r="AS86" s="697">
        <f t="shared" si="59"/>
        <v>0</v>
      </c>
      <c r="AT86" s="696">
        <f t="shared" si="55"/>
        <v>121911.80837090002</v>
      </c>
      <c r="AU86" s="696">
        <f t="shared" si="60"/>
        <v>25394.250457001559</v>
      </c>
      <c r="AV86" s="696">
        <f t="shared" si="61"/>
        <v>0</v>
      </c>
      <c r="AW86" s="696">
        <f t="shared" si="62"/>
        <v>0</v>
      </c>
      <c r="AX86" s="696">
        <f t="shared" si="63"/>
        <v>25828.950288959997</v>
      </c>
      <c r="AY86" s="696">
        <f t="shared" si="64"/>
        <v>10645.061538461536</v>
      </c>
      <c r="AZ86" s="696">
        <f t="shared" si="65"/>
        <v>7996.1538461538476</v>
      </c>
      <c r="BA86" s="696">
        <f t="shared" si="66"/>
        <v>6106.1538461538457</v>
      </c>
      <c r="BB86" s="696">
        <f t="shared" si="67"/>
        <v>0</v>
      </c>
      <c r="BC86" s="696">
        <f>IF(BC$4='Additional Initiatives'!$B$163,'Additional Initiatives'!$B245,IF(BC$4='Additional Initiatives'!$C$163,'Additional Initiatives'!$C245,IF(BC$4='Additional Initiatives'!$D$163,'Additional Initiatives'!$D245,IF(BC$4='Additional Initiatives'!$E$163,'Additional Initiatives'!$E245,IF(BC$4='Additional Initiatives'!$F$163,'Additional Initiatives'!$F245,0)))))+BC85</f>
        <v>0</v>
      </c>
      <c r="BD86" s="696">
        <f>IF(BD$4='Additional Initiatives'!$B$163,'Additional Initiatives'!$B245,IF(BD$4='Additional Initiatives'!$C$163,'Additional Initiatives'!$C245,IF(BD$4='Additional Initiatives'!$D$163,'Additional Initiatives'!$D245,IF(BD$4='Additional Initiatives'!$E$163,'Additional Initiatives'!$E245,IF(BD$4='Additional Initiatives'!$F$163,'Additional Initiatives'!$F245,0)))))+BD85</f>
        <v>0</v>
      </c>
      <c r="BE86" s="696">
        <f>IF(BE$4='Additional Initiatives'!$B$163,'Additional Initiatives'!$B245,IF(BE$4='Additional Initiatives'!$C$163,'Additional Initiatives'!$C245,IF(BE$4='Additional Initiatives'!$D$163,'Additional Initiatives'!$D245,IF(BE$4='Additional Initiatives'!$E$163,'Additional Initiatives'!$E245,IF(BE$4='Additional Initiatives'!$F$163,'Additional Initiatives'!$F245,0)))))+BE85</f>
        <v>0</v>
      </c>
      <c r="BF86" s="696">
        <f t="shared" si="68"/>
        <v>0</v>
      </c>
    </row>
    <row r="87" spans="1:58">
      <c r="A87" s="21" t="s">
        <v>89</v>
      </c>
      <c r="B87" s="672">
        <f>'Data Entry Fuel'!B86*'Data Entry Fuel'!B238
+'Data Entry Fuel'!C86*'Data Entry Fuel'!C238
+'Data Entry Fuel'!D86*'Data Entry Fuel'!D238
+'Data Entry Fuel'!E86*'Data Entry Fuel'!E238
+'Data Entry Fuel'!F86*'Data Entry Fuel'!F238
+'Data Entry Fuel'!G86*'Data Entry Fuel'!G238
+'Data Entry Fuel'!H86*'Data Entry Fuel'!H238
+'Data Entry Fuel'!I86*'Data Entry Fuel'!I238
+'Data Entry Fuel'!J86*'Data Entry Fuel'!J238</f>
        <v>0</v>
      </c>
      <c r="C87" s="672">
        <f>'Data Entry Fuel'!B86*'Data Entry Fuel'!B238
+'Data Entry Fuel'!C86*'Data Entry Fuel'!C238
+'Data Entry Fuel'!D86*'Data Entry Fuel'!D238
+'Data Entry Fuel'!E86*'Data Entry Fuel'!E238
+'Data Entry Fuel'!F86*'Data Entry Fuel'!F238
+'Data Entry Fuel'!G86*'Data Entry Fuel'!G238
+'Data Entry Fuel'!H86*'Data Entry Fuel'!H238
+'Data Entry Fuel'!I86*'Data Entry Fuel'!C238 *   (1 -  0.13 * 'Data Entry Fuel'!I$3)
+'Data Entry Fuel'!J86*'Data Entry Fuel'!J238</f>
        <v>0</v>
      </c>
      <c r="D87" s="677">
        <f>'Data Entry Electricity'!B86*'Data Entry Electricity'!L86+'Data Entry Electricity'!C86*'Data Entry Electricity'!M86+'Data Entry Electricity'!D86*'Data Entry Electricity'!N86+'Data Entry Electricity'!E86*'Data Entry Electricity'!O86</f>
        <v>0</v>
      </c>
      <c r="E87" s="776">
        <f>'Data Entry Electricity'!B86*'Data Entry Electricity'!L86+'Data Entry Electricity'!C86*'Data Entry Electricity'!L86+'Data Entry Electricity'!D86*'Data Entry Electricity'!N86+'Data Entry Electricity'!E86*'Data Entry Electricity'!O86</f>
        <v>0</v>
      </c>
      <c r="F87" s="777">
        <f>(SUM('Fuel Equipment Savings Calculat'!$B84:$S84))+(SUM('Efficient Site Offices DD &amp; Cal'!$B120:$F120))+'PFC Calculations'!$G85+(SUM('Behaviour Calculations'!$E91,'Behaviour Calculations'!$J91,'Behaviour Calculations'!$O91))+(SUM('Reduced Power Lighting Calculat'!$B85:$F85)+SUM('Hybrid Lighting Calculations'!$B89:$F89)+('PIR Lighting Calculations'!$H85)+SUM('Water Calculations'!$B85:$G85)+'Additional Initiatives'!$H98)</f>
        <v>0</v>
      </c>
      <c r="G87" s="778">
        <f t="shared" si="40"/>
        <v>0</v>
      </c>
      <c r="H87" s="778">
        <f t="shared" si="45"/>
        <v>0</v>
      </c>
      <c r="I87" s="778">
        <f t="shared" si="41"/>
        <v>0</v>
      </c>
      <c r="J87" s="798">
        <f t="shared" si="46"/>
        <v>1668015.7406375667</v>
      </c>
      <c r="K87" s="779">
        <f t="shared" si="47"/>
        <v>2056931.9678366459</v>
      </c>
      <c r="L87" s="780">
        <f t="shared" si="42"/>
        <v>0</v>
      </c>
      <c r="M87" s="780">
        <f t="shared" si="43"/>
        <v>0.18907588256704344</v>
      </c>
      <c r="N87" s="781">
        <f t="shared" si="44"/>
        <v>0</v>
      </c>
      <c r="O87" s="781">
        <f t="shared" si="56"/>
        <v>388916.22719907941</v>
      </c>
      <c r="Q87" s="683">
        <f t="shared" si="48"/>
        <v>1546103.9322666666</v>
      </c>
      <c r="R87" s="683">
        <f t="shared" si="49"/>
        <v>121911.80837090002</v>
      </c>
      <c r="T87" s="673">
        <f t="shared" si="50"/>
        <v>0</v>
      </c>
      <c r="U87" s="674">
        <f>'Fuel Equipment Savings Calculat'!$V84</f>
        <v>0</v>
      </c>
      <c r="V87" s="674">
        <f>'Efficient Site Offices DD &amp; Cal'!$H120</f>
        <v>0</v>
      </c>
      <c r="W87" s="674">
        <f>'PFC Calculations'!$G85</f>
        <v>0</v>
      </c>
      <c r="X87" s="674">
        <f>'Behaviour Calculations'!$E91</f>
        <v>0</v>
      </c>
      <c r="Y87" s="674">
        <f>'Behaviour Calculations'!$J91</f>
        <v>0</v>
      </c>
      <c r="Z87" s="674">
        <f>'Behaviour Calculations'!$O91</f>
        <v>0</v>
      </c>
      <c r="AA87" s="674">
        <f>'Reduced Power Lighting Calculat'!$H85</f>
        <v>0</v>
      </c>
      <c r="AB87" s="674">
        <f>'Hybrid Lighting Calculations'!H89</f>
        <v>0</v>
      </c>
      <c r="AC87" s="674">
        <f>'PIR Lighting Calculations'!$H85</f>
        <v>0</v>
      </c>
      <c r="AD87" s="674">
        <f>'Water Calculations'!$I85</f>
        <v>0</v>
      </c>
      <c r="AE87" s="674">
        <f>'Additional Initiatives'!$H98</f>
        <v>0</v>
      </c>
      <c r="AF87" s="679">
        <f t="shared" si="51"/>
        <v>0</v>
      </c>
      <c r="AG87" s="679">
        <f>(C87-B87) - (0.13 * 'Data Entry Fuel'!I$3) * (U87+AB87)</f>
        <v>0</v>
      </c>
      <c r="AH87" s="5"/>
      <c r="AI87" s="19">
        <v>1605</v>
      </c>
      <c r="AJ87" s="19">
        <f t="shared" si="52"/>
        <v>2016</v>
      </c>
      <c r="AK87" s="19">
        <f t="shared" si="53"/>
        <v>10</v>
      </c>
      <c r="AL87" s="19">
        <v>83</v>
      </c>
      <c r="AM87" s="697">
        <f t="shared" si="54"/>
        <v>1546103.9322666666</v>
      </c>
      <c r="AN87" s="697">
        <f t="shared" si="57"/>
        <v>258650.4652223486</v>
      </c>
      <c r="AO87" s="697">
        <f t="shared" si="58"/>
        <v>54295.191999999995</v>
      </c>
      <c r="AP87" s="697">
        <f>IF(AP$4='Additional Initiatives'!$B$163,'Additional Initiatives'!$B246,IF(AP$4='Additional Initiatives'!$C$163,'Additional Initiatives'!$C246,IF(AP$4='Additional Initiatives'!$D$163,'Additional Initiatives'!$D246,IF(AP$4='Additional Initiatives'!$E$163,'Additional Initiatives'!$E246,IF(AP$4='Additional Initiatives'!$F$163,'Additional Initiatives'!$F246,0)))))+AP86</f>
        <v>0</v>
      </c>
      <c r="AQ87" s="697">
        <f>IF(AQ$4='Additional Initiatives'!$B$163,'Additional Initiatives'!$B246,IF(AQ$4='Additional Initiatives'!$C$163,'Additional Initiatives'!$C246,IF(AQ$4='Additional Initiatives'!$D$163,'Additional Initiatives'!$D246,IF(AQ$4='Additional Initiatives'!$E$163,'Additional Initiatives'!$E246,IF(AQ$4='Additional Initiatives'!$F$163,'Additional Initiatives'!$F246,0)))))+AQ86</f>
        <v>0</v>
      </c>
      <c r="AR87" s="697">
        <f>IF(AR$4='Additional Initiatives'!$B$163,'Additional Initiatives'!$B246,IF(AR$4='Additional Initiatives'!$C$163,'Additional Initiatives'!$C246,IF(AR$4='Additional Initiatives'!$D$163,'Additional Initiatives'!$D246,IF(AR$4='Additional Initiatives'!$E$163,'Additional Initiatives'!$E246,IF(AR$4='Additional Initiatives'!$F$163,'Additional Initiatives'!$F246,0)))))+AR86</f>
        <v>0</v>
      </c>
      <c r="AS87" s="697">
        <f t="shared" si="59"/>
        <v>0</v>
      </c>
      <c r="AT87" s="696">
        <f t="shared" si="55"/>
        <v>121911.80837090002</v>
      </c>
      <c r="AU87" s="696">
        <f t="shared" si="60"/>
        <v>25394.250457001559</v>
      </c>
      <c r="AV87" s="696">
        <f t="shared" si="61"/>
        <v>0</v>
      </c>
      <c r="AW87" s="696">
        <f t="shared" si="62"/>
        <v>0</v>
      </c>
      <c r="AX87" s="696">
        <f t="shared" si="63"/>
        <v>25828.950288959997</v>
      </c>
      <c r="AY87" s="696">
        <f t="shared" si="64"/>
        <v>10645.061538461536</v>
      </c>
      <c r="AZ87" s="696">
        <f t="shared" si="65"/>
        <v>7996.1538461538476</v>
      </c>
      <c r="BA87" s="696">
        <f t="shared" si="66"/>
        <v>6106.1538461538457</v>
      </c>
      <c r="BB87" s="696">
        <f t="shared" si="67"/>
        <v>0</v>
      </c>
      <c r="BC87" s="696">
        <f>IF(BC$4='Additional Initiatives'!$B$163,'Additional Initiatives'!$B246,IF(BC$4='Additional Initiatives'!$C$163,'Additional Initiatives'!$C246,IF(BC$4='Additional Initiatives'!$D$163,'Additional Initiatives'!$D246,IF(BC$4='Additional Initiatives'!$E$163,'Additional Initiatives'!$E246,IF(BC$4='Additional Initiatives'!$F$163,'Additional Initiatives'!$F246,0)))))+BC86</f>
        <v>0</v>
      </c>
      <c r="BD87" s="696">
        <f>IF(BD$4='Additional Initiatives'!$B$163,'Additional Initiatives'!$B246,IF(BD$4='Additional Initiatives'!$C$163,'Additional Initiatives'!$C246,IF(BD$4='Additional Initiatives'!$D$163,'Additional Initiatives'!$D246,IF(BD$4='Additional Initiatives'!$E$163,'Additional Initiatives'!$E246,IF(BD$4='Additional Initiatives'!$F$163,'Additional Initiatives'!$F246,0)))))+BD86</f>
        <v>0</v>
      </c>
      <c r="BE87" s="696">
        <f>IF(BE$4='Additional Initiatives'!$B$163,'Additional Initiatives'!$B246,IF(BE$4='Additional Initiatives'!$C$163,'Additional Initiatives'!$C246,IF(BE$4='Additional Initiatives'!$D$163,'Additional Initiatives'!$D246,IF(BE$4='Additional Initiatives'!$E$163,'Additional Initiatives'!$E246,IF(BE$4='Additional Initiatives'!$F$163,'Additional Initiatives'!$F246,0)))))+BE86</f>
        <v>0</v>
      </c>
      <c r="BF87" s="696">
        <f t="shared" si="68"/>
        <v>0</v>
      </c>
    </row>
    <row r="88" spans="1:58">
      <c r="A88" s="21" t="s">
        <v>90</v>
      </c>
      <c r="B88" s="672">
        <f>'Data Entry Fuel'!B87*'Data Entry Fuel'!B239
+'Data Entry Fuel'!C87*'Data Entry Fuel'!C239
+'Data Entry Fuel'!D87*'Data Entry Fuel'!D239
+'Data Entry Fuel'!E87*'Data Entry Fuel'!E239
+'Data Entry Fuel'!F87*'Data Entry Fuel'!F239
+'Data Entry Fuel'!G87*'Data Entry Fuel'!G239
+'Data Entry Fuel'!H87*'Data Entry Fuel'!H239
+'Data Entry Fuel'!I87*'Data Entry Fuel'!I239
+'Data Entry Fuel'!J87*'Data Entry Fuel'!J239</f>
        <v>0</v>
      </c>
      <c r="C88" s="672">
        <f>'Data Entry Fuel'!B87*'Data Entry Fuel'!B239
+'Data Entry Fuel'!C87*'Data Entry Fuel'!C239
+'Data Entry Fuel'!D87*'Data Entry Fuel'!D239
+'Data Entry Fuel'!E87*'Data Entry Fuel'!E239
+'Data Entry Fuel'!F87*'Data Entry Fuel'!F239
+'Data Entry Fuel'!G87*'Data Entry Fuel'!G239
+'Data Entry Fuel'!H87*'Data Entry Fuel'!H239
+'Data Entry Fuel'!I87*'Data Entry Fuel'!C239 *   (1 -  0.13 * 'Data Entry Fuel'!I$3)
+'Data Entry Fuel'!J87*'Data Entry Fuel'!J239</f>
        <v>0</v>
      </c>
      <c r="D88" s="677">
        <f>'Data Entry Electricity'!B87*'Data Entry Electricity'!L87+'Data Entry Electricity'!C87*'Data Entry Electricity'!M87+'Data Entry Electricity'!D87*'Data Entry Electricity'!N87+'Data Entry Electricity'!E87*'Data Entry Electricity'!O87</f>
        <v>0</v>
      </c>
      <c r="E88" s="776">
        <f>'Data Entry Electricity'!B87*'Data Entry Electricity'!L87+'Data Entry Electricity'!C87*'Data Entry Electricity'!L87+'Data Entry Electricity'!D87*'Data Entry Electricity'!N87+'Data Entry Electricity'!E87*'Data Entry Electricity'!O87</f>
        <v>0</v>
      </c>
      <c r="F88" s="777">
        <f>(SUM('Fuel Equipment Savings Calculat'!$B85:$S85))+(SUM('Efficient Site Offices DD &amp; Cal'!$B121:$F121))+'PFC Calculations'!$G86+(SUM('Behaviour Calculations'!$E92,'Behaviour Calculations'!$J92,'Behaviour Calculations'!$O92))+(SUM('Reduced Power Lighting Calculat'!$B86:$F86)+SUM('Hybrid Lighting Calculations'!$B90:$F90)+('PIR Lighting Calculations'!$H86)+SUM('Water Calculations'!$B86:$G86)+'Additional Initiatives'!$H99)</f>
        <v>0</v>
      </c>
      <c r="G88" s="778">
        <f t="shared" si="40"/>
        <v>0</v>
      </c>
      <c r="H88" s="778">
        <f t="shared" si="45"/>
        <v>0</v>
      </c>
      <c r="I88" s="778">
        <f t="shared" si="41"/>
        <v>0</v>
      </c>
      <c r="J88" s="798">
        <f t="shared" si="46"/>
        <v>1668015.7406375667</v>
      </c>
      <c r="K88" s="779">
        <f t="shared" si="47"/>
        <v>2056931.9678366459</v>
      </c>
      <c r="L88" s="780">
        <f t="shared" si="42"/>
        <v>0</v>
      </c>
      <c r="M88" s="780">
        <f t="shared" si="43"/>
        <v>0.18907588256704344</v>
      </c>
      <c r="N88" s="781">
        <f t="shared" si="44"/>
        <v>0</v>
      </c>
      <c r="O88" s="781">
        <f t="shared" si="56"/>
        <v>388916.22719907941</v>
      </c>
      <c r="Q88" s="683">
        <f t="shared" si="48"/>
        <v>1546103.9322666666</v>
      </c>
      <c r="R88" s="683">
        <f t="shared" si="49"/>
        <v>121911.80837090002</v>
      </c>
      <c r="T88" s="673">
        <f t="shared" si="50"/>
        <v>0</v>
      </c>
      <c r="U88" s="674">
        <f>'Fuel Equipment Savings Calculat'!$V85</f>
        <v>0</v>
      </c>
      <c r="V88" s="674">
        <f>'Efficient Site Offices DD &amp; Cal'!$H121</f>
        <v>0</v>
      </c>
      <c r="W88" s="674">
        <f>'PFC Calculations'!$G86</f>
        <v>0</v>
      </c>
      <c r="X88" s="674">
        <f>'Behaviour Calculations'!$E92</f>
        <v>0</v>
      </c>
      <c r="Y88" s="674">
        <f>'Behaviour Calculations'!$J92</f>
        <v>0</v>
      </c>
      <c r="Z88" s="674">
        <f>'Behaviour Calculations'!$O92</f>
        <v>0</v>
      </c>
      <c r="AA88" s="674">
        <f>'Reduced Power Lighting Calculat'!$H86</f>
        <v>0</v>
      </c>
      <c r="AB88" s="674">
        <f>'Hybrid Lighting Calculations'!H90</f>
        <v>0</v>
      </c>
      <c r="AC88" s="674">
        <f>'PIR Lighting Calculations'!$H86</f>
        <v>0</v>
      </c>
      <c r="AD88" s="674">
        <f>'Water Calculations'!$I86</f>
        <v>0</v>
      </c>
      <c r="AE88" s="674">
        <f>'Additional Initiatives'!$H99</f>
        <v>0</v>
      </c>
      <c r="AF88" s="679">
        <f t="shared" si="51"/>
        <v>0</v>
      </c>
      <c r="AG88" s="679">
        <f>(C88-B88) - (0.13 * 'Data Entry Fuel'!I$3) * (U88+AB88)</f>
        <v>0</v>
      </c>
      <c r="AH88" s="5"/>
      <c r="AI88" s="19">
        <v>1606</v>
      </c>
      <c r="AJ88" s="19">
        <f t="shared" si="52"/>
        <v>2016</v>
      </c>
      <c r="AK88" s="19">
        <f t="shared" si="53"/>
        <v>10</v>
      </c>
      <c r="AL88" s="19">
        <v>84</v>
      </c>
      <c r="AM88" s="697">
        <f t="shared" si="54"/>
        <v>1546103.9322666666</v>
      </c>
      <c r="AN88" s="697">
        <f t="shared" si="57"/>
        <v>258650.4652223486</v>
      </c>
      <c r="AO88" s="697">
        <f t="shared" si="58"/>
        <v>54295.191999999995</v>
      </c>
      <c r="AP88" s="697">
        <f>IF(AP$4='Additional Initiatives'!$B$163,'Additional Initiatives'!$B247,IF(AP$4='Additional Initiatives'!$C$163,'Additional Initiatives'!$C247,IF(AP$4='Additional Initiatives'!$D$163,'Additional Initiatives'!$D247,IF(AP$4='Additional Initiatives'!$E$163,'Additional Initiatives'!$E247,IF(AP$4='Additional Initiatives'!$F$163,'Additional Initiatives'!$F247,0)))))+AP87</f>
        <v>0</v>
      </c>
      <c r="AQ88" s="697">
        <f>IF(AQ$4='Additional Initiatives'!$B$163,'Additional Initiatives'!$B247,IF(AQ$4='Additional Initiatives'!$C$163,'Additional Initiatives'!$C247,IF(AQ$4='Additional Initiatives'!$D$163,'Additional Initiatives'!$D247,IF(AQ$4='Additional Initiatives'!$E$163,'Additional Initiatives'!$E247,IF(AQ$4='Additional Initiatives'!$F$163,'Additional Initiatives'!$F247,0)))))+AQ87</f>
        <v>0</v>
      </c>
      <c r="AR88" s="697">
        <f>IF(AR$4='Additional Initiatives'!$B$163,'Additional Initiatives'!$B247,IF(AR$4='Additional Initiatives'!$C$163,'Additional Initiatives'!$C247,IF(AR$4='Additional Initiatives'!$D$163,'Additional Initiatives'!$D247,IF(AR$4='Additional Initiatives'!$E$163,'Additional Initiatives'!$E247,IF(AR$4='Additional Initiatives'!$F$163,'Additional Initiatives'!$F247,0)))))+AR87</f>
        <v>0</v>
      </c>
      <c r="AS88" s="697">
        <f t="shared" si="59"/>
        <v>0</v>
      </c>
      <c r="AT88" s="696">
        <f t="shared" si="55"/>
        <v>121911.80837090002</v>
      </c>
      <c r="AU88" s="696">
        <f t="shared" si="60"/>
        <v>25394.250457001559</v>
      </c>
      <c r="AV88" s="696">
        <f t="shared" si="61"/>
        <v>0</v>
      </c>
      <c r="AW88" s="696">
        <f t="shared" si="62"/>
        <v>0</v>
      </c>
      <c r="AX88" s="696">
        <f t="shared" si="63"/>
        <v>25828.950288959997</v>
      </c>
      <c r="AY88" s="696">
        <f t="shared" si="64"/>
        <v>10645.061538461536</v>
      </c>
      <c r="AZ88" s="696">
        <f t="shared" si="65"/>
        <v>7996.1538461538476</v>
      </c>
      <c r="BA88" s="696">
        <f t="shared" si="66"/>
        <v>6106.1538461538457</v>
      </c>
      <c r="BB88" s="696">
        <f t="shared" si="67"/>
        <v>0</v>
      </c>
      <c r="BC88" s="696">
        <f>IF(BC$4='Additional Initiatives'!$B$163,'Additional Initiatives'!$B247,IF(BC$4='Additional Initiatives'!$C$163,'Additional Initiatives'!$C247,IF(BC$4='Additional Initiatives'!$D$163,'Additional Initiatives'!$D247,IF(BC$4='Additional Initiatives'!$E$163,'Additional Initiatives'!$E247,IF(BC$4='Additional Initiatives'!$F$163,'Additional Initiatives'!$F247,0)))))+BC87</f>
        <v>0</v>
      </c>
      <c r="BD88" s="696">
        <f>IF(BD$4='Additional Initiatives'!$B$163,'Additional Initiatives'!$B247,IF(BD$4='Additional Initiatives'!$C$163,'Additional Initiatives'!$C247,IF(BD$4='Additional Initiatives'!$D$163,'Additional Initiatives'!$D247,IF(BD$4='Additional Initiatives'!$E$163,'Additional Initiatives'!$E247,IF(BD$4='Additional Initiatives'!$F$163,'Additional Initiatives'!$F247,0)))))+BD87</f>
        <v>0</v>
      </c>
      <c r="BE88" s="696">
        <f>IF(BE$4='Additional Initiatives'!$B$163,'Additional Initiatives'!$B247,IF(BE$4='Additional Initiatives'!$C$163,'Additional Initiatives'!$C247,IF(BE$4='Additional Initiatives'!$D$163,'Additional Initiatives'!$D247,IF(BE$4='Additional Initiatives'!$E$163,'Additional Initiatives'!$E247,IF(BE$4='Additional Initiatives'!$F$163,'Additional Initiatives'!$F247,0)))))+BE87</f>
        <v>0</v>
      </c>
      <c r="BF88" s="696">
        <f t="shared" si="68"/>
        <v>0</v>
      </c>
    </row>
    <row r="89" spans="1:58">
      <c r="A89" s="21" t="s">
        <v>91</v>
      </c>
      <c r="B89" s="672">
        <f>'Data Entry Fuel'!B88*'Data Entry Fuel'!B240
+'Data Entry Fuel'!C88*'Data Entry Fuel'!C240
+'Data Entry Fuel'!D88*'Data Entry Fuel'!D240
+'Data Entry Fuel'!E88*'Data Entry Fuel'!E240
+'Data Entry Fuel'!F88*'Data Entry Fuel'!F240
+'Data Entry Fuel'!G88*'Data Entry Fuel'!G240
+'Data Entry Fuel'!H88*'Data Entry Fuel'!H240
+'Data Entry Fuel'!I88*'Data Entry Fuel'!I240
+'Data Entry Fuel'!J88*'Data Entry Fuel'!J240</f>
        <v>0</v>
      </c>
      <c r="C89" s="672">
        <f>'Data Entry Fuel'!B88*'Data Entry Fuel'!B240
+'Data Entry Fuel'!C88*'Data Entry Fuel'!C240
+'Data Entry Fuel'!D88*'Data Entry Fuel'!D240
+'Data Entry Fuel'!E88*'Data Entry Fuel'!E240
+'Data Entry Fuel'!F88*'Data Entry Fuel'!F240
+'Data Entry Fuel'!G88*'Data Entry Fuel'!G240
+'Data Entry Fuel'!H88*'Data Entry Fuel'!H240
+'Data Entry Fuel'!I88*'Data Entry Fuel'!C240 *   (1 -  0.13 * 'Data Entry Fuel'!I$3)
+'Data Entry Fuel'!J88*'Data Entry Fuel'!J240</f>
        <v>0</v>
      </c>
      <c r="D89" s="677">
        <f>'Data Entry Electricity'!B88*'Data Entry Electricity'!L88+'Data Entry Electricity'!C88*'Data Entry Electricity'!M88+'Data Entry Electricity'!D88*'Data Entry Electricity'!N88+'Data Entry Electricity'!E88*'Data Entry Electricity'!O88</f>
        <v>0</v>
      </c>
      <c r="E89" s="776">
        <f>'Data Entry Electricity'!B88*'Data Entry Electricity'!L88+'Data Entry Electricity'!C88*'Data Entry Electricity'!L88+'Data Entry Electricity'!D88*'Data Entry Electricity'!N88+'Data Entry Electricity'!E88*'Data Entry Electricity'!O88</f>
        <v>0</v>
      </c>
      <c r="F89" s="777">
        <f>(SUM('Fuel Equipment Savings Calculat'!$B86:$S86))+(SUM('Efficient Site Offices DD &amp; Cal'!$B122:$F122))+'PFC Calculations'!$G87+(SUM('Behaviour Calculations'!$E93,'Behaviour Calculations'!$J93,'Behaviour Calculations'!$O93))+(SUM('Reduced Power Lighting Calculat'!$B87:$F87)+SUM('Hybrid Lighting Calculations'!$B91:$F91)+('PIR Lighting Calculations'!$H87)+SUM('Water Calculations'!$B87:$G87)+'Additional Initiatives'!$H100)</f>
        <v>0</v>
      </c>
      <c r="G89" s="778">
        <f t="shared" si="40"/>
        <v>0</v>
      </c>
      <c r="H89" s="778">
        <f t="shared" si="45"/>
        <v>0</v>
      </c>
      <c r="I89" s="778">
        <f t="shared" si="41"/>
        <v>0</v>
      </c>
      <c r="J89" s="798">
        <f t="shared" si="46"/>
        <v>1668015.7406375667</v>
      </c>
      <c r="K89" s="779">
        <f t="shared" si="47"/>
        <v>2056931.9678366459</v>
      </c>
      <c r="L89" s="780">
        <f t="shared" si="42"/>
        <v>0</v>
      </c>
      <c r="M89" s="780">
        <f t="shared" si="43"/>
        <v>0.18907588256704344</v>
      </c>
      <c r="N89" s="781">
        <f t="shared" si="44"/>
        <v>0</v>
      </c>
      <c r="O89" s="781">
        <f t="shared" si="56"/>
        <v>388916.22719907941</v>
      </c>
      <c r="Q89" s="683">
        <f t="shared" si="48"/>
        <v>1546103.9322666666</v>
      </c>
      <c r="R89" s="683">
        <f t="shared" si="49"/>
        <v>121911.80837090002</v>
      </c>
      <c r="T89" s="673">
        <f t="shared" si="50"/>
        <v>0</v>
      </c>
      <c r="U89" s="674">
        <f>'Fuel Equipment Savings Calculat'!$V86</f>
        <v>0</v>
      </c>
      <c r="V89" s="674">
        <f>'Efficient Site Offices DD &amp; Cal'!$H122</f>
        <v>0</v>
      </c>
      <c r="W89" s="674">
        <f>'PFC Calculations'!$G87</f>
        <v>0</v>
      </c>
      <c r="X89" s="674">
        <f>'Behaviour Calculations'!$E93</f>
        <v>0</v>
      </c>
      <c r="Y89" s="674">
        <f>'Behaviour Calculations'!$J93</f>
        <v>0</v>
      </c>
      <c r="Z89" s="674">
        <f>'Behaviour Calculations'!$O93</f>
        <v>0</v>
      </c>
      <c r="AA89" s="674">
        <f>'Reduced Power Lighting Calculat'!$H87</f>
        <v>0</v>
      </c>
      <c r="AB89" s="674">
        <f>'Hybrid Lighting Calculations'!H91</f>
        <v>0</v>
      </c>
      <c r="AC89" s="674">
        <f>'PIR Lighting Calculations'!$H87</f>
        <v>0</v>
      </c>
      <c r="AD89" s="674">
        <f>'Water Calculations'!$I87</f>
        <v>0</v>
      </c>
      <c r="AE89" s="674">
        <f>'Additional Initiatives'!$H100</f>
        <v>0</v>
      </c>
      <c r="AF89" s="679">
        <f t="shared" si="51"/>
        <v>0</v>
      </c>
      <c r="AG89" s="679">
        <f>(C89-B89) - (0.13 * 'Data Entry Fuel'!I$3) * (U89+AB89)</f>
        <v>0</v>
      </c>
      <c r="AH89" s="5"/>
      <c r="AI89" s="19">
        <v>1607</v>
      </c>
      <c r="AJ89" s="19">
        <f t="shared" si="52"/>
        <v>2016</v>
      </c>
      <c r="AK89" s="19">
        <f t="shared" si="53"/>
        <v>10</v>
      </c>
      <c r="AL89" s="19">
        <v>85</v>
      </c>
      <c r="AM89" s="697">
        <f t="shared" si="54"/>
        <v>1546103.9322666666</v>
      </c>
      <c r="AN89" s="697">
        <f t="shared" si="57"/>
        <v>258650.4652223486</v>
      </c>
      <c r="AO89" s="697">
        <f t="shared" si="58"/>
        <v>54295.191999999995</v>
      </c>
      <c r="AP89" s="697">
        <f>IF(AP$4='Additional Initiatives'!$B$163,'Additional Initiatives'!$B248,IF(AP$4='Additional Initiatives'!$C$163,'Additional Initiatives'!$C248,IF(AP$4='Additional Initiatives'!$D$163,'Additional Initiatives'!$D248,IF(AP$4='Additional Initiatives'!$E$163,'Additional Initiatives'!$E248,IF(AP$4='Additional Initiatives'!$F$163,'Additional Initiatives'!$F248,0)))))+AP88</f>
        <v>0</v>
      </c>
      <c r="AQ89" s="697">
        <f>IF(AQ$4='Additional Initiatives'!$B$163,'Additional Initiatives'!$B248,IF(AQ$4='Additional Initiatives'!$C$163,'Additional Initiatives'!$C248,IF(AQ$4='Additional Initiatives'!$D$163,'Additional Initiatives'!$D248,IF(AQ$4='Additional Initiatives'!$E$163,'Additional Initiatives'!$E248,IF(AQ$4='Additional Initiatives'!$F$163,'Additional Initiatives'!$F248,0)))))+AQ88</f>
        <v>0</v>
      </c>
      <c r="AR89" s="697">
        <f>IF(AR$4='Additional Initiatives'!$B$163,'Additional Initiatives'!$B248,IF(AR$4='Additional Initiatives'!$C$163,'Additional Initiatives'!$C248,IF(AR$4='Additional Initiatives'!$D$163,'Additional Initiatives'!$D248,IF(AR$4='Additional Initiatives'!$E$163,'Additional Initiatives'!$E248,IF(AR$4='Additional Initiatives'!$F$163,'Additional Initiatives'!$F248,0)))))+AR88</f>
        <v>0</v>
      </c>
      <c r="AS89" s="697">
        <f t="shared" si="59"/>
        <v>0</v>
      </c>
      <c r="AT89" s="696">
        <f t="shared" si="55"/>
        <v>121911.80837090002</v>
      </c>
      <c r="AU89" s="696">
        <f t="shared" si="60"/>
        <v>25394.250457001559</v>
      </c>
      <c r="AV89" s="696">
        <f t="shared" si="61"/>
        <v>0</v>
      </c>
      <c r="AW89" s="696">
        <f t="shared" si="62"/>
        <v>0</v>
      </c>
      <c r="AX89" s="696">
        <f t="shared" si="63"/>
        <v>25828.950288959997</v>
      </c>
      <c r="AY89" s="696">
        <f t="shared" si="64"/>
        <v>10645.061538461536</v>
      </c>
      <c r="AZ89" s="696">
        <f t="shared" si="65"/>
        <v>7996.1538461538476</v>
      </c>
      <c r="BA89" s="696">
        <f t="shared" si="66"/>
        <v>6106.1538461538457</v>
      </c>
      <c r="BB89" s="696">
        <f t="shared" si="67"/>
        <v>0</v>
      </c>
      <c r="BC89" s="696">
        <f>IF(BC$4='Additional Initiatives'!$B$163,'Additional Initiatives'!$B248,IF(BC$4='Additional Initiatives'!$C$163,'Additional Initiatives'!$C248,IF(BC$4='Additional Initiatives'!$D$163,'Additional Initiatives'!$D248,IF(BC$4='Additional Initiatives'!$E$163,'Additional Initiatives'!$E248,IF(BC$4='Additional Initiatives'!$F$163,'Additional Initiatives'!$F248,0)))))+BC88</f>
        <v>0</v>
      </c>
      <c r="BD89" s="696">
        <f>IF(BD$4='Additional Initiatives'!$B$163,'Additional Initiatives'!$B248,IF(BD$4='Additional Initiatives'!$C$163,'Additional Initiatives'!$C248,IF(BD$4='Additional Initiatives'!$D$163,'Additional Initiatives'!$D248,IF(BD$4='Additional Initiatives'!$E$163,'Additional Initiatives'!$E248,IF(BD$4='Additional Initiatives'!$F$163,'Additional Initiatives'!$F248,0)))))+BD88</f>
        <v>0</v>
      </c>
      <c r="BE89" s="696">
        <f>IF(BE$4='Additional Initiatives'!$B$163,'Additional Initiatives'!$B248,IF(BE$4='Additional Initiatives'!$C$163,'Additional Initiatives'!$C248,IF(BE$4='Additional Initiatives'!$D$163,'Additional Initiatives'!$D248,IF(BE$4='Additional Initiatives'!$E$163,'Additional Initiatives'!$E248,IF(BE$4='Additional Initiatives'!$F$163,'Additional Initiatives'!$F248,0)))))+BE88</f>
        <v>0</v>
      </c>
      <c r="BF89" s="696">
        <f t="shared" si="68"/>
        <v>0</v>
      </c>
    </row>
    <row r="90" spans="1:58">
      <c r="A90" s="21" t="s">
        <v>92</v>
      </c>
      <c r="B90" s="672">
        <f>'Data Entry Fuel'!B89*'Data Entry Fuel'!B241
+'Data Entry Fuel'!C89*'Data Entry Fuel'!C241
+'Data Entry Fuel'!D89*'Data Entry Fuel'!D241
+'Data Entry Fuel'!E89*'Data Entry Fuel'!E241
+'Data Entry Fuel'!F89*'Data Entry Fuel'!F241
+'Data Entry Fuel'!G89*'Data Entry Fuel'!G241
+'Data Entry Fuel'!H89*'Data Entry Fuel'!H241
+'Data Entry Fuel'!I89*'Data Entry Fuel'!I241
+'Data Entry Fuel'!J89*'Data Entry Fuel'!J241</f>
        <v>0</v>
      </c>
      <c r="C90" s="672">
        <f>'Data Entry Fuel'!B89*'Data Entry Fuel'!B241
+'Data Entry Fuel'!C89*'Data Entry Fuel'!C241
+'Data Entry Fuel'!D89*'Data Entry Fuel'!D241
+'Data Entry Fuel'!E89*'Data Entry Fuel'!E241
+'Data Entry Fuel'!F89*'Data Entry Fuel'!F241
+'Data Entry Fuel'!G89*'Data Entry Fuel'!G241
+'Data Entry Fuel'!H89*'Data Entry Fuel'!H241
+'Data Entry Fuel'!I89*'Data Entry Fuel'!C241 *   (1 -  0.13 * 'Data Entry Fuel'!I$3)
+'Data Entry Fuel'!J89*'Data Entry Fuel'!J241</f>
        <v>0</v>
      </c>
      <c r="D90" s="677">
        <f>'Data Entry Electricity'!B89*'Data Entry Electricity'!L89+'Data Entry Electricity'!C89*'Data Entry Electricity'!M89+'Data Entry Electricity'!D89*'Data Entry Electricity'!N89+'Data Entry Electricity'!E89*'Data Entry Electricity'!O89</f>
        <v>0</v>
      </c>
      <c r="E90" s="776">
        <f>'Data Entry Electricity'!B89*'Data Entry Electricity'!L89+'Data Entry Electricity'!C89*'Data Entry Electricity'!L89+'Data Entry Electricity'!D89*'Data Entry Electricity'!N89+'Data Entry Electricity'!E89*'Data Entry Electricity'!O89</f>
        <v>0</v>
      </c>
      <c r="F90" s="777">
        <f>(SUM('Fuel Equipment Savings Calculat'!$B87:$S87))+(SUM('Efficient Site Offices DD &amp; Cal'!$B123:$F123))+'PFC Calculations'!$G88+(SUM('Behaviour Calculations'!$E94,'Behaviour Calculations'!$J94,'Behaviour Calculations'!$O94))+(SUM('Reduced Power Lighting Calculat'!$B88:$F88)+SUM('Hybrid Lighting Calculations'!$B92:$F92)+('PIR Lighting Calculations'!$H88)+SUM('Water Calculations'!$B88:$G88)+'Additional Initiatives'!$H101)</f>
        <v>0</v>
      </c>
      <c r="G90" s="778">
        <f t="shared" si="40"/>
        <v>0</v>
      </c>
      <c r="H90" s="778">
        <f t="shared" si="45"/>
        <v>0</v>
      </c>
      <c r="I90" s="778">
        <f t="shared" si="41"/>
        <v>0</v>
      </c>
      <c r="J90" s="798">
        <f t="shared" si="46"/>
        <v>1668015.7406375667</v>
      </c>
      <c r="K90" s="779">
        <f t="shared" si="47"/>
        <v>2056931.9678366459</v>
      </c>
      <c r="L90" s="780">
        <f t="shared" si="42"/>
        <v>0</v>
      </c>
      <c r="M90" s="780">
        <f t="shared" si="43"/>
        <v>0.18907588256704344</v>
      </c>
      <c r="N90" s="781">
        <f t="shared" si="44"/>
        <v>0</v>
      </c>
      <c r="O90" s="781">
        <f t="shared" si="56"/>
        <v>388916.22719907941</v>
      </c>
      <c r="Q90" s="683">
        <f t="shared" si="48"/>
        <v>1546103.9322666666</v>
      </c>
      <c r="R90" s="683">
        <f t="shared" si="49"/>
        <v>121911.80837090002</v>
      </c>
      <c r="T90" s="673">
        <f t="shared" si="50"/>
        <v>0</v>
      </c>
      <c r="U90" s="674">
        <f>'Fuel Equipment Savings Calculat'!$V87</f>
        <v>0</v>
      </c>
      <c r="V90" s="674">
        <f>'Efficient Site Offices DD &amp; Cal'!$H123</f>
        <v>0</v>
      </c>
      <c r="W90" s="674">
        <f>'PFC Calculations'!$G88</f>
        <v>0</v>
      </c>
      <c r="X90" s="674">
        <f>'Behaviour Calculations'!$E94</f>
        <v>0</v>
      </c>
      <c r="Y90" s="674">
        <f>'Behaviour Calculations'!$J94</f>
        <v>0</v>
      </c>
      <c r="Z90" s="674">
        <f>'Behaviour Calculations'!$O94</f>
        <v>0</v>
      </c>
      <c r="AA90" s="674">
        <f>'Reduced Power Lighting Calculat'!$H88</f>
        <v>0</v>
      </c>
      <c r="AB90" s="674">
        <f>'Hybrid Lighting Calculations'!H92</f>
        <v>0</v>
      </c>
      <c r="AC90" s="674">
        <f>'PIR Lighting Calculations'!$H88</f>
        <v>0</v>
      </c>
      <c r="AD90" s="674">
        <f>'Water Calculations'!$I88</f>
        <v>0</v>
      </c>
      <c r="AE90" s="674">
        <f>'Additional Initiatives'!$H101</f>
        <v>0</v>
      </c>
      <c r="AF90" s="679">
        <f t="shared" si="51"/>
        <v>0</v>
      </c>
      <c r="AG90" s="679">
        <f>(C90-B90) - (0.13 * 'Data Entry Fuel'!I$3) * (U90+AB90)</f>
        <v>0</v>
      </c>
      <c r="AH90" s="5"/>
      <c r="AI90" s="19">
        <v>1608</v>
      </c>
      <c r="AJ90" s="19">
        <f t="shared" si="52"/>
        <v>2016</v>
      </c>
      <c r="AK90" s="19">
        <f t="shared" si="53"/>
        <v>10</v>
      </c>
      <c r="AL90" s="19">
        <v>86</v>
      </c>
      <c r="AM90" s="697">
        <f t="shared" si="54"/>
        <v>1546103.9322666666</v>
      </c>
      <c r="AN90" s="697">
        <f t="shared" si="57"/>
        <v>258650.4652223486</v>
      </c>
      <c r="AO90" s="697">
        <f t="shared" si="58"/>
        <v>54295.191999999995</v>
      </c>
      <c r="AP90" s="697">
        <f>IF(AP$4='Additional Initiatives'!$B$163,'Additional Initiatives'!$B249,IF(AP$4='Additional Initiatives'!$C$163,'Additional Initiatives'!$C249,IF(AP$4='Additional Initiatives'!$D$163,'Additional Initiatives'!$D249,IF(AP$4='Additional Initiatives'!$E$163,'Additional Initiatives'!$E249,IF(AP$4='Additional Initiatives'!$F$163,'Additional Initiatives'!$F249,0)))))+AP89</f>
        <v>0</v>
      </c>
      <c r="AQ90" s="697">
        <f>IF(AQ$4='Additional Initiatives'!$B$163,'Additional Initiatives'!$B249,IF(AQ$4='Additional Initiatives'!$C$163,'Additional Initiatives'!$C249,IF(AQ$4='Additional Initiatives'!$D$163,'Additional Initiatives'!$D249,IF(AQ$4='Additional Initiatives'!$E$163,'Additional Initiatives'!$E249,IF(AQ$4='Additional Initiatives'!$F$163,'Additional Initiatives'!$F249,0)))))+AQ89</f>
        <v>0</v>
      </c>
      <c r="AR90" s="697">
        <f>IF(AR$4='Additional Initiatives'!$B$163,'Additional Initiatives'!$B249,IF(AR$4='Additional Initiatives'!$C$163,'Additional Initiatives'!$C249,IF(AR$4='Additional Initiatives'!$D$163,'Additional Initiatives'!$D249,IF(AR$4='Additional Initiatives'!$E$163,'Additional Initiatives'!$E249,IF(AR$4='Additional Initiatives'!$F$163,'Additional Initiatives'!$F249,0)))))+AR89</f>
        <v>0</v>
      </c>
      <c r="AS90" s="697">
        <f t="shared" si="59"/>
        <v>0</v>
      </c>
      <c r="AT90" s="696">
        <f t="shared" si="55"/>
        <v>121911.80837090002</v>
      </c>
      <c r="AU90" s="696">
        <f t="shared" si="60"/>
        <v>25394.250457001559</v>
      </c>
      <c r="AV90" s="696">
        <f t="shared" si="61"/>
        <v>0</v>
      </c>
      <c r="AW90" s="696">
        <f t="shared" si="62"/>
        <v>0</v>
      </c>
      <c r="AX90" s="696">
        <f t="shared" si="63"/>
        <v>25828.950288959997</v>
      </c>
      <c r="AY90" s="696">
        <f t="shared" si="64"/>
        <v>10645.061538461536</v>
      </c>
      <c r="AZ90" s="696">
        <f t="shared" si="65"/>
        <v>7996.1538461538476</v>
      </c>
      <c r="BA90" s="696">
        <f t="shared" si="66"/>
        <v>6106.1538461538457</v>
      </c>
      <c r="BB90" s="696">
        <f t="shared" si="67"/>
        <v>0</v>
      </c>
      <c r="BC90" s="696">
        <f>IF(BC$4='Additional Initiatives'!$B$163,'Additional Initiatives'!$B249,IF(BC$4='Additional Initiatives'!$C$163,'Additional Initiatives'!$C249,IF(BC$4='Additional Initiatives'!$D$163,'Additional Initiatives'!$D249,IF(BC$4='Additional Initiatives'!$E$163,'Additional Initiatives'!$E249,IF(BC$4='Additional Initiatives'!$F$163,'Additional Initiatives'!$F249,0)))))+BC89</f>
        <v>0</v>
      </c>
      <c r="BD90" s="696">
        <f>IF(BD$4='Additional Initiatives'!$B$163,'Additional Initiatives'!$B249,IF(BD$4='Additional Initiatives'!$C$163,'Additional Initiatives'!$C249,IF(BD$4='Additional Initiatives'!$D$163,'Additional Initiatives'!$D249,IF(BD$4='Additional Initiatives'!$E$163,'Additional Initiatives'!$E249,IF(BD$4='Additional Initiatives'!$F$163,'Additional Initiatives'!$F249,0)))))+BD89</f>
        <v>0</v>
      </c>
      <c r="BE90" s="696">
        <f>IF(BE$4='Additional Initiatives'!$B$163,'Additional Initiatives'!$B249,IF(BE$4='Additional Initiatives'!$C$163,'Additional Initiatives'!$C249,IF(BE$4='Additional Initiatives'!$D$163,'Additional Initiatives'!$D249,IF(BE$4='Additional Initiatives'!$E$163,'Additional Initiatives'!$E249,IF(BE$4='Additional Initiatives'!$F$163,'Additional Initiatives'!$F249,0)))))+BE89</f>
        <v>0</v>
      </c>
      <c r="BF90" s="696">
        <f t="shared" si="68"/>
        <v>0</v>
      </c>
    </row>
    <row r="91" spans="1:58">
      <c r="A91" s="21" t="s">
        <v>93</v>
      </c>
      <c r="B91" s="672">
        <f>'Data Entry Fuel'!B90*'Data Entry Fuel'!B242
+'Data Entry Fuel'!C90*'Data Entry Fuel'!C242
+'Data Entry Fuel'!D90*'Data Entry Fuel'!D242
+'Data Entry Fuel'!E90*'Data Entry Fuel'!E242
+'Data Entry Fuel'!F90*'Data Entry Fuel'!F242
+'Data Entry Fuel'!G90*'Data Entry Fuel'!G242
+'Data Entry Fuel'!H90*'Data Entry Fuel'!H242
+'Data Entry Fuel'!I90*'Data Entry Fuel'!I242
+'Data Entry Fuel'!J90*'Data Entry Fuel'!J242</f>
        <v>0</v>
      </c>
      <c r="C91" s="672">
        <f>'Data Entry Fuel'!B90*'Data Entry Fuel'!B242
+'Data Entry Fuel'!C90*'Data Entry Fuel'!C242
+'Data Entry Fuel'!D90*'Data Entry Fuel'!D242
+'Data Entry Fuel'!E90*'Data Entry Fuel'!E242
+'Data Entry Fuel'!F90*'Data Entry Fuel'!F242
+'Data Entry Fuel'!G90*'Data Entry Fuel'!G242
+'Data Entry Fuel'!H90*'Data Entry Fuel'!H242
+'Data Entry Fuel'!I90*'Data Entry Fuel'!C242 *   (1 -  0.13 * 'Data Entry Fuel'!I$3)
+'Data Entry Fuel'!J90*'Data Entry Fuel'!J242</f>
        <v>0</v>
      </c>
      <c r="D91" s="677">
        <f>'Data Entry Electricity'!B90*'Data Entry Electricity'!L90+'Data Entry Electricity'!C90*'Data Entry Electricity'!M90+'Data Entry Electricity'!D90*'Data Entry Electricity'!N90+'Data Entry Electricity'!E90*'Data Entry Electricity'!O90</f>
        <v>0</v>
      </c>
      <c r="E91" s="776">
        <f>'Data Entry Electricity'!B90*'Data Entry Electricity'!L90+'Data Entry Electricity'!C90*'Data Entry Electricity'!L90+'Data Entry Electricity'!D90*'Data Entry Electricity'!N90+'Data Entry Electricity'!E90*'Data Entry Electricity'!O90</f>
        <v>0</v>
      </c>
      <c r="F91" s="777">
        <f>(SUM('Fuel Equipment Savings Calculat'!$B88:$S88))+(SUM('Efficient Site Offices DD &amp; Cal'!$B124:$F124))+'PFC Calculations'!$G89+(SUM('Behaviour Calculations'!$E95,'Behaviour Calculations'!$J95,'Behaviour Calculations'!$O95))+(SUM('Reduced Power Lighting Calculat'!$B89:$F89)+SUM('Hybrid Lighting Calculations'!$B93:$F93)+('PIR Lighting Calculations'!$H89)+SUM('Water Calculations'!$B89:$G89)+'Additional Initiatives'!$H102)</f>
        <v>0</v>
      </c>
      <c r="G91" s="778">
        <f t="shared" si="40"/>
        <v>0</v>
      </c>
      <c r="H91" s="778">
        <f t="shared" si="45"/>
        <v>0</v>
      </c>
      <c r="I91" s="778">
        <f t="shared" si="41"/>
        <v>0</v>
      </c>
      <c r="J91" s="798">
        <f t="shared" si="46"/>
        <v>1668015.7406375667</v>
      </c>
      <c r="K91" s="779">
        <f t="shared" si="47"/>
        <v>2056931.9678366459</v>
      </c>
      <c r="L91" s="780">
        <f t="shared" si="42"/>
        <v>0</v>
      </c>
      <c r="M91" s="780">
        <f t="shared" si="43"/>
        <v>0.18907588256704344</v>
      </c>
      <c r="N91" s="781">
        <f t="shared" si="44"/>
        <v>0</v>
      </c>
      <c r="O91" s="781">
        <f t="shared" si="56"/>
        <v>388916.22719907941</v>
      </c>
      <c r="Q91" s="683">
        <f t="shared" si="48"/>
        <v>1546103.9322666666</v>
      </c>
      <c r="R91" s="683">
        <f t="shared" si="49"/>
        <v>121911.80837090002</v>
      </c>
      <c r="T91" s="673">
        <f t="shared" si="50"/>
        <v>0</v>
      </c>
      <c r="U91" s="674">
        <f>'Fuel Equipment Savings Calculat'!$V88</f>
        <v>0</v>
      </c>
      <c r="V91" s="674">
        <f>'Efficient Site Offices DD &amp; Cal'!$H124</f>
        <v>0</v>
      </c>
      <c r="W91" s="674">
        <f>'PFC Calculations'!$G89</f>
        <v>0</v>
      </c>
      <c r="X91" s="674">
        <f>'Behaviour Calculations'!$E95</f>
        <v>0</v>
      </c>
      <c r="Y91" s="674">
        <f>'Behaviour Calculations'!$J95</f>
        <v>0</v>
      </c>
      <c r="Z91" s="674">
        <f>'Behaviour Calculations'!$O95</f>
        <v>0</v>
      </c>
      <c r="AA91" s="674">
        <f>'Reduced Power Lighting Calculat'!$H89</f>
        <v>0</v>
      </c>
      <c r="AB91" s="674">
        <f>'Hybrid Lighting Calculations'!H93</f>
        <v>0</v>
      </c>
      <c r="AC91" s="674">
        <f>'PIR Lighting Calculations'!$H89</f>
        <v>0</v>
      </c>
      <c r="AD91" s="674">
        <f>'Water Calculations'!$I89</f>
        <v>0</v>
      </c>
      <c r="AE91" s="674">
        <f>'Additional Initiatives'!$H102</f>
        <v>0</v>
      </c>
      <c r="AF91" s="679">
        <f t="shared" si="51"/>
        <v>0</v>
      </c>
      <c r="AG91" s="679">
        <f>(C91-B91) - (0.13 * 'Data Entry Fuel'!I$3) * (U91+AB91)</f>
        <v>0</v>
      </c>
      <c r="AH91" s="5"/>
      <c r="AI91" s="19">
        <v>1609</v>
      </c>
      <c r="AJ91" s="19">
        <f t="shared" si="52"/>
        <v>2016</v>
      </c>
      <c r="AK91" s="19">
        <f t="shared" si="53"/>
        <v>10</v>
      </c>
      <c r="AL91" s="19">
        <v>87</v>
      </c>
      <c r="AM91" s="697">
        <f t="shared" si="54"/>
        <v>1546103.9322666666</v>
      </c>
      <c r="AN91" s="697">
        <f t="shared" si="57"/>
        <v>258650.4652223486</v>
      </c>
      <c r="AO91" s="697">
        <f t="shared" si="58"/>
        <v>54295.191999999995</v>
      </c>
      <c r="AP91" s="697">
        <f>IF(AP$4='Additional Initiatives'!$B$163,'Additional Initiatives'!$B250,IF(AP$4='Additional Initiatives'!$C$163,'Additional Initiatives'!$C250,IF(AP$4='Additional Initiatives'!$D$163,'Additional Initiatives'!$D250,IF(AP$4='Additional Initiatives'!$E$163,'Additional Initiatives'!$E250,IF(AP$4='Additional Initiatives'!$F$163,'Additional Initiatives'!$F250,0)))))+AP90</f>
        <v>0</v>
      </c>
      <c r="AQ91" s="697">
        <f>IF(AQ$4='Additional Initiatives'!$B$163,'Additional Initiatives'!$B250,IF(AQ$4='Additional Initiatives'!$C$163,'Additional Initiatives'!$C250,IF(AQ$4='Additional Initiatives'!$D$163,'Additional Initiatives'!$D250,IF(AQ$4='Additional Initiatives'!$E$163,'Additional Initiatives'!$E250,IF(AQ$4='Additional Initiatives'!$F$163,'Additional Initiatives'!$F250,0)))))+AQ90</f>
        <v>0</v>
      </c>
      <c r="AR91" s="697">
        <f>IF(AR$4='Additional Initiatives'!$B$163,'Additional Initiatives'!$B250,IF(AR$4='Additional Initiatives'!$C$163,'Additional Initiatives'!$C250,IF(AR$4='Additional Initiatives'!$D$163,'Additional Initiatives'!$D250,IF(AR$4='Additional Initiatives'!$E$163,'Additional Initiatives'!$E250,IF(AR$4='Additional Initiatives'!$F$163,'Additional Initiatives'!$F250,0)))))+AR90</f>
        <v>0</v>
      </c>
      <c r="AS91" s="697">
        <f t="shared" si="59"/>
        <v>0</v>
      </c>
      <c r="AT91" s="696">
        <f t="shared" si="55"/>
        <v>121911.80837090002</v>
      </c>
      <c r="AU91" s="696">
        <f t="shared" si="60"/>
        <v>25394.250457001559</v>
      </c>
      <c r="AV91" s="696">
        <f t="shared" si="61"/>
        <v>0</v>
      </c>
      <c r="AW91" s="696">
        <f t="shared" si="62"/>
        <v>0</v>
      </c>
      <c r="AX91" s="696">
        <f t="shared" si="63"/>
        <v>25828.950288959997</v>
      </c>
      <c r="AY91" s="696">
        <f t="shared" si="64"/>
        <v>10645.061538461536</v>
      </c>
      <c r="AZ91" s="696">
        <f t="shared" si="65"/>
        <v>7996.1538461538476</v>
      </c>
      <c r="BA91" s="696">
        <f t="shared" si="66"/>
        <v>6106.1538461538457</v>
      </c>
      <c r="BB91" s="696">
        <f t="shared" si="67"/>
        <v>0</v>
      </c>
      <c r="BC91" s="696">
        <f>IF(BC$4='Additional Initiatives'!$B$163,'Additional Initiatives'!$B250,IF(BC$4='Additional Initiatives'!$C$163,'Additional Initiatives'!$C250,IF(BC$4='Additional Initiatives'!$D$163,'Additional Initiatives'!$D250,IF(BC$4='Additional Initiatives'!$E$163,'Additional Initiatives'!$E250,IF(BC$4='Additional Initiatives'!$F$163,'Additional Initiatives'!$F250,0)))))+BC90</f>
        <v>0</v>
      </c>
      <c r="BD91" s="696">
        <f>IF(BD$4='Additional Initiatives'!$B$163,'Additional Initiatives'!$B250,IF(BD$4='Additional Initiatives'!$C$163,'Additional Initiatives'!$C250,IF(BD$4='Additional Initiatives'!$D$163,'Additional Initiatives'!$D250,IF(BD$4='Additional Initiatives'!$E$163,'Additional Initiatives'!$E250,IF(BD$4='Additional Initiatives'!$F$163,'Additional Initiatives'!$F250,0)))))+BD90</f>
        <v>0</v>
      </c>
      <c r="BE91" s="696">
        <f>IF(BE$4='Additional Initiatives'!$B$163,'Additional Initiatives'!$B250,IF(BE$4='Additional Initiatives'!$C$163,'Additional Initiatives'!$C250,IF(BE$4='Additional Initiatives'!$D$163,'Additional Initiatives'!$D250,IF(BE$4='Additional Initiatives'!$E$163,'Additional Initiatives'!$E250,IF(BE$4='Additional Initiatives'!$F$163,'Additional Initiatives'!$F250,0)))))+BE90</f>
        <v>0</v>
      </c>
      <c r="BF91" s="696">
        <f t="shared" si="68"/>
        <v>0</v>
      </c>
    </row>
    <row r="92" spans="1:58">
      <c r="A92" s="21" t="s">
        <v>20</v>
      </c>
      <c r="B92" s="672">
        <f>'Data Entry Fuel'!B91*'Data Entry Fuel'!B243
+'Data Entry Fuel'!C91*'Data Entry Fuel'!C243
+'Data Entry Fuel'!D91*'Data Entry Fuel'!D243
+'Data Entry Fuel'!E91*'Data Entry Fuel'!E243
+'Data Entry Fuel'!F91*'Data Entry Fuel'!F243
+'Data Entry Fuel'!G91*'Data Entry Fuel'!G243
+'Data Entry Fuel'!H91*'Data Entry Fuel'!H243
+'Data Entry Fuel'!I91*'Data Entry Fuel'!I243
+'Data Entry Fuel'!J91*'Data Entry Fuel'!J243</f>
        <v>0</v>
      </c>
      <c r="C92" s="672">
        <f>'Data Entry Fuel'!B91*'Data Entry Fuel'!B243
+'Data Entry Fuel'!C91*'Data Entry Fuel'!C243
+'Data Entry Fuel'!D91*'Data Entry Fuel'!D243
+'Data Entry Fuel'!E91*'Data Entry Fuel'!E243
+'Data Entry Fuel'!F91*'Data Entry Fuel'!F243
+'Data Entry Fuel'!G91*'Data Entry Fuel'!G243
+'Data Entry Fuel'!H91*'Data Entry Fuel'!H243
+'Data Entry Fuel'!I91*'Data Entry Fuel'!C243 *   (1 -  0.13 * 'Data Entry Fuel'!I$3)
+'Data Entry Fuel'!J91*'Data Entry Fuel'!J243</f>
        <v>0</v>
      </c>
      <c r="D92" s="677">
        <f>'Data Entry Electricity'!B91*'Data Entry Electricity'!L91+'Data Entry Electricity'!C91*'Data Entry Electricity'!M91+'Data Entry Electricity'!D91*'Data Entry Electricity'!N91+'Data Entry Electricity'!E91*'Data Entry Electricity'!O91</f>
        <v>0</v>
      </c>
      <c r="E92" s="776">
        <f>'Data Entry Electricity'!B91*'Data Entry Electricity'!L91+'Data Entry Electricity'!C91*'Data Entry Electricity'!L91+'Data Entry Electricity'!D91*'Data Entry Electricity'!N91+'Data Entry Electricity'!E91*'Data Entry Electricity'!O91</f>
        <v>0</v>
      </c>
      <c r="F92" s="777">
        <f>(SUM('Fuel Equipment Savings Calculat'!$B89:$S89))+(SUM('Efficient Site Offices DD &amp; Cal'!$B125:$F125))+'PFC Calculations'!$G90+(SUM('Behaviour Calculations'!$E96,'Behaviour Calculations'!$J96,'Behaviour Calculations'!$O96))+(SUM('Reduced Power Lighting Calculat'!$B90:$F90)+SUM('Hybrid Lighting Calculations'!$B94:$F94)+('PIR Lighting Calculations'!$H90)+SUM('Water Calculations'!$B90:$G90)+'Additional Initiatives'!$H103)</f>
        <v>0</v>
      </c>
      <c r="G92" s="778">
        <f t="shared" si="40"/>
        <v>0</v>
      </c>
      <c r="H92" s="778">
        <f t="shared" si="45"/>
        <v>0</v>
      </c>
      <c r="I92" s="778">
        <f t="shared" si="41"/>
        <v>0</v>
      </c>
      <c r="J92" s="798">
        <f t="shared" si="46"/>
        <v>1668015.7406375667</v>
      </c>
      <c r="K92" s="779">
        <f t="shared" si="47"/>
        <v>2056931.9678366459</v>
      </c>
      <c r="L92" s="780">
        <f t="shared" si="42"/>
        <v>0</v>
      </c>
      <c r="M92" s="780">
        <f t="shared" si="43"/>
        <v>0.18907588256704344</v>
      </c>
      <c r="N92" s="781">
        <f t="shared" si="44"/>
        <v>0</v>
      </c>
      <c r="O92" s="781">
        <f t="shared" si="56"/>
        <v>388916.22719907941</v>
      </c>
      <c r="Q92" s="683">
        <f t="shared" si="48"/>
        <v>1546103.9322666666</v>
      </c>
      <c r="R92" s="683">
        <f t="shared" si="49"/>
        <v>121911.80837090002</v>
      </c>
      <c r="T92" s="673">
        <f t="shared" si="50"/>
        <v>0</v>
      </c>
      <c r="U92" s="674">
        <f>'Fuel Equipment Savings Calculat'!$V89</f>
        <v>0</v>
      </c>
      <c r="V92" s="674">
        <f>'Efficient Site Offices DD &amp; Cal'!$H125</f>
        <v>0</v>
      </c>
      <c r="W92" s="674">
        <f>'PFC Calculations'!$G90</f>
        <v>0</v>
      </c>
      <c r="X92" s="674">
        <f>'Behaviour Calculations'!$E96</f>
        <v>0</v>
      </c>
      <c r="Y92" s="674">
        <f>'Behaviour Calculations'!$J96</f>
        <v>0</v>
      </c>
      <c r="Z92" s="674">
        <f>'Behaviour Calculations'!$O96</f>
        <v>0</v>
      </c>
      <c r="AA92" s="674">
        <f>'Reduced Power Lighting Calculat'!$H90</f>
        <v>0</v>
      </c>
      <c r="AB92" s="674">
        <f>'Hybrid Lighting Calculations'!H94</f>
        <v>0</v>
      </c>
      <c r="AC92" s="674">
        <f>'PIR Lighting Calculations'!$H90</f>
        <v>0</v>
      </c>
      <c r="AD92" s="674">
        <f>'Water Calculations'!$I90</f>
        <v>0</v>
      </c>
      <c r="AE92" s="674">
        <f>'Additional Initiatives'!$H103</f>
        <v>0</v>
      </c>
      <c r="AF92" s="679">
        <f t="shared" si="51"/>
        <v>0</v>
      </c>
      <c r="AG92" s="679">
        <f>(C92-B92) - (0.13 * 'Data Entry Fuel'!I$3) * (U92+AB92)</f>
        <v>0</v>
      </c>
      <c r="AH92" s="5"/>
      <c r="AI92" s="19">
        <v>1610</v>
      </c>
      <c r="AJ92" s="19">
        <f t="shared" si="52"/>
        <v>2016</v>
      </c>
      <c r="AK92" s="19">
        <f t="shared" si="53"/>
        <v>10</v>
      </c>
      <c r="AL92" s="19">
        <v>88</v>
      </c>
      <c r="AM92" s="697">
        <f t="shared" si="54"/>
        <v>1546103.9322666666</v>
      </c>
      <c r="AN92" s="697">
        <f t="shared" si="57"/>
        <v>258650.4652223486</v>
      </c>
      <c r="AO92" s="697">
        <f t="shared" si="58"/>
        <v>54295.191999999995</v>
      </c>
      <c r="AP92" s="697">
        <f>IF(AP$4='Additional Initiatives'!$B$163,'Additional Initiatives'!$B251,IF(AP$4='Additional Initiatives'!$C$163,'Additional Initiatives'!$C251,IF(AP$4='Additional Initiatives'!$D$163,'Additional Initiatives'!$D251,IF(AP$4='Additional Initiatives'!$E$163,'Additional Initiatives'!$E251,IF(AP$4='Additional Initiatives'!$F$163,'Additional Initiatives'!$F251,0)))))+AP91</f>
        <v>0</v>
      </c>
      <c r="AQ92" s="697">
        <f>IF(AQ$4='Additional Initiatives'!$B$163,'Additional Initiatives'!$B251,IF(AQ$4='Additional Initiatives'!$C$163,'Additional Initiatives'!$C251,IF(AQ$4='Additional Initiatives'!$D$163,'Additional Initiatives'!$D251,IF(AQ$4='Additional Initiatives'!$E$163,'Additional Initiatives'!$E251,IF(AQ$4='Additional Initiatives'!$F$163,'Additional Initiatives'!$F251,0)))))+AQ91</f>
        <v>0</v>
      </c>
      <c r="AR92" s="697">
        <f>IF(AR$4='Additional Initiatives'!$B$163,'Additional Initiatives'!$B251,IF(AR$4='Additional Initiatives'!$C$163,'Additional Initiatives'!$C251,IF(AR$4='Additional Initiatives'!$D$163,'Additional Initiatives'!$D251,IF(AR$4='Additional Initiatives'!$E$163,'Additional Initiatives'!$E251,IF(AR$4='Additional Initiatives'!$F$163,'Additional Initiatives'!$F251,0)))))+AR91</f>
        <v>0</v>
      </c>
      <c r="AS92" s="697">
        <f t="shared" si="59"/>
        <v>0</v>
      </c>
      <c r="AT92" s="696">
        <f t="shared" si="55"/>
        <v>121911.80837090002</v>
      </c>
      <c r="AU92" s="696">
        <f t="shared" si="60"/>
        <v>25394.250457001559</v>
      </c>
      <c r="AV92" s="696">
        <f t="shared" si="61"/>
        <v>0</v>
      </c>
      <c r="AW92" s="696">
        <f t="shared" si="62"/>
        <v>0</v>
      </c>
      <c r="AX92" s="696">
        <f t="shared" si="63"/>
        <v>25828.950288959997</v>
      </c>
      <c r="AY92" s="696">
        <f t="shared" si="64"/>
        <v>10645.061538461536</v>
      </c>
      <c r="AZ92" s="696">
        <f t="shared" si="65"/>
        <v>7996.1538461538476</v>
      </c>
      <c r="BA92" s="696">
        <f t="shared" si="66"/>
        <v>6106.1538461538457</v>
      </c>
      <c r="BB92" s="696">
        <f t="shared" si="67"/>
        <v>0</v>
      </c>
      <c r="BC92" s="696">
        <f>IF(BC$4='Additional Initiatives'!$B$163,'Additional Initiatives'!$B251,IF(BC$4='Additional Initiatives'!$C$163,'Additional Initiatives'!$C251,IF(BC$4='Additional Initiatives'!$D$163,'Additional Initiatives'!$D251,IF(BC$4='Additional Initiatives'!$E$163,'Additional Initiatives'!$E251,IF(BC$4='Additional Initiatives'!$F$163,'Additional Initiatives'!$F251,0)))))+BC91</f>
        <v>0</v>
      </c>
      <c r="BD92" s="696">
        <f>IF(BD$4='Additional Initiatives'!$B$163,'Additional Initiatives'!$B251,IF(BD$4='Additional Initiatives'!$C$163,'Additional Initiatives'!$C251,IF(BD$4='Additional Initiatives'!$D$163,'Additional Initiatives'!$D251,IF(BD$4='Additional Initiatives'!$E$163,'Additional Initiatives'!$E251,IF(BD$4='Additional Initiatives'!$F$163,'Additional Initiatives'!$F251,0)))))+BD91</f>
        <v>0</v>
      </c>
      <c r="BE92" s="696">
        <f>IF(BE$4='Additional Initiatives'!$B$163,'Additional Initiatives'!$B251,IF(BE$4='Additional Initiatives'!$C$163,'Additional Initiatives'!$C251,IF(BE$4='Additional Initiatives'!$D$163,'Additional Initiatives'!$D251,IF(BE$4='Additional Initiatives'!$E$163,'Additional Initiatives'!$E251,IF(BE$4='Additional Initiatives'!$F$163,'Additional Initiatives'!$F251,0)))))+BE91</f>
        <v>0</v>
      </c>
      <c r="BF92" s="696">
        <f t="shared" si="68"/>
        <v>0</v>
      </c>
    </row>
    <row r="93" spans="1:58">
      <c r="A93" s="21" t="s">
        <v>21</v>
      </c>
      <c r="B93" s="672">
        <f>'Data Entry Fuel'!B92*'Data Entry Fuel'!B244
+'Data Entry Fuel'!C92*'Data Entry Fuel'!C244
+'Data Entry Fuel'!D92*'Data Entry Fuel'!D244
+'Data Entry Fuel'!E92*'Data Entry Fuel'!E244
+'Data Entry Fuel'!F92*'Data Entry Fuel'!F244
+'Data Entry Fuel'!G92*'Data Entry Fuel'!G244
+'Data Entry Fuel'!H92*'Data Entry Fuel'!H244
+'Data Entry Fuel'!I92*'Data Entry Fuel'!I244
+'Data Entry Fuel'!J92*'Data Entry Fuel'!J244</f>
        <v>0</v>
      </c>
      <c r="C93" s="672">
        <f>'Data Entry Fuel'!B92*'Data Entry Fuel'!B244
+'Data Entry Fuel'!C92*'Data Entry Fuel'!C244
+'Data Entry Fuel'!D92*'Data Entry Fuel'!D244
+'Data Entry Fuel'!E92*'Data Entry Fuel'!E244
+'Data Entry Fuel'!F92*'Data Entry Fuel'!F244
+'Data Entry Fuel'!G92*'Data Entry Fuel'!G244
+'Data Entry Fuel'!H92*'Data Entry Fuel'!H244
+'Data Entry Fuel'!I92*'Data Entry Fuel'!C244 *   (1 -  0.13 * 'Data Entry Fuel'!I$3)
+'Data Entry Fuel'!J92*'Data Entry Fuel'!J244</f>
        <v>0</v>
      </c>
      <c r="D93" s="677">
        <f>'Data Entry Electricity'!B92*'Data Entry Electricity'!L92+'Data Entry Electricity'!C92*'Data Entry Electricity'!M92+'Data Entry Electricity'!D92*'Data Entry Electricity'!N92+'Data Entry Electricity'!E92*'Data Entry Electricity'!O92</f>
        <v>0</v>
      </c>
      <c r="E93" s="776">
        <f>'Data Entry Electricity'!B92*'Data Entry Electricity'!L92+'Data Entry Electricity'!C92*'Data Entry Electricity'!L92+'Data Entry Electricity'!D92*'Data Entry Electricity'!N92+'Data Entry Electricity'!E92*'Data Entry Electricity'!O92</f>
        <v>0</v>
      </c>
      <c r="F93" s="777">
        <f>(SUM('Fuel Equipment Savings Calculat'!$B90:$S90))+(SUM('Efficient Site Offices DD &amp; Cal'!$B126:$F126))+'PFC Calculations'!$G91+(SUM('Behaviour Calculations'!$E97,'Behaviour Calculations'!$J97,'Behaviour Calculations'!$O97))+(SUM('Reduced Power Lighting Calculat'!$B91:$F91)+SUM('Hybrid Lighting Calculations'!$B95:$F95)+('PIR Lighting Calculations'!$H91)+SUM('Water Calculations'!$B91:$G91)+'Additional Initiatives'!$H104)</f>
        <v>0</v>
      </c>
      <c r="G93" s="778">
        <f t="shared" si="40"/>
        <v>0</v>
      </c>
      <c r="H93" s="778">
        <f t="shared" si="45"/>
        <v>0</v>
      </c>
      <c r="I93" s="778">
        <f t="shared" si="41"/>
        <v>0</v>
      </c>
      <c r="J93" s="798">
        <f t="shared" si="46"/>
        <v>1668015.7406375667</v>
      </c>
      <c r="K93" s="779">
        <f t="shared" si="47"/>
        <v>2056931.9678366459</v>
      </c>
      <c r="L93" s="780">
        <f t="shared" si="42"/>
        <v>0</v>
      </c>
      <c r="M93" s="780">
        <f t="shared" si="43"/>
        <v>0.18907588256704344</v>
      </c>
      <c r="N93" s="781">
        <f t="shared" si="44"/>
        <v>0</v>
      </c>
      <c r="O93" s="781">
        <f t="shared" si="56"/>
        <v>388916.22719907941</v>
      </c>
      <c r="Q93" s="683">
        <f t="shared" si="48"/>
        <v>1546103.9322666666</v>
      </c>
      <c r="R93" s="683">
        <f t="shared" si="49"/>
        <v>121911.80837090002</v>
      </c>
      <c r="T93" s="673">
        <f t="shared" si="50"/>
        <v>0</v>
      </c>
      <c r="U93" s="674">
        <f>'Fuel Equipment Savings Calculat'!$V90</f>
        <v>0</v>
      </c>
      <c r="V93" s="674">
        <f>'Efficient Site Offices DD &amp; Cal'!$H126</f>
        <v>0</v>
      </c>
      <c r="W93" s="674">
        <f>'PFC Calculations'!$G91</f>
        <v>0</v>
      </c>
      <c r="X93" s="674">
        <f>'Behaviour Calculations'!$E97</f>
        <v>0</v>
      </c>
      <c r="Y93" s="674">
        <f>'Behaviour Calculations'!$J97</f>
        <v>0</v>
      </c>
      <c r="Z93" s="674">
        <f>'Behaviour Calculations'!$O97</f>
        <v>0</v>
      </c>
      <c r="AA93" s="674">
        <f>'Reduced Power Lighting Calculat'!$H91</f>
        <v>0</v>
      </c>
      <c r="AB93" s="674">
        <f>'Hybrid Lighting Calculations'!H95</f>
        <v>0</v>
      </c>
      <c r="AC93" s="674">
        <f>'PIR Lighting Calculations'!$H91</f>
        <v>0</v>
      </c>
      <c r="AD93" s="674">
        <f>'Water Calculations'!$I91</f>
        <v>0</v>
      </c>
      <c r="AE93" s="674">
        <f>'Additional Initiatives'!$H104</f>
        <v>0</v>
      </c>
      <c r="AF93" s="679">
        <f t="shared" si="51"/>
        <v>0</v>
      </c>
      <c r="AG93" s="679">
        <f>(C93-B93) - (0.13 * 'Data Entry Fuel'!I$3) * (U93+AB93)</f>
        <v>0</v>
      </c>
      <c r="AH93" s="5"/>
      <c r="AI93" s="19">
        <v>1611</v>
      </c>
      <c r="AJ93" s="19">
        <f t="shared" si="52"/>
        <v>2016</v>
      </c>
      <c r="AK93" s="19">
        <f t="shared" si="53"/>
        <v>10</v>
      </c>
      <c r="AL93" s="19">
        <v>89</v>
      </c>
      <c r="AM93" s="697">
        <f t="shared" si="54"/>
        <v>1546103.9322666666</v>
      </c>
      <c r="AN93" s="697">
        <f t="shared" si="57"/>
        <v>258650.4652223486</v>
      </c>
      <c r="AO93" s="697">
        <f t="shared" si="58"/>
        <v>54295.191999999995</v>
      </c>
      <c r="AP93" s="697">
        <f>IF(AP$4='Additional Initiatives'!$B$163,'Additional Initiatives'!$B252,IF(AP$4='Additional Initiatives'!$C$163,'Additional Initiatives'!$C252,IF(AP$4='Additional Initiatives'!$D$163,'Additional Initiatives'!$D252,IF(AP$4='Additional Initiatives'!$E$163,'Additional Initiatives'!$E252,IF(AP$4='Additional Initiatives'!$F$163,'Additional Initiatives'!$F252,0)))))+AP92</f>
        <v>0</v>
      </c>
      <c r="AQ93" s="697">
        <f>IF(AQ$4='Additional Initiatives'!$B$163,'Additional Initiatives'!$B252,IF(AQ$4='Additional Initiatives'!$C$163,'Additional Initiatives'!$C252,IF(AQ$4='Additional Initiatives'!$D$163,'Additional Initiatives'!$D252,IF(AQ$4='Additional Initiatives'!$E$163,'Additional Initiatives'!$E252,IF(AQ$4='Additional Initiatives'!$F$163,'Additional Initiatives'!$F252,0)))))+AQ92</f>
        <v>0</v>
      </c>
      <c r="AR93" s="697">
        <f>IF(AR$4='Additional Initiatives'!$B$163,'Additional Initiatives'!$B252,IF(AR$4='Additional Initiatives'!$C$163,'Additional Initiatives'!$C252,IF(AR$4='Additional Initiatives'!$D$163,'Additional Initiatives'!$D252,IF(AR$4='Additional Initiatives'!$E$163,'Additional Initiatives'!$E252,IF(AR$4='Additional Initiatives'!$F$163,'Additional Initiatives'!$F252,0)))))+AR92</f>
        <v>0</v>
      </c>
      <c r="AS93" s="697">
        <f t="shared" si="59"/>
        <v>0</v>
      </c>
      <c r="AT93" s="696">
        <f t="shared" si="55"/>
        <v>121911.80837090002</v>
      </c>
      <c r="AU93" s="696">
        <f t="shared" si="60"/>
        <v>25394.250457001559</v>
      </c>
      <c r="AV93" s="696">
        <f t="shared" si="61"/>
        <v>0</v>
      </c>
      <c r="AW93" s="696">
        <f t="shared" si="62"/>
        <v>0</v>
      </c>
      <c r="AX93" s="696">
        <f t="shared" si="63"/>
        <v>25828.950288959997</v>
      </c>
      <c r="AY93" s="696">
        <f t="shared" si="64"/>
        <v>10645.061538461536</v>
      </c>
      <c r="AZ93" s="696">
        <f t="shared" si="65"/>
        <v>7996.1538461538476</v>
      </c>
      <c r="BA93" s="696">
        <f t="shared" si="66"/>
        <v>6106.1538461538457</v>
      </c>
      <c r="BB93" s="696">
        <f t="shared" si="67"/>
        <v>0</v>
      </c>
      <c r="BC93" s="696">
        <f>IF(BC$4='Additional Initiatives'!$B$163,'Additional Initiatives'!$B252,IF(BC$4='Additional Initiatives'!$C$163,'Additional Initiatives'!$C252,IF(BC$4='Additional Initiatives'!$D$163,'Additional Initiatives'!$D252,IF(BC$4='Additional Initiatives'!$E$163,'Additional Initiatives'!$E252,IF(BC$4='Additional Initiatives'!$F$163,'Additional Initiatives'!$F252,0)))))+BC92</f>
        <v>0</v>
      </c>
      <c r="BD93" s="696">
        <f>IF(BD$4='Additional Initiatives'!$B$163,'Additional Initiatives'!$B252,IF(BD$4='Additional Initiatives'!$C$163,'Additional Initiatives'!$C252,IF(BD$4='Additional Initiatives'!$D$163,'Additional Initiatives'!$D252,IF(BD$4='Additional Initiatives'!$E$163,'Additional Initiatives'!$E252,IF(BD$4='Additional Initiatives'!$F$163,'Additional Initiatives'!$F252,0)))))+BD92</f>
        <v>0</v>
      </c>
      <c r="BE93" s="696">
        <f>IF(BE$4='Additional Initiatives'!$B$163,'Additional Initiatives'!$B252,IF(BE$4='Additional Initiatives'!$C$163,'Additional Initiatives'!$C252,IF(BE$4='Additional Initiatives'!$D$163,'Additional Initiatives'!$D252,IF(BE$4='Additional Initiatives'!$E$163,'Additional Initiatives'!$E252,IF(BE$4='Additional Initiatives'!$F$163,'Additional Initiatives'!$F252,0)))))+BE92</f>
        <v>0</v>
      </c>
      <c r="BF93" s="696">
        <f t="shared" si="68"/>
        <v>0</v>
      </c>
    </row>
    <row r="94" spans="1:58">
      <c r="A94" s="21" t="s">
        <v>22</v>
      </c>
      <c r="B94" s="672">
        <f>'Data Entry Fuel'!B93*'Data Entry Fuel'!B245
+'Data Entry Fuel'!C93*'Data Entry Fuel'!C245
+'Data Entry Fuel'!D93*'Data Entry Fuel'!D245
+'Data Entry Fuel'!E93*'Data Entry Fuel'!E245
+'Data Entry Fuel'!F93*'Data Entry Fuel'!F245
+'Data Entry Fuel'!G93*'Data Entry Fuel'!G245
+'Data Entry Fuel'!H93*'Data Entry Fuel'!H245
+'Data Entry Fuel'!I93*'Data Entry Fuel'!I245
+'Data Entry Fuel'!J93*'Data Entry Fuel'!J245</f>
        <v>0</v>
      </c>
      <c r="C94" s="672">
        <f>'Data Entry Fuel'!B93*'Data Entry Fuel'!B245
+'Data Entry Fuel'!C93*'Data Entry Fuel'!C245
+'Data Entry Fuel'!D93*'Data Entry Fuel'!D245
+'Data Entry Fuel'!E93*'Data Entry Fuel'!E245
+'Data Entry Fuel'!F93*'Data Entry Fuel'!F245
+'Data Entry Fuel'!G93*'Data Entry Fuel'!G245
+'Data Entry Fuel'!H93*'Data Entry Fuel'!H245
+'Data Entry Fuel'!I93*'Data Entry Fuel'!C245 *   (1 -  0.13 * 'Data Entry Fuel'!I$3)
+'Data Entry Fuel'!J93*'Data Entry Fuel'!J245</f>
        <v>0</v>
      </c>
      <c r="D94" s="677">
        <f>'Data Entry Electricity'!B93*'Data Entry Electricity'!L93+'Data Entry Electricity'!C93*'Data Entry Electricity'!M93+'Data Entry Electricity'!D93*'Data Entry Electricity'!N93+'Data Entry Electricity'!E93*'Data Entry Electricity'!O93</f>
        <v>0</v>
      </c>
      <c r="E94" s="776">
        <f>'Data Entry Electricity'!B93*'Data Entry Electricity'!L93+'Data Entry Electricity'!C93*'Data Entry Electricity'!L93+'Data Entry Electricity'!D93*'Data Entry Electricity'!N93+'Data Entry Electricity'!E93*'Data Entry Electricity'!O93</f>
        <v>0</v>
      </c>
      <c r="F94" s="777">
        <f>(SUM('Fuel Equipment Savings Calculat'!$B91:$S91))+(SUM('Efficient Site Offices DD &amp; Cal'!$B127:$F127))+'PFC Calculations'!$G92+(SUM('Behaviour Calculations'!$E98,'Behaviour Calculations'!$J98,'Behaviour Calculations'!$O98))+(SUM('Reduced Power Lighting Calculat'!$B92:$F92)+SUM('Hybrid Lighting Calculations'!$B96:$F96)+('PIR Lighting Calculations'!$H92)+SUM('Water Calculations'!$B92:$G92)+'Additional Initiatives'!$H105)</f>
        <v>0</v>
      </c>
      <c r="G94" s="778">
        <f t="shared" si="40"/>
        <v>0</v>
      </c>
      <c r="H94" s="778">
        <f t="shared" si="45"/>
        <v>0</v>
      </c>
      <c r="I94" s="778">
        <f t="shared" si="41"/>
        <v>0</v>
      </c>
      <c r="J94" s="798">
        <f t="shared" si="46"/>
        <v>1668015.7406375667</v>
      </c>
      <c r="K94" s="779">
        <f t="shared" si="47"/>
        <v>2056931.9678366459</v>
      </c>
      <c r="L94" s="780">
        <f t="shared" si="42"/>
        <v>0</v>
      </c>
      <c r="M94" s="780">
        <f t="shared" si="43"/>
        <v>0.18907588256704344</v>
      </c>
      <c r="N94" s="781">
        <f t="shared" si="44"/>
        <v>0</v>
      </c>
      <c r="O94" s="781">
        <f t="shared" si="56"/>
        <v>388916.22719907941</v>
      </c>
      <c r="Q94" s="683">
        <f t="shared" si="48"/>
        <v>1546103.9322666666</v>
      </c>
      <c r="R94" s="683">
        <f t="shared" si="49"/>
        <v>121911.80837090002</v>
      </c>
      <c r="T94" s="673">
        <f t="shared" si="50"/>
        <v>0</v>
      </c>
      <c r="U94" s="674">
        <f>'Fuel Equipment Savings Calculat'!$V91</f>
        <v>0</v>
      </c>
      <c r="V94" s="674">
        <f>'Efficient Site Offices DD &amp; Cal'!$H127</f>
        <v>0</v>
      </c>
      <c r="W94" s="674">
        <f>'PFC Calculations'!$G92</f>
        <v>0</v>
      </c>
      <c r="X94" s="674">
        <f>'Behaviour Calculations'!$E98</f>
        <v>0</v>
      </c>
      <c r="Y94" s="674">
        <f>'Behaviour Calculations'!$J98</f>
        <v>0</v>
      </c>
      <c r="Z94" s="674">
        <f>'Behaviour Calculations'!$O98</f>
        <v>0</v>
      </c>
      <c r="AA94" s="674">
        <f>'Reduced Power Lighting Calculat'!$H92</f>
        <v>0</v>
      </c>
      <c r="AB94" s="674">
        <f>'Hybrid Lighting Calculations'!H96</f>
        <v>0</v>
      </c>
      <c r="AC94" s="674">
        <f>'PIR Lighting Calculations'!$H92</f>
        <v>0</v>
      </c>
      <c r="AD94" s="674">
        <f>'Water Calculations'!$I92</f>
        <v>0</v>
      </c>
      <c r="AE94" s="674">
        <f>'Additional Initiatives'!$H105</f>
        <v>0</v>
      </c>
      <c r="AF94" s="679">
        <f t="shared" si="51"/>
        <v>0</v>
      </c>
      <c r="AG94" s="679">
        <f>(C94-B94) - (0.13 * 'Data Entry Fuel'!I$3) * (U94+AB94)</f>
        <v>0</v>
      </c>
      <c r="AH94" s="5"/>
      <c r="AI94" s="19">
        <v>1612</v>
      </c>
      <c r="AJ94" s="19">
        <f t="shared" si="52"/>
        <v>2016</v>
      </c>
      <c r="AK94" s="19">
        <f t="shared" si="53"/>
        <v>10</v>
      </c>
      <c r="AL94" s="19">
        <v>90</v>
      </c>
      <c r="AM94" s="697">
        <f t="shared" si="54"/>
        <v>1546103.9322666666</v>
      </c>
      <c r="AN94" s="697">
        <f t="shared" si="57"/>
        <v>258650.4652223486</v>
      </c>
      <c r="AO94" s="697">
        <f t="shared" si="58"/>
        <v>54295.191999999995</v>
      </c>
      <c r="AP94" s="697">
        <f>IF(AP$4='Additional Initiatives'!$B$163,'Additional Initiatives'!$B253,IF(AP$4='Additional Initiatives'!$C$163,'Additional Initiatives'!$C253,IF(AP$4='Additional Initiatives'!$D$163,'Additional Initiatives'!$D253,IF(AP$4='Additional Initiatives'!$E$163,'Additional Initiatives'!$E253,IF(AP$4='Additional Initiatives'!$F$163,'Additional Initiatives'!$F253,0)))))+AP93</f>
        <v>0</v>
      </c>
      <c r="AQ94" s="697">
        <f>IF(AQ$4='Additional Initiatives'!$B$163,'Additional Initiatives'!$B253,IF(AQ$4='Additional Initiatives'!$C$163,'Additional Initiatives'!$C253,IF(AQ$4='Additional Initiatives'!$D$163,'Additional Initiatives'!$D253,IF(AQ$4='Additional Initiatives'!$E$163,'Additional Initiatives'!$E253,IF(AQ$4='Additional Initiatives'!$F$163,'Additional Initiatives'!$F253,0)))))+AQ93</f>
        <v>0</v>
      </c>
      <c r="AR94" s="697">
        <f>IF(AR$4='Additional Initiatives'!$B$163,'Additional Initiatives'!$B253,IF(AR$4='Additional Initiatives'!$C$163,'Additional Initiatives'!$C253,IF(AR$4='Additional Initiatives'!$D$163,'Additional Initiatives'!$D253,IF(AR$4='Additional Initiatives'!$E$163,'Additional Initiatives'!$E253,IF(AR$4='Additional Initiatives'!$F$163,'Additional Initiatives'!$F253,0)))))+AR93</f>
        <v>0</v>
      </c>
      <c r="AS94" s="697">
        <f t="shared" si="59"/>
        <v>0</v>
      </c>
      <c r="AT94" s="696">
        <f t="shared" si="55"/>
        <v>121911.80837090002</v>
      </c>
      <c r="AU94" s="696">
        <f t="shared" si="60"/>
        <v>25394.250457001559</v>
      </c>
      <c r="AV94" s="696">
        <f t="shared" si="61"/>
        <v>0</v>
      </c>
      <c r="AW94" s="696">
        <f t="shared" si="62"/>
        <v>0</v>
      </c>
      <c r="AX94" s="696">
        <f t="shared" si="63"/>
        <v>25828.950288959997</v>
      </c>
      <c r="AY94" s="696">
        <f t="shared" si="64"/>
        <v>10645.061538461536</v>
      </c>
      <c r="AZ94" s="696">
        <f t="shared" si="65"/>
        <v>7996.1538461538476</v>
      </c>
      <c r="BA94" s="696">
        <f t="shared" si="66"/>
        <v>6106.1538461538457</v>
      </c>
      <c r="BB94" s="696">
        <f t="shared" si="67"/>
        <v>0</v>
      </c>
      <c r="BC94" s="696">
        <f>IF(BC$4='Additional Initiatives'!$B$163,'Additional Initiatives'!$B253,IF(BC$4='Additional Initiatives'!$C$163,'Additional Initiatives'!$C253,IF(BC$4='Additional Initiatives'!$D$163,'Additional Initiatives'!$D253,IF(BC$4='Additional Initiatives'!$E$163,'Additional Initiatives'!$E253,IF(BC$4='Additional Initiatives'!$F$163,'Additional Initiatives'!$F253,0)))))+BC93</f>
        <v>0</v>
      </c>
      <c r="BD94" s="696">
        <f>IF(BD$4='Additional Initiatives'!$B$163,'Additional Initiatives'!$B253,IF(BD$4='Additional Initiatives'!$C$163,'Additional Initiatives'!$C253,IF(BD$4='Additional Initiatives'!$D$163,'Additional Initiatives'!$D253,IF(BD$4='Additional Initiatives'!$E$163,'Additional Initiatives'!$E253,IF(BD$4='Additional Initiatives'!$F$163,'Additional Initiatives'!$F253,0)))))+BD93</f>
        <v>0</v>
      </c>
      <c r="BE94" s="696">
        <f>IF(BE$4='Additional Initiatives'!$B$163,'Additional Initiatives'!$B253,IF(BE$4='Additional Initiatives'!$C$163,'Additional Initiatives'!$C253,IF(BE$4='Additional Initiatives'!$D$163,'Additional Initiatives'!$D253,IF(BE$4='Additional Initiatives'!$E$163,'Additional Initiatives'!$E253,IF(BE$4='Additional Initiatives'!$F$163,'Additional Initiatives'!$F253,0)))))+BE93</f>
        <v>0</v>
      </c>
      <c r="BF94" s="696">
        <f t="shared" si="68"/>
        <v>0</v>
      </c>
    </row>
    <row r="95" spans="1:58">
      <c r="A95" s="21" t="s">
        <v>23</v>
      </c>
      <c r="B95" s="672">
        <f>'Data Entry Fuel'!B94*'Data Entry Fuel'!B246
+'Data Entry Fuel'!C94*'Data Entry Fuel'!C246
+'Data Entry Fuel'!D94*'Data Entry Fuel'!D246
+'Data Entry Fuel'!E94*'Data Entry Fuel'!E246
+'Data Entry Fuel'!F94*'Data Entry Fuel'!F246
+'Data Entry Fuel'!G94*'Data Entry Fuel'!G246
+'Data Entry Fuel'!H94*'Data Entry Fuel'!H246
+'Data Entry Fuel'!I94*'Data Entry Fuel'!I246
+'Data Entry Fuel'!J94*'Data Entry Fuel'!J246</f>
        <v>0</v>
      </c>
      <c r="C95" s="672">
        <f>'Data Entry Fuel'!B94*'Data Entry Fuel'!B246
+'Data Entry Fuel'!C94*'Data Entry Fuel'!C246
+'Data Entry Fuel'!D94*'Data Entry Fuel'!D246
+'Data Entry Fuel'!E94*'Data Entry Fuel'!E246
+'Data Entry Fuel'!F94*'Data Entry Fuel'!F246
+'Data Entry Fuel'!G94*'Data Entry Fuel'!G246
+'Data Entry Fuel'!H94*'Data Entry Fuel'!H246
+'Data Entry Fuel'!I94*'Data Entry Fuel'!C246 *   (1 -  0.13 * 'Data Entry Fuel'!I$3)
+'Data Entry Fuel'!J94*'Data Entry Fuel'!J246</f>
        <v>0</v>
      </c>
      <c r="D95" s="677">
        <f>'Data Entry Electricity'!B94*'Data Entry Electricity'!L94+'Data Entry Electricity'!C94*'Data Entry Electricity'!M94+'Data Entry Electricity'!D94*'Data Entry Electricity'!N94+'Data Entry Electricity'!E94*'Data Entry Electricity'!O94</f>
        <v>0</v>
      </c>
      <c r="E95" s="776">
        <f>'Data Entry Electricity'!B94*'Data Entry Electricity'!L94+'Data Entry Electricity'!C94*'Data Entry Electricity'!L94+'Data Entry Electricity'!D94*'Data Entry Electricity'!N94+'Data Entry Electricity'!E94*'Data Entry Electricity'!O94</f>
        <v>0</v>
      </c>
      <c r="F95" s="777">
        <f>(SUM('Fuel Equipment Savings Calculat'!$B92:$S92))+(SUM('Efficient Site Offices DD &amp; Cal'!$B128:$F128))+'PFC Calculations'!$G93+(SUM('Behaviour Calculations'!$E99,'Behaviour Calculations'!$J99,'Behaviour Calculations'!$O99))+(SUM('Reduced Power Lighting Calculat'!$B93:$F93)+SUM('Hybrid Lighting Calculations'!$B97:$F97)+('PIR Lighting Calculations'!$H93)+SUM('Water Calculations'!$B93:$G93)+'Additional Initiatives'!$H106)</f>
        <v>0</v>
      </c>
      <c r="G95" s="778">
        <f t="shared" si="40"/>
        <v>0</v>
      </c>
      <c r="H95" s="778">
        <f t="shared" si="45"/>
        <v>0</v>
      </c>
      <c r="I95" s="778">
        <f t="shared" si="41"/>
        <v>0</v>
      </c>
      <c r="J95" s="798">
        <f t="shared" si="46"/>
        <v>1668015.7406375667</v>
      </c>
      <c r="K95" s="779">
        <f t="shared" si="47"/>
        <v>2056931.9678366459</v>
      </c>
      <c r="L95" s="780">
        <f t="shared" si="42"/>
        <v>0</v>
      </c>
      <c r="M95" s="780">
        <f t="shared" si="43"/>
        <v>0.18907588256704344</v>
      </c>
      <c r="N95" s="781">
        <f t="shared" si="44"/>
        <v>0</v>
      </c>
      <c r="O95" s="781">
        <f t="shared" si="56"/>
        <v>388916.22719907941</v>
      </c>
      <c r="Q95" s="683">
        <f t="shared" si="48"/>
        <v>1546103.9322666666</v>
      </c>
      <c r="R95" s="683">
        <f t="shared" si="49"/>
        <v>121911.80837090002</v>
      </c>
      <c r="T95" s="673">
        <f t="shared" si="50"/>
        <v>0</v>
      </c>
      <c r="U95" s="674">
        <f>'Fuel Equipment Savings Calculat'!$V92</f>
        <v>0</v>
      </c>
      <c r="V95" s="674">
        <f>'Efficient Site Offices DD &amp; Cal'!$H128</f>
        <v>0</v>
      </c>
      <c r="W95" s="674">
        <f>'PFC Calculations'!$G93</f>
        <v>0</v>
      </c>
      <c r="X95" s="674">
        <f>'Behaviour Calculations'!$E99</f>
        <v>0</v>
      </c>
      <c r="Y95" s="674">
        <f>'Behaviour Calculations'!$J99</f>
        <v>0</v>
      </c>
      <c r="Z95" s="674">
        <f>'Behaviour Calculations'!$O99</f>
        <v>0</v>
      </c>
      <c r="AA95" s="674">
        <f>'Reduced Power Lighting Calculat'!$H93</f>
        <v>0</v>
      </c>
      <c r="AB95" s="674">
        <f>'Hybrid Lighting Calculations'!H97</f>
        <v>0</v>
      </c>
      <c r="AC95" s="674">
        <f>'PIR Lighting Calculations'!$H93</f>
        <v>0</v>
      </c>
      <c r="AD95" s="674">
        <f>'Water Calculations'!$I93</f>
        <v>0</v>
      </c>
      <c r="AE95" s="674">
        <f>'Additional Initiatives'!$H106</f>
        <v>0</v>
      </c>
      <c r="AF95" s="679">
        <f t="shared" si="51"/>
        <v>0</v>
      </c>
      <c r="AG95" s="679">
        <f>(C95-B95) - (0.13 * 'Data Entry Fuel'!I$3) * (U95+AB95)</f>
        <v>0</v>
      </c>
      <c r="AH95" s="5"/>
      <c r="AI95" s="19">
        <v>1613</v>
      </c>
      <c r="AJ95" s="19">
        <f t="shared" si="52"/>
        <v>2016</v>
      </c>
      <c r="AK95" s="19">
        <f t="shared" si="53"/>
        <v>10</v>
      </c>
      <c r="AL95" s="19">
        <v>91</v>
      </c>
      <c r="AM95" s="697">
        <f t="shared" si="54"/>
        <v>1546103.9322666666</v>
      </c>
      <c r="AN95" s="697">
        <f t="shared" si="57"/>
        <v>258650.4652223486</v>
      </c>
      <c r="AO95" s="697">
        <f t="shared" si="58"/>
        <v>54295.191999999995</v>
      </c>
      <c r="AP95" s="697">
        <f>IF(AP$4='Additional Initiatives'!$B$163,'Additional Initiatives'!$B254,IF(AP$4='Additional Initiatives'!$C$163,'Additional Initiatives'!$C254,IF(AP$4='Additional Initiatives'!$D$163,'Additional Initiatives'!$D254,IF(AP$4='Additional Initiatives'!$E$163,'Additional Initiatives'!$E254,IF(AP$4='Additional Initiatives'!$F$163,'Additional Initiatives'!$F254,0)))))+AP94</f>
        <v>0</v>
      </c>
      <c r="AQ95" s="697">
        <f>IF(AQ$4='Additional Initiatives'!$B$163,'Additional Initiatives'!$B254,IF(AQ$4='Additional Initiatives'!$C$163,'Additional Initiatives'!$C254,IF(AQ$4='Additional Initiatives'!$D$163,'Additional Initiatives'!$D254,IF(AQ$4='Additional Initiatives'!$E$163,'Additional Initiatives'!$E254,IF(AQ$4='Additional Initiatives'!$F$163,'Additional Initiatives'!$F254,0)))))+AQ94</f>
        <v>0</v>
      </c>
      <c r="AR95" s="697">
        <f>IF(AR$4='Additional Initiatives'!$B$163,'Additional Initiatives'!$B254,IF(AR$4='Additional Initiatives'!$C$163,'Additional Initiatives'!$C254,IF(AR$4='Additional Initiatives'!$D$163,'Additional Initiatives'!$D254,IF(AR$4='Additional Initiatives'!$E$163,'Additional Initiatives'!$E254,IF(AR$4='Additional Initiatives'!$F$163,'Additional Initiatives'!$F254,0)))))+AR94</f>
        <v>0</v>
      </c>
      <c r="AS95" s="697">
        <f t="shared" si="59"/>
        <v>0</v>
      </c>
      <c r="AT95" s="696">
        <f t="shared" si="55"/>
        <v>121911.80837090002</v>
      </c>
      <c r="AU95" s="696">
        <f t="shared" si="60"/>
        <v>25394.250457001559</v>
      </c>
      <c r="AV95" s="696">
        <f t="shared" si="61"/>
        <v>0</v>
      </c>
      <c r="AW95" s="696">
        <f t="shared" si="62"/>
        <v>0</v>
      </c>
      <c r="AX95" s="696">
        <f t="shared" si="63"/>
        <v>25828.950288959997</v>
      </c>
      <c r="AY95" s="696">
        <f t="shared" si="64"/>
        <v>10645.061538461536</v>
      </c>
      <c r="AZ95" s="696">
        <f t="shared" si="65"/>
        <v>7996.1538461538476</v>
      </c>
      <c r="BA95" s="696">
        <f t="shared" si="66"/>
        <v>6106.1538461538457</v>
      </c>
      <c r="BB95" s="696">
        <f t="shared" si="67"/>
        <v>0</v>
      </c>
      <c r="BC95" s="696">
        <f>IF(BC$4='Additional Initiatives'!$B$163,'Additional Initiatives'!$B254,IF(BC$4='Additional Initiatives'!$C$163,'Additional Initiatives'!$C254,IF(BC$4='Additional Initiatives'!$D$163,'Additional Initiatives'!$D254,IF(BC$4='Additional Initiatives'!$E$163,'Additional Initiatives'!$E254,IF(BC$4='Additional Initiatives'!$F$163,'Additional Initiatives'!$F254,0)))))+BC94</f>
        <v>0</v>
      </c>
      <c r="BD95" s="696">
        <f>IF(BD$4='Additional Initiatives'!$B$163,'Additional Initiatives'!$B254,IF(BD$4='Additional Initiatives'!$C$163,'Additional Initiatives'!$C254,IF(BD$4='Additional Initiatives'!$D$163,'Additional Initiatives'!$D254,IF(BD$4='Additional Initiatives'!$E$163,'Additional Initiatives'!$E254,IF(BD$4='Additional Initiatives'!$F$163,'Additional Initiatives'!$F254,0)))))+BD94</f>
        <v>0</v>
      </c>
      <c r="BE95" s="696">
        <f>IF(BE$4='Additional Initiatives'!$B$163,'Additional Initiatives'!$B254,IF(BE$4='Additional Initiatives'!$C$163,'Additional Initiatives'!$C254,IF(BE$4='Additional Initiatives'!$D$163,'Additional Initiatives'!$D254,IF(BE$4='Additional Initiatives'!$E$163,'Additional Initiatives'!$E254,IF(BE$4='Additional Initiatives'!$F$163,'Additional Initiatives'!$F254,0)))))+BE94</f>
        <v>0</v>
      </c>
      <c r="BF95" s="696">
        <f t="shared" si="68"/>
        <v>0</v>
      </c>
    </row>
    <row r="96" spans="1:58">
      <c r="A96" s="21" t="s">
        <v>974</v>
      </c>
      <c r="B96" s="672">
        <f>'Data Entry Fuel'!B95*'Data Entry Fuel'!B247
+'Data Entry Fuel'!C95*'Data Entry Fuel'!C247
+'Data Entry Fuel'!D95*'Data Entry Fuel'!D247
+'Data Entry Fuel'!E95*'Data Entry Fuel'!E247
+'Data Entry Fuel'!F95*'Data Entry Fuel'!F247
+'Data Entry Fuel'!G95*'Data Entry Fuel'!G247
+'Data Entry Fuel'!H95*'Data Entry Fuel'!H247
+'Data Entry Fuel'!I95*'Data Entry Fuel'!I247
+'Data Entry Fuel'!J95*'Data Entry Fuel'!J247</f>
        <v>0</v>
      </c>
      <c r="C96" s="672">
        <f>'Data Entry Fuel'!B95*'Data Entry Fuel'!B247
+'Data Entry Fuel'!C95*'Data Entry Fuel'!C247
+'Data Entry Fuel'!D95*'Data Entry Fuel'!D247
+'Data Entry Fuel'!E95*'Data Entry Fuel'!E247
+'Data Entry Fuel'!F95*'Data Entry Fuel'!F247
+'Data Entry Fuel'!G95*'Data Entry Fuel'!G247
+'Data Entry Fuel'!H95*'Data Entry Fuel'!H247
+'Data Entry Fuel'!I95*'Data Entry Fuel'!C247 *   (1 -  0.13 * 'Data Entry Fuel'!I$3)
+'Data Entry Fuel'!J95*'Data Entry Fuel'!J247</f>
        <v>0</v>
      </c>
      <c r="D96" s="677">
        <f>'Data Entry Electricity'!B95*'Data Entry Electricity'!L95+'Data Entry Electricity'!C95*'Data Entry Electricity'!M95+'Data Entry Electricity'!D95*'Data Entry Electricity'!N95+'Data Entry Electricity'!E95*'Data Entry Electricity'!O95</f>
        <v>0</v>
      </c>
      <c r="E96" s="776">
        <f>'Data Entry Electricity'!B95*'Data Entry Electricity'!L95+'Data Entry Electricity'!C95*'Data Entry Electricity'!L95+'Data Entry Electricity'!D95*'Data Entry Electricity'!N95+'Data Entry Electricity'!E95*'Data Entry Electricity'!O95</f>
        <v>0</v>
      </c>
      <c r="F96" s="777">
        <f>(SUM('Fuel Equipment Savings Calculat'!$B93:$S93))+(SUM('Efficient Site Offices DD &amp; Cal'!$B129:$F129))+'PFC Calculations'!$G94+(SUM('Behaviour Calculations'!$E100,'Behaviour Calculations'!$J100,'Behaviour Calculations'!$O100))+(SUM('Reduced Power Lighting Calculat'!$B94:$F94)+SUM('Hybrid Lighting Calculations'!$B98:$F98)+('PIR Lighting Calculations'!$H94)+SUM('Water Calculations'!$B94:$G94)+'Additional Initiatives'!$H107)</f>
        <v>0</v>
      </c>
      <c r="G96" s="778">
        <f t="shared" si="40"/>
        <v>0</v>
      </c>
      <c r="H96" s="778">
        <f t="shared" si="45"/>
        <v>0</v>
      </c>
      <c r="I96" s="778">
        <f t="shared" si="41"/>
        <v>0</v>
      </c>
      <c r="J96" s="798">
        <f t="shared" si="46"/>
        <v>1668015.7406375667</v>
      </c>
      <c r="K96" s="779">
        <f t="shared" si="47"/>
        <v>2056931.9678366459</v>
      </c>
      <c r="L96" s="780">
        <f t="shared" si="42"/>
        <v>0</v>
      </c>
      <c r="M96" s="780">
        <f t="shared" si="43"/>
        <v>0.18907588256704344</v>
      </c>
      <c r="N96" s="781">
        <f t="shared" si="44"/>
        <v>0</v>
      </c>
      <c r="O96" s="781">
        <f t="shared" si="56"/>
        <v>388916.22719907941</v>
      </c>
      <c r="Q96" s="683">
        <f t="shared" si="48"/>
        <v>1546103.9322666666</v>
      </c>
      <c r="R96" s="683">
        <f t="shared" si="49"/>
        <v>121911.80837090002</v>
      </c>
      <c r="T96" s="673">
        <f t="shared" si="50"/>
        <v>0</v>
      </c>
      <c r="U96" s="674">
        <f>'Fuel Equipment Savings Calculat'!$V93</f>
        <v>0</v>
      </c>
      <c r="V96" s="674">
        <f>'Efficient Site Offices DD &amp; Cal'!$H129</f>
        <v>0</v>
      </c>
      <c r="W96" s="674">
        <f>'PFC Calculations'!$G94</f>
        <v>0</v>
      </c>
      <c r="X96" s="674">
        <f>'Behaviour Calculations'!$E100</f>
        <v>0</v>
      </c>
      <c r="Y96" s="674">
        <f>'Behaviour Calculations'!$J100</f>
        <v>0</v>
      </c>
      <c r="Z96" s="674">
        <f>'Behaviour Calculations'!$O100</f>
        <v>0</v>
      </c>
      <c r="AA96" s="674">
        <f>'Reduced Power Lighting Calculat'!$H94</f>
        <v>0</v>
      </c>
      <c r="AB96" s="674">
        <f>'Hybrid Lighting Calculations'!H98</f>
        <v>0</v>
      </c>
      <c r="AC96" s="674">
        <f>'PIR Lighting Calculations'!$H94</f>
        <v>0</v>
      </c>
      <c r="AD96" s="674">
        <f>'Water Calculations'!$I94</f>
        <v>0</v>
      </c>
      <c r="AE96" s="674">
        <f>'Additional Initiatives'!$H107</f>
        <v>0</v>
      </c>
      <c r="AF96" s="679">
        <f t="shared" si="51"/>
        <v>0</v>
      </c>
      <c r="AG96" s="679">
        <f>(C96-B96) - (0.13 * 'Data Entry Fuel'!I$3) * (U96+AB96)</f>
        <v>0</v>
      </c>
      <c r="AH96" s="5"/>
      <c r="AI96" s="19">
        <v>1701</v>
      </c>
      <c r="AJ96" s="19">
        <f t="shared" si="52"/>
        <v>2016</v>
      </c>
      <c r="AK96" s="19">
        <f t="shared" si="53"/>
        <v>10</v>
      </c>
      <c r="AL96" s="19">
        <v>92</v>
      </c>
      <c r="AM96" s="697">
        <f t="shared" si="54"/>
        <v>1546103.9322666666</v>
      </c>
      <c r="AN96" s="697">
        <f t="shared" si="57"/>
        <v>258650.4652223486</v>
      </c>
      <c r="AO96" s="697">
        <f t="shared" si="58"/>
        <v>54295.191999999995</v>
      </c>
      <c r="AP96" s="697">
        <f>IF(AP$4='Additional Initiatives'!$B$163,'Additional Initiatives'!$B255,IF(AP$4='Additional Initiatives'!$C$163,'Additional Initiatives'!$C255,IF(AP$4='Additional Initiatives'!$D$163,'Additional Initiatives'!$D255,IF(AP$4='Additional Initiatives'!$E$163,'Additional Initiatives'!$E255,IF(AP$4='Additional Initiatives'!$F$163,'Additional Initiatives'!$F255,0)))))+AP95</f>
        <v>0</v>
      </c>
      <c r="AQ96" s="697">
        <f>IF(AQ$4='Additional Initiatives'!$B$163,'Additional Initiatives'!$B255,IF(AQ$4='Additional Initiatives'!$C$163,'Additional Initiatives'!$C255,IF(AQ$4='Additional Initiatives'!$D$163,'Additional Initiatives'!$D255,IF(AQ$4='Additional Initiatives'!$E$163,'Additional Initiatives'!$E255,IF(AQ$4='Additional Initiatives'!$F$163,'Additional Initiatives'!$F255,0)))))+AQ95</f>
        <v>0</v>
      </c>
      <c r="AR96" s="697">
        <f>IF(AR$4='Additional Initiatives'!$B$163,'Additional Initiatives'!$B255,IF(AR$4='Additional Initiatives'!$C$163,'Additional Initiatives'!$C255,IF(AR$4='Additional Initiatives'!$D$163,'Additional Initiatives'!$D255,IF(AR$4='Additional Initiatives'!$E$163,'Additional Initiatives'!$E255,IF(AR$4='Additional Initiatives'!$F$163,'Additional Initiatives'!$F255,0)))))+AR95</f>
        <v>0</v>
      </c>
      <c r="AS96" s="697">
        <f t="shared" si="59"/>
        <v>0</v>
      </c>
      <c r="AT96" s="696">
        <f t="shared" si="55"/>
        <v>121911.80837090002</v>
      </c>
      <c r="AU96" s="696">
        <f t="shared" si="60"/>
        <v>25394.250457001559</v>
      </c>
      <c r="AV96" s="696">
        <f t="shared" si="61"/>
        <v>0</v>
      </c>
      <c r="AW96" s="696">
        <f t="shared" si="62"/>
        <v>0</v>
      </c>
      <c r="AX96" s="696">
        <f t="shared" si="63"/>
        <v>25828.950288959997</v>
      </c>
      <c r="AY96" s="696">
        <f t="shared" si="64"/>
        <v>10645.061538461536</v>
      </c>
      <c r="AZ96" s="696">
        <f t="shared" si="65"/>
        <v>7996.1538461538476</v>
      </c>
      <c r="BA96" s="696">
        <f t="shared" si="66"/>
        <v>6106.1538461538457</v>
      </c>
      <c r="BB96" s="696">
        <f t="shared" si="67"/>
        <v>0</v>
      </c>
      <c r="BC96" s="696">
        <f>IF(BC$4='Additional Initiatives'!$B$163,'Additional Initiatives'!$B255,IF(BC$4='Additional Initiatives'!$C$163,'Additional Initiatives'!$C255,IF(BC$4='Additional Initiatives'!$D$163,'Additional Initiatives'!$D255,IF(BC$4='Additional Initiatives'!$E$163,'Additional Initiatives'!$E255,IF(BC$4='Additional Initiatives'!$F$163,'Additional Initiatives'!$F255,0)))))+BC95</f>
        <v>0</v>
      </c>
      <c r="BD96" s="696">
        <f>IF(BD$4='Additional Initiatives'!$B$163,'Additional Initiatives'!$B255,IF(BD$4='Additional Initiatives'!$C$163,'Additional Initiatives'!$C255,IF(BD$4='Additional Initiatives'!$D$163,'Additional Initiatives'!$D255,IF(BD$4='Additional Initiatives'!$E$163,'Additional Initiatives'!$E255,IF(BD$4='Additional Initiatives'!$F$163,'Additional Initiatives'!$F255,0)))))+BD95</f>
        <v>0</v>
      </c>
      <c r="BE96" s="696">
        <f>IF(BE$4='Additional Initiatives'!$B$163,'Additional Initiatives'!$B255,IF(BE$4='Additional Initiatives'!$C$163,'Additional Initiatives'!$C255,IF(BE$4='Additional Initiatives'!$D$163,'Additional Initiatives'!$D255,IF(BE$4='Additional Initiatives'!$E$163,'Additional Initiatives'!$E255,IF(BE$4='Additional Initiatives'!$F$163,'Additional Initiatives'!$F255,0)))))+BE95</f>
        <v>0</v>
      </c>
      <c r="BF96" s="696">
        <f t="shared" si="68"/>
        <v>0</v>
      </c>
    </row>
    <row r="97" spans="1:58">
      <c r="A97" s="21" t="s">
        <v>975</v>
      </c>
      <c r="B97" s="672">
        <f>'Data Entry Fuel'!B96*'Data Entry Fuel'!B248
+'Data Entry Fuel'!C96*'Data Entry Fuel'!C248
+'Data Entry Fuel'!D96*'Data Entry Fuel'!D248
+'Data Entry Fuel'!E96*'Data Entry Fuel'!E248
+'Data Entry Fuel'!F96*'Data Entry Fuel'!F248
+'Data Entry Fuel'!G96*'Data Entry Fuel'!G248
+'Data Entry Fuel'!H96*'Data Entry Fuel'!H248
+'Data Entry Fuel'!I96*'Data Entry Fuel'!I248
+'Data Entry Fuel'!J96*'Data Entry Fuel'!J248</f>
        <v>0</v>
      </c>
      <c r="C97" s="672">
        <f>'Data Entry Fuel'!B96*'Data Entry Fuel'!B248
+'Data Entry Fuel'!C96*'Data Entry Fuel'!C248
+'Data Entry Fuel'!D96*'Data Entry Fuel'!D248
+'Data Entry Fuel'!E96*'Data Entry Fuel'!E248
+'Data Entry Fuel'!F96*'Data Entry Fuel'!F248
+'Data Entry Fuel'!G96*'Data Entry Fuel'!G248
+'Data Entry Fuel'!H96*'Data Entry Fuel'!H248
+'Data Entry Fuel'!I96*'Data Entry Fuel'!C248 *   (1 -  0.13 * 'Data Entry Fuel'!I$3)
+'Data Entry Fuel'!J96*'Data Entry Fuel'!J248</f>
        <v>0</v>
      </c>
      <c r="D97" s="677">
        <f>'Data Entry Electricity'!B96*'Data Entry Electricity'!L96+'Data Entry Electricity'!C96*'Data Entry Electricity'!M96+'Data Entry Electricity'!D96*'Data Entry Electricity'!N96+'Data Entry Electricity'!E96*'Data Entry Electricity'!O96</f>
        <v>0</v>
      </c>
      <c r="E97" s="776">
        <f>'Data Entry Electricity'!B96*'Data Entry Electricity'!L96+'Data Entry Electricity'!C96*'Data Entry Electricity'!L96+'Data Entry Electricity'!D96*'Data Entry Electricity'!N96+'Data Entry Electricity'!E96*'Data Entry Electricity'!O96</f>
        <v>0</v>
      </c>
      <c r="F97" s="777">
        <f>(SUM('Fuel Equipment Savings Calculat'!$B94:$S94))+(SUM('Efficient Site Offices DD &amp; Cal'!$B130:$F130))+'PFC Calculations'!$G95+(SUM('Behaviour Calculations'!$E101,'Behaviour Calculations'!$J101,'Behaviour Calculations'!$O101))+(SUM('Reduced Power Lighting Calculat'!$B95:$F95)+SUM('Hybrid Lighting Calculations'!$B99:$F99)+('PIR Lighting Calculations'!$H95)+SUM('Water Calculations'!$B95:$G95)+'Additional Initiatives'!$H108)</f>
        <v>0</v>
      </c>
      <c r="G97" s="778">
        <f t="shared" si="40"/>
        <v>0</v>
      </c>
      <c r="H97" s="778">
        <f t="shared" si="45"/>
        <v>0</v>
      </c>
      <c r="I97" s="778">
        <f t="shared" si="41"/>
        <v>0</v>
      </c>
      <c r="J97" s="798">
        <f t="shared" si="46"/>
        <v>1668015.7406375667</v>
      </c>
      <c r="K97" s="779">
        <f t="shared" si="47"/>
        <v>2056931.9678366459</v>
      </c>
      <c r="L97" s="780">
        <f t="shared" si="42"/>
        <v>0</v>
      </c>
      <c r="M97" s="780">
        <f t="shared" si="43"/>
        <v>0.18907588256704344</v>
      </c>
      <c r="N97" s="781">
        <f t="shared" si="44"/>
        <v>0</v>
      </c>
      <c r="O97" s="781">
        <f t="shared" si="56"/>
        <v>388916.22719907941</v>
      </c>
      <c r="Q97" s="683">
        <f t="shared" si="48"/>
        <v>1546103.9322666666</v>
      </c>
      <c r="R97" s="683">
        <f t="shared" si="49"/>
        <v>121911.80837090002</v>
      </c>
      <c r="T97" s="673">
        <f t="shared" si="50"/>
        <v>0</v>
      </c>
      <c r="U97" s="674">
        <f>'Fuel Equipment Savings Calculat'!$V94</f>
        <v>0</v>
      </c>
      <c r="V97" s="674">
        <f>'Efficient Site Offices DD &amp; Cal'!$H130</f>
        <v>0</v>
      </c>
      <c r="W97" s="674">
        <f>'PFC Calculations'!$G95</f>
        <v>0</v>
      </c>
      <c r="X97" s="674">
        <f>'Behaviour Calculations'!$E101</f>
        <v>0</v>
      </c>
      <c r="Y97" s="674">
        <f>'Behaviour Calculations'!$J101</f>
        <v>0</v>
      </c>
      <c r="Z97" s="674">
        <f>'Behaviour Calculations'!$O101</f>
        <v>0</v>
      </c>
      <c r="AA97" s="674">
        <f>'Reduced Power Lighting Calculat'!$H95</f>
        <v>0</v>
      </c>
      <c r="AB97" s="674">
        <f>'Hybrid Lighting Calculations'!H99</f>
        <v>0</v>
      </c>
      <c r="AC97" s="674">
        <f>'PIR Lighting Calculations'!$H95</f>
        <v>0</v>
      </c>
      <c r="AD97" s="674">
        <f>'Water Calculations'!$I95</f>
        <v>0</v>
      </c>
      <c r="AE97" s="674">
        <f>'Additional Initiatives'!$H108</f>
        <v>0</v>
      </c>
      <c r="AF97" s="679">
        <f t="shared" si="51"/>
        <v>0</v>
      </c>
      <c r="AG97" s="679">
        <f>(C97-B97) - (0.13 * 'Data Entry Fuel'!I$3) * (U97+AB97)</f>
        <v>0</v>
      </c>
      <c r="AH97" s="5"/>
      <c r="AI97" s="19">
        <v>1702</v>
      </c>
      <c r="AJ97" s="19">
        <f t="shared" si="52"/>
        <v>2016</v>
      </c>
      <c r="AK97" s="19">
        <f t="shared" si="53"/>
        <v>10</v>
      </c>
      <c r="AL97" s="19">
        <v>93</v>
      </c>
      <c r="AM97" s="697">
        <f t="shared" si="54"/>
        <v>1546103.9322666666</v>
      </c>
      <c r="AN97" s="697">
        <f t="shared" si="57"/>
        <v>258650.4652223486</v>
      </c>
      <c r="AO97" s="697">
        <f t="shared" si="58"/>
        <v>54295.191999999995</v>
      </c>
      <c r="AP97" s="697">
        <f>IF(AP$4='Additional Initiatives'!$B$163,'Additional Initiatives'!$B256,IF(AP$4='Additional Initiatives'!$C$163,'Additional Initiatives'!$C256,IF(AP$4='Additional Initiatives'!$D$163,'Additional Initiatives'!$D256,IF(AP$4='Additional Initiatives'!$E$163,'Additional Initiatives'!$E256,IF(AP$4='Additional Initiatives'!$F$163,'Additional Initiatives'!$F256,0)))))+AP96</f>
        <v>0</v>
      </c>
      <c r="AQ97" s="697">
        <f>IF(AQ$4='Additional Initiatives'!$B$163,'Additional Initiatives'!$B256,IF(AQ$4='Additional Initiatives'!$C$163,'Additional Initiatives'!$C256,IF(AQ$4='Additional Initiatives'!$D$163,'Additional Initiatives'!$D256,IF(AQ$4='Additional Initiatives'!$E$163,'Additional Initiatives'!$E256,IF(AQ$4='Additional Initiatives'!$F$163,'Additional Initiatives'!$F256,0)))))+AQ96</f>
        <v>0</v>
      </c>
      <c r="AR97" s="697">
        <f>IF(AR$4='Additional Initiatives'!$B$163,'Additional Initiatives'!$B256,IF(AR$4='Additional Initiatives'!$C$163,'Additional Initiatives'!$C256,IF(AR$4='Additional Initiatives'!$D$163,'Additional Initiatives'!$D256,IF(AR$4='Additional Initiatives'!$E$163,'Additional Initiatives'!$E256,IF(AR$4='Additional Initiatives'!$F$163,'Additional Initiatives'!$F256,0)))))+AR96</f>
        <v>0</v>
      </c>
      <c r="AS97" s="697">
        <f t="shared" si="59"/>
        <v>0</v>
      </c>
      <c r="AT97" s="696">
        <f t="shared" si="55"/>
        <v>121911.80837090002</v>
      </c>
      <c r="AU97" s="696">
        <f t="shared" si="60"/>
        <v>25394.250457001559</v>
      </c>
      <c r="AV97" s="696">
        <f t="shared" si="61"/>
        <v>0</v>
      </c>
      <c r="AW97" s="696">
        <f t="shared" si="62"/>
        <v>0</v>
      </c>
      <c r="AX97" s="696">
        <f t="shared" si="63"/>
        <v>25828.950288959997</v>
      </c>
      <c r="AY97" s="696">
        <f t="shared" si="64"/>
        <v>10645.061538461536</v>
      </c>
      <c r="AZ97" s="696">
        <f t="shared" si="65"/>
        <v>7996.1538461538476</v>
      </c>
      <c r="BA97" s="696">
        <f t="shared" si="66"/>
        <v>6106.1538461538457</v>
      </c>
      <c r="BB97" s="696">
        <f t="shared" si="67"/>
        <v>0</v>
      </c>
      <c r="BC97" s="696">
        <f>IF(BC$4='Additional Initiatives'!$B$163,'Additional Initiatives'!$B256,IF(BC$4='Additional Initiatives'!$C$163,'Additional Initiatives'!$C256,IF(BC$4='Additional Initiatives'!$D$163,'Additional Initiatives'!$D256,IF(BC$4='Additional Initiatives'!$E$163,'Additional Initiatives'!$E256,IF(BC$4='Additional Initiatives'!$F$163,'Additional Initiatives'!$F256,0)))))+BC96</f>
        <v>0</v>
      </c>
      <c r="BD97" s="696">
        <f>IF(BD$4='Additional Initiatives'!$B$163,'Additional Initiatives'!$B256,IF(BD$4='Additional Initiatives'!$C$163,'Additional Initiatives'!$C256,IF(BD$4='Additional Initiatives'!$D$163,'Additional Initiatives'!$D256,IF(BD$4='Additional Initiatives'!$E$163,'Additional Initiatives'!$E256,IF(BD$4='Additional Initiatives'!$F$163,'Additional Initiatives'!$F256,0)))))+BD96</f>
        <v>0</v>
      </c>
      <c r="BE97" s="696">
        <f>IF(BE$4='Additional Initiatives'!$B$163,'Additional Initiatives'!$B256,IF(BE$4='Additional Initiatives'!$C$163,'Additional Initiatives'!$C256,IF(BE$4='Additional Initiatives'!$D$163,'Additional Initiatives'!$D256,IF(BE$4='Additional Initiatives'!$E$163,'Additional Initiatives'!$E256,IF(BE$4='Additional Initiatives'!$F$163,'Additional Initiatives'!$F256,0)))))+BE96</f>
        <v>0</v>
      </c>
      <c r="BF97" s="696">
        <f t="shared" si="68"/>
        <v>0</v>
      </c>
    </row>
    <row r="98" spans="1:58">
      <c r="A98" s="21" t="s">
        <v>976</v>
      </c>
      <c r="B98" s="672">
        <f>'Data Entry Fuel'!B97*'Data Entry Fuel'!B249
+'Data Entry Fuel'!C97*'Data Entry Fuel'!C249
+'Data Entry Fuel'!D97*'Data Entry Fuel'!D249
+'Data Entry Fuel'!E97*'Data Entry Fuel'!E249
+'Data Entry Fuel'!F97*'Data Entry Fuel'!F249
+'Data Entry Fuel'!G97*'Data Entry Fuel'!G249
+'Data Entry Fuel'!H97*'Data Entry Fuel'!H249
+'Data Entry Fuel'!I97*'Data Entry Fuel'!I249
+'Data Entry Fuel'!J97*'Data Entry Fuel'!J249</f>
        <v>0</v>
      </c>
      <c r="C98" s="672">
        <f>'Data Entry Fuel'!B97*'Data Entry Fuel'!B249
+'Data Entry Fuel'!C97*'Data Entry Fuel'!C249
+'Data Entry Fuel'!D97*'Data Entry Fuel'!D249
+'Data Entry Fuel'!E97*'Data Entry Fuel'!E249
+'Data Entry Fuel'!F97*'Data Entry Fuel'!F249
+'Data Entry Fuel'!G97*'Data Entry Fuel'!G249
+'Data Entry Fuel'!H97*'Data Entry Fuel'!H249
+'Data Entry Fuel'!I97*'Data Entry Fuel'!C249 *   (1 -  0.13 * 'Data Entry Fuel'!I$3)
+'Data Entry Fuel'!J97*'Data Entry Fuel'!J249</f>
        <v>0</v>
      </c>
      <c r="D98" s="677">
        <f>'Data Entry Electricity'!B97*'Data Entry Electricity'!L97+'Data Entry Electricity'!C97*'Data Entry Electricity'!M97+'Data Entry Electricity'!D97*'Data Entry Electricity'!N97+'Data Entry Electricity'!E97*'Data Entry Electricity'!O97</f>
        <v>0</v>
      </c>
      <c r="E98" s="776">
        <f>'Data Entry Electricity'!B97*'Data Entry Electricity'!L97+'Data Entry Electricity'!C97*'Data Entry Electricity'!L97+'Data Entry Electricity'!D97*'Data Entry Electricity'!N97+'Data Entry Electricity'!E97*'Data Entry Electricity'!O97</f>
        <v>0</v>
      </c>
      <c r="F98" s="777">
        <f>(SUM('Fuel Equipment Savings Calculat'!$B95:$S95))+(SUM('Efficient Site Offices DD &amp; Cal'!$B131:$F131))+'PFC Calculations'!$G96+(SUM('Behaviour Calculations'!$E102,'Behaviour Calculations'!$J102,'Behaviour Calculations'!$O102))+(SUM('Reduced Power Lighting Calculat'!$B96:$F96)+SUM('Hybrid Lighting Calculations'!$B100:$F100)+('PIR Lighting Calculations'!$H96)+SUM('Water Calculations'!$B96:$G96)+'Additional Initiatives'!$H109)</f>
        <v>0</v>
      </c>
      <c r="G98" s="778">
        <f t="shared" si="40"/>
        <v>0</v>
      </c>
      <c r="H98" s="778">
        <f t="shared" si="45"/>
        <v>0</v>
      </c>
      <c r="I98" s="778">
        <f t="shared" si="41"/>
        <v>0</v>
      </c>
      <c r="J98" s="798">
        <f t="shared" si="46"/>
        <v>1668015.7406375667</v>
      </c>
      <c r="K98" s="779">
        <f t="shared" si="47"/>
        <v>2056931.9678366459</v>
      </c>
      <c r="L98" s="780">
        <f t="shared" si="42"/>
        <v>0</v>
      </c>
      <c r="M98" s="780">
        <f t="shared" si="43"/>
        <v>0.18907588256704344</v>
      </c>
      <c r="N98" s="781">
        <f t="shared" si="44"/>
        <v>0</v>
      </c>
      <c r="O98" s="781">
        <f t="shared" si="56"/>
        <v>388916.22719907941</v>
      </c>
      <c r="Q98" s="683">
        <f t="shared" si="48"/>
        <v>1546103.9322666666</v>
      </c>
      <c r="R98" s="683">
        <f t="shared" si="49"/>
        <v>121911.80837090002</v>
      </c>
      <c r="T98" s="673">
        <f t="shared" si="50"/>
        <v>0</v>
      </c>
      <c r="U98" s="674">
        <f>'Fuel Equipment Savings Calculat'!$V95</f>
        <v>0</v>
      </c>
      <c r="V98" s="674">
        <f>'Efficient Site Offices DD &amp; Cal'!$H131</f>
        <v>0</v>
      </c>
      <c r="W98" s="674">
        <f>'PFC Calculations'!$G96</f>
        <v>0</v>
      </c>
      <c r="X98" s="674">
        <f>'Behaviour Calculations'!$E102</f>
        <v>0</v>
      </c>
      <c r="Y98" s="674">
        <f>'Behaviour Calculations'!$J102</f>
        <v>0</v>
      </c>
      <c r="Z98" s="674">
        <f>'Behaviour Calculations'!$O102</f>
        <v>0</v>
      </c>
      <c r="AA98" s="674">
        <f>'Reduced Power Lighting Calculat'!$H96</f>
        <v>0</v>
      </c>
      <c r="AB98" s="674">
        <f>'Hybrid Lighting Calculations'!H100</f>
        <v>0</v>
      </c>
      <c r="AC98" s="674">
        <f>'PIR Lighting Calculations'!$H96</f>
        <v>0</v>
      </c>
      <c r="AD98" s="674">
        <f>'Water Calculations'!$I96</f>
        <v>0</v>
      </c>
      <c r="AE98" s="674">
        <f>'Additional Initiatives'!$H109</f>
        <v>0</v>
      </c>
      <c r="AF98" s="679">
        <f t="shared" si="51"/>
        <v>0</v>
      </c>
      <c r="AG98" s="679">
        <f>(C98-B98) - (0.13 * 'Data Entry Fuel'!I$3) * (U98+AB98)</f>
        <v>0</v>
      </c>
      <c r="AH98" s="5"/>
      <c r="AI98" s="19">
        <v>1703</v>
      </c>
      <c r="AJ98" s="19">
        <f t="shared" si="52"/>
        <v>2017</v>
      </c>
      <c r="AK98" s="19">
        <f t="shared" si="53"/>
        <v>11</v>
      </c>
      <c r="AL98" s="19">
        <v>94</v>
      </c>
      <c r="AM98" s="697">
        <f t="shared" si="54"/>
        <v>1546103.9322666666</v>
      </c>
      <c r="AN98" s="697">
        <f t="shared" si="57"/>
        <v>258650.4652223486</v>
      </c>
      <c r="AO98" s="697">
        <f t="shared" si="58"/>
        <v>54295.191999999995</v>
      </c>
      <c r="AP98" s="697">
        <f>IF(AP$4='Additional Initiatives'!$B$163,'Additional Initiatives'!$B257,IF(AP$4='Additional Initiatives'!$C$163,'Additional Initiatives'!$C257,IF(AP$4='Additional Initiatives'!$D$163,'Additional Initiatives'!$D257,IF(AP$4='Additional Initiatives'!$E$163,'Additional Initiatives'!$E257,IF(AP$4='Additional Initiatives'!$F$163,'Additional Initiatives'!$F257,0)))))+AP97</f>
        <v>0</v>
      </c>
      <c r="AQ98" s="697">
        <f>IF(AQ$4='Additional Initiatives'!$B$163,'Additional Initiatives'!$B257,IF(AQ$4='Additional Initiatives'!$C$163,'Additional Initiatives'!$C257,IF(AQ$4='Additional Initiatives'!$D$163,'Additional Initiatives'!$D257,IF(AQ$4='Additional Initiatives'!$E$163,'Additional Initiatives'!$E257,IF(AQ$4='Additional Initiatives'!$F$163,'Additional Initiatives'!$F257,0)))))+AQ97</f>
        <v>0</v>
      </c>
      <c r="AR98" s="697">
        <f>IF(AR$4='Additional Initiatives'!$B$163,'Additional Initiatives'!$B257,IF(AR$4='Additional Initiatives'!$C$163,'Additional Initiatives'!$C257,IF(AR$4='Additional Initiatives'!$D$163,'Additional Initiatives'!$D257,IF(AR$4='Additional Initiatives'!$E$163,'Additional Initiatives'!$E257,IF(AR$4='Additional Initiatives'!$F$163,'Additional Initiatives'!$F257,0)))))+AR97</f>
        <v>0</v>
      </c>
      <c r="AS98" s="697">
        <f t="shared" si="59"/>
        <v>0</v>
      </c>
      <c r="AT98" s="696">
        <f t="shared" si="55"/>
        <v>121911.80837090002</v>
      </c>
      <c r="AU98" s="696">
        <f t="shared" si="60"/>
        <v>25394.250457001559</v>
      </c>
      <c r="AV98" s="696">
        <f t="shared" si="61"/>
        <v>0</v>
      </c>
      <c r="AW98" s="696">
        <f t="shared" si="62"/>
        <v>0</v>
      </c>
      <c r="AX98" s="696">
        <f t="shared" si="63"/>
        <v>25828.950288959997</v>
      </c>
      <c r="AY98" s="696">
        <f t="shared" si="64"/>
        <v>10645.061538461536</v>
      </c>
      <c r="AZ98" s="696">
        <f t="shared" si="65"/>
        <v>7996.1538461538476</v>
      </c>
      <c r="BA98" s="696">
        <f t="shared" si="66"/>
        <v>6106.1538461538457</v>
      </c>
      <c r="BB98" s="696">
        <f t="shared" si="67"/>
        <v>0</v>
      </c>
      <c r="BC98" s="696">
        <f>IF(BC$4='Additional Initiatives'!$B$163,'Additional Initiatives'!$B257,IF(BC$4='Additional Initiatives'!$C$163,'Additional Initiatives'!$C257,IF(BC$4='Additional Initiatives'!$D$163,'Additional Initiatives'!$D257,IF(BC$4='Additional Initiatives'!$E$163,'Additional Initiatives'!$E257,IF(BC$4='Additional Initiatives'!$F$163,'Additional Initiatives'!$F257,0)))))+BC97</f>
        <v>0</v>
      </c>
      <c r="BD98" s="696">
        <f>IF(BD$4='Additional Initiatives'!$B$163,'Additional Initiatives'!$B257,IF(BD$4='Additional Initiatives'!$C$163,'Additional Initiatives'!$C257,IF(BD$4='Additional Initiatives'!$D$163,'Additional Initiatives'!$D257,IF(BD$4='Additional Initiatives'!$E$163,'Additional Initiatives'!$E257,IF(BD$4='Additional Initiatives'!$F$163,'Additional Initiatives'!$F257,0)))))+BD97</f>
        <v>0</v>
      </c>
      <c r="BE98" s="696">
        <f>IF(BE$4='Additional Initiatives'!$B$163,'Additional Initiatives'!$B257,IF(BE$4='Additional Initiatives'!$C$163,'Additional Initiatives'!$C257,IF(BE$4='Additional Initiatives'!$D$163,'Additional Initiatives'!$D257,IF(BE$4='Additional Initiatives'!$E$163,'Additional Initiatives'!$E257,IF(BE$4='Additional Initiatives'!$F$163,'Additional Initiatives'!$F257,0)))))+BE97</f>
        <v>0</v>
      </c>
      <c r="BF98" s="696">
        <f t="shared" si="68"/>
        <v>0</v>
      </c>
    </row>
    <row r="99" spans="1:58">
      <c r="A99" s="21" t="s">
        <v>977</v>
      </c>
      <c r="B99" s="672">
        <f>'Data Entry Fuel'!B98*'Data Entry Fuel'!B250
+'Data Entry Fuel'!C98*'Data Entry Fuel'!C250
+'Data Entry Fuel'!D98*'Data Entry Fuel'!D250
+'Data Entry Fuel'!E98*'Data Entry Fuel'!E250
+'Data Entry Fuel'!F98*'Data Entry Fuel'!F250
+'Data Entry Fuel'!G98*'Data Entry Fuel'!G250
+'Data Entry Fuel'!H98*'Data Entry Fuel'!H250
+'Data Entry Fuel'!I98*'Data Entry Fuel'!I250
+'Data Entry Fuel'!J98*'Data Entry Fuel'!J250</f>
        <v>0</v>
      </c>
      <c r="C99" s="672">
        <f>'Data Entry Fuel'!B98*'Data Entry Fuel'!B250
+'Data Entry Fuel'!C98*'Data Entry Fuel'!C250
+'Data Entry Fuel'!D98*'Data Entry Fuel'!D250
+'Data Entry Fuel'!E98*'Data Entry Fuel'!E250
+'Data Entry Fuel'!F98*'Data Entry Fuel'!F250
+'Data Entry Fuel'!G98*'Data Entry Fuel'!G250
+'Data Entry Fuel'!H98*'Data Entry Fuel'!H250
+'Data Entry Fuel'!I98*'Data Entry Fuel'!C250 *   (1 -  0.13 * 'Data Entry Fuel'!I$3)
+'Data Entry Fuel'!J98*'Data Entry Fuel'!J250</f>
        <v>0</v>
      </c>
      <c r="D99" s="677">
        <f>'Data Entry Electricity'!B98*'Data Entry Electricity'!L98+'Data Entry Electricity'!C98*'Data Entry Electricity'!M98+'Data Entry Electricity'!D98*'Data Entry Electricity'!N98+'Data Entry Electricity'!E98*'Data Entry Electricity'!O98</f>
        <v>0</v>
      </c>
      <c r="E99" s="776">
        <f>'Data Entry Electricity'!B98*'Data Entry Electricity'!L98+'Data Entry Electricity'!C98*'Data Entry Electricity'!L98+'Data Entry Electricity'!D98*'Data Entry Electricity'!N98+'Data Entry Electricity'!E98*'Data Entry Electricity'!O98</f>
        <v>0</v>
      </c>
      <c r="F99" s="777">
        <f>(SUM('Fuel Equipment Savings Calculat'!$B96:$S96))+(SUM('Efficient Site Offices DD &amp; Cal'!$B132:$F132))+'PFC Calculations'!$G97+(SUM('Behaviour Calculations'!$E103,'Behaviour Calculations'!$J103,'Behaviour Calculations'!$O103))+(SUM('Reduced Power Lighting Calculat'!$B97:$F97)+SUM('Hybrid Lighting Calculations'!$B101:$F101)+('PIR Lighting Calculations'!$H97)+SUM('Water Calculations'!$B97:$G97)+'Additional Initiatives'!$H110)</f>
        <v>0</v>
      </c>
      <c r="G99" s="778">
        <f t="shared" si="40"/>
        <v>0</v>
      </c>
      <c r="H99" s="778">
        <f t="shared" si="45"/>
        <v>0</v>
      </c>
      <c r="I99" s="778">
        <f t="shared" si="41"/>
        <v>0</v>
      </c>
      <c r="J99" s="798">
        <f t="shared" si="46"/>
        <v>1668015.7406375667</v>
      </c>
      <c r="K99" s="779">
        <f t="shared" si="47"/>
        <v>2056931.9678366459</v>
      </c>
      <c r="L99" s="780">
        <f t="shared" si="42"/>
        <v>0</v>
      </c>
      <c r="M99" s="780">
        <f t="shared" si="43"/>
        <v>0.18907588256704344</v>
      </c>
      <c r="N99" s="781">
        <f t="shared" si="44"/>
        <v>0</v>
      </c>
      <c r="O99" s="781">
        <f t="shared" si="56"/>
        <v>388916.22719907941</v>
      </c>
      <c r="Q99" s="683">
        <f t="shared" si="48"/>
        <v>1546103.9322666666</v>
      </c>
      <c r="R99" s="683">
        <f t="shared" si="49"/>
        <v>121911.80837090002</v>
      </c>
      <c r="T99" s="673">
        <f t="shared" si="50"/>
        <v>0</v>
      </c>
      <c r="U99" s="674">
        <f>'Fuel Equipment Savings Calculat'!$V96</f>
        <v>0</v>
      </c>
      <c r="V99" s="674">
        <f>'Efficient Site Offices DD &amp; Cal'!$H132</f>
        <v>0</v>
      </c>
      <c r="W99" s="674">
        <f>'PFC Calculations'!$G97</f>
        <v>0</v>
      </c>
      <c r="X99" s="674">
        <f>'Behaviour Calculations'!$E103</f>
        <v>0</v>
      </c>
      <c r="Y99" s="674">
        <f>'Behaviour Calculations'!$J103</f>
        <v>0</v>
      </c>
      <c r="Z99" s="674">
        <f>'Behaviour Calculations'!$O103</f>
        <v>0</v>
      </c>
      <c r="AA99" s="674">
        <f>'Reduced Power Lighting Calculat'!$H97</f>
        <v>0</v>
      </c>
      <c r="AB99" s="674">
        <f>'Hybrid Lighting Calculations'!H101</f>
        <v>0</v>
      </c>
      <c r="AC99" s="674">
        <f>'PIR Lighting Calculations'!$H97</f>
        <v>0</v>
      </c>
      <c r="AD99" s="674">
        <f>'Water Calculations'!$I97</f>
        <v>0</v>
      </c>
      <c r="AE99" s="674">
        <f>'Additional Initiatives'!$H110</f>
        <v>0</v>
      </c>
      <c r="AF99" s="679">
        <f t="shared" si="51"/>
        <v>0</v>
      </c>
      <c r="AG99" s="679">
        <f>(C99-B99) - (0.13 * 'Data Entry Fuel'!I$3) * (U99+AB99)</f>
        <v>0</v>
      </c>
      <c r="AH99" s="5"/>
      <c r="AI99" s="19">
        <v>1704</v>
      </c>
      <c r="AJ99" s="19">
        <f t="shared" si="52"/>
        <v>2017</v>
      </c>
      <c r="AK99" s="19">
        <f t="shared" si="53"/>
        <v>11</v>
      </c>
      <c r="AL99" s="19">
        <v>95</v>
      </c>
      <c r="AM99" s="697">
        <f t="shared" si="54"/>
        <v>1546103.9322666666</v>
      </c>
      <c r="AN99" s="697">
        <f t="shared" si="57"/>
        <v>258650.4652223486</v>
      </c>
      <c r="AO99" s="697">
        <f t="shared" si="58"/>
        <v>54295.191999999995</v>
      </c>
      <c r="AP99" s="697">
        <f>IF(AP$4='Additional Initiatives'!$B$163,'Additional Initiatives'!$B258,IF(AP$4='Additional Initiatives'!$C$163,'Additional Initiatives'!$C258,IF(AP$4='Additional Initiatives'!$D$163,'Additional Initiatives'!$D258,IF(AP$4='Additional Initiatives'!$E$163,'Additional Initiatives'!$E258,IF(AP$4='Additional Initiatives'!$F$163,'Additional Initiatives'!$F258,0)))))+AP98</f>
        <v>0</v>
      </c>
      <c r="AQ99" s="697">
        <f>IF(AQ$4='Additional Initiatives'!$B$163,'Additional Initiatives'!$B258,IF(AQ$4='Additional Initiatives'!$C$163,'Additional Initiatives'!$C258,IF(AQ$4='Additional Initiatives'!$D$163,'Additional Initiatives'!$D258,IF(AQ$4='Additional Initiatives'!$E$163,'Additional Initiatives'!$E258,IF(AQ$4='Additional Initiatives'!$F$163,'Additional Initiatives'!$F258,0)))))+AQ98</f>
        <v>0</v>
      </c>
      <c r="AR99" s="697">
        <f>IF(AR$4='Additional Initiatives'!$B$163,'Additional Initiatives'!$B258,IF(AR$4='Additional Initiatives'!$C$163,'Additional Initiatives'!$C258,IF(AR$4='Additional Initiatives'!$D$163,'Additional Initiatives'!$D258,IF(AR$4='Additional Initiatives'!$E$163,'Additional Initiatives'!$E258,IF(AR$4='Additional Initiatives'!$F$163,'Additional Initiatives'!$F258,0)))))+AR98</f>
        <v>0</v>
      </c>
      <c r="AS99" s="697">
        <f t="shared" si="59"/>
        <v>0</v>
      </c>
      <c r="AT99" s="696">
        <f t="shared" si="55"/>
        <v>121911.80837090002</v>
      </c>
      <c r="AU99" s="696">
        <f t="shared" si="60"/>
        <v>25394.250457001559</v>
      </c>
      <c r="AV99" s="696">
        <f t="shared" si="61"/>
        <v>0</v>
      </c>
      <c r="AW99" s="696">
        <f t="shared" si="62"/>
        <v>0</v>
      </c>
      <c r="AX99" s="696">
        <f t="shared" si="63"/>
        <v>25828.950288959997</v>
      </c>
      <c r="AY99" s="696">
        <f t="shared" si="64"/>
        <v>10645.061538461536</v>
      </c>
      <c r="AZ99" s="696">
        <f t="shared" si="65"/>
        <v>7996.1538461538476</v>
      </c>
      <c r="BA99" s="696">
        <f t="shared" si="66"/>
        <v>6106.1538461538457</v>
      </c>
      <c r="BB99" s="696">
        <f t="shared" si="67"/>
        <v>0</v>
      </c>
      <c r="BC99" s="696">
        <f>IF(BC$4='Additional Initiatives'!$B$163,'Additional Initiatives'!$B258,IF(BC$4='Additional Initiatives'!$C$163,'Additional Initiatives'!$C258,IF(BC$4='Additional Initiatives'!$D$163,'Additional Initiatives'!$D258,IF(BC$4='Additional Initiatives'!$E$163,'Additional Initiatives'!$E258,IF(BC$4='Additional Initiatives'!$F$163,'Additional Initiatives'!$F258,0)))))+BC98</f>
        <v>0</v>
      </c>
      <c r="BD99" s="696">
        <f>IF(BD$4='Additional Initiatives'!$B$163,'Additional Initiatives'!$B258,IF(BD$4='Additional Initiatives'!$C$163,'Additional Initiatives'!$C258,IF(BD$4='Additional Initiatives'!$D$163,'Additional Initiatives'!$D258,IF(BD$4='Additional Initiatives'!$E$163,'Additional Initiatives'!$E258,IF(BD$4='Additional Initiatives'!$F$163,'Additional Initiatives'!$F258,0)))))+BD98</f>
        <v>0</v>
      </c>
      <c r="BE99" s="696">
        <f>IF(BE$4='Additional Initiatives'!$B$163,'Additional Initiatives'!$B258,IF(BE$4='Additional Initiatives'!$C$163,'Additional Initiatives'!$C258,IF(BE$4='Additional Initiatives'!$D$163,'Additional Initiatives'!$D258,IF(BE$4='Additional Initiatives'!$E$163,'Additional Initiatives'!$E258,IF(BE$4='Additional Initiatives'!$F$163,'Additional Initiatives'!$F258,0)))))+BE98</f>
        <v>0</v>
      </c>
      <c r="BF99" s="696">
        <f t="shared" si="68"/>
        <v>0</v>
      </c>
    </row>
    <row r="100" spans="1:58">
      <c r="A100" s="21" t="s">
        <v>978</v>
      </c>
      <c r="B100" s="672">
        <f>'Data Entry Fuel'!B99*'Data Entry Fuel'!B251
+'Data Entry Fuel'!C99*'Data Entry Fuel'!C251
+'Data Entry Fuel'!D99*'Data Entry Fuel'!D251
+'Data Entry Fuel'!E99*'Data Entry Fuel'!E251
+'Data Entry Fuel'!F99*'Data Entry Fuel'!F251
+'Data Entry Fuel'!G99*'Data Entry Fuel'!G251
+'Data Entry Fuel'!H99*'Data Entry Fuel'!H251
+'Data Entry Fuel'!I99*'Data Entry Fuel'!I251
+'Data Entry Fuel'!J99*'Data Entry Fuel'!J251</f>
        <v>0</v>
      </c>
      <c r="C100" s="672">
        <f>'Data Entry Fuel'!B99*'Data Entry Fuel'!B251
+'Data Entry Fuel'!C99*'Data Entry Fuel'!C251
+'Data Entry Fuel'!D99*'Data Entry Fuel'!D251
+'Data Entry Fuel'!E99*'Data Entry Fuel'!E251
+'Data Entry Fuel'!F99*'Data Entry Fuel'!F251
+'Data Entry Fuel'!G99*'Data Entry Fuel'!G251
+'Data Entry Fuel'!H99*'Data Entry Fuel'!H251
+'Data Entry Fuel'!I99*'Data Entry Fuel'!C251 *   (1 -  0.13 * 'Data Entry Fuel'!I$3)
+'Data Entry Fuel'!J99*'Data Entry Fuel'!J251</f>
        <v>0</v>
      </c>
      <c r="D100" s="677">
        <f>'Data Entry Electricity'!B99*'Data Entry Electricity'!L99+'Data Entry Electricity'!C99*'Data Entry Electricity'!M99+'Data Entry Electricity'!D99*'Data Entry Electricity'!N99+'Data Entry Electricity'!E99*'Data Entry Electricity'!O99</f>
        <v>0</v>
      </c>
      <c r="E100" s="776">
        <f>'Data Entry Electricity'!B99*'Data Entry Electricity'!L99+'Data Entry Electricity'!C99*'Data Entry Electricity'!L99+'Data Entry Electricity'!D99*'Data Entry Electricity'!N99+'Data Entry Electricity'!E99*'Data Entry Electricity'!O99</f>
        <v>0</v>
      </c>
      <c r="F100" s="777">
        <f>(SUM('Fuel Equipment Savings Calculat'!$B97:$S97))+(SUM('Efficient Site Offices DD &amp; Cal'!$B133:$F133))+'PFC Calculations'!$G98+(SUM('Behaviour Calculations'!$E104,'Behaviour Calculations'!$J104,'Behaviour Calculations'!$O104))+(SUM('Reduced Power Lighting Calculat'!$B98:$F98)+SUM('Hybrid Lighting Calculations'!$B102:$F102)+('PIR Lighting Calculations'!$H98)+SUM('Water Calculations'!$B98:$G98)+'Additional Initiatives'!$H111)</f>
        <v>0</v>
      </c>
      <c r="G100" s="778">
        <f t="shared" si="40"/>
        <v>0</v>
      </c>
      <c r="H100" s="778">
        <f t="shared" si="45"/>
        <v>0</v>
      </c>
      <c r="I100" s="778">
        <f t="shared" si="41"/>
        <v>0</v>
      </c>
      <c r="J100" s="798">
        <f t="shared" si="46"/>
        <v>1668015.7406375667</v>
      </c>
      <c r="K100" s="779">
        <f t="shared" si="47"/>
        <v>2056931.9678366459</v>
      </c>
      <c r="L100" s="780">
        <f t="shared" si="42"/>
        <v>0</v>
      </c>
      <c r="M100" s="780">
        <f t="shared" si="43"/>
        <v>0.18907588256704344</v>
      </c>
      <c r="N100" s="781">
        <f t="shared" si="44"/>
        <v>0</v>
      </c>
      <c r="O100" s="781">
        <f t="shared" si="56"/>
        <v>388916.22719907941</v>
      </c>
      <c r="Q100" s="683">
        <f t="shared" si="48"/>
        <v>1546103.9322666666</v>
      </c>
      <c r="R100" s="683">
        <f t="shared" si="49"/>
        <v>121911.80837090002</v>
      </c>
      <c r="T100" s="673">
        <f t="shared" si="50"/>
        <v>0</v>
      </c>
      <c r="U100" s="674">
        <f>'Fuel Equipment Savings Calculat'!$V97</f>
        <v>0</v>
      </c>
      <c r="V100" s="674">
        <f>'Efficient Site Offices DD &amp; Cal'!$H133</f>
        <v>0</v>
      </c>
      <c r="W100" s="674">
        <f>'PFC Calculations'!$G98</f>
        <v>0</v>
      </c>
      <c r="X100" s="674">
        <f>'Behaviour Calculations'!$E104</f>
        <v>0</v>
      </c>
      <c r="Y100" s="674">
        <f>'Behaviour Calculations'!$J104</f>
        <v>0</v>
      </c>
      <c r="Z100" s="674">
        <f>'Behaviour Calculations'!$O104</f>
        <v>0</v>
      </c>
      <c r="AA100" s="674">
        <f>'Reduced Power Lighting Calculat'!$H98</f>
        <v>0</v>
      </c>
      <c r="AB100" s="674">
        <f>'Hybrid Lighting Calculations'!H102</f>
        <v>0</v>
      </c>
      <c r="AC100" s="674">
        <f>'PIR Lighting Calculations'!$H98</f>
        <v>0</v>
      </c>
      <c r="AD100" s="674">
        <f>'Water Calculations'!$I98</f>
        <v>0</v>
      </c>
      <c r="AE100" s="674">
        <f>'Additional Initiatives'!$H111</f>
        <v>0</v>
      </c>
      <c r="AF100" s="679">
        <f t="shared" si="51"/>
        <v>0</v>
      </c>
      <c r="AG100" s="679">
        <f>(C100-B100) - (0.13 * 'Data Entry Fuel'!I$3) * (U100+AB100)</f>
        <v>0</v>
      </c>
      <c r="AH100" s="5"/>
      <c r="AI100" s="19">
        <v>1705</v>
      </c>
      <c r="AJ100" s="19">
        <f t="shared" si="52"/>
        <v>2017</v>
      </c>
      <c r="AK100" s="19">
        <f t="shared" si="53"/>
        <v>11</v>
      </c>
      <c r="AL100" s="19">
        <v>96</v>
      </c>
      <c r="AM100" s="697">
        <f t="shared" si="54"/>
        <v>1546103.9322666666</v>
      </c>
      <c r="AN100" s="697">
        <f t="shared" si="57"/>
        <v>258650.4652223486</v>
      </c>
      <c r="AO100" s="697">
        <f t="shared" si="58"/>
        <v>54295.191999999995</v>
      </c>
      <c r="AP100" s="697">
        <f>IF(AP$4='Additional Initiatives'!$B$163,'Additional Initiatives'!$B259,IF(AP$4='Additional Initiatives'!$C$163,'Additional Initiatives'!$C259,IF(AP$4='Additional Initiatives'!$D$163,'Additional Initiatives'!$D259,IF(AP$4='Additional Initiatives'!$E$163,'Additional Initiatives'!$E259,IF(AP$4='Additional Initiatives'!$F$163,'Additional Initiatives'!$F259,0)))))+AP99</f>
        <v>0</v>
      </c>
      <c r="AQ100" s="697">
        <f>IF(AQ$4='Additional Initiatives'!$B$163,'Additional Initiatives'!$B259,IF(AQ$4='Additional Initiatives'!$C$163,'Additional Initiatives'!$C259,IF(AQ$4='Additional Initiatives'!$D$163,'Additional Initiatives'!$D259,IF(AQ$4='Additional Initiatives'!$E$163,'Additional Initiatives'!$E259,IF(AQ$4='Additional Initiatives'!$F$163,'Additional Initiatives'!$F259,0)))))+AQ99</f>
        <v>0</v>
      </c>
      <c r="AR100" s="697">
        <f>IF(AR$4='Additional Initiatives'!$B$163,'Additional Initiatives'!$B259,IF(AR$4='Additional Initiatives'!$C$163,'Additional Initiatives'!$C259,IF(AR$4='Additional Initiatives'!$D$163,'Additional Initiatives'!$D259,IF(AR$4='Additional Initiatives'!$E$163,'Additional Initiatives'!$E259,IF(AR$4='Additional Initiatives'!$F$163,'Additional Initiatives'!$F259,0)))))+AR99</f>
        <v>0</v>
      </c>
      <c r="AS100" s="697">
        <f t="shared" si="59"/>
        <v>0</v>
      </c>
      <c r="AT100" s="696">
        <f t="shared" si="55"/>
        <v>121911.80837090002</v>
      </c>
      <c r="AU100" s="696">
        <f t="shared" si="60"/>
        <v>25394.250457001559</v>
      </c>
      <c r="AV100" s="696">
        <f t="shared" si="61"/>
        <v>0</v>
      </c>
      <c r="AW100" s="696">
        <f t="shared" si="62"/>
        <v>0</v>
      </c>
      <c r="AX100" s="696">
        <f t="shared" si="63"/>
        <v>25828.950288959997</v>
      </c>
      <c r="AY100" s="696">
        <f t="shared" si="64"/>
        <v>10645.061538461536</v>
      </c>
      <c r="AZ100" s="696">
        <f t="shared" si="65"/>
        <v>7996.1538461538476</v>
      </c>
      <c r="BA100" s="696">
        <f t="shared" si="66"/>
        <v>6106.1538461538457</v>
      </c>
      <c r="BB100" s="696">
        <f t="shared" si="67"/>
        <v>0</v>
      </c>
      <c r="BC100" s="696">
        <f>IF(BC$4='Additional Initiatives'!$B$163,'Additional Initiatives'!$B259,IF(BC$4='Additional Initiatives'!$C$163,'Additional Initiatives'!$C259,IF(BC$4='Additional Initiatives'!$D$163,'Additional Initiatives'!$D259,IF(BC$4='Additional Initiatives'!$E$163,'Additional Initiatives'!$E259,IF(BC$4='Additional Initiatives'!$F$163,'Additional Initiatives'!$F259,0)))))+BC99</f>
        <v>0</v>
      </c>
      <c r="BD100" s="696">
        <f>IF(BD$4='Additional Initiatives'!$B$163,'Additional Initiatives'!$B259,IF(BD$4='Additional Initiatives'!$C$163,'Additional Initiatives'!$C259,IF(BD$4='Additional Initiatives'!$D$163,'Additional Initiatives'!$D259,IF(BD$4='Additional Initiatives'!$E$163,'Additional Initiatives'!$E259,IF(BD$4='Additional Initiatives'!$F$163,'Additional Initiatives'!$F259,0)))))+BD99</f>
        <v>0</v>
      </c>
      <c r="BE100" s="696">
        <f>IF(BE$4='Additional Initiatives'!$B$163,'Additional Initiatives'!$B259,IF(BE$4='Additional Initiatives'!$C$163,'Additional Initiatives'!$C259,IF(BE$4='Additional Initiatives'!$D$163,'Additional Initiatives'!$D259,IF(BE$4='Additional Initiatives'!$E$163,'Additional Initiatives'!$E259,IF(BE$4='Additional Initiatives'!$F$163,'Additional Initiatives'!$F259,0)))))+BE99</f>
        <v>0</v>
      </c>
      <c r="BF100" s="696">
        <f t="shared" si="68"/>
        <v>0</v>
      </c>
    </row>
    <row r="101" spans="1:58">
      <c r="A101" s="21" t="s">
        <v>979</v>
      </c>
      <c r="B101" s="672">
        <f>'Data Entry Fuel'!B100*'Data Entry Fuel'!B252
+'Data Entry Fuel'!C100*'Data Entry Fuel'!C252
+'Data Entry Fuel'!D100*'Data Entry Fuel'!D252
+'Data Entry Fuel'!E100*'Data Entry Fuel'!E252
+'Data Entry Fuel'!F100*'Data Entry Fuel'!F252
+'Data Entry Fuel'!G100*'Data Entry Fuel'!G252
+'Data Entry Fuel'!H100*'Data Entry Fuel'!H252
+'Data Entry Fuel'!I100*'Data Entry Fuel'!I252
+'Data Entry Fuel'!J100*'Data Entry Fuel'!J252</f>
        <v>0</v>
      </c>
      <c r="C101" s="672">
        <f>'Data Entry Fuel'!B100*'Data Entry Fuel'!B252
+'Data Entry Fuel'!C100*'Data Entry Fuel'!C252
+'Data Entry Fuel'!D100*'Data Entry Fuel'!D252
+'Data Entry Fuel'!E100*'Data Entry Fuel'!E252
+'Data Entry Fuel'!F100*'Data Entry Fuel'!F252
+'Data Entry Fuel'!G100*'Data Entry Fuel'!G252
+'Data Entry Fuel'!H100*'Data Entry Fuel'!H252
+'Data Entry Fuel'!I100*'Data Entry Fuel'!C252 *   (1 -  0.13 * 'Data Entry Fuel'!I$3)
+'Data Entry Fuel'!J100*'Data Entry Fuel'!J252</f>
        <v>0</v>
      </c>
      <c r="D101" s="677">
        <f>'Data Entry Electricity'!B100*'Data Entry Electricity'!L100+'Data Entry Electricity'!C100*'Data Entry Electricity'!M100+'Data Entry Electricity'!D100*'Data Entry Electricity'!N100+'Data Entry Electricity'!E100*'Data Entry Electricity'!O100</f>
        <v>0</v>
      </c>
      <c r="E101" s="776">
        <f>'Data Entry Electricity'!B100*'Data Entry Electricity'!L100+'Data Entry Electricity'!C100*'Data Entry Electricity'!L100+'Data Entry Electricity'!D100*'Data Entry Electricity'!N100+'Data Entry Electricity'!E100*'Data Entry Electricity'!O100</f>
        <v>0</v>
      </c>
      <c r="F101" s="777">
        <f>(SUM('Fuel Equipment Savings Calculat'!$B98:$S98))+(SUM('Efficient Site Offices DD &amp; Cal'!$B134:$F134))+'PFC Calculations'!$G99+(SUM('Behaviour Calculations'!$E105,'Behaviour Calculations'!$J105,'Behaviour Calculations'!$O105))+(SUM('Reduced Power Lighting Calculat'!$B99:$F99)+SUM('Hybrid Lighting Calculations'!$B103:$F103)+('PIR Lighting Calculations'!$H99)+SUM('Water Calculations'!$B99:$G99)+'Additional Initiatives'!$H112)</f>
        <v>0</v>
      </c>
      <c r="G101" s="778">
        <f t="shared" ref="G101:G121" si="69">(B101+D101)</f>
        <v>0</v>
      </c>
      <c r="H101" s="778">
        <f t="shared" si="45"/>
        <v>0</v>
      </c>
      <c r="I101" s="778">
        <f t="shared" ref="I101:I121" si="70">H101+F101</f>
        <v>0</v>
      </c>
      <c r="J101" s="798">
        <f t="shared" si="46"/>
        <v>1668015.7406375667</v>
      </c>
      <c r="K101" s="779">
        <f t="shared" si="47"/>
        <v>2056931.9678366459</v>
      </c>
      <c r="L101" s="780">
        <f t="shared" ref="L101:L121" si="71">IFERROR(1-(G101/I101),0)</f>
        <v>0</v>
      </c>
      <c r="M101" s="780">
        <f t="shared" ref="M101:M121" si="72">IFERROR(1-(J101/K101),0)</f>
        <v>0.18907588256704344</v>
      </c>
      <c r="N101" s="781">
        <f t="shared" ref="N101:N121" si="73">I101-G101</f>
        <v>0</v>
      </c>
      <c r="O101" s="781">
        <f t="shared" si="56"/>
        <v>388916.22719907941</v>
      </c>
      <c r="Q101" s="683">
        <f t="shared" si="48"/>
        <v>1546103.9322666666</v>
      </c>
      <c r="R101" s="683">
        <f t="shared" si="49"/>
        <v>121911.80837090002</v>
      </c>
      <c r="T101" s="673">
        <f t="shared" si="50"/>
        <v>0</v>
      </c>
      <c r="U101" s="674">
        <f>'Fuel Equipment Savings Calculat'!$V98</f>
        <v>0</v>
      </c>
      <c r="V101" s="674">
        <f>'Efficient Site Offices DD &amp; Cal'!$H134</f>
        <v>0</v>
      </c>
      <c r="W101" s="674">
        <f>'PFC Calculations'!$G99</f>
        <v>0</v>
      </c>
      <c r="X101" s="674">
        <f>'Behaviour Calculations'!$E105</f>
        <v>0</v>
      </c>
      <c r="Y101" s="674">
        <f>'Behaviour Calculations'!$J105</f>
        <v>0</v>
      </c>
      <c r="Z101" s="674">
        <f>'Behaviour Calculations'!$O105</f>
        <v>0</v>
      </c>
      <c r="AA101" s="674">
        <f>'Reduced Power Lighting Calculat'!$H99</f>
        <v>0</v>
      </c>
      <c r="AB101" s="674">
        <f>'Hybrid Lighting Calculations'!H103</f>
        <v>0</v>
      </c>
      <c r="AC101" s="674">
        <f>'PIR Lighting Calculations'!$H99</f>
        <v>0</v>
      </c>
      <c r="AD101" s="674">
        <f>'Water Calculations'!$I99</f>
        <v>0</v>
      </c>
      <c r="AE101" s="674">
        <f>'Additional Initiatives'!$H112</f>
        <v>0</v>
      </c>
      <c r="AF101" s="679">
        <f t="shared" si="51"/>
        <v>0</v>
      </c>
      <c r="AG101" s="679">
        <f>(C101-B101) - (0.13 * 'Data Entry Fuel'!I$3) * (U101+AB101)</f>
        <v>0</v>
      </c>
      <c r="AH101" s="5"/>
      <c r="AI101" s="19">
        <v>1706</v>
      </c>
      <c r="AJ101" s="19">
        <f t="shared" si="52"/>
        <v>2017</v>
      </c>
      <c r="AK101" s="19">
        <f t="shared" si="53"/>
        <v>11</v>
      </c>
      <c r="AL101" s="19">
        <v>97</v>
      </c>
      <c r="AM101" s="697">
        <f t="shared" si="54"/>
        <v>1546103.9322666666</v>
      </c>
      <c r="AN101" s="697">
        <f t="shared" si="57"/>
        <v>258650.4652223486</v>
      </c>
      <c r="AO101" s="697">
        <f t="shared" si="58"/>
        <v>54295.191999999995</v>
      </c>
      <c r="AP101" s="697">
        <f>IF(AP$4='Additional Initiatives'!$B$163,'Additional Initiatives'!$B260,IF(AP$4='Additional Initiatives'!$C$163,'Additional Initiatives'!$C260,IF(AP$4='Additional Initiatives'!$D$163,'Additional Initiatives'!$D260,IF(AP$4='Additional Initiatives'!$E$163,'Additional Initiatives'!$E260,IF(AP$4='Additional Initiatives'!$F$163,'Additional Initiatives'!$F260,0)))))+AP100</f>
        <v>0</v>
      </c>
      <c r="AQ101" s="697">
        <f>IF(AQ$4='Additional Initiatives'!$B$163,'Additional Initiatives'!$B260,IF(AQ$4='Additional Initiatives'!$C$163,'Additional Initiatives'!$C260,IF(AQ$4='Additional Initiatives'!$D$163,'Additional Initiatives'!$D260,IF(AQ$4='Additional Initiatives'!$E$163,'Additional Initiatives'!$E260,IF(AQ$4='Additional Initiatives'!$F$163,'Additional Initiatives'!$F260,0)))))+AQ100</f>
        <v>0</v>
      </c>
      <c r="AR101" s="697">
        <f>IF(AR$4='Additional Initiatives'!$B$163,'Additional Initiatives'!$B260,IF(AR$4='Additional Initiatives'!$C$163,'Additional Initiatives'!$C260,IF(AR$4='Additional Initiatives'!$D$163,'Additional Initiatives'!$D260,IF(AR$4='Additional Initiatives'!$E$163,'Additional Initiatives'!$E260,IF(AR$4='Additional Initiatives'!$F$163,'Additional Initiatives'!$F260,0)))))+AR100</f>
        <v>0</v>
      </c>
      <c r="AS101" s="697">
        <f t="shared" si="59"/>
        <v>0</v>
      </c>
      <c r="AT101" s="696">
        <f t="shared" si="55"/>
        <v>121911.80837090002</v>
      </c>
      <c r="AU101" s="696">
        <f t="shared" si="60"/>
        <v>25394.250457001559</v>
      </c>
      <c r="AV101" s="696">
        <f t="shared" si="61"/>
        <v>0</v>
      </c>
      <c r="AW101" s="696">
        <f t="shared" si="62"/>
        <v>0</v>
      </c>
      <c r="AX101" s="696">
        <f t="shared" si="63"/>
        <v>25828.950288959997</v>
      </c>
      <c r="AY101" s="696">
        <f t="shared" si="64"/>
        <v>10645.061538461536</v>
      </c>
      <c r="AZ101" s="696">
        <f t="shared" si="65"/>
        <v>7996.1538461538476</v>
      </c>
      <c r="BA101" s="696">
        <f t="shared" si="66"/>
        <v>6106.1538461538457</v>
      </c>
      <c r="BB101" s="696">
        <f t="shared" si="67"/>
        <v>0</v>
      </c>
      <c r="BC101" s="696">
        <f>IF(BC$4='Additional Initiatives'!$B$163,'Additional Initiatives'!$B260,IF(BC$4='Additional Initiatives'!$C$163,'Additional Initiatives'!$C260,IF(BC$4='Additional Initiatives'!$D$163,'Additional Initiatives'!$D260,IF(BC$4='Additional Initiatives'!$E$163,'Additional Initiatives'!$E260,IF(BC$4='Additional Initiatives'!$F$163,'Additional Initiatives'!$F260,0)))))+BC100</f>
        <v>0</v>
      </c>
      <c r="BD101" s="696">
        <f>IF(BD$4='Additional Initiatives'!$B$163,'Additional Initiatives'!$B260,IF(BD$4='Additional Initiatives'!$C$163,'Additional Initiatives'!$C260,IF(BD$4='Additional Initiatives'!$D$163,'Additional Initiatives'!$D260,IF(BD$4='Additional Initiatives'!$E$163,'Additional Initiatives'!$E260,IF(BD$4='Additional Initiatives'!$F$163,'Additional Initiatives'!$F260,0)))))+BD100</f>
        <v>0</v>
      </c>
      <c r="BE101" s="696">
        <f>IF(BE$4='Additional Initiatives'!$B$163,'Additional Initiatives'!$B260,IF(BE$4='Additional Initiatives'!$C$163,'Additional Initiatives'!$C260,IF(BE$4='Additional Initiatives'!$D$163,'Additional Initiatives'!$D260,IF(BE$4='Additional Initiatives'!$E$163,'Additional Initiatives'!$E260,IF(BE$4='Additional Initiatives'!$F$163,'Additional Initiatives'!$F260,0)))))+BE100</f>
        <v>0</v>
      </c>
      <c r="BF101" s="696">
        <f t="shared" si="68"/>
        <v>0</v>
      </c>
    </row>
    <row r="102" spans="1:58">
      <c r="A102" s="21" t="s">
        <v>980</v>
      </c>
      <c r="B102" s="672">
        <f>'Data Entry Fuel'!B101*'Data Entry Fuel'!B253
+'Data Entry Fuel'!C101*'Data Entry Fuel'!C253
+'Data Entry Fuel'!D101*'Data Entry Fuel'!D253
+'Data Entry Fuel'!E101*'Data Entry Fuel'!E253
+'Data Entry Fuel'!F101*'Data Entry Fuel'!F253
+'Data Entry Fuel'!G101*'Data Entry Fuel'!G253
+'Data Entry Fuel'!H101*'Data Entry Fuel'!H253
+'Data Entry Fuel'!I101*'Data Entry Fuel'!I253
+'Data Entry Fuel'!J101*'Data Entry Fuel'!J253</f>
        <v>0</v>
      </c>
      <c r="C102" s="672">
        <f>'Data Entry Fuel'!B101*'Data Entry Fuel'!B253
+'Data Entry Fuel'!C101*'Data Entry Fuel'!C253
+'Data Entry Fuel'!D101*'Data Entry Fuel'!D253
+'Data Entry Fuel'!E101*'Data Entry Fuel'!E253
+'Data Entry Fuel'!F101*'Data Entry Fuel'!F253
+'Data Entry Fuel'!G101*'Data Entry Fuel'!G253
+'Data Entry Fuel'!H101*'Data Entry Fuel'!H253
+'Data Entry Fuel'!I101*'Data Entry Fuel'!C253 *   (1 -  0.13 * 'Data Entry Fuel'!I$3)
+'Data Entry Fuel'!J101*'Data Entry Fuel'!J253</f>
        <v>0</v>
      </c>
      <c r="D102" s="677">
        <f>'Data Entry Electricity'!B101*'Data Entry Electricity'!L101+'Data Entry Electricity'!C101*'Data Entry Electricity'!M101+'Data Entry Electricity'!D101*'Data Entry Electricity'!N101+'Data Entry Electricity'!E101*'Data Entry Electricity'!O101</f>
        <v>0</v>
      </c>
      <c r="E102" s="776">
        <f>'Data Entry Electricity'!B101*'Data Entry Electricity'!L101+'Data Entry Electricity'!C101*'Data Entry Electricity'!L101+'Data Entry Electricity'!D101*'Data Entry Electricity'!N101+'Data Entry Electricity'!E101*'Data Entry Electricity'!O101</f>
        <v>0</v>
      </c>
      <c r="F102" s="777">
        <f>(SUM('Fuel Equipment Savings Calculat'!$B99:$S99))+(SUM('Efficient Site Offices DD &amp; Cal'!$B135:$F135))+'PFC Calculations'!$G100+(SUM('Behaviour Calculations'!$E106,'Behaviour Calculations'!$J106,'Behaviour Calculations'!$O106))+(SUM('Reduced Power Lighting Calculat'!$B100:$F100)+SUM('Hybrid Lighting Calculations'!$B104:$F104)+('PIR Lighting Calculations'!$H100)+SUM('Water Calculations'!$B100:$G100)+'Additional Initiatives'!$H113)</f>
        <v>0</v>
      </c>
      <c r="G102" s="778">
        <f t="shared" si="69"/>
        <v>0</v>
      </c>
      <c r="H102" s="778">
        <f t="shared" si="45"/>
        <v>0</v>
      </c>
      <c r="I102" s="778">
        <f t="shared" si="70"/>
        <v>0</v>
      </c>
      <c r="J102" s="798">
        <f t="shared" ref="J102:J121" si="74">G102+J101</f>
        <v>1668015.7406375667</v>
      </c>
      <c r="K102" s="779">
        <f t="shared" ref="K102:K121" si="75">I102+K101</f>
        <v>2056931.9678366459</v>
      </c>
      <c r="L102" s="780">
        <f t="shared" si="71"/>
        <v>0</v>
      </c>
      <c r="M102" s="780">
        <f t="shared" si="72"/>
        <v>0.18907588256704344</v>
      </c>
      <c r="N102" s="781">
        <f t="shared" si="73"/>
        <v>0</v>
      </c>
      <c r="O102" s="781">
        <f t="shared" si="56"/>
        <v>388916.22719907941</v>
      </c>
      <c r="Q102" s="683">
        <f t="shared" ref="Q102:Q121" si="76">B102+Q101</f>
        <v>1546103.9322666666</v>
      </c>
      <c r="R102" s="683">
        <f t="shared" ref="R102:R121" si="77">D102+R101</f>
        <v>121911.80837090002</v>
      </c>
      <c r="T102" s="673">
        <f t="shared" si="50"/>
        <v>0</v>
      </c>
      <c r="U102" s="674">
        <f>'Fuel Equipment Savings Calculat'!$V99</f>
        <v>0</v>
      </c>
      <c r="V102" s="674">
        <f>'Efficient Site Offices DD &amp; Cal'!$H135</f>
        <v>0</v>
      </c>
      <c r="W102" s="674">
        <f>'PFC Calculations'!$G100</f>
        <v>0</v>
      </c>
      <c r="X102" s="674">
        <f>'Behaviour Calculations'!$E106</f>
        <v>0</v>
      </c>
      <c r="Y102" s="674">
        <f>'Behaviour Calculations'!$J106</f>
        <v>0</v>
      </c>
      <c r="Z102" s="674">
        <f>'Behaviour Calculations'!$O106</f>
        <v>0</v>
      </c>
      <c r="AA102" s="674">
        <f>'Reduced Power Lighting Calculat'!$H100</f>
        <v>0</v>
      </c>
      <c r="AB102" s="674">
        <f>'Hybrid Lighting Calculations'!H104</f>
        <v>0</v>
      </c>
      <c r="AC102" s="674">
        <f>'PIR Lighting Calculations'!$H100</f>
        <v>0</v>
      </c>
      <c r="AD102" s="674">
        <f>'Water Calculations'!$I100</f>
        <v>0</v>
      </c>
      <c r="AE102" s="674">
        <f>'Additional Initiatives'!$H113</f>
        <v>0</v>
      </c>
      <c r="AF102" s="679">
        <f t="shared" si="51"/>
        <v>0</v>
      </c>
      <c r="AG102" s="679">
        <f>(C102-B102) - (0.13 * 'Data Entry Fuel'!I$3) * (U102+AB102)</f>
        <v>0</v>
      </c>
      <c r="AH102" s="5"/>
      <c r="AI102" s="19">
        <v>1707</v>
      </c>
      <c r="AJ102" s="19">
        <f t="shared" si="52"/>
        <v>2017</v>
      </c>
      <c r="AK102" s="19">
        <f t="shared" si="53"/>
        <v>11</v>
      </c>
      <c r="AL102" s="19">
        <v>98</v>
      </c>
      <c r="AM102" s="697">
        <f t="shared" ref="AM102:AM121" si="78">AM101+B102</f>
        <v>1546103.9322666666</v>
      </c>
      <c r="AN102" s="697">
        <f t="shared" si="57"/>
        <v>258650.4652223486</v>
      </c>
      <c r="AO102" s="697">
        <f t="shared" si="58"/>
        <v>54295.191999999995</v>
      </c>
      <c r="AP102" s="697">
        <f>IF(AP$4='Additional Initiatives'!$B$163,'Additional Initiatives'!$B261,IF(AP$4='Additional Initiatives'!$C$163,'Additional Initiatives'!$C261,IF(AP$4='Additional Initiatives'!$D$163,'Additional Initiatives'!$D261,IF(AP$4='Additional Initiatives'!$E$163,'Additional Initiatives'!$E261,IF(AP$4='Additional Initiatives'!$F$163,'Additional Initiatives'!$F261,0)))))+AP101</f>
        <v>0</v>
      </c>
      <c r="AQ102" s="697">
        <f>IF(AQ$4='Additional Initiatives'!$B$163,'Additional Initiatives'!$B261,IF(AQ$4='Additional Initiatives'!$C$163,'Additional Initiatives'!$C261,IF(AQ$4='Additional Initiatives'!$D$163,'Additional Initiatives'!$D261,IF(AQ$4='Additional Initiatives'!$E$163,'Additional Initiatives'!$E261,IF(AQ$4='Additional Initiatives'!$F$163,'Additional Initiatives'!$F261,0)))))+AQ101</f>
        <v>0</v>
      </c>
      <c r="AR102" s="697">
        <f>IF(AR$4='Additional Initiatives'!$B$163,'Additional Initiatives'!$B261,IF(AR$4='Additional Initiatives'!$C$163,'Additional Initiatives'!$C261,IF(AR$4='Additional Initiatives'!$D$163,'Additional Initiatives'!$D261,IF(AR$4='Additional Initiatives'!$E$163,'Additional Initiatives'!$E261,IF(AR$4='Additional Initiatives'!$F$163,'Additional Initiatives'!$F261,0)))))+AR101</f>
        <v>0</v>
      </c>
      <c r="AS102" s="697">
        <f t="shared" si="59"/>
        <v>0</v>
      </c>
      <c r="AT102" s="696">
        <f t="shared" ref="AT102:AT121" si="79">D102+AT101</f>
        <v>121911.80837090002</v>
      </c>
      <c r="AU102" s="696">
        <f t="shared" si="60"/>
        <v>25394.250457001559</v>
      </c>
      <c r="AV102" s="696">
        <f t="shared" si="61"/>
        <v>0</v>
      </c>
      <c r="AW102" s="696">
        <f t="shared" si="62"/>
        <v>0</v>
      </c>
      <c r="AX102" s="696">
        <f t="shared" si="63"/>
        <v>25828.950288959997</v>
      </c>
      <c r="AY102" s="696">
        <f t="shared" si="64"/>
        <v>10645.061538461536</v>
      </c>
      <c r="AZ102" s="696">
        <f t="shared" si="65"/>
        <v>7996.1538461538476</v>
      </c>
      <c r="BA102" s="696">
        <f t="shared" si="66"/>
        <v>6106.1538461538457</v>
      </c>
      <c r="BB102" s="696">
        <f t="shared" si="67"/>
        <v>0</v>
      </c>
      <c r="BC102" s="696">
        <f>IF(BC$4='Additional Initiatives'!$B$163,'Additional Initiatives'!$B261,IF(BC$4='Additional Initiatives'!$C$163,'Additional Initiatives'!$C261,IF(BC$4='Additional Initiatives'!$D$163,'Additional Initiatives'!$D261,IF(BC$4='Additional Initiatives'!$E$163,'Additional Initiatives'!$E261,IF(BC$4='Additional Initiatives'!$F$163,'Additional Initiatives'!$F261,0)))))+BC101</f>
        <v>0</v>
      </c>
      <c r="BD102" s="696">
        <f>IF(BD$4='Additional Initiatives'!$B$163,'Additional Initiatives'!$B261,IF(BD$4='Additional Initiatives'!$C$163,'Additional Initiatives'!$C261,IF(BD$4='Additional Initiatives'!$D$163,'Additional Initiatives'!$D261,IF(BD$4='Additional Initiatives'!$E$163,'Additional Initiatives'!$E261,IF(BD$4='Additional Initiatives'!$F$163,'Additional Initiatives'!$F261,0)))))+BD101</f>
        <v>0</v>
      </c>
      <c r="BE102" s="696">
        <f>IF(BE$4='Additional Initiatives'!$B$163,'Additional Initiatives'!$B261,IF(BE$4='Additional Initiatives'!$C$163,'Additional Initiatives'!$C261,IF(BE$4='Additional Initiatives'!$D$163,'Additional Initiatives'!$D261,IF(BE$4='Additional Initiatives'!$E$163,'Additional Initiatives'!$E261,IF(BE$4='Additional Initiatives'!$F$163,'Additional Initiatives'!$F261,0)))))+BE101</f>
        <v>0</v>
      </c>
      <c r="BF102" s="696">
        <f t="shared" si="68"/>
        <v>0</v>
      </c>
    </row>
    <row r="103" spans="1:58">
      <c r="A103" s="21" t="s">
        <v>981</v>
      </c>
      <c r="B103" s="672">
        <f>'Data Entry Fuel'!B102*'Data Entry Fuel'!B254
+'Data Entry Fuel'!C102*'Data Entry Fuel'!C254
+'Data Entry Fuel'!D102*'Data Entry Fuel'!D254
+'Data Entry Fuel'!E102*'Data Entry Fuel'!E254
+'Data Entry Fuel'!F102*'Data Entry Fuel'!F254
+'Data Entry Fuel'!G102*'Data Entry Fuel'!G254
+'Data Entry Fuel'!H102*'Data Entry Fuel'!H254
+'Data Entry Fuel'!I102*'Data Entry Fuel'!I254
+'Data Entry Fuel'!J102*'Data Entry Fuel'!J254</f>
        <v>0</v>
      </c>
      <c r="C103" s="672">
        <f>'Data Entry Fuel'!B102*'Data Entry Fuel'!B254
+'Data Entry Fuel'!C102*'Data Entry Fuel'!C254
+'Data Entry Fuel'!D102*'Data Entry Fuel'!D254
+'Data Entry Fuel'!E102*'Data Entry Fuel'!E254
+'Data Entry Fuel'!F102*'Data Entry Fuel'!F254
+'Data Entry Fuel'!G102*'Data Entry Fuel'!G254
+'Data Entry Fuel'!H102*'Data Entry Fuel'!H254
+'Data Entry Fuel'!I102*'Data Entry Fuel'!C254 *   (1 -  0.13 * 'Data Entry Fuel'!I$3)
+'Data Entry Fuel'!J102*'Data Entry Fuel'!J254</f>
        <v>0</v>
      </c>
      <c r="D103" s="677">
        <f>'Data Entry Electricity'!B102*'Data Entry Electricity'!L102+'Data Entry Electricity'!C102*'Data Entry Electricity'!M102+'Data Entry Electricity'!D102*'Data Entry Electricity'!N102+'Data Entry Electricity'!E102*'Data Entry Electricity'!O102</f>
        <v>0</v>
      </c>
      <c r="E103" s="776">
        <f>'Data Entry Electricity'!B102*'Data Entry Electricity'!L102+'Data Entry Electricity'!C102*'Data Entry Electricity'!L102+'Data Entry Electricity'!D102*'Data Entry Electricity'!N102+'Data Entry Electricity'!E102*'Data Entry Electricity'!O102</f>
        <v>0</v>
      </c>
      <c r="F103" s="777">
        <f>(SUM('Fuel Equipment Savings Calculat'!$B100:$S100))+(SUM('Efficient Site Offices DD &amp; Cal'!$B136:$F136))+'PFC Calculations'!$G101+(SUM('Behaviour Calculations'!$E107,'Behaviour Calculations'!$J107,'Behaviour Calculations'!$O107))+(SUM('Reduced Power Lighting Calculat'!$B101:$F101)+SUM('Hybrid Lighting Calculations'!$B105:$F105)+('PIR Lighting Calculations'!$H101)+SUM('Water Calculations'!$B101:$G101)+'Additional Initiatives'!$H114)</f>
        <v>0</v>
      </c>
      <c r="G103" s="778">
        <f t="shared" si="69"/>
        <v>0</v>
      </c>
      <c r="H103" s="778">
        <f t="shared" si="45"/>
        <v>0</v>
      </c>
      <c r="I103" s="778">
        <f t="shared" si="70"/>
        <v>0</v>
      </c>
      <c r="J103" s="798">
        <f t="shared" si="74"/>
        <v>1668015.7406375667</v>
      </c>
      <c r="K103" s="779">
        <f t="shared" si="75"/>
        <v>2056931.9678366459</v>
      </c>
      <c r="L103" s="780">
        <f t="shared" si="71"/>
        <v>0</v>
      </c>
      <c r="M103" s="780">
        <f t="shared" si="72"/>
        <v>0.18907588256704344</v>
      </c>
      <c r="N103" s="781">
        <f t="shared" si="73"/>
        <v>0</v>
      </c>
      <c r="O103" s="781">
        <f t="shared" si="56"/>
        <v>388916.22719907941</v>
      </c>
      <c r="Q103" s="683">
        <f t="shared" si="76"/>
        <v>1546103.9322666666</v>
      </c>
      <c r="R103" s="683">
        <f t="shared" si="77"/>
        <v>121911.80837090002</v>
      </c>
      <c r="T103" s="673">
        <f t="shared" si="50"/>
        <v>0</v>
      </c>
      <c r="U103" s="674">
        <f>'Fuel Equipment Savings Calculat'!$V100</f>
        <v>0</v>
      </c>
      <c r="V103" s="674">
        <f>'Efficient Site Offices DD &amp; Cal'!$H136</f>
        <v>0</v>
      </c>
      <c r="W103" s="674">
        <f>'PFC Calculations'!$G101</f>
        <v>0</v>
      </c>
      <c r="X103" s="674">
        <f>'Behaviour Calculations'!$E107</f>
        <v>0</v>
      </c>
      <c r="Y103" s="674">
        <f>'Behaviour Calculations'!$J107</f>
        <v>0</v>
      </c>
      <c r="Z103" s="674">
        <f>'Behaviour Calculations'!$O107</f>
        <v>0</v>
      </c>
      <c r="AA103" s="674">
        <f>'Reduced Power Lighting Calculat'!$H101</f>
        <v>0</v>
      </c>
      <c r="AB103" s="674">
        <f>'Hybrid Lighting Calculations'!H105</f>
        <v>0</v>
      </c>
      <c r="AC103" s="674">
        <f>'PIR Lighting Calculations'!$H101</f>
        <v>0</v>
      </c>
      <c r="AD103" s="674">
        <f>'Water Calculations'!$I101</f>
        <v>0</v>
      </c>
      <c r="AE103" s="674">
        <f>'Additional Initiatives'!$H114</f>
        <v>0</v>
      </c>
      <c r="AF103" s="679">
        <f t="shared" si="51"/>
        <v>0</v>
      </c>
      <c r="AG103" s="679">
        <f>(C103-B103) - (0.13 * 'Data Entry Fuel'!I$3) * (U103+AB103)</f>
        <v>0</v>
      </c>
      <c r="AH103" s="5"/>
      <c r="AI103" s="19">
        <v>1708</v>
      </c>
      <c r="AJ103" s="19">
        <f t="shared" si="52"/>
        <v>2017</v>
      </c>
      <c r="AK103" s="19">
        <f t="shared" si="53"/>
        <v>11</v>
      </c>
      <c r="AL103" s="19">
        <v>99</v>
      </c>
      <c r="AM103" s="697">
        <f t="shared" si="78"/>
        <v>1546103.9322666666</v>
      </c>
      <c r="AN103" s="697">
        <f t="shared" si="57"/>
        <v>258650.4652223486</v>
      </c>
      <c r="AO103" s="697">
        <f t="shared" si="58"/>
        <v>54295.191999999995</v>
      </c>
      <c r="AP103" s="697">
        <f>IF(AP$4='Additional Initiatives'!$B$163,'Additional Initiatives'!$B262,IF(AP$4='Additional Initiatives'!$C$163,'Additional Initiatives'!$C262,IF(AP$4='Additional Initiatives'!$D$163,'Additional Initiatives'!$D262,IF(AP$4='Additional Initiatives'!$E$163,'Additional Initiatives'!$E262,IF(AP$4='Additional Initiatives'!$F$163,'Additional Initiatives'!$F262,0)))))+AP102</f>
        <v>0</v>
      </c>
      <c r="AQ103" s="697">
        <f>IF(AQ$4='Additional Initiatives'!$B$163,'Additional Initiatives'!$B262,IF(AQ$4='Additional Initiatives'!$C$163,'Additional Initiatives'!$C262,IF(AQ$4='Additional Initiatives'!$D$163,'Additional Initiatives'!$D262,IF(AQ$4='Additional Initiatives'!$E$163,'Additional Initiatives'!$E262,IF(AQ$4='Additional Initiatives'!$F$163,'Additional Initiatives'!$F262,0)))))+AQ102</f>
        <v>0</v>
      </c>
      <c r="AR103" s="697">
        <f>IF(AR$4='Additional Initiatives'!$B$163,'Additional Initiatives'!$B262,IF(AR$4='Additional Initiatives'!$C$163,'Additional Initiatives'!$C262,IF(AR$4='Additional Initiatives'!$D$163,'Additional Initiatives'!$D262,IF(AR$4='Additional Initiatives'!$E$163,'Additional Initiatives'!$E262,IF(AR$4='Additional Initiatives'!$F$163,'Additional Initiatives'!$F262,0)))))+AR102</f>
        <v>0</v>
      </c>
      <c r="AS103" s="697">
        <f t="shared" si="59"/>
        <v>0</v>
      </c>
      <c r="AT103" s="696">
        <f t="shared" si="79"/>
        <v>121911.80837090002</v>
      </c>
      <c r="AU103" s="696">
        <f t="shared" si="60"/>
        <v>25394.250457001559</v>
      </c>
      <c r="AV103" s="696">
        <f t="shared" si="61"/>
        <v>0</v>
      </c>
      <c r="AW103" s="696">
        <f t="shared" si="62"/>
        <v>0</v>
      </c>
      <c r="AX103" s="696">
        <f t="shared" si="63"/>
        <v>25828.950288959997</v>
      </c>
      <c r="AY103" s="696">
        <f t="shared" si="64"/>
        <v>10645.061538461536</v>
      </c>
      <c r="AZ103" s="696">
        <f t="shared" si="65"/>
        <v>7996.1538461538476</v>
      </c>
      <c r="BA103" s="696">
        <f t="shared" si="66"/>
        <v>6106.1538461538457</v>
      </c>
      <c r="BB103" s="696">
        <f t="shared" si="67"/>
        <v>0</v>
      </c>
      <c r="BC103" s="696">
        <f>IF(BC$4='Additional Initiatives'!$B$163,'Additional Initiatives'!$B262,IF(BC$4='Additional Initiatives'!$C$163,'Additional Initiatives'!$C262,IF(BC$4='Additional Initiatives'!$D$163,'Additional Initiatives'!$D262,IF(BC$4='Additional Initiatives'!$E$163,'Additional Initiatives'!$E262,IF(BC$4='Additional Initiatives'!$F$163,'Additional Initiatives'!$F262,0)))))+BC102</f>
        <v>0</v>
      </c>
      <c r="BD103" s="696">
        <f>IF(BD$4='Additional Initiatives'!$B$163,'Additional Initiatives'!$B262,IF(BD$4='Additional Initiatives'!$C$163,'Additional Initiatives'!$C262,IF(BD$4='Additional Initiatives'!$D$163,'Additional Initiatives'!$D262,IF(BD$4='Additional Initiatives'!$E$163,'Additional Initiatives'!$E262,IF(BD$4='Additional Initiatives'!$F$163,'Additional Initiatives'!$F262,0)))))+BD102</f>
        <v>0</v>
      </c>
      <c r="BE103" s="696">
        <f>IF(BE$4='Additional Initiatives'!$B$163,'Additional Initiatives'!$B262,IF(BE$4='Additional Initiatives'!$C$163,'Additional Initiatives'!$C262,IF(BE$4='Additional Initiatives'!$D$163,'Additional Initiatives'!$D262,IF(BE$4='Additional Initiatives'!$E$163,'Additional Initiatives'!$E262,IF(BE$4='Additional Initiatives'!$F$163,'Additional Initiatives'!$F262,0)))))+BE102</f>
        <v>0</v>
      </c>
      <c r="BF103" s="696">
        <f t="shared" si="68"/>
        <v>0</v>
      </c>
    </row>
    <row r="104" spans="1:58">
      <c r="A104" s="21" t="s">
        <v>982</v>
      </c>
      <c r="B104" s="672">
        <f>'Data Entry Fuel'!B103*'Data Entry Fuel'!B255
+'Data Entry Fuel'!C103*'Data Entry Fuel'!C255
+'Data Entry Fuel'!D103*'Data Entry Fuel'!D255
+'Data Entry Fuel'!E103*'Data Entry Fuel'!E255
+'Data Entry Fuel'!F103*'Data Entry Fuel'!F255
+'Data Entry Fuel'!G103*'Data Entry Fuel'!G255
+'Data Entry Fuel'!H103*'Data Entry Fuel'!H255
+'Data Entry Fuel'!I103*'Data Entry Fuel'!I255
+'Data Entry Fuel'!J103*'Data Entry Fuel'!J255</f>
        <v>0</v>
      </c>
      <c r="C104" s="672">
        <f>'Data Entry Fuel'!B103*'Data Entry Fuel'!B255
+'Data Entry Fuel'!C103*'Data Entry Fuel'!C255
+'Data Entry Fuel'!D103*'Data Entry Fuel'!D255
+'Data Entry Fuel'!E103*'Data Entry Fuel'!E255
+'Data Entry Fuel'!F103*'Data Entry Fuel'!F255
+'Data Entry Fuel'!G103*'Data Entry Fuel'!G255
+'Data Entry Fuel'!H103*'Data Entry Fuel'!H255
+'Data Entry Fuel'!I103*'Data Entry Fuel'!C255 *   (1 -  0.13 * 'Data Entry Fuel'!I$3)
+'Data Entry Fuel'!J103*'Data Entry Fuel'!J255</f>
        <v>0</v>
      </c>
      <c r="D104" s="677">
        <f>'Data Entry Electricity'!B103*'Data Entry Electricity'!L103+'Data Entry Electricity'!C103*'Data Entry Electricity'!M103+'Data Entry Electricity'!D103*'Data Entry Electricity'!N103+'Data Entry Electricity'!E103*'Data Entry Electricity'!O103</f>
        <v>0</v>
      </c>
      <c r="E104" s="776">
        <f>'Data Entry Electricity'!B103*'Data Entry Electricity'!L103+'Data Entry Electricity'!C103*'Data Entry Electricity'!L103+'Data Entry Electricity'!D103*'Data Entry Electricity'!N103+'Data Entry Electricity'!E103*'Data Entry Electricity'!O103</f>
        <v>0</v>
      </c>
      <c r="F104" s="777">
        <f>(SUM('Fuel Equipment Savings Calculat'!$B101:$S101))+(SUM('Efficient Site Offices DD &amp; Cal'!$B137:$F137))+'PFC Calculations'!$G102+(SUM('Behaviour Calculations'!$E108,'Behaviour Calculations'!$J108,'Behaviour Calculations'!$O108))+(SUM('Reduced Power Lighting Calculat'!$B102:$F102)+SUM('Hybrid Lighting Calculations'!$B106:$F106)+('PIR Lighting Calculations'!$H102)+SUM('Water Calculations'!$B102:$G102)+'Additional Initiatives'!$H115)</f>
        <v>0</v>
      </c>
      <c r="G104" s="778">
        <f t="shared" si="69"/>
        <v>0</v>
      </c>
      <c r="H104" s="778">
        <f t="shared" si="45"/>
        <v>0</v>
      </c>
      <c r="I104" s="778">
        <f t="shared" si="70"/>
        <v>0</v>
      </c>
      <c r="J104" s="798">
        <f t="shared" si="74"/>
        <v>1668015.7406375667</v>
      </c>
      <c r="K104" s="779">
        <f t="shared" si="75"/>
        <v>2056931.9678366459</v>
      </c>
      <c r="L104" s="780">
        <f t="shared" si="71"/>
        <v>0</v>
      </c>
      <c r="M104" s="780">
        <f t="shared" si="72"/>
        <v>0.18907588256704344</v>
      </c>
      <c r="N104" s="781">
        <f t="shared" si="73"/>
        <v>0</v>
      </c>
      <c r="O104" s="781">
        <f t="shared" si="56"/>
        <v>388916.22719907941</v>
      </c>
      <c r="Q104" s="683">
        <f t="shared" si="76"/>
        <v>1546103.9322666666</v>
      </c>
      <c r="R104" s="683">
        <f t="shared" si="77"/>
        <v>121911.80837090002</v>
      </c>
      <c r="T104" s="673">
        <f t="shared" si="50"/>
        <v>0</v>
      </c>
      <c r="U104" s="674">
        <f>'Fuel Equipment Savings Calculat'!$V101</f>
        <v>0</v>
      </c>
      <c r="V104" s="674">
        <f>'Efficient Site Offices DD &amp; Cal'!$H137</f>
        <v>0</v>
      </c>
      <c r="W104" s="674">
        <f>'PFC Calculations'!$G102</f>
        <v>0</v>
      </c>
      <c r="X104" s="674">
        <f>'Behaviour Calculations'!$E108</f>
        <v>0</v>
      </c>
      <c r="Y104" s="674">
        <f>'Behaviour Calculations'!$J108</f>
        <v>0</v>
      </c>
      <c r="Z104" s="674">
        <f>'Behaviour Calculations'!$O108</f>
        <v>0</v>
      </c>
      <c r="AA104" s="674">
        <f>'Reduced Power Lighting Calculat'!$H102</f>
        <v>0</v>
      </c>
      <c r="AB104" s="674">
        <f>'Hybrid Lighting Calculations'!H106</f>
        <v>0</v>
      </c>
      <c r="AC104" s="674">
        <f>'PIR Lighting Calculations'!$H102</f>
        <v>0</v>
      </c>
      <c r="AD104" s="674">
        <f>'Water Calculations'!$I102</f>
        <v>0</v>
      </c>
      <c r="AE104" s="674">
        <f>'Additional Initiatives'!$H115</f>
        <v>0</v>
      </c>
      <c r="AF104" s="679">
        <f t="shared" si="51"/>
        <v>0</v>
      </c>
      <c r="AG104" s="679">
        <f>(C104-B104) - (0.13 * 'Data Entry Fuel'!I$3) * (U104+AB104)</f>
        <v>0</v>
      </c>
      <c r="AH104" s="5"/>
      <c r="AI104" s="19">
        <v>1709</v>
      </c>
      <c r="AJ104" s="19">
        <f t="shared" si="52"/>
        <v>2017</v>
      </c>
      <c r="AK104" s="19">
        <f t="shared" si="53"/>
        <v>11</v>
      </c>
      <c r="AL104" s="19">
        <v>100</v>
      </c>
      <c r="AM104" s="697">
        <f t="shared" si="78"/>
        <v>1546103.9322666666</v>
      </c>
      <c r="AN104" s="697">
        <f t="shared" si="57"/>
        <v>258650.4652223486</v>
      </c>
      <c r="AO104" s="697">
        <f t="shared" si="58"/>
        <v>54295.191999999995</v>
      </c>
      <c r="AP104" s="697">
        <f>IF(AP$4='Additional Initiatives'!$B$163,'Additional Initiatives'!$B263,IF(AP$4='Additional Initiatives'!$C$163,'Additional Initiatives'!$C263,IF(AP$4='Additional Initiatives'!$D$163,'Additional Initiatives'!$D263,IF(AP$4='Additional Initiatives'!$E$163,'Additional Initiatives'!$E263,IF(AP$4='Additional Initiatives'!$F$163,'Additional Initiatives'!$F263,0)))))+AP103</f>
        <v>0</v>
      </c>
      <c r="AQ104" s="697">
        <f>IF(AQ$4='Additional Initiatives'!$B$163,'Additional Initiatives'!$B263,IF(AQ$4='Additional Initiatives'!$C$163,'Additional Initiatives'!$C263,IF(AQ$4='Additional Initiatives'!$D$163,'Additional Initiatives'!$D263,IF(AQ$4='Additional Initiatives'!$E$163,'Additional Initiatives'!$E263,IF(AQ$4='Additional Initiatives'!$F$163,'Additional Initiatives'!$F263,0)))))+AQ103</f>
        <v>0</v>
      </c>
      <c r="AR104" s="697">
        <f>IF(AR$4='Additional Initiatives'!$B$163,'Additional Initiatives'!$B263,IF(AR$4='Additional Initiatives'!$C$163,'Additional Initiatives'!$C263,IF(AR$4='Additional Initiatives'!$D$163,'Additional Initiatives'!$D263,IF(AR$4='Additional Initiatives'!$E$163,'Additional Initiatives'!$E263,IF(AR$4='Additional Initiatives'!$F$163,'Additional Initiatives'!$F263,0)))))+AR103</f>
        <v>0</v>
      </c>
      <c r="AS104" s="697">
        <f t="shared" si="59"/>
        <v>0</v>
      </c>
      <c r="AT104" s="696">
        <f t="shared" si="79"/>
        <v>121911.80837090002</v>
      </c>
      <c r="AU104" s="696">
        <f t="shared" si="60"/>
        <v>25394.250457001559</v>
      </c>
      <c r="AV104" s="696">
        <f t="shared" si="61"/>
        <v>0</v>
      </c>
      <c r="AW104" s="696">
        <f t="shared" si="62"/>
        <v>0</v>
      </c>
      <c r="AX104" s="696">
        <f t="shared" si="63"/>
        <v>25828.950288959997</v>
      </c>
      <c r="AY104" s="696">
        <f t="shared" si="64"/>
        <v>10645.061538461536</v>
      </c>
      <c r="AZ104" s="696">
        <f t="shared" si="65"/>
        <v>7996.1538461538476</v>
      </c>
      <c r="BA104" s="696">
        <f t="shared" si="66"/>
        <v>6106.1538461538457</v>
      </c>
      <c r="BB104" s="696">
        <f t="shared" si="67"/>
        <v>0</v>
      </c>
      <c r="BC104" s="696">
        <f>IF(BC$4='Additional Initiatives'!$B$163,'Additional Initiatives'!$B263,IF(BC$4='Additional Initiatives'!$C$163,'Additional Initiatives'!$C263,IF(BC$4='Additional Initiatives'!$D$163,'Additional Initiatives'!$D263,IF(BC$4='Additional Initiatives'!$E$163,'Additional Initiatives'!$E263,IF(BC$4='Additional Initiatives'!$F$163,'Additional Initiatives'!$F263,0)))))+BC103</f>
        <v>0</v>
      </c>
      <c r="BD104" s="696">
        <f>IF(BD$4='Additional Initiatives'!$B$163,'Additional Initiatives'!$B263,IF(BD$4='Additional Initiatives'!$C$163,'Additional Initiatives'!$C263,IF(BD$4='Additional Initiatives'!$D$163,'Additional Initiatives'!$D263,IF(BD$4='Additional Initiatives'!$E$163,'Additional Initiatives'!$E263,IF(BD$4='Additional Initiatives'!$F$163,'Additional Initiatives'!$F263,0)))))+BD103</f>
        <v>0</v>
      </c>
      <c r="BE104" s="696">
        <f>IF(BE$4='Additional Initiatives'!$B$163,'Additional Initiatives'!$B263,IF(BE$4='Additional Initiatives'!$C$163,'Additional Initiatives'!$C263,IF(BE$4='Additional Initiatives'!$D$163,'Additional Initiatives'!$D263,IF(BE$4='Additional Initiatives'!$E$163,'Additional Initiatives'!$E263,IF(BE$4='Additional Initiatives'!$F$163,'Additional Initiatives'!$F263,0)))))+BE103</f>
        <v>0</v>
      </c>
      <c r="BF104" s="696">
        <f t="shared" si="68"/>
        <v>0</v>
      </c>
    </row>
    <row r="105" spans="1:58">
      <c r="A105" s="21" t="s">
        <v>983</v>
      </c>
      <c r="B105" s="672">
        <f>'Data Entry Fuel'!B104*'Data Entry Fuel'!B256
+'Data Entry Fuel'!C104*'Data Entry Fuel'!C256
+'Data Entry Fuel'!D104*'Data Entry Fuel'!D256
+'Data Entry Fuel'!E104*'Data Entry Fuel'!E256
+'Data Entry Fuel'!F104*'Data Entry Fuel'!F256
+'Data Entry Fuel'!G104*'Data Entry Fuel'!G256
+'Data Entry Fuel'!H104*'Data Entry Fuel'!H256
+'Data Entry Fuel'!I104*'Data Entry Fuel'!I256
+'Data Entry Fuel'!J104*'Data Entry Fuel'!J256</f>
        <v>0</v>
      </c>
      <c r="C105" s="672">
        <f>'Data Entry Fuel'!B104*'Data Entry Fuel'!B256
+'Data Entry Fuel'!C104*'Data Entry Fuel'!C256
+'Data Entry Fuel'!D104*'Data Entry Fuel'!D256
+'Data Entry Fuel'!E104*'Data Entry Fuel'!E256
+'Data Entry Fuel'!F104*'Data Entry Fuel'!F256
+'Data Entry Fuel'!G104*'Data Entry Fuel'!G256
+'Data Entry Fuel'!H104*'Data Entry Fuel'!H256
+'Data Entry Fuel'!I104*'Data Entry Fuel'!C256 *   (1 -  0.13 * 'Data Entry Fuel'!I$3)
+'Data Entry Fuel'!J104*'Data Entry Fuel'!J256</f>
        <v>0</v>
      </c>
      <c r="D105" s="677">
        <f>'Data Entry Electricity'!B104*'Data Entry Electricity'!L104+'Data Entry Electricity'!C104*'Data Entry Electricity'!M104+'Data Entry Electricity'!D104*'Data Entry Electricity'!N104+'Data Entry Electricity'!E104*'Data Entry Electricity'!O104</f>
        <v>0</v>
      </c>
      <c r="E105" s="776">
        <f>'Data Entry Electricity'!B104*'Data Entry Electricity'!L104+'Data Entry Electricity'!C104*'Data Entry Electricity'!L104+'Data Entry Electricity'!D104*'Data Entry Electricity'!N104+'Data Entry Electricity'!E104*'Data Entry Electricity'!O104</f>
        <v>0</v>
      </c>
      <c r="F105" s="777">
        <f>(SUM('Fuel Equipment Savings Calculat'!$B102:$S102))+(SUM('Efficient Site Offices DD &amp; Cal'!$B138:$F138))+'PFC Calculations'!$G103+(SUM('Behaviour Calculations'!$E109,'Behaviour Calculations'!$J109,'Behaviour Calculations'!$O109))+(SUM('Reduced Power Lighting Calculat'!$B103:$F103)+SUM('Hybrid Lighting Calculations'!$B107:$F107)+('PIR Lighting Calculations'!$H103)+SUM('Water Calculations'!$B103:$G103)+'Additional Initiatives'!$H116)</f>
        <v>0</v>
      </c>
      <c r="G105" s="778">
        <f t="shared" si="69"/>
        <v>0</v>
      </c>
      <c r="H105" s="778">
        <f t="shared" si="45"/>
        <v>0</v>
      </c>
      <c r="I105" s="778">
        <f t="shared" si="70"/>
        <v>0</v>
      </c>
      <c r="J105" s="798">
        <f t="shared" si="74"/>
        <v>1668015.7406375667</v>
      </c>
      <c r="K105" s="779">
        <f t="shared" si="75"/>
        <v>2056931.9678366459</v>
      </c>
      <c r="L105" s="780">
        <f t="shared" si="71"/>
        <v>0</v>
      </c>
      <c r="M105" s="780">
        <f t="shared" si="72"/>
        <v>0.18907588256704344</v>
      </c>
      <c r="N105" s="781">
        <f t="shared" si="73"/>
        <v>0</v>
      </c>
      <c r="O105" s="781">
        <f t="shared" si="56"/>
        <v>388916.22719907941</v>
      </c>
      <c r="Q105" s="683">
        <f t="shared" si="76"/>
        <v>1546103.9322666666</v>
      </c>
      <c r="R105" s="683">
        <f t="shared" si="77"/>
        <v>121911.80837090002</v>
      </c>
      <c r="T105" s="673">
        <f t="shared" si="50"/>
        <v>0</v>
      </c>
      <c r="U105" s="674">
        <f>'Fuel Equipment Savings Calculat'!$V102</f>
        <v>0</v>
      </c>
      <c r="V105" s="674">
        <f>'Efficient Site Offices DD &amp; Cal'!$H138</f>
        <v>0</v>
      </c>
      <c r="W105" s="674">
        <f>'PFC Calculations'!$G103</f>
        <v>0</v>
      </c>
      <c r="X105" s="674">
        <f>'Behaviour Calculations'!$E109</f>
        <v>0</v>
      </c>
      <c r="Y105" s="674">
        <f>'Behaviour Calculations'!$J109</f>
        <v>0</v>
      </c>
      <c r="Z105" s="674">
        <f>'Behaviour Calculations'!$O109</f>
        <v>0</v>
      </c>
      <c r="AA105" s="674">
        <f>'Reduced Power Lighting Calculat'!$H103</f>
        <v>0</v>
      </c>
      <c r="AB105" s="674">
        <f>'Hybrid Lighting Calculations'!H107</f>
        <v>0</v>
      </c>
      <c r="AC105" s="674">
        <f>'PIR Lighting Calculations'!$H103</f>
        <v>0</v>
      </c>
      <c r="AD105" s="674">
        <f>'Water Calculations'!$I103</f>
        <v>0</v>
      </c>
      <c r="AE105" s="674">
        <f>'Additional Initiatives'!$H116</f>
        <v>0</v>
      </c>
      <c r="AF105" s="679">
        <f t="shared" si="51"/>
        <v>0</v>
      </c>
      <c r="AG105" s="679">
        <f>(C105-B105) - (0.13 * 'Data Entry Fuel'!I$3) * (U105+AB105)</f>
        <v>0</v>
      </c>
      <c r="AH105" s="5"/>
      <c r="AI105" s="19">
        <v>1710</v>
      </c>
      <c r="AJ105" s="19">
        <f t="shared" si="52"/>
        <v>2017</v>
      </c>
      <c r="AK105" s="19">
        <f t="shared" si="53"/>
        <v>11</v>
      </c>
      <c r="AL105" s="19">
        <v>101</v>
      </c>
      <c r="AM105" s="697">
        <f t="shared" si="78"/>
        <v>1546103.9322666666</v>
      </c>
      <c r="AN105" s="697">
        <f t="shared" si="57"/>
        <v>258650.4652223486</v>
      </c>
      <c r="AO105" s="697">
        <f t="shared" si="58"/>
        <v>54295.191999999995</v>
      </c>
      <c r="AP105" s="697">
        <f>IF(AP$4='Additional Initiatives'!$B$163,'Additional Initiatives'!$B264,IF(AP$4='Additional Initiatives'!$C$163,'Additional Initiatives'!$C264,IF(AP$4='Additional Initiatives'!$D$163,'Additional Initiatives'!$D264,IF(AP$4='Additional Initiatives'!$E$163,'Additional Initiatives'!$E264,IF(AP$4='Additional Initiatives'!$F$163,'Additional Initiatives'!$F264,0)))))+AP104</f>
        <v>0</v>
      </c>
      <c r="AQ105" s="697">
        <f>IF(AQ$4='Additional Initiatives'!$B$163,'Additional Initiatives'!$B264,IF(AQ$4='Additional Initiatives'!$C$163,'Additional Initiatives'!$C264,IF(AQ$4='Additional Initiatives'!$D$163,'Additional Initiatives'!$D264,IF(AQ$4='Additional Initiatives'!$E$163,'Additional Initiatives'!$E264,IF(AQ$4='Additional Initiatives'!$F$163,'Additional Initiatives'!$F264,0)))))+AQ104</f>
        <v>0</v>
      </c>
      <c r="AR105" s="697">
        <f>IF(AR$4='Additional Initiatives'!$B$163,'Additional Initiatives'!$B264,IF(AR$4='Additional Initiatives'!$C$163,'Additional Initiatives'!$C264,IF(AR$4='Additional Initiatives'!$D$163,'Additional Initiatives'!$D264,IF(AR$4='Additional Initiatives'!$E$163,'Additional Initiatives'!$E264,IF(AR$4='Additional Initiatives'!$F$163,'Additional Initiatives'!$F264,0)))))+AR104</f>
        <v>0</v>
      </c>
      <c r="AS105" s="697">
        <f t="shared" si="59"/>
        <v>0</v>
      </c>
      <c r="AT105" s="696">
        <f t="shared" si="79"/>
        <v>121911.80837090002</v>
      </c>
      <c r="AU105" s="696">
        <f t="shared" si="60"/>
        <v>25394.250457001559</v>
      </c>
      <c r="AV105" s="696">
        <f t="shared" si="61"/>
        <v>0</v>
      </c>
      <c r="AW105" s="696">
        <f t="shared" si="62"/>
        <v>0</v>
      </c>
      <c r="AX105" s="696">
        <f t="shared" si="63"/>
        <v>25828.950288959997</v>
      </c>
      <c r="AY105" s="696">
        <f t="shared" si="64"/>
        <v>10645.061538461536</v>
      </c>
      <c r="AZ105" s="696">
        <f t="shared" si="65"/>
        <v>7996.1538461538476</v>
      </c>
      <c r="BA105" s="696">
        <f t="shared" si="66"/>
        <v>6106.1538461538457</v>
      </c>
      <c r="BB105" s="696">
        <f t="shared" si="67"/>
        <v>0</v>
      </c>
      <c r="BC105" s="696">
        <f>IF(BC$4='Additional Initiatives'!$B$163,'Additional Initiatives'!$B264,IF(BC$4='Additional Initiatives'!$C$163,'Additional Initiatives'!$C264,IF(BC$4='Additional Initiatives'!$D$163,'Additional Initiatives'!$D264,IF(BC$4='Additional Initiatives'!$E$163,'Additional Initiatives'!$E264,IF(BC$4='Additional Initiatives'!$F$163,'Additional Initiatives'!$F264,0)))))+BC104</f>
        <v>0</v>
      </c>
      <c r="BD105" s="696">
        <f>IF(BD$4='Additional Initiatives'!$B$163,'Additional Initiatives'!$B264,IF(BD$4='Additional Initiatives'!$C$163,'Additional Initiatives'!$C264,IF(BD$4='Additional Initiatives'!$D$163,'Additional Initiatives'!$D264,IF(BD$4='Additional Initiatives'!$E$163,'Additional Initiatives'!$E264,IF(BD$4='Additional Initiatives'!$F$163,'Additional Initiatives'!$F264,0)))))+BD104</f>
        <v>0</v>
      </c>
      <c r="BE105" s="696">
        <f>IF(BE$4='Additional Initiatives'!$B$163,'Additional Initiatives'!$B264,IF(BE$4='Additional Initiatives'!$C$163,'Additional Initiatives'!$C264,IF(BE$4='Additional Initiatives'!$D$163,'Additional Initiatives'!$D264,IF(BE$4='Additional Initiatives'!$E$163,'Additional Initiatives'!$E264,IF(BE$4='Additional Initiatives'!$F$163,'Additional Initiatives'!$F264,0)))))+BE104</f>
        <v>0</v>
      </c>
      <c r="BF105" s="696">
        <f t="shared" si="68"/>
        <v>0</v>
      </c>
    </row>
    <row r="106" spans="1:58">
      <c r="A106" s="21" t="s">
        <v>984</v>
      </c>
      <c r="B106" s="672">
        <f>'Data Entry Fuel'!B105*'Data Entry Fuel'!B257
+'Data Entry Fuel'!C105*'Data Entry Fuel'!C257
+'Data Entry Fuel'!D105*'Data Entry Fuel'!D257
+'Data Entry Fuel'!E105*'Data Entry Fuel'!E257
+'Data Entry Fuel'!F105*'Data Entry Fuel'!F257
+'Data Entry Fuel'!G105*'Data Entry Fuel'!G257
+'Data Entry Fuel'!H105*'Data Entry Fuel'!H257
+'Data Entry Fuel'!I105*'Data Entry Fuel'!I257
+'Data Entry Fuel'!J105*'Data Entry Fuel'!J257</f>
        <v>0</v>
      </c>
      <c r="C106" s="672">
        <f>'Data Entry Fuel'!B105*'Data Entry Fuel'!B257
+'Data Entry Fuel'!C105*'Data Entry Fuel'!C257
+'Data Entry Fuel'!D105*'Data Entry Fuel'!D257
+'Data Entry Fuel'!E105*'Data Entry Fuel'!E257
+'Data Entry Fuel'!F105*'Data Entry Fuel'!F257
+'Data Entry Fuel'!G105*'Data Entry Fuel'!G257
+'Data Entry Fuel'!H105*'Data Entry Fuel'!H257
+'Data Entry Fuel'!I105*'Data Entry Fuel'!C257 *   (1 -  0.13 * 'Data Entry Fuel'!I$3)
+'Data Entry Fuel'!J105*'Data Entry Fuel'!J257</f>
        <v>0</v>
      </c>
      <c r="D106" s="677">
        <f>'Data Entry Electricity'!B105*'Data Entry Electricity'!L105+'Data Entry Electricity'!C105*'Data Entry Electricity'!M105+'Data Entry Electricity'!D105*'Data Entry Electricity'!N105+'Data Entry Electricity'!E105*'Data Entry Electricity'!O105</f>
        <v>0</v>
      </c>
      <c r="E106" s="776">
        <f>'Data Entry Electricity'!B105*'Data Entry Electricity'!L105+'Data Entry Electricity'!C105*'Data Entry Electricity'!L105+'Data Entry Electricity'!D105*'Data Entry Electricity'!N105+'Data Entry Electricity'!E105*'Data Entry Electricity'!O105</f>
        <v>0</v>
      </c>
      <c r="F106" s="777">
        <f>(SUM('Fuel Equipment Savings Calculat'!$B103:$S103))+(SUM('Efficient Site Offices DD &amp; Cal'!$B139:$F139))+'PFC Calculations'!$G104+(SUM('Behaviour Calculations'!$E110,'Behaviour Calculations'!$J110,'Behaviour Calculations'!$O110))+(SUM('Reduced Power Lighting Calculat'!$B104:$F104)+SUM('Hybrid Lighting Calculations'!$B108:$F108)+('PIR Lighting Calculations'!$H104)+SUM('Water Calculations'!$B104:$G104)+'Additional Initiatives'!$H117)</f>
        <v>0</v>
      </c>
      <c r="G106" s="778">
        <f t="shared" si="69"/>
        <v>0</v>
      </c>
      <c r="H106" s="778">
        <f t="shared" si="45"/>
        <v>0</v>
      </c>
      <c r="I106" s="778">
        <f t="shared" si="70"/>
        <v>0</v>
      </c>
      <c r="J106" s="798">
        <f t="shared" si="74"/>
        <v>1668015.7406375667</v>
      </c>
      <c r="K106" s="779">
        <f t="shared" si="75"/>
        <v>2056931.9678366459</v>
      </c>
      <c r="L106" s="780">
        <f t="shared" si="71"/>
        <v>0</v>
      </c>
      <c r="M106" s="780">
        <f t="shared" si="72"/>
        <v>0.18907588256704344</v>
      </c>
      <c r="N106" s="781">
        <f t="shared" si="73"/>
        <v>0</v>
      </c>
      <c r="O106" s="781">
        <f t="shared" si="56"/>
        <v>388916.22719907941</v>
      </c>
      <c r="Q106" s="683">
        <f t="shared" si="76"/>
        <v>1546103.9322666666</v>
      </c>
      <c r="R106" s="683">
        <f t="shared" si="77"/>
        <v>121911.80837090002</v>
      </c>
      <c r="T106" s="673">
        <f t="shared" si="50"/>
        <v>0</v>
      </c>
      <c r="U106" s="674">
        <f>'Fuel Equipment Savings Calculat'!$V103</f>
        <v>0</v>
      </c>
      <c r="V106" s="674">
        <f>'Efficient Site Offices DD &amp; Cal'!$H139</f>
        <v>0</v>
      </c>
      <c r="W106" s="674">
        <f>'PFC Calculations'!$G104</f>
        <v>0</v>
      </c>
      <c r="X106" s="674">
        <f>'Behaviour Calculations'!$E110</f>
        <v>0</v>
      </c>
      <c r="Y106" s="674">
        <f>'Behaviour Calculations'!$J110</f>
        <v>0</v>
      </c>
      <c r="Z106" s="674">
        <f>'Behaviour Calculations'!$O110</f>
        <v>0</v>
      </c>
      <c r="AA106" s="674">
        <f>'Reduced Power Lighting Calculat'!$H104</f>
        <v>0</v>
      </c>
      <c r="AB106" s="674">
        <f>'Hybrid Lighting Calculations'!H108</f>
        <v>0</v>
      </c>
      <c r="AC106" s="674">
        <f>'PIR Lighting Calculations'!$H104</f>
        <v>0</v>
      </c>
      <c r="AD106" s="674">
        <f>'Water Calculations'!$I104</f>
        <v>0</v>
      </c>
      <c r="AE106" s="674">
        <f>'Additional Initiatives'!$H117</f>
        <v>0</v>
      </c>
      <c r="AF106" s="679">
        <f t="shared" si="51"/>
        <v>0</v>
      </c>
      <c r="AG106" s="679">
        <f>(C106-B106) - (0.13 * 'Data Entry Fuel'!I$3) * (U106+AB106)</f>
        <v>0</v>
      </c>
      <c r="AH106" s="5"/>
      <c r="AI106" s="19">
        <v>1711</v>
      </c>
      <c r="AJ106" s="19">
        <f t="shared" si="52"/>
        <v>2017</v>
      </c>
      <c r="AK106" s="19">
        <f t="shared" si="53"/>
        <v>11</v>
      </c>
      <c r="AL106" s="19">
        <v>102</v>
      </c>
      <c r="AM106" s="697">
        <f t="shared" si="78"/>
        <v>1546103.9322666666</v>
      </c>
      <c r="AN106" s="697">
        <f t="shared" si="57"/>
        <v>258650.4652223486</v>
      </c>
      <c r="AO106" s="697">
        <f t="shared" si="58"/>
        <v>54295.191999999995</v>
      </c>
      <c r="AP106" s="697">
        <f>IF(AP$4='Additional Initiatives'!$B$163,'Additional Initiatives'!$B265,IF(AP$4='Additional Initiatives'!$C$163,'Additional Initiatives'!$C265,IF(AP$4='Additional Initiatives'!$D$163,'Additional Initiatives'!$D265,IF(AP$4='Additional Initiatives'!$E$163,'Additional Initiatives'!$E265,IF(AP$4='Additional Initiatives'!$F$163,'Additional Initiatives'!$F265,0)))))+AP105</f>
        <v>0</v>
      </c>
      <c r="AQ106" s="697">
        <f>IF(AQ$4='Additional Initiatives'!$B$163,'Additional Initiatives'!$B265,IF(AQ$4='Additional Initiatives'!$C$163,'Additional Initiatives'!$C265,IF(AQ$4='Additional Initiatives'!$D$163,'Additional Initiatives'!$D265,IF(AQ$4='Additional Initiatives'!$E$163,'Additional Initiatives'!$E265,IF(AQ$4='Additional Initiatives'!$F$163,'Additional Initiatives'!$F265,0)))))+AQ105</f>
        <v>0</v>
      </c>
      <c r="AR106" s="697">
        <f>IF(AR$4='Additional Initiatives'!$B$163,'Additional Initiatives'!$B265,IF(AR$4='Additional Initiatives'!$C$163,'Additional Initiatives'!$C265,IF(AR$4='Additional Initiatives'!$D$163,'Additional Initiatives'!$D265,IF(AR$4='Additional Initiatives'!$E$163,'Additional Initiatives'!$E265,IF(AR$4='Additional Initiatives'!$F$163,'Additional Initiatives'!$F265,0)))))+AR105</f>
        <v>0</v>
      </c>
      <c r="AS106" s="697">
        <f t="shared" si="59"/>
        <v>0</v>
      </c>
      <c r="AT106" s="696">
        <f t="shared" si="79"/>
        <v>121911.80837090002</v>
      </c>
      <c r="AU106" s="696">
        <f t="shared" si="60"/>
        <v>25394.250457001559</v>
      </c>
      <c r="AV106" s="696">
        <f t="shared" si="61"/>
        <v>0</v>
      </c>
      <c r="AW106" s="696">
        <f t="shared" si="62"/>
        <v>0</v>
      </c>
      <c r="AX106" s="696">
        <f t="shared" si="63"/>
        <v>25828.950288959997</v>
      </c>
      <c r="AY106" s="696">
        <f t="shared" si="64"/>
        <v>10645.061538461536</v>
      </c>
      <c r="AZ106" s="696">
        <f t="shared" si="65"/>
        <v>7996.1538461538476</v>
      </c>
      <c r="BA106" s="696">
        <f t="shared" si="66"/>
        <v>6106.1538461538457</v>
      </c>
      <c r="BB106" s="696">
        <f t="shared" si="67"/>
        <v>0</v>
      </c>
      <c r="BC106" s="696">
        <f>IF(BC$4='Additional Initiatives'!$B$163,'Additional Initiatives'!$B265,IF(BC$4='Additional Initiatives'!$C$163,'Additional Initiatives'!$C265,IF(BC$4='Additional Initiatives'!$D$163,'Additional Initiatives'!$D265,IF(BC$4='Additional Initiatives'!$E$163,'Additional Initiatives'!$E265,IF(BC$4='Additional Initiatives'!$F$163,'Additional Initiatives'!$F265,0)))))+BC105</f>
        <v>0</v>
      </c>
      <c r="BD106" s="696">
        <f>IF(BD$4='Additional Initiatives'!$B$163,'Additional Initiatives'!$B265,IF(BD$4='Additional Initiatives'!$C$163,'Additional Initiatives'!$C265,IF(BD$4='Additional Initiatives'!$D$163,'Additional Initiatives'!$D265,IF(BD$4='Additional Initiatives'!$E$163,'Additional Initiatives'!$E265,IF(BD$4='Additional Initiatives'!$F$163,'Additional Initiatives'!$F265,0)))))+BD105</f>
        <v>0</v>
      </c>
      <c r="BE106" s="696">
        <f>IF(BE$4='Additional Initiatives'!$B$163,'Additional Initiatives'!$B265,IF(BE$4='Additional Initiatives'!$C$163,'Additional Initiatives'!$C265,IF(BE$4='Additional Initiatives'!$D$163,'Additional Initiatives'!$D265,IF(BE$4='Additional Initiatives'!$E$163,'Additional Initiatives'!$E265,IF(BE$4='Additional Initiatives'!$F$163,'Additional Initiatives'!$F265,0)))))+BE105</f>
        <v>0</v>
      </c>
      <c r="BF106" s="696">
        <f t="shared" si="68"/>
        <v>0</v>
      </c>
    </row>
    <row r="107" spans="1:58">
      <c r="A107" s="21" t="s">
        <v>985</v>
      </c>
      <c r="B107" s="672">
        <f>'Data Entry Fuel'!B106*'Data Entry Fuel'!B258
+'Data Entry Fuel'!C106*'Data Entry Fuel'!C258
+'Data Entry Fuel'!D106*'Data Entry Fuel'!D258
+'Data Entry Fuel'!E106*'Data Entry Fuel'!E258
+'Data Entry Fuel'!F106*'Data Entry Fuel'!F258
+'Data Entry Fuel'!G106*'Data Entry Fuel'!G258
+'Data Entry Fuel'!H106*'Data Entry Fuel'!H258
+'Data Entry Fuel'!I106*'Data Entry Fuel'!I258
+'Data Entry Fuel'!J106*'Data Entry Fuel'!J258</f>
        <v>0</v>
      </c>
      <c r="C107" s="672">
        <f>'Data Entry Fuel'!B106*'Data Entry Fuel'!B258
+'Data Entry Fuel'!C106*'Data Entry Fuel'!C258
+'Data Entry Fuel'!D106*'Data Entry Fuel'!D258
+'Data Entry Fuel'!E106*'Data Entry Fuel'!E258
+'Data Entry Fuel'!F106*'Data Entry Fuel'!F258
+'Data Entry Fuel'!G106*'Data Entry Fuel'!G258
+'Data Entry Fuel'!H106*'Data Entry Fuel'!H258
+'Data Entry Fuel'!I106*'Data Entry Fuel'!C258 *   (1 -  0.13 * 'Data Entry Fuel'!I$3)
+'Data Entry Fuel'!J106*'Data Entry Fuel'!J258</f>
        <v>0</v>
      </c>
      <c r="D107" s="677">
        <f>'Data Entry Electricity'!B106*'Data Entry Electricity'!L106+'Data Entry Electricity'!C106*'Data Entry Electricity'!M106+'Data Entry Electricity'!D106*'Data Entry Electricity'!N106+'Data Entry Electricity'!E106*'Data Entry Electricity'!O106</f>
        <v>0</v>
      </c>
      <c r="E107" s="776">
        <f>'Data Entry Electricity'!B106*'Data Entry Electricity'!L106+'Data Entry Electricity'!C106*'Data Entry Electricity'!L106+'Data Entry Electricity'!D106*'Data Entry Electricity'!N106+'Data Entry Electricity'!E106*'Data Entry Electricity'!O106</f>
        <v>0</v>
      </c>
      <c r="F107" s="777">
        <f>(SUM('Fuel Equipment Savings Calculat'!$B104:$S104))+(SUM('Efficient Site Offices DD &amp; Cal'!$B140:$F140))+'PFC Calculations'!$G105+(SUM('Behaviour Calculations'!$E111,'Behaviour Calculations'!$J111,'Behaviour Calculations'!$O111))+(SUM('Reduced Power Lighting Calculat'!$B105:$F105)+SUM('Hybrid Lighting Calculations'!$B109:$F109)+('PIR Lighting Calculations'!$H105)+SUM('Water Calculations'!$B105:$G105)+'Additional Initiatives'!$H118)</f>
        <v>0</v>
      </c>
      <c r="G107" s="778">
        <f t="shared" si="69"/>
        <v>0</v>
      </c>
      <c r="H107" s="778">
        <f t="shared" si="45"/>
        <v>0</v>
      </c>
      <c r="I107" s="778">
        <f t="shared" si="70"/>
        <v>0</v>
      </c>
      <c r="J107" s="798">
        <f t="shared" si="74"/>
        <v>1668015.7406375667</v>
      </c>
      <c r="K107" s="779">
        <f t="shared" si="75"/>
        <v>2056931.9678366459</v>
      </c>
      <c r="L107" s="780">
        <f t="shared" si="71"/>
        <v>0</v>
      </c>
      <c r="M107" s="780">
        <f t="shared" si="72"/>
        <v>0.18907588256704344</v>
      </c>
      <c r="N107" s="781">
        <f t="shared" si="73"/>
        <v>0</v>
      </c>
      <c r="O107" s="781">
        <f t="shared" si="56"/>
        <v>388916.22719907941</v>
      </c>
      <c r="Q107" s="683">
        <f t="shared" si="76"/>
        <v>1546103.9322666666</v>
      </c>
      <c r="R107" s="683">
        <f t="shared" si="77"/>
        <v>121911.80837090002</v>
      </c>
      <c r="T107" s="673">
        <f t="shared" si="50"/>
        <v>0</v>
      </c>
      <c r="U107" s="674">
        <f>'Fuel Equipment Savings Calculat'!$V104</f>
        <v>0</v>
      </c>
      <c r="V107" s="674">
        <f>'Efficient Site Offices DD &amp; Cal'!$H140</f>
        <v>0</v>
      </c>
      <c r="W107" s="674">
        <f>'PFC Calculations'!$G105</f>
        <v>0</v>
      </c>
      <c r="X107" s="674">
        <f>'Behaviour Calculations'!$E111</f>
        <v>0</v>
      </c>
      <c r="Y107" s="674">
        <f>'Behaviour Calculations'!$J111</f>
        <v>0</v>
      </c>
      <c r="Z107" s="674">
        <f>'Behaviour Calculations'!$O111</f>
        <v>0</v>
      </c>
      <c r="AA107" s="674">
        <f>'Reduced Power Lighting Calculat'!$H105</f>
        <v>0</v>
      </c>
      <c r="AB107" s="674">
        <f>'Hybrid Lighting Calculations'!H109</f>
        <v>0</v>
      </c>
      <c r="AC107" s="674">
        <f>'PIR Lighting Calculations'!$H105</f>
        <v>0</v>
      </c>
      <c r="AD107" s="674">
        <f>'Water Calculations'!$I105</f>
        <v>0</v>
      </c>
      <c r="AE107" s="674">
        <f>'Additional Initiatives'!$H118</f>
        <v>0</v>
      </c>
      <c r="AF107" s="679">
        <f t="shared" si="51"/>
        <v>0</v>
      </c>
      <c r="AG107" s="679">
        <f>(C107-B107) - (0.13 * 'Data Entry Fuel'!I$3) * (U107+AB107)</f>
        <v>0</v>
      </c>
      <c r="AH107" s="5"/>
      <c r="AI107" s="19">
        <v>1712</v>
      </c>
      <c r="AJ107" s="19">
        <f t="shared" si="52"/>
        <v>2017</v>
      </c>
      <c r="AK107" s="19">
        <f t="shared" si="53"/>
        <v>11</v>
      </c>
      <c r="AL107" s="19">
        <v>103</v>
      </c>
      <c r="AM107" s="697">
        <f t="shared" si="78"/>
        <v>1546103.9322666666</v>
      </c>
      <c r="AN107" s="697">
        <f t="shared" si="57"/>
        <v>258650.4652223486</v>
      </c>
      <c r="AO107" s="697">
        <f t="shared" si="58"/>
        <v>54295.191999999995</v>
      </c>
      <c r="AP107" s="697">
        <f>IF(AP$4='Additional Initiatives'!$B$163,'Additional Initiatives'!$B266,IF(AP$4='Additional Initiatives'!$C$163,'Additional Initiatives'!$C266,IF(AP$4='Additional Initiatives'!$D$163,'Additional Initiatives'!$D266,IF(AP$4='Additional Initiatives'!$E$163,'Additional Initiatives'!$E266,IF(AP$4='Additional Initiatives'!$F$163,'Additional Initiatives'!$F266,0)))))+AP106</f>
        <v>0</v>
      </c>
      <c r="AQ107" s="697">
        <f>IF(AQ$4='Additional Initiatives'!$B$163,'Additional Initiatives'!$B266,IF(AQ$4='Additional Initiatives'!$C$163,'Additional Initiatives'!$C266,IF(AQ$4='Additional Initiatives'!$D$163,'Additional Initiatives'!$D266,IF(AQ$4='Additional Initiatives'!$E$163,'Additional Initiatives'!$E266,IF(AQ$4='Additional Initiatives'!$F$163,'Additional Initiatives'!$F266,0)))))+AQ106</f>
        <v>0</v>
      </c>
      <c r="AR107" s="697">
        <f>IF(AR$4='Additional Initiatives'!$B$163,'Additional Initiatives'!$B266,IF(AR$4='Additional Initiatives'!$C$163,'Additional Initiatives'!$C266,IF(AR$4='Additional Initiatives'!$D$163,'Additional Initiatives'!$D266,IF(AR$4='Additional Initiatives'!$E$163,'Additional Initiatives'!$E266,IF(AR$4='Additional Initiatives'!$F$163,'Additional Initiatives'!$F266,0)))))+AR106</f>
        <v>0</v>
      </c>
      <c r="AS107" s="697">
        <f t="shared" si="59"/>
        <v>0</v>
      </c>
      <c r="AT107" s="696">
        <f t="shared" si="79"/>
        <v>121911.80837090002</v>
      </c>
      <c r="AU107" s="696">
        <f t="shared" si="60"/>
        <v>25394.250457001559</v>
      </c>
      <c r="AV107" s="696">
        <f t="shared" si="61"/>
        <v>0</v>
      </c>
      <c r="AW107" s="696">
        <f t="shared" si="62"/>
        <v>0</v>
      </c>
      <c r="AX107" s="696">
        <f t="shared" si="63"/>
        <v>25828.950288959997</v>
      </c>
      <c r="AY107" s="696">
        <f t="shared" si="64"/>
        <v>10645.061538461536</v>
      </c>
      <c r="AZ107" s="696">
        <f t="shared" si="65"/>
        <v>7996.1538461538476</v>
      </c>
      <c r="BA107" s="696">
        <f t="shared" si="66"/>
        <v>6106.1538461538457</v>
      </c>
      <c r="BB107" s="696">
        <f t="shared" si="67"/>
        <v>0</v>
      </c>
      <c r="BC107" s="696">
        <f>IF(BC$4='Additional Initiatives'!$B$163,'Additional Initiatives'!$B266,IF(BC$4='Additional Initiatives'!$C$163,'Additional Initiatives'!$C266,IF(BC$4='Additional Initiatives'!$D$163,'Additional Initiatives'!$D266,IF(BC$4='Additional Initiatives'!$E$163,'Additional Initiatives'!$E266,IF(BC$4='Additional Initiatives'!$F$163,'Additional Initiatives'!$F266,0)))))+BC106</f>
        <v>0</v>
      </c>
      <c r="BD107" s="696">
        <f>IF(BD$4='Additional Initiatives'!$B$163,'Additional Initiatives'!$B266,IF(BD$4='Additional Initiatives'!$C$163,'Additional Initiatives'!$C266,IF(BD$4='Additional Initiatives'!$D$163,'Additional Initiatives'!$D266,IF(BD$4='Additional Initiatives'!$E$163,'Additional Initiatives'!$E266,IF(BD$4='Additional Initiatives'!$F$163,'Additional Initiatives'!$F266,0)))))+BD106</f>
        <v>0</v>
      </c>
      <c r="BE107" s="696">
        <f>IF(BE$4='Additional Initiatives'!$B$163,'Additional Initiatives'!$B266,IF(BE$4='Additional Initiatives'!$C$163,'Additional Initiatives'!$C266,IF(BE$4='Additional Initiatives'!$D$163,'Additional Initiatives'!$D266,IF(BE$4='Additional Initiatives'!$E$163,'Additional Initiatives'!$E266,IF(BE$4='Additional Initiatives'!$F$163,'Additional Initiatives'!$F266,0)))))+BE106</f>
        <v>0</v>
      </c>
      <c r="BF107" s="696">
        <f t="shared" si="68"/>
        <v>0</v>
      </c>
    </row>
    <row r="108" spans="1:58">
      <c r="A108" s="21" t="s">
        <v>986</v>
      </c>
      <c r="B108" s="672">
        <f>'Data Entry Fuel'!B107*'Data Entry Fuel'!B259
+'Data Entry Fuel'!C107*'Data Entry Fuel'!C259
+'Data Entry Fuel'!D107*'Data Entry Fuel'!D259
+'Data Entry Fuel'!E107*'Data Entry Fuel'!E259
+'Data Entry Fuel'!F107*'Data Entry Fuel'!F259
+'Data Entry Fuel'!G107*'Data Entry Fuel'!G259
+'Data Entry Fuel'!H107*'Data Entry Fuel'!H259
+'Data Entry Fuel'!I107*'Data Entry Fuel'!I259
+'Data Entry Fuel'!J107*'Data Entry Fuel'!J259</f>
        <v>0</v>
      </c>
      <c r="C108" s="672">
        <f>'Data Entry Fuel'!B107*'Data Entry Fuel'!B259
+'Data Entry Fuel'!C107*'Data Entry Fuel'!C259
+'Data Entry Fuel'!D107*'Data Entry Fuel'!D259
+'Data Entry Fuel'!E107*'Data Entry Fuel'!E259
+'Data Entry Fuel'!F107*'Data Entry Fuel'!F259
+'Data Entry Fuel'!G107*'Data Entry Fuel'!G259
+'Data Entry Fuel'!H107*'Data Entry Fuel'!H259
+'Data Entry Fuel'!I107*'Data Entry Fuel'!C259 *   (1 -  0.13 * 'Data Entry Fuel'!I$3)
+'Data Entry Fuel'!J107*'Data Entry Fuel'!J259</f>
        <v>0</v>
      </c>
      <c r="D108" s="677">
        <f>'Data Entry Electricity'!B107*'Data Entry Electricity'!L107+'Data Entry Electricity'!C107*'Data Entry Electricity'!M107+'Data Entry Electricity'!D107*'Data Entry Electricity'!N107+'Data Entry Electricity'!E107*'Data Entry Electricity'!O107</f>
        <v>0</v>
      </c>
      <c r="E108" s="776">
        <f>'Data Entry Electricity'!B107*'Data Entry Electricity'!L107+'Data Entry Electricity'!C107*'Data Entry Electricity'!L107+'Data Entry Electricity'!D107*'Data Entry Electricity'!N107+'Data Entry Electricity'!E107*'Data Entry Electricity'!O107</f>
        <v>0</v>
      </c>
      <c r="F108" s="777">
        <f>(SUM('Fuel Equipment Savings Calculat'!$B105:$S105))+(SUM('Efficient Site Offices DD &amp; Cal'!$B141:$F141))+'PFC Calculations'!$G106+(SUM('Behaviour Calculations'!$E112,'Behaviour Calculations'!$J112,'Behaviour Calculations'!$O112))+(SUM('Reduced Power Lighting Calculat'!$B106:$F106)+SUM('Hybrid Lighting Calculations'!$B110:$F110)+('PIR Lighting Calculations'!$H106)+SUM('Water Calculations'!$B106:$G106)+'Additional Initiatives'!$H119)</f>
        <v>0</v>
      </c>
      <c r="G108" s="778">
        <f t="shared" si="69"/>
        <v>0</v>
      </c>
      <c r="H108" s="778">
        <f t="shared" si="45"/>
        <v>0</v>
      </c>
      <c r="I108" s="778">
        <f t="shared" si="70"/>
        <v>0</v>
      </c>
      <c r="J108" s="798">
        <f t="shared" si="74"/>
        <v>1668015.7406375667</v>
      </c>
      <c r="K108" s="779">
        <f t="shared" si="75"/>
        <v>2056931.9678366459</v>
      </c>
      <c r="L108" s="780">
        <f t="shared" si="71"/>
        <v>0</v>
      </c>
      <c r="M108" s="780">
        <f t="shared" si="72"/>
        <v>0.18907588256704344</v>
      </c>
      <c r="N108" s="781">
        <f t="shared" si="73"/>
        <v>0</v>
      </c>
      <c r="O108" s="781">
        <f t="shared" si="56"/>
        <v>388916.22719907941</v>
      </c>
      <c r="Q108" s="683">
        <f t="shared" si="76"/>
        <v>1546103.9322666666</v>
      </c>
      <c r="R108" s="683">
        <f t="shared" si="77"/>
        <v>121911.80837090002</v>
      </c>
      <c r="T108" s="673">
        <f t="shared" si="50"/>
        <v>0</v>
      </c>
      <c r="U108" s="674">
        <f>'Fuel Equipment Savings Calculat'!$V105</f>
        <v>0</v>
      </c>
      <c r="V108" s="674">
        <f>'Efficient Site Offices DD &amp; Cal'!$H141</f>
        <v>0</v>
      </c>
      <c r="W108" s="674">
        <f>'PFC Calculations'!$G106</f>
        <v>0</v>
      </c>
      <c r="X108" s="674">
        <f>'Behaviour Calculations'!$E112</f>
        <v>0</v>
      </c>
      <c r="Y108" s="674">
        <f>'Behaviour Calculations'!$J112</f>
        <v>0</v>
      </c>
      <c r="Z108" s="674">
        <f>'Behaviour Calculations'!$O112</f>
        <v>0</v>
      </c>
      <c r="AA108" s="674">
        <f>'Reduced Power Lighting Calculat'!$H106</f>
        <v>0</v>
      </c>
      <c r="AB108" s="674">
        <f>'Hybrid Lighting Calculations'!H110</f>
        <v>0</v>
      </c>
      <c r="AC108" s="674">
        <f>'PIR Lighting Calculations'!$H106</f>
        <v>0</v>
      </c>
      <c r="AD108" s="674">
        <f>'Water Calculations'!$I106</f>
        <v>0</v>
      </c>
      <c r="AE108" s="674">
        <f>'Additional Initiatives'!$H119</f>
        <v>0</v>
      </c>
      <c r="AF108" s="679">
        <f t="shared" si="51"/>
        <v>0</v>
      </c>
      <c r="AG108" s="679">
        <f>(C108-B108) - (0.13 * 'Data Entry Fuel'!I$3) * (U108+AB108)</f>
        <v>0</v>
      </c>
      <c r="AH108" s="5"/>
      <c r="AI108" s="19">
        <v>1713</v>
      </c>
      <c r="AJ108" s="19">
        <f t="shared" si="52"/>
        <v>2017</v>
      </c>
      <c r="AK108" s="19">
        <f t="shared" si="53"/>
        <v>11</v>
      </c>
      <c r="AL108" s="19">
        <v>104</v>
      </c>
      <c r="AM108" s="697">
        <f t="shared" si="78"/>
        <v>1546103.9322666666</v>
      </c>
      <c r="AN108" s="697">
        <f t="shared" si="57"/>
        <v>258650.4652223486</v>
      </c>
      <c r="AO108" s="697">
        <f t="shared" si="58"/>
        <v>54295.191999999995</v>
      </c>
      <c r="AP108" s="697">
        <f>IF(AP$4='Additional Initiatives'!$B$163,'Additional Initiatives'!$B267,IF(AP$4='Additional Initiatives'!$C$163,'Additional Initiatives'!$C267,IF(AP$4='Additional Initiatives'!$D$163,'Additional Initiatives'!$D267,IF(AP$4='Additional Initiatives'!$E$163,'Additional Initiatives'!$E267,IF(AP$4='Additional Initiatives'!$F$163,'Additional Initiatives'!$F267,0)))))+AP107</f>
        <v>0</v>
      </c>
      <c r="AQ108" s="697">
        <f>IF(AQ$4='Additional Initiatives'!$B$163,'Additional Initiatives'!$B267,IF(AQ$4='Additional Initiatives'!$C$163,'Additional Initiatives'!$C267,IF(AQ$4='Additional Initiatives'!$D$163,'Additional Initiatives'!$D267,IF(AQ$4='Additional Initiatives'!$E$163,'Additional Initiatives'!$E267,IF(AQ$4='Additional Initiatives'!$F$163,'Additional Initiatives'!$F267,0)))))+AQ107</f>
        <v>0</v>
      </c>
      <c r="AR108" s="697">
        <f>IF(AR$4='Additional Initiatives'!$B$163,'Additional Initiatives'!$B267,IF(AR$4='Additional Initiatives'!$C$163,'Additional Initiatives'!$C267,IF(AR$4='Additional Initiatives'!$D$163,'Additional Initiatives'!$D267,IF(AR$4='Additional Initiatives'!$E$163,'Additional Initiatives'!$E267,IF(AR$4='Additional Initiatives'!$F$163,'Additional Initiatives'!$F267,0)))))+AR107</f>
        <v>0</v>
      </c>
      <c r="AS108" s="697">
        <f t="shared" si="59"/>
        <v>0</v>
      </c>
      <c r="AT108" s="696">
        <f t="shared" si="79"/>
        <v>121911.80837090002</v>
      </c>
      <c r="AU108" s="696">
        <f t="shared" si="60"/>
        <v>25394.250457001559</v>
      </c>
      <c r="AV108" s="696">
        <f t="shared" si="61"/>
        <v>0</v>
      </c>
      <c r="AW108" s="696">
        <f t="shared" si="62"/>
        <v>0</v>
      </c>
      <c r="AX108" s="696">
        <f t="shared" si="63"/>
        <v>25828.950288959997</v>
      </c>
      <c r="AY108" s="696">
        <f t="shared" si="64"/>
        <v>10645.061538461536</v>
      </c>
      <c r="AZ108" s="696">
        <f t="shared" si="65"/>
        <v>7996.1538461538476</v>
      </c>
      <c r="BA108" s="696">
        <f t="shared" si="66"/>
        <v>6106.1538461538457</v>
      </c>
      <c r="BB108" s="696">
        <f t="shared" si="67"/>
        <v>0</v>
      </c>
      <c r="BC108" s="696">
        <f>IF(BC$4='Additional Initiatives'!$B$163,'Additional Initiatives'!$B267,IF(BC$4='Additional Initiatives'!$C$163,'Additional Initiatives'!$C267,IF(BC$4='Additional Initiatives'!$D$163,'Additional Initiatives'!$D267,IF(BC$4='Additional Initiatives'!$E$163,'Additional Initiatives'!$E267,IF(BC$4='Additional Initiatives'!$F$163,'Additional Initiatives'!$F267,0)))))+BC107</f>
        <v>0</v>
      </c>
      <c r="BD108" s="696">
        <f>IF(BD$4='Additional Initiatives'!$B$163,'Additional Initiatives'!$B267,IF(BD$4='Additional Initiatives'!$C$163,'Additional Initiatives'!$C267,IF(BD$4='Additional Initiatives'!$D$163,'Additional Initiatives'!$D267,IF(BD$4='Additional Initiatives'!$E$163,'Additional Initiatives'!$E267,IF(BD$4='Additional Initiatives'!$F$163,'Additional Initiatives'!$F267,0)))))+BD107</f>
        <v>0</v>
      </c>
      <c r="BE108" s="696">
        <f>IF(BE$4='Additional Initiatives'!$B$163,'Additional Initiatives'!$B267,IF(BE$4='Additional Initiatives'!$C$163,'Additional Initiatives'!$C267,IF(BE$4='Additional Initiatives'!$D$163,'Additional Initiatives'!$D267,IF(BE$4='Additional Initiatives'!$E$163,'Additional Initiatives'!$E267,IF(BE$4='Additional Initiatives'!$F$163,'Additional Initiatives'!$F267,0)))))+BE107</f>
        <v>0</v>
      </c>
      <c r="BF108" s="696">
        <f t="shared" si="68"/>
        <v>0</v>
      </c>
    </row>
    <row r="109" spans="1:58">
      <c r="A109" s="21" t="s">
        <v>987</v>
      </c>
      <c r="B109" s="672">
        <f>'Data Entry Fuel'!B108*'Data Entry Fuel'!B260
+'Data Entry Fuel'!C108*'Data Entry Fuel'!C260
+'Data Entry Fuel'!D108*'Data Entry Fuel'!D260
+'Data Entry Fuel'!E108*'Data Entry Fuel'!E260
+'Data Entry Fuel'!F108*'Data Entry Fuel'!F260
+'Data Entry Fuel'!G108*'Data Entry Fuel'!G260
+'Data Entry Fuel'!H108*'Data Entry Fuel'!H260
+'Data Entry Fuel'!I108*'Data Entry Fuel'!I260
+'Data Entry Fuel'!J108*'Data Entry Fuel'!J260</f>
        <v>0</v>
      </c>
      <c r="C109" s="672">
        <f>'Data Entry Fuel'!B108*'Data Entry Fuel'!B260
+'Data Entry Fuel'!C108*'Data Entry Fuel'!C260
+'Data Entry Fuel'!D108*'Data Entry Fuel'!D260
+'Data Entry Fuel'!E108*'Data Entry Fuel'!E260
+'Data Entry Fuel'!F108*'Data Entry Fuel'!F260
+'Data Entry Fuel'!G108*'Data Entry Fuel'!G260
+'Data Entry Fuel'!H108*'Data Entry Fuel'!H260
+'Data Entry Fuel'!I108*'Data Entry Fuel'!C260 *   (1 -  0.13 * 'Data Entry Fuel'!I$3)
+'Data Entry Fuel'!J108*'Data Entry Fuel'!J260</f>
        <v>0</v>
      </c>
      <c r="D109" s="677">
        <f>'Data Entry Electricity'!B108*'Data Entry Electricity'!L108+'Data Entry Electricity'!C108*'Data Entry Electricity'!M108+'Data Entry Electricity'!D108*'Data Entry Electricity'!N108+'Data Entry Electricity'!E108*'Data Entry Electricity'!O108</f>
        <v>0</v>
      </c>
      <c r="E109" s="776">
        <f>'Data Entry Electricity'!B108*'Data Entry Electricity'!L108+'Data Entry Electricity'!C108*'Data Entry Electricity'!L108+'Data Entry Electricity'!D108*'Data Entry Electricity'!N108+'Data Entry Electricity'!E108*'Data Entry Electricity'!O108</f>
        <v>0</v>
      </c>
      <c r="F109" s="777">
        <f>(SUM('Fuel Equipment Savings Calculat'!$B106:$S106))+(SUM('Efficient Site Offices DD &amp; Cal'!$B142:$F142))+'PFC Calculations'!$G107+(SUM('Behaviour Calculations'!$E113,'Behaviour Calculations'!$J113,'Behaviour Calculations'!$O113))+(SUM('Reduced Power Lighting Calculat'!$B107:$F107)+SUM('Hybrid Lighting Calculations'!$B111:$F111)+('PIR Lighting Calculations'!$H107)+SUM('Water Calculations'!$B107:$G107)+'Additional Initiatives'!$H120)</f>
        <v>0</v>
      </c>
      <c r="G109" s="778">
        <f t="shared" si="69"/>
        <v>0</v>
      </c>
      <c r="H109" s="778">
        <f t="shared" si="45"/>
        <v>0</v>
      </c>
      <c r="I109" s="778">
        <f t="shared" si="70"/>
        <v>0</v>
      </c>
      <c r="J109" s="798">
        <f t="shared" si="74"/>
        <v>1668015.7406375667</v>
      </c>
      <c r="K109" s="779">
        <f t="shared" si="75"/>
        <v>2056931.9678366459</v>
      </c>
      <c r="L109" s="780">
        <f t="shared" si="71"/>
        <v>0</v>
      </c>
      <c r="M109" s="780">
        <f t="shared" si="72"/>
        <v>0.18907588256704344</v>
      </c>
      <c r="N109" s="781">
        <f t="shared" si="73"/>
        <v>0</v>
      </c>
      <c r="O109" s="781">
        <f t="shared" si="56"/>
        <v>388916.22719907941</v>
      </c>
      <c r="Q109" s="683">
        <f t="shared" si="76"/>
        <v>1546103.9322666666</v>
      </c>
      <c r="R109" s="683">
        <f t="shared" si="77"/>
        <v>121911.80837090002</v>
      </c>
      <c r="T109" s="673">
        <f t="shared" si="50"/>
        <v>0</v>
      </c>
      <c r="U109" s="674">
        <f>'Fuel Equipment Savings Calculat'!$V106</f>
        <v>0</v>
      </c>
      <c r="V109" s="674">
        <f>'Efficient Site Offices DD &amp; Cal'!$H142</f>
        <v>0</v>
      </c>
      <c r="W109" s="674">
        <f>'PFC Calculations'!$G107</f>
        <v>0</v>
      </c>
      <c r="X109" s="674">
        <f>'Behaviour Calculations'!$E113</f>
        <v>0</v>
      </c>
      <c r="Y109" s="674">
        <f>'Behaviour Calculations'!$J113</f>
        <v>0</v>
      </c>
      <c r="Z109" s="674">
        <f>'Behaviour Calculations'!$O113</f>
        <v>0</v>
      </c>
      <c r="AA109" s="674">
        <f>'Reduced Power Lighting Calculat'!$H107</f>
        <v>0</v>
      </c>
      <c r="AB109" s="674">
        <f>'Hybrid Lighting Calculations'!H111</f>
        <v>0</v>
      </c>
      <c r="AC109" s="674">
        <f>'PIR Lighting Calculations'!$H107</f>
        <v>0</v>
      </c>
      <c r="AD109" s="674">
        <f>'Water Calculations'!$I107</f>
        <v>0</v>
      </c>
      <c r="AE109" s="674">
        <f>'Additional Initiatives'!$H120</f>
        <v>0</v>
      </c>
      <c r="AF109" s="679">
        <f t="shared" si="51"/>
        <v>0</v>
      </c>
      <c r="AG109" s="679">
        <f>(C109-B109) - (0.13 * 'Data Entry Fuel'!I$3) * (U109+AB109)</f>
        <v>0</v>
      </c>
      <c r="AH109" s="5"/>
      <c r="AI109" s="19">
        <v>1801</v>
      </c>
      <c r="AJ109" s="19">
        <f t="shared" si="52"/>
        <v>2017</v>
      </c>
      <c r="AK109" s="19">
        <f t="shared" si="53"/>
        <v>11</v>
      </c>
      <c r="AL109" s="19">
        <v>105</v>
      </c>
      <c r="AM109" s="697">
        <f t="shared" si="78"/>
        <v>1546103.9322666666</v>
      </c>
      <c r="AN109" s="697">
        <f t="shared" si="57"/>
        <v>258650.4652223486</v>
      </c>
      <c r="AO109" s="697">
        <f t="shared" si="58"/>
        <v>54295.191999999995</v>
      </c>
      <c r="AP109" s="697">
        <f>IF(AP$4='Additional Initiatives'!$B$163,'Additional Initiatives'!$B268,IF(AP$4='Additional Initiatives'!$C$163,'Additional Initiatives'!$C268,IF(AP$4='Additional Initiatives'!$D$163,'Additional Initiatives'!$D268,IF(AP$4='Additional Initiatives'!$E$163,'Additional Initiatives'!$E268,IF(AP$4='Additional Initiatives'!$F$163,'Additional Initiatives'!$F268,0)))))+AP108</f>
        <v>0</v>
      </c>
      <c r="AQ109" s="697">
        <f>IF(AQ$4='Additional Initiatives'!$B$163,'Additional Initiatives'!$B268,IF(AQ$4='Additional Initiatives'!$C$163,'Additional Initiatives'!$C268,IF(AQ$4='Additional Initiatives'!$D$163,'Additional Initiatives'!$D268,IF(AQ$4='Additional Initiatives'!$E$163,'Additional Initiatives'!$E268,IF(AQ$4='Additional Initiatives'!$F$163,'Additional Initiatives'!$F268,0)))))+AQ108</f>
        <v>0</v>
      </c>
      <c r="AR109" s="697">
        <f>IF(AR$4='Additional Initiatives'!$B$163,'Additional Initiatives'!$B268,IF(AR$4='Additional Initiatives'!$C$163,'Additional Initiatives'!$C268,IF(AR$4='Additional Initiatives'!$D$163,'Additional Initiatives'!$D268,IF(AR$4='Additional Initiatives'!$E$163,'Additional Initiatives'!$E268,IF(AR$4='Additional Initiatives'!$F$163,'Additional Initiatives'!$F268,0)))))+AR108</f>
        <v>0</v>
      </c>
      <c r="AS109" s="697">
        <f t="shared" si="59"/>
        <v>0</v>
      </c>
      <c r="AT109" s="696">
        <f t="shared" si="79"/>
        <v>121911.80837090002</v>
      </c>
      <c r="AU109" s="696">
        <f t="shared" si="60"/>
        <v>25394.250457001559</v>
      </c>
      <c r="AV109" s="696">
        <f t="shared" si="61"/>
        <v>0</v>
      </c>
      <c r="AW109" s="696">
        <f t="shared" si="62"/>
        <v>0</v>
      </c>
      <c r="AX109" s="696">
        <f t="shared" si="63"/>
        <v>25828.950288959997</v>
      </c>
      <c r="AY109" s="696">
        <f t="shared" si="64"/>
        <v>10645.061538461536</v>
      </c>
      <c r="AZ109" s="696">
        <f t="shared" si="65"/>
        <v>7996.1538461538476</v>
      </c>
      <c r="BA109" s="696">
        <f t="shared" si="66"/>
        <v>6106.1538461538457</v>
      </c>
      <c r="BB109" s="696">
        <f t="shared" si="67"/>
        <v>0</v>
      </c>
      <c r="BC109" s="696">
        <f>IF(BC$4='Additional Initiatives'!$B$163,'Additional Initiatives'!$B268,IF(BC$4='Additional Initiatives'!$C$163,'Additional Initiatives'!$C268,IF(BC$4='Additional Initiatives'!$D$163,'Additional Initiatives'!$D268,IF(BC$4='Additional Initiatives'!$E$163,'Additional Initiatives'!$E268,IF(BC$4='Additional Initiatives'!$F$163,'Additional Initiatives'!$F268,0)))))+BC108</f>
        <v>0</v>
      </c>
      <c r="BD109" s="696">
        <f>IF(BD$4='Additional Initiatives'!$B$163,'Additional Initiatives'!$B268,IF(BD$4='Additional Initiatives'!$C$163,'Additional Initiatives'!$C268,IF(BD$4='Additional Initiatives'!$D$163,'Additional Initiatives'!$D268,IF(BD$4='Additional Initiatives'!$E$163,'Additional Initiatives'!$E268,IF(BD$4='Additional Initiatives'!$F$163,'Additional Initiatives'!$F268,0)))))+BD108</f>
        <v>0</v>
      </c>
      <c r="BE109" s="696">
        <f>IF(BE$4='Additional Initiatives'!$B$163,'Additional Initiatives'!$B268,IF(BE$4='Additional Initiatives'!$C$163,'Additional Initiatives'!$C268,IF(BE$4='Additional Initiatives'!$D$163,'Additional Initiatives'!$D268,IF(BE$4='Additional Initiatives'!$E$163,'Additional Initiatives'!$E268,IF(BE$4='Additional Initiatives'!$F$163,'Additional Initiatives'!$F268,0)))))+BE108</f>
        <v>0</v>
      </c>
      <c r="BF109" s="696">
        <f t="shared" si="68"/>
        <v>0</v>
      </c>
    </row>
    <row r="110" spans="1:58">
      <c r="A110" s="21" t="s">
        <v>988</v>
      </c>
      <c r="B110" s="672">
        <f>'Data Entry Fuel'!B109*'Data Entry Fuel'!B261
+'Data Entry Fuel'!C109*'Data Entry Fuel'!C261
+'Data Entry Fuel'!D109*'Data Entry Fuel'!D261
+'Data Entry Fuel'!E109*'Data Entry Fuel'!E261
+'Data Entry Fuel'!F109*'Data Entry Fuel'!F261
+'Data Entry Fuel'!G109*'Data Entry Fuel'!G261
+'Data Entry Fuel'!H109*'Data Entry Fuel'!H261
+'Data Entry Fuel'!I109*'Data Entry Fuel'!I261
+'Data Entry Fuel'!J109*'Data Entry Fuel'!J261</f>
        <v>0</v>
      </c>
      <c r="C110" s="672">
        <f>'Data Entry Fuel'!B109*'Data Entry Fuel'!B261
+'Data Entry Fuel'!C109*'Data Entry Fuel'!C261
+'Data Entry Fuel'!D109*'Data Entry Fuel'!D261
+'Data Entry Fuel'!E109*'Data Entry Fuel'!E261
+'Data Entry Fuel'!F109*'Data Entry Fuel'!F261
+'Data Entry Fuel'!G109*'Data Entry Fuel'!G261
+'Data Entry Fuel'!H109*'Data Entry Fuel'!H261
+'Data Entry Fuel'!I109*'Data Entry Fuel'!C261 *   (1 -  0.13 * 'Data Entry Fuel'!I$3)
+'Data Entry Fuel'!J109*'Data Entry Fuel'!J261</f>
        <v>0</v>
      </c>
      <c r="D110" s="677">
        <f>'Data Entry Electricity'!B109*'Data Entry Electricity'!L109+'Data Entry Electricity'!C109*'Data Entry Electricity'!M109+'Data Entry Electricity'!D109*'Data Entry Electricity'!N109+'Data Entry Electricity'!E109*'Data Entry Electricity'!O109</f>
        <v>0</v>
      </c>
      <c r="E110" s="776">
        <f>'Data Entry Electricity'!B109*'Data Entry Electricity'!L109+'Data Entry Electricity'!C109*'Data Entry Electricity'!L109+'Data Entry Electricity'!D109*'Data Entry Electricity'!N109+'Data Entry Electricity'!E109*'Data Entry Electricity'!O109</f>
        <v>0</v>
      </c>
      <c r="F110" s="777">
        <f>(SUM('Fuel Equipment Savings Calculat'!$B107:$S107))+(SUM('Efficient Site Offices DD &amp; Cal'!$B143:$F143))+'PFC Calculations'!$G108+(SUM('Behaviour Calculations'!$E114,'Behaviour Calculations'!$J114,'Behaviour Calculations'!$O114))+(SUM('Reduced Power Lighting Calculat'!$B108:$F108)+SUM('Hybrid Lighting Calculations'!$B112:$F112)+('PIR Lighting Calculations'!$H108)+SUM('Water Calculations'!$B108:$G108)+'Additional Initiatives'!$H121)</f>
        <v>0</v>
      </c>
      <c r="G110" s="778">
        <f t="shared" si="69"/>
        <v>0</v>
      </c>
      <c r="H110" s="778">
        <f t="shared" si="45"/>
        <v>0</v>
      </c>
      <c r="I110" s="778">
        <f t="shared" si="70"/>
        <v>0</v>
      </c>
      <c r="J110" s="798">
        <f t="shared" si="74"/>
        <v>1668015.7406375667</v>
      </c>
      <c r="K110" s="779">
        <f t="shared" si="75"/>
        <v>2056931.9678366459</v>
      </c>
      <c r="L110" s="780">
        <f t="shared" si="71"/>
        <v>0</v>
      </c>
      <c r="M110" s="780">
        <f t="shared" si="72"/>
        <v>0.18907588256704344</v>
      </c>
      <c r="N110" s="781">
        <f t="shared" si="73"/>
        <v>0</v>
      </c>
      <c r="O110" s="781">
        <f t="shared" si="56"/>
        <v>388916.22719907941</v>
      </c>
      <c r="Q110" s="683">
        <f t="shared" si="76"/>
        <v>1546103.9322666666</v>
      </c>
      <c r="R110" s="683">
        <f t="shared" si="77"/>
        <v>121911.80837090002</v>
      </c>
      <c r="T110" s="673">
        <f t="shared" si="50"/>
        <v>0</v>
      </c>
      <c r="U110" s="674">
        <f>'Fuel Equipment Savings Calculat'!$V107</f>
        <v>0</v>
      </c>
      <c r="V110" s="674">
        <f>'Efficient Site Offices DD &amp; Cal'!$H143</f>
        <v>0</v>
      </c>
      <c r="W110" s="674">
        <f>'PFC Calculations'!$G108</f>
        <v>0</v>
      </c>
      <c r="X110" s="674">
        <f>'Behaviour Calculations'!$E114</f>
        <v>0</v>
      </c>
      <c r="Y110" s="674">
        <f>'Behaviour Calculations'!$J114</f>
        <v>0</v>
      </c>
      <c r="Z110" s="674">
        <f>'Behaviour Calculations'!$O114</f>
        <v>0</v>
      </c>
      <c r="AA110" s="674">
        <f>'Reduced Power Lighting Calculat'!$H108</f>
        <v>0</v>
      </c>
      <c r="AB110" s="674">
        <f>'Hybrid Lighting Calculations'!H112</f>
        <v>0</v>
      </c>
      <c r="AC110" s="674">
        <f>'PIR Lighting Calculations'!$H108</f>
        <v>0</v>
      </c>
      <c r="AD110" s="674">
        <f>'Water Calculations'!$I108</f>
        <v>0</v>
      </c>
      <c r="AE110" s="674">
        <f>'Additional Initiatives'!$H121</f>
        <v>0</v>
      </c>
      <c r="AF110" s="679">
        <f t="shared" si="51"/>
        <v>0</v>
      </c>
      <c r="AG110" s="679">
        <f>(C110-B110) - (0.13 * 'Data Entry Fuel'!I$3) * (U110+AB110)</f>
        <v>0</v>
      </c>
      <c r="AH110" s="5"/>
      <c r="AI110" s="19">
        <v>1802</v>
      </c>
      <c r="AJ110" s="19">
        <f t="shared" si="52"/>
        <v>2017</v>
      </c>
      <c r="AK110" s="19">
        <f t="shared" si="53"/>
        <v>11</v>
      </c>
      <c r="AL110" s="19">
        <v>106</v>
      </c>
      <c r="AM110" s="697">
        <f t="shared" si="78"/>
        <v>1546103.9322666666</v>
      </c>
      <c r="AN110" s="697">
        <f t="shared" si="57"/>
        <v>258650.4652223486</v>
      </c>
      <c r="AO110" s="697">
        <f t="shared" si="58"/>
        <v>54295.191999999995</v>
      </c>
      <c r="AP110" s="697">
        <f>IF(AP$4='Additional Initiatives'!$B$163,'Additional Initiatives'!$B269,IF(AP$4='Additional Initiatives'!$C$163,'Additional Initiatives'!$C269,IF(AP$4='Additional Initiatives'!$D$163,'Additional Initiatives'!$D269,IF(AP$4='Additional Initiatives'!$E$163,'Additional Initiatives'!$E269,IF(AP$4='Additional Initiatives'!$F$163,'Additional Initiatives'!$F269,0)))))+AP109</f>
        <v>0</v>
      </c>
      <c r="AQ110" s="697">
        <f>IF(AQ$4='Additional Initiatives'!$B$163,'Additional Initiatives'!$B269,IF(AQ$4='Additional Initiatives'!$C$163,'Additional Initiatives'!$C269,IF(AQ$4='Additional Initiatives'!$D$163,'Additional Initiatives'!$D269,IF(AQ$4='Additional Initiatives'!$E$163,'Additional Initiatives'!$E269,IF(AQ$4='Additional Initiatives'!$F$163,'Additional Initiatives'!$F269,0)))))+AQ109</f>
        <v>0</v>
      </c>
      <c r="AR110" s="697">
        <f>IF(AR$4='Additional Initiatives'!$B$163,'Additional Initiatives'!$B269,IF(AR$4='Additional Initiatives'!$C$163,'Additional Initiatives'!$C269,IF(AR$4='Additional Initiatives'!$D$163,'Additional Initiatives'!$D269,IF(AR$4='Additional Initiatives'!$E$163,'Additional Initiatives'!$E269,IF(AR$4='Additional Initiatives'!$F$163,'Additional Initiatives'!$F269,0)))))+AR109</f>
        <v>0</v>
      </c>
      <c r="AS110" s="697">
        <f t="shared" si="59"/>
        <v>0</v>
      </c>
      <c r="AT110" s="696">
        <f t="shared" si="79"/>
        <v>121911.80837090002</v>
      </c>
      <c r="AU110" s="696">
        <f t="shared" si="60"/>
        <v>25394.250457001559</v>
      </c>
      <c r="AV110" s="696">
        <f t="shared" si="61"/>
        <v>0</v>
      </c>
      <c r="AW110" s="696">
        <f t="shared" si="62"/>
        <v>0</v>
      </c>
      <c r="AX110" s="696">
        <f t="shared" si="63"/>
        <v>25828.950288959997</v>
      </c>
      <c r="AY110" s="696">
        <f t="shared" si="64"/>
        <v>10645.061538461536</v>
      </c>
      <c r="AZ110" s="696">
        <f t="shared" si="65"/>
        <v>7996.1538461538476</v>
      </c>
      <c r="BA110" s="696">
        <f t="shared" si="66"/>
        <v>6106.1538461538457</v>
      </c>
      <c r="BB110" s="696">
        <f t="shared" si="67"/>
        <v>0</v>
      </c>
      <c r="BC110" s="696">
        <f>IF(BC$4='Additional Initiatives'!$B$163,'Additional Initiatives'!$B269,IF(BC$4='Additional Initiatives'!$C$163,'Additional Initiatives'!$C269,IF(BC$4='Additional Initiatives'!$D$163,'Additional Initiatives'!$D269,IF(BC$4='Additional Initiatives'!$E$163,'Additional Initiatives'!$E269,IF(BC$4='Additional Initiatives'!$F$163,'Additional Initiatives'!$F269,0)))))+BC109</f>
        <v>0</v>
      </c>
      <c r="BD110" s="696">
        <f>IF(BD$4='Additional Initiatives'!$B$163,'Additional Initiatives'!$B269,IF(BD$4='Additional Initiatives'!$C$163,'Additional Initiatives'!$C269,IF(BD$4='Additional Initiatives'!$D$163,'Additional Initiatives'!$D269,IF(BD$4='Additional Initiatives'!$E$163,'Additional Initiatives'!$E269,IF(BD$4='Additional Initiatives'!$F$163,'Additional Initiatives'!$F269,0)))))+BD109</f>
        <v>0</v>
      </c>
      <c r="BE110" s="696">
        <f>IF(BE$4='Additional Initiatives'!$B$163,'Additional Initiatives'!$B269,IF(BE$4='Additional Initiatives'!$C$163,'Additional Initiatives'!$C269,IF(BE$4='Additional Initiatives'!$D$163,'Additional Initiatives'!$D269,IF(BE$4='Additional Initiatives'!$E$163,'Additional Initiatives'!$E269,IF(BE$4='Additional Initiatives'!$F$163,'Additional Initiatives'!$F269,0)))))+BE109</f>
        <v>0</v>
      </c>
      <c r="BF110" s="696">
        <f t="shared" si="68"/>
        <v>0</v>
      </c>
    </row>
    <row r="111" spans="1:58">
      <c r="A111" s="21" t="s">
        <v>989</v>
      </c>
      <c r="B111" s="672">
        <f>'Data Entry Fuel'!B110*'Data Entry Fuel'!B262
+'Data Entry Fuel'!C110*'Data Entry Fuel'!C262
+'Data Entry Fuel'!D110*'Data Entry Fuel'!D262
+'Data Entry Fuel'!E110*'Data Entry Fuel'!E262
+'Data Entry Fuel'!F110*'Data Entry Fuel'!F262
+'Data Entry Fuel'!G110*'Data Entry Fuel'!G262
+'Data Entry Fuel'!H110*'Data Entry Fuel'!H262
+'Data Entry Fuel'!I110*'Data Entry Fuel'!I262
+'Data Entry Fuel'!J110*'Data Entry Fuel'!J262</f>
        <v>0</v>
      </c>
      <c r="C111" s="672">
        <f>'Data Entry Fuel'!B110*'Data Entry Fuel'!B262
+'Data Entry Fuel'!C110*'Data Entry Fuel'!C262
+'Data Entry Fuel'!D110*'Data Entry Fuel'!D262
+'Data Entry Fuel'!E110*'Data Entry Fuel'!E262
+'Data Entry Fuel'!F110*'Data Entry Fuel'!F262
+'Data Entry Fuel'!G110*'Data Entry Fuel'!G262
+'Data Entry Fuel'!H110*'Data Entry Fuel'!H262
+'Data Entry Fuel'!I110*'Data Entry Fuel'!C262 *   (1 -  0.13 * 'Data Entry Fuel'!I$3)
+'Data Entry Fuel'!J110*'Data Entry Fuel'!J262</f>
        <v>0</v>
      </c>
      <c r="D111" s="677">
        <f>'Data Entry Electricity'!B110*'Data Entry Electricity'!L110+'Data Entry Electricity'!C110*'Data Entry Electricity'!M110+'Data Entry Electricity'!D110*'Data Entry Electricity'!N110+'Data Entry Electricity'!E110*'Data Entry Electricity'!O110</f>
        <v>0</v>
      </c>
      <c r="E111" s="776">
        <f>'Data Entry Electricity'!B110*'Data Entry Electricity'!L110+'Data Entry Electricity'!C110*'Data Entry Electricity'!L110+'Data Entry Electricity'!D110*'Data Entry Electricity'!N110+'Data Entry Electricity'!E110*'Data Entry Electricity'!O110</f>
        <v>0</v>
      </c>
      <c r="F111" s="777">
        <f>(SUM('Fuel Equipment Savings Calculat'!$B108:$S108))+(SUM('Efficient Site Offices DD &amp; Cal'!$B144:$F144))+'PFC Calculations'!$G109+(SUM('Behaviour Calculations'!$E115,'Behaviour Calculations'!$J115,'Behaviour Calculations'!$O115))+(SUM('Reduced Power Lighting Calculat'!$B109:$F109)+SUM('Hybrid Lighting Calculations'!$B113:$F113)+('PIR Lighting Calculations'!$H109)+SUM('Water Calculations'!$B109:$G109)+'Additional Initiatives'!$H122)</f>
        <v>0</v>
      </c>
      <c r="G111" s="778">
        <f t="shared" si="69"/>
        <v>0</v>
      </c>
      <c r="H111" s="778">
        <f t="shared" si="45"/>
        <v>0</v>
      </c>
      <c r="I111" s="778">
        <f t="shared" si="70"/>
        <v>0</v>
      </c>
      <c r="J111" s="798">
        <f t="shared" si="74"/>
        <v>1668015.7406375667</v>
      </c>
      <c r="K111" s="779">
        <f t="shared" si="75"/>
        <v>2056931.9678366459</v>
      </c>
      <c r="L111" s="780">
        <f t="shared" si="71"/>
        <v>0</v>
      </c>
      <c r="M111" s="780">
        <f t="shared" si="72"/>
        <v>0.18907588256704344</v>
      </c>
      <c r="N111" s="781">
        <f t="shared" si="73"/>
        <v>0</v>
      </c>
      <c r="O111" s="781">
        <f t="shared" si="56"/>
        <v>388916.22719907941</v>
      </c>
      <c r="Q111" s="683">
        <f t="shared" si="76"/>
        <v>1546103.9322666666</v>
      </c>
      <c r="R111" s="683">
        <f t="shared" si="77"/>
        <v>121911.80837090002</v>
      </c>
      <c r="T111" s="673">
        <f t="shared" si="50"/>
        <v>0</v>
      </c>
      <c r="U111" s="674">
        <f>'Fuel Equipment Savings Calculat'!$V108</f>
        <v>0</v>
      </c>
      <c r="V111" s="674">
        <f>'Efficient Site Offices DD &amp; Cal'!$H144</f>
        <v>0</v>
      </c>
      <c r="W111" s="674">
        <f>'PFC Calculations'!$G109</f>
        <v>0</v>
      </c>
      <c r="X111" s="674">
        <f>'Behaviour Calculations'!$E115</f>
        <v>0</v>
      </c>
      <c r="Y111" s="674">
        <f>'Behaviour Calculations'!$J115</f>
        <v>0</v>
      </c>
      <c r="Z111" s="674">
        <f>'Behaviour Calculations'!$O115</f>
        <v>0</v>
      </c>
      <c r="AA111" s="674">
        <f>'Reduced Power Lighting Calculat'!$H109</f>
        <v>0</v>
      </c>
      <c r="AB111" s="674">
        <f>'Hybrid Lighting Calculations'!H113</f>
        <v>0</v>
      </c>
      <c r="AC111" s="674">
        <f>'PIR Lighting Calculations'!$H109</f>
        <v>0</v>
      </c>
      <c r="AD111" s="674">
        <f>'Water Calculations'!$I109</f>
        <v>0</v>
      </c>
      <c r="AE111" s="674">
        <f>'Additional Initiatives'!$H122</f>
        <v>0</v>
      </c>
      <c r="AF111" s="679">
        <f t="shared" si="51"/>
        <v>0</v>
      </c>
      <c r="AG111" s="679">
        <f>(C111-B111) - (0.13 * 'Data Entry Fuel'!I$3) * (U111+AB111)</f>
        <v>0</v>
      </c>
      <c r="AH111" s="5"/>
      <c r="AI111" s="19">
        <v>1803</v>
      </c>
      <c r="AJ111" s="19">
        <f t="shared" si="52"/>
        <v>2018</v>
      </c>
      <c r="AK111" s="19">
        <f t="shared" si="53"/>
        <v>12</v>
      </c>
      <c r="AL111" s="19">
        <v>107</v>
      </c>
      <c r="AM111" s="697">
        <f t="shared" si="78"/>
        <v>1546103.9322666666</v>
      </c>
      <c r="AN111" s="697">
        <f t="shared" si="57"/>
        <v>258650.4652223486</v>
      </c>
      <c r="AO111" s="697">
        <f t="shared" si="58"/>
        <v>54295.191999999995</v>
      </c>
      <c r="AP111" s="697">
        <f>IF(AP$4='Additional Initiatives'!$B$163,'Additional Initiatives'!$B270,IF(AP$4='Additional Initiatives'!$C$163,'Additional Initiatives'!$C270,IF(AP$4='Additional Initiatives'!$D$163,'Additional Initiatives'!$D270,IF(AP$4='Additional Initiatives'!$E$163,'Additional Initiatives'!$E270,IF(AP$4='Additional Initiatives'!$F$163,'Additional Initiatives'!$F270,0)))))+AP110</f>
        <v>0</v>
      </c>
      <c r="AQ111" s="697">
        <f>IF(AQ$4='Additional Initiatives'!$B$163,'Additional Initiatives'!$B270,IF(AQ$4='Additional Initiatives'!$C$163,'Additional Initiatives'!$C270,IF(AQ$4='Additional Initiatives'!$D$163,'Additional Initiatives'!$D270,IF(AQ$4='Additional Initiatives'!$E$163,'Additional Initiatives'!$E270,IF(AQ$4='Additional Initiatives'!$F$163,'Additional Initiatives'!$F270,0)))))+AQ110</f>
        <v>0</v>
      </c>
      <c r="AR111" s="697">
        <f>IF(AR$4='Additional Initiatives'!$B$163,'Additional Initiatives'!$B270,IF(AR$4='Additional Initiatives'!$C$163,'Additional Initiatives'!$C270,IF(AR$4='Additional Initiatives'!$D$163,'Additional Initiatives'!$D270,IF(AR$4='Additional Initiatives'!$E$163,'Additional Initiatives'!$E270,IF(AR$4='Additional Initiatives'!$F$163,'Additional Initiatives'!$F270,0)))))+AR110</f>
        <v>0</v>
      </c>
      <c r="AS111" s="697">
        <f t="shared" si="59"/>
        <v>0</v>
      </c>
      <c r="AT111" s="696">
        <f t="shared" si="79"/>
        <v>121911.80837090002</v>
      </c>
      <c r="AU111" s="696">
        <f t="shared" si="60"/>
        <v>25394.250457001559</v>
      </c>
      <c r="AV111" s="696">
        <f t="shared" si="61"/>
        <v>0</v>
      </c>
      <c r="AW111" s="696">
        <f t="shared" si="62"/>
        <v>0</v>
      </c>
      <c r="AX111" s="696">
        <f t="shared" si="63"/>
        <v>25828.950288959997</v>
      </c>
      <c r="AY111" s="696">
        <f t="shared" si="64"/>
        <v>10645.061538461536</v>
      </c>
      <c r="AZ111" s="696">
        <f t="shared" si="65"/>
        <v>7996.1538461538476</v>
      </c>
      <c r="BA111" s="696">
        <f t="shared" si="66"/>
        <v>6106.1538461538457</v>
      </c>
      <c r="BB111" s="696">
        <f t="shared" si="67"/>
        <v>0</v>
      </c>
      <c r="BC111" s="696">
        <f>IF(BC$4='Additional Initiatives'!$B$163,'Additional Initiatives'!$B270,IF(BC$4='Additional Initiatives'!$C$163,'Additional Initiatives'!$C270,IF(BC$4='Additional Initiatives'!$D$163,'Additional Initiatives'!$D270,IF(BC$4='Additional Initiatives'!$E$163,'Additional Initiatives'!$E270,IF(BC$4='Additional Initiatives'!$F$163,'Additional Initiatives'!$F270,0)))))+BC110</f>
        <v>0</v>
      </c>
      <c r="BD111" s="696">
        <f>IF(BD$4='Additional Initiatives'!$B$163,'Additional Initiatives'!$B270,IF(BD$4='Additional Initiatives'!$C$163,'Additional Initiatives'!$C270,IF(BD$4='Additional Initiatives'!$D$163,'Additional Initiatives'!$D270,IF(BD$4='Additional Initiatives'!$E$163,'Additional Initiatives'!$E270,IF(BD$4='Additional Initiatives'!$F$163,'Additional Initiatives'!$F270,0)))))+BD110</f>
        <v>0</v>
      </c>
      <c r="BE111" s="696">
        <f>IF(BE$4='Additional Initiatives'!$B$163,'Additional Initiatives'!$B270,IF(BE$4='Additional Initiatives'!$C$163,'Additional Initiatives'!$C270,IF(BE$4='Additional Initiatives'!$D$163,'Additional Initiatives'!$D270,IF(BE$4='Additional Initiatives'!$E$163,'Additional Initiatives'!$E270,IF(BE$4='Additional Initiatives'!$F$163,'Additional Initiatives'!$F270,0)))))+BE110</f>
        <v>0</v>
      </c>
      <c r="BF111" s="696">
        <f t="shared" si="68"/>
        <v>0</v>
      </c>
    </row>
    <row r="112" spans="1:58">
      <c r="A112" s="21" t="s">
        <v>990</v>
      </c>
      <c r="B112" s="672">
        <f>'Data Entry Fuel'!B111*'Data Entry Fuel'!B263
+'Data Entry Fuel'!C111*'Data Entry Fuel'!C263
+'Data Entry Fuel'!D111*'Data Entry Fuel'!D263
+'Data Entry Fuel'!E111*'Data Entry Fuel'!E263
+'Data Entry Fuel'!F111*'Data Entry Fuel'!F263
+'Data Entry Fuel'!G111*'Data Entry Fuel'!G263
+'Data Entry Fuel'!H111*'Data Entry Fuel'!H263
+'Data Entry Fuel'!I111*'Data Entry Fuel'!I263
+'Data Entry Fuel'!J111*'Data Entry Fuel'!J263</f>
        <v>0</v>
      </c>
      <c r="C112" s="672">
        <f>'Data Entry Fuel'!B111*'Data Entry Fuel'!B263
+'Data Entry Fuel'!C111*'Data Entry Fuel'!C263
+'Data Entry Fuel'!D111*'Data Entry Fuel'!D263
+'Data Entry Fuel'!E111*'Data Entry Fuel'!E263
+'Data Entry Fuel'!F111*'Data Entry Fuel'!F263
+'Data Entry Fuel'!G111*'Data Entry Fuel'!G263
+'Data Entry Fuel'!H111*'Data Entry Fuel'!H263
+'Data Entry Fuel'!I111*'Data Entry Fuel'!C263 *   (1 -  0.13 * 'Data Entry Fuel'!I$3)
+'Data Entry Fuel'!J111*'Data Entry Fuel'!J263</f>
        <v>0</v>
      </c>
      <c r="D112" s="677">
        <f>'Data Entry Electricity'!B111*'Data Entry Electricity'!L111+'Data Entry Electricity'!C111*'Data Entry Electricity'!M111+'Data Entry Electricity'!D111*'Data Entry Electricity'!N111+'Data Entry Electricity'!E111*'Data Entry Electricity'!O111</f>
        <v>0</v>
      </c>
      <c r="E112" s="776">
        <f>'Data Entry Electricity'!B111*'Data Entry Electricity'!L111+'Data Entry Electricity'!C111*'Data Entry Electricity'!L111+'Data Entry Electricity'!D111*'Data Entry Electricity'!N111+'Data Entry Electricity'!E111*'Data Entry Electricity'!O111</f>
        <v>0</v>
      </c>
      <c r="F112" s="777">
        <f>(SUM('Fuel Equipment Savings Calculat'!$B109:$S109))+(SUM('Efficient Site Offices DD &amp; Cal'!$B145:$F145))+'PFC Calculations'!$G110+(SUM('Behaviour Calculations'!$E116,'Behaviour Calculations'!$J116,'Behaviour Calculations'!$O116))+(SUM('Reduced Power Lighting Calculat'!$B110:$F110)+SUM('Hybrid Lighting Calculations'!$B114:$F114)+('PIR Lighting Calculations'!$H110)+SUM('Water Calculations'!$B110:$G110)+'Additional Initiatives'!$H123)</f>
        <v>0</v>
      </c>
      <c r="G112" s="778">
        <f t="shared" si="69"/>
        <v>0</v>
      </c>
      <c r="H112" s="778">
        <f t="shared" si="45"/>
        <v>0</v>
      </c>
      <c r="I112" s="778">
        <f t="shared" si="70"/>
        <v>0</v>
      </c>
      <c r="J112" s="798">
        <f t="shared" si="74"/>
        <v>1668015.7406375667</v>
      </c>
      <c r="K112" s="779">
        <f t="shared" si="75"/>
        <v>2056931.9678366459</v>
      </c>
      <c r="L112" s="780">
        <f t="shared" si="71"/>
        <v>0</v>
      </c>
      <c r="M112" s="780">
        <f t="shared" si="72"/>
        <v>0.18907588256704344</v>
      </c>
      <c r="N112" s="781">
        <f t="shared" si="73"/>
        <v>0</v>
      </c>
      <c r="O112" s="781">
        <f t="shared" si="56"/>
        <v>388916.22719907941</v>
      </c>
      <c r="Q112" s="683">
        <f t="shared" si="76"/>
        <v>1546103.9322666666</v>
      </c>
      <c r="R112" s="683">
        <f t="shared" si="77"/>
        <v>121911.80837090002</v>
      </c>
      <c r="T112" s="673">
        <f t="shared" si="50"/>
        <v>0</v>
      </c>
      <c r="U112" s="674">
        <f>'Fuel Equipment Savings Calculat'!$V109</f>
        <v>0</v>
      </c>
      <c r="V112" s="674">
        <f>'Efficient Site Offices DD &amp; Cal'!$H145</f>
        <v>0</v>
      </c>
      <c r="W112" s="674">
        <f>'PFC Calculations'!$G110</f>
        <v>0</v>
      </c>
      <c r="X112" s="674">
        <f>'Behaviour Calculations'!$E116</f>
        <v>0</v>
      </c>
      <c r="Y112" s="674">
        <f>'Behaviour Calculations'!$J116</f>
        <v>0</v>
      </c>
      <c r="Z112" s="674">
        <f>'Behaviour Calculations'!$O116</f>
        <v>0</v>
      </c>
      <c r="AA112" s="674">
        <f>'Reduced Power Lighting Calculat'!$H110</f>
        <v>0</v>
      </c>
      <c r="AB112" s="674">
        <f>'Hybrid Lighting Calculations'!H114</f>
        <v>0</v>
      </c>
      <c r="AC112" s="674">
        <f>'PIR Lighting Calculations'!$H110</f>
        <v>0</v>
      </c>
      <c r="AD112" s="674">
        <f>'Water Calculations'!$I110</f>
        <v>0</v>
      </c>
      <c r="AE112" s="674">
        <f>'Additional Initiatives'!$H123</f>
        <v>0</v>
      </c>
      <c r="AF112" s="679">
        <f t="shared" si="51"/>
        <v>0</v>
      </c>
      <c r="AG112" s="679">
        <f>(C112-B112) - (0.13 * 'Data Entry Fuel'!I$3) * (U112+AB112)</f>
        <v>0</v>
      </c>
      <c r="AH112" s="5"/>
      <c r="AI112" s="19">
        <v>1804</v>
      </c>
      <c r="AJ112" s="19">
        <f t="shared" si="52"/>
        <v>2018</v>
      </c>
      <c r="AK112" s="19">
        <f t="shared" si="53"/>
        <v>12</v>
      </c>
      <c r="AL112" s="19">
        <v>108</v>
      </c>
      <c r="AM112" s="697">
        <f t="shared" si="78"/>
        <v>1546103.9322666666</v>
      </c>
      <c r="AN112" s="697">
        <f t="shared" si="57"/>
        <v>258650.4652223486</v>
      </c>
      <c r="AO112" s="697">
        <f t="shared" si="58"/>
        <v>54295.191999999995</v>
      </c>
      <c r="AP112" s="697">
        <f>IF(AP$4='Additional Initiatives'!$B$163,'Additional Initiatives'!$B271,IF(AP$4='Additional Initiatives'!$C$163,'Additional Initiatives'!$C271,IF(AP$4='Additional Initiatives'!$D$163,'Additional Initiatives'!$D271,IF(AP$4='Additional Initiatives'!$E$163,'Additional Initiatives'!$E271,IF(AP$4='Additional Initiatives'!$F$163,'Additional Initiatives'!$F271,0)))))+AP111</f>
        <v>0</v>
      </c>
      <c r="AQ112" s="697">
        <f>IF(AQ$4='Additional Initiatives'!$B$163,'Additional Initiatives'!$B271,IF(AQ$4='Additional Initiatives'!$C$163,'Additional Initiatives'!$C271,IF(AQ$4='Additional Initiatives'!$D$163,'Additional Initiatives'!$D271,IF(AQ$4='Additional Initiatives'!$E$163,'Additional Initiatives'!$E271,IF(AQ$4='Additional Initiatives'!$F$163,'Additional Initiatives'!$F271,0)))))+AQ111</f>
        <v>0</v>
      </c>
      <c r="AR112" s="697">
        <f>IF(AR$4='Additional Initiatives'!$B$163,'Additional Initiatives'!$B271,IF(AR$4='Additional Initiatives'!$C$163,'Additional Initiatives'!$C271,IF(AR$4='Additional Initiatives'!$D$163,'Additional Initiatives'!$D271,IF(AR$4='Additional Initiatives'!$E$163,'Additional Initiatives'!$E271,IF(AR$4='Additional Initiatives'!$F$163,'Additional Initiatives'!$F271,0)))))+AR111</f>
        <v>0</v>
      </c>
      <c r="AS112" s="697">
        <f t="shared" si="59"/>
        <v>0</v>
      </c>
      <c r="AT112" s="696">
        <f t="shared" si="79"/>
        <v>121911.80837090002</v>
      </c>
      <c r="AU112" s="696">
        <f t="shared" si="60"/>
        <v>25394.250457001559</v>
      </c>
      <c r="AV112" s="696">
        <f t="shared" si="61"/>
        <v>0</v>
      </c>
      <c r="AW112" s="696">
        <f t="shared" si="62"/>
        <v>0</v>
      </c>
      <c r="AX112" s="696">
        <f t="shared" si="63"/>
        <v>25828.950288959997</v>
      </c>
      <c r="AY112" s="696">
        <f t="shared" si="64"/>
        <v>10645.061538461536</v>
      </c>
      <c r="AZ112" s="696">
        <f t="shared" si="65"/>
        <v>7996.1538461538476</v>
      </c>
      <c r="BA112" s="696">
        <f t="shared" si="66"/>
        <v>6106.1538461538457</v>
      </c>
      <c r="BB112" s="696">
        <f t="shared" si="67"/>
        <v>0</v>
      </c>
      <c r="BC112" s="696">
        <f>IF(BC$4='Additional Initiatives'!$B$163,'Additional Initiatives'!$B271,IF(BC$4='Additional Initiatives'!$C$163,'Additional Initiatives'!$C271,IF(BC$4='Additional Initiatives'!$D$163,'Additional Initiatives'!$D271,IF(BC$4='Additional Initiatives'!$E$163,'Additional Initiatives'!$E271,IF(BC$4='Additional Initiatives'!$F$163,'Additional Initiatives'!$F271,0)))))+BC111</f>
        <v>0</v>
      </c>
      <c r="BD112" s="696">
        <f>IF(BD$4='Additional Initiatives'!$B$163,'Additional Initiatives'!$B271,IF(BD$4='Additional Initiatives'!$C$163,'Additional Initiatives'!$C271,IF(BD$4='Additional Initiatives'!$D$163,'Additional Initiatives'!$D271,IF(BD$4='Additional Initiatives'!$E$163,'Additional Initiatives'!$E271,IF(BD$4='Additional Initiatives'!$F$163,'Additional Initiatives'!$F271,0)))))+BD111</f>
        <v>0</v>
      </c>
      <c r="BE112" s="696">
        <f>IF(BE$4='Additional Initiatives'!$B$163,'Additional Initiatives'!$B271,IF(BE$4='Additional Initiatives'!$C$163,'Additional Initiatives'!$C271,IF(BE$4='Additional Initiatives'!$D$163,'Additional Initiatives'!$D271,IF(BE$4='Additional Initiatives'!$E$163,'Additional Initiatives'!$E271,IF(BE$4='Additional Initiatives'!$F$163,'Additional Initiatives'!$F271,0)))))+BE111</f>
        <v>0</v>
      </c>
      <c r="BF112" s="696">
        <f t="shared" si="68"/>
        <v>0</v>
      </c>
    </row>
    <row r="113" spans="1:58">
      <c r="A113" s="21" t="s">
        <v>991</v>
      </c>
      <c r="B113" s="672">
        <f>'Data Entry Fuel'!B112*'Data Entry Fuel'!B264
+'Data Entry Fuel'!C112*'Data Entry Fuel'!C264
+'Data Entry Fuel'!D112*'Data Entry Fuel'!D264
+'Data Entry Fuel'!E112*'Data Entry Fuel'!E264
+'Data Entry Fuel'!F112*'Data Entry Fuel'!F264
+'Data Entry Fuel'!G112*'Data Entry Fuel'!G264
+'Data Entry Fuel'!H112*'Data Entry Fuel'!H264
+'Data Entry Fuel'!I112*'Data Entry Fuel'!I264
+'Data Entry Fuel'!J112*'Data Entry Fuel'!J264</f>
        <v>0</v>
      </c>
      <c r="C113" s="672">
        <f>'Data Entry Fuel'!B112*'Data Entry Fuel'!B264
+'Data Entry Fuel'!C112*'Data Entry Fuel'!C264
+'Data Entry Fuel'!D112*'Data Entry Fuel'!D264
+'Data Entry Fuel'!E112*'Data Entry Fuel'!E264
+'Data Entry Fuel'!F112*'Data Entry Fuel'!F264
+'Data Entry Fuel'!G112*'Data Entry Fuel'!G264
+'Data Entry Fuel'!H112*'Data Entry Fuel'!H264
+'Data Entry Fuel'!I112*'Data Entry Fuel'!C264 *   (1 -  0.13 * 'Data Entry Fuel'!I$3)
+'Data Entry Fuel'!J112*'Data Entry Fuel'!J264</f>
        <v>0</v>
      </c>
      <c r="D113" s="677">
        <f>'Data Entry Electricity'!B112*'Data Entry Electricity'!L112+'Data Entry Electricity'!C112*'Data Entry Electricity'!M112+'Data Entry Electricity'!D112*'Data Entry Electricity'!N112+'Data Entry Electricity'!E112*'Data Entry Electricity'!O112</f>
        <v>0</v>
      </c>
      <c r="E113" s="776">
        <f>'Data Entry Electricity'!B112*'Data Entry Electricity'!L112+'Data Entry Electricity'!C112*'Data Entry Electricity'!L112+'Data Entry Electricity'!D112*'Data Entry Electricity'!N112+'Data Entry Electricity'!E112*'Data Entry Electricity'!O112</f>
        <v>0</v>
      </c>
      <c r="F113" s="777">
        <f>(SUM('Fuel Equipment Savings Calculat'!$B110:$S110))+(SUM('Efficient Site Offices DD &amp; Cal'!$B146:$F146))+'PFC Calculations'!$G111+(SUM('Behaviour Calculations'!$E117,'Behaviour Calculations'!$J117,'Behaviour Calculations'!$O117))+(SUM('Reduced Power Lighting Calculat'!$B111:$F111)+SUM('Hybrid Lighting Calculations'!$B115:$F115)+('PIR Lighting Calculations'!$H111)+SUM('Water Calculations'!$B111:$G111)+'Additional Initiatives'!$H124)</f>
        <v>0</v>
      </c>
      <c r="G113" s="778">
        <f t="shared" si="69"/>
        <v>0</v>
      </c>
      <c r="H113" s="778">
        <f t="shared" si="45"/>
        <v>0</v>
      </c>
      <c r="I113" s="778">
        <f t="shared" si="70"/>
        <v>0</v>
      </c>
      <c r="J113" s="798">
        <f t="shared" si="74"/>
        <v>1668015.7406375667</v>
      </c>
      <c r="K113" s="779">
        <f t="shared" si="75"/>
        <v>2056931.9678366459</v>
      </c>
      <c r="L113" s="780">
        <f t="shared" si="71"/>
        <v>0</v>
      </c>
      <c r="M113" s="780">
        <f t="shared" si="72"/>
        <v>0.18907588256704344</v>
      </c>
      <c r="N113" s="781">
        <f t="shared" si="73"/>
        <v>0</v>
      </c>
      <c r="O113" s="781">
        <f t="shared" si="56"/>
        <v>388916.22719907941</v>
      </c>
      <c r="Q113" s="683">
        <f t="shared" si="76"/>
        <v>1546103.9322666666</v>
      </c>
      <c r="R113" s="683">
        <f t="shared" si="77"/>
        <v>121911.80837090002</v>
      </c>
      <c r="T113" s="673">
        <f t="shared" si="50"/>
        <v>0</v>
      </c>
      <c r="U113" s="674">
        <f>'Fuel Equipment Savings Calculat'!$V110</f>
        <v>0</v>
      </c>
      <c r="V113" s="674">
        <f>'Efficient Site Offices DD &amp; Cal'!$H146</f>
        <v>0</v>
      </c>
      <c r="W113" s="674">
        <f>'PFC Calculations'!$G111</f>
        <v>0</v>
      </c>
      <c r="X113" s="674">
        <f>'Behaviour Calculations'!$E117</f>
        <v>0</v>
      </c>
      <c r="Y113" s="674">
        <f>'Behaviour Calculations'!$J117</f>
        <v>0</v>
      </c>
      <c r="Z113" s="674">
        <f>'Behaviour Calculations'!$O117</f>
        <v>0</v>
      </c>
      <c r="AA113" s="674">
        <f>'Reduced Power Lighting Calculat'!$H111</f>
        <v>0</v>
      </c>
      <c r="AB113" s="674">
        <f>'Hybrid Lighting Calculations'!H115</f>
        <v>0</v>
      </c>
      <c r="AC113" s="674">
        <f>'PIR Lighting Calculations'!$H111</f>
        <v>0</v>
      </c>
      <c r="AD113" s="674">
        <f>'Water Calculations'!$I111</f>
        <v>0</v>
      </c>
      <c r="AE113" s="674">
        <f>'Additional Initiatives'!$H124</f>
        <v>0</v>
      </c>
      <c r="AF113" s="679">
        <f t="shared" si="51"/>
        <v>0</v>
      </c>
      <c r="AG113" s="679">
        <f>(C113-B113) - (0.13 * 'Data Entry Fuel'!I$3) * (U113+AB113)</f>
        <v>0</v>
      </c>
      <c r="AH113" s="5"/>
      <c r="AI113" s="19">
        <v>1805</v>
      </c>
      <c r="AJ113" s="19">
        <f t="shared" si="52"/>
        <v>2018</v>
      </c>
      <c r="AK113" s="19">
        <f t="shared" si="53"/>
        <v>12</v>
      </c>
      <c r="AL113" s="19">
        <v>109</v>
      </c>
      <c r="AM113" s="697">
        <f t="shared" si="78"/>
        <v>1546103.9322666666</v>
      </c>
      <c r="AN113" s="697">
        <f t="shared" si="57"/>
        <v>258650.4652223486</v>
      </c>
      <c r="AO113" s="697">
        <f t="shared" si="58"/>
        <v>54295.191999999995</v>
      </c>
      <c r="AP113" s="697">
        <f>IF(AP$4='Additional Initiatives'!$B$163,'Additional Initiatives'!$B272,IF(AP$4='Additional Initiatives'!$C$163,'Additional Initiatives'!$C272,IF(AP$4='Additional Initiatives'!$D$163,'Additional Initiatives'!$D272,IF(AP$4='Additional Initiatives'!$E$163,'Additional Initiatives'!$E272,IF(AP$4='Additional Initiatives'!$F$163,'Additional Initiatives'!$F272,0)))))+AP112</f>
        <v>0</v>
      </c>
      <c r="AQ113" s="697">
        <f>IF(AQ$4='Additional Initiatives'!$B$163,'Additional Initiatives'!$B272,IF(AQ$4='Additional Initiatives'!$C$163,'Additional Initiatives'!$C272,IF(AQ$4='Additional Initiatives'!$D$163,'Additional Initiatives'!$D272,IF(AQ$4='Additional Initiatives'!$E$163,'Additional Initiatives'!$E272,IF(AQ$4='Additional Initiatives'!$F$163,'Additional Initiatives'!$F272,0)))))+AQ112</f>
        <v>0</v>
      </c>
      <c r="AR113" s="697">
        <f>IF(AR$4='Additional Initiatives'!$B$163,'Additional Initiatives'!$B272,IF(AR$4='Additional Initiatives'!$C$163,'Additional Initiatives'!$C272,IF(AR$4='Additional Initiatives'!$D$163,'Additional Initiatives'!$D272,IF(AR$4='Additional Initiatives'!$E$163,'Additional Initiatives'!$E272,IF(AR$4='Additional Initiatives'!$F$163,'Additional Initiatives'!$F272,0)))))+AR112</f>
        <v>0</v>
      </c>
      <c r="AS113" s="697">
        <f t="shared" si="59"/>
        <v>0</v>
      </c>
      <c r="AT113" s="696">
        <f t="shared" si="79"/>
        <v>121911.80837090002</v>
      </c>
      <c r="AU113" s="696">
        <f t="shared" si="60"/>
        <v>25394.250457001559</v>
      </c>
      <c r="AV113" s="696">
        <f t="shared" si="61"/>
        <v>0</v>
      </c>
      <c r="AW113" s="696">
        <f t="shared" si="62"/>
        <v>0</v>
      </c>
      <c r="AX113" s="696">
        <f t="shared" si="63"/>
        <v>25828.950288959997</v>
      </c>
      <c r="AY113" s="696">
        <f t="shared" si="64"/>
        <v>10645.061538461536</v>
      </c>
      <c r="AZ113" s="696">
        <f t="shared" si="65"/>
        <v>7996.1538461538476</v>
      </c>
      <c r="BA113" s="696">
        <f t="shared" si="66"/>
        <v>6106.1538461538457</v>
      </c>
      <c r="BB113" s="696">
        <f t="shared" si="67"/>
        <v>0</v>
      </c>
      <c r="BC113" s="696">
        <f>IF(BC$4='Additional Initiatives'!$B$163,'Additional Initiatives'!$B272,IF(BC$4='Additional Initiatives'!$C$163,'Additional Initiatives'!$C272,IF(BC$4='Additional Initiatives'!$D$163,'Additional Initiatives'!$D272,IF(BC$4='Additional Initiatives'!$E$163,'Additional Initiatives'!$E272,IF(BC$4='Additional Initiatives'!$F$163,'Additional Initiatives'!$F272,0)))))+BC112</f>
        <v>0</v>
      </c>
      <c r="BD113" s="696">
        <f>IF(BD$4='Additional Initiatives'!$B$163,'Additional Initiatives'!$B272,IF(BD$4='Additional Initiatives'!$C$163,'Additional Initiatives'!$C272,IF(BD$4='Additional Initiatives'!$D$163,'Additional Initiatives'!$D272,IF(BD$4='Additional Initiatives'!$E$163,'Additional Initiatives'!$E272,IF(BD$4='Additional Initiatives'!$F$163,'Additional Initiatives'!$F272,0)))))+BD112</f>
        <v>0</v>
      </c>
      <c r="BE113" s="696">
        <f>IF(BE$4='Additional Initiatives'!$B$163,'Additional Initiatives'!$B272,IF(BE$4='Additional Initiatives'!$C$163,'Additional Initiatives'!$C272,IF(BE$4='Additional Initiatives'!$D$163,'Additional Initiatives'!$D272,IF(BE$4='Additional Initiatives'!$E$163,'Additional Initiatives'!$E272,IF(BE$4='Additional Initiatives'!$F$163,'Additional Initiatives'!$F272,0)))))+BE112</f>
        <v>0</v>
      </c>
      <c r="BF113" s="696">
        <f t="shared" si="68"/>
        <v>0</v>
      </c>
    </row>
    <row r="114" spans="1:58">
      <c r="A114" s="21" t="s">
        <v>992</v>
      </c>
      <c r="B114" s="672">
        <f>'Data Entry Fuel'!B113*'Data Entry Fuel'!B265
+'Data Entry Fuel'!C113*'Data Entry Fuel'!C265
+'Data Entry Fuel'!D113*'Data Entry Fuel'!D265
+'Data Entry Fuel'!E113*'Data Entry Fuel'!E265
+'Data Entry Fuel'!F113*'Data Entry Fuel'!F265
+'Data Entry Fuel'!G113*'Data Entry Fuel'!G265
+'Data Entry Fuel'!H113*'Data Entry Fuel'!H265
+'Data Entry Fuel'!I113*'Data Entry Fuel'!I265
+'Data Entry Fuel'!J113*'Data Entry Fuel'!J265</f>
        <v>0</v>
      </c>
      <c r="C114" s="672">
        <f>'Data Entry Fuel'!B113*'Data Entry Fuel'!B265
+'Data Entry Fuel'!C113*'Data Entry Fuel'!C265
+'Data Entry Fuel'!D113*'Data Entry Fuel'!D265
+'Data Entry Fuel'!E113*'Data Entry Fuel'!E265
+'Data Entry Fuel'!F113*'Data Entry Fuel'!F265
+'Data Entry Fuel'!G113*'Data Entry Fuel'!G265
+'Data Entry Fuel'!H113*'Data Entry Fuel'!H265
+'Data Entry Fuel'!I113*'Data Entry Fuel'!C265 *   (1 -  0.13 * 'Data Entry Fuel'!I$3)
+'Data Entry Fuel'!J113*'Data Entry Fuel'!J265</f>
        <v>0</v>
      </c>
      <c r="D114" s="677">
        <f>'Data Entry Electricity'!B113*'Data Entry Electricity'!L113+'Data Entry Electricity'!C113*'Data Entry Electricity'!M113+'Data Entry Electricity'!D113*'Data Entry Electricity'!N113+'Data Entry Electricity'!E113*'Data Entry Electricity'!O113</f>
        <v>0</v>
      </c>
      <c r="E114" s="776">
        <f>'Data Entry Electricity'!B113*'Data Entry Electricity'!L113+'Data Entry Electricity'!C113*'Data Entry Electricity'!L113+'Data Entry Electricity'!D113*'Data Entry Electricity'!N113+'Data Entry Electricity'!E113*'Data Entry Electricity'!O113</f>
        <v>0</v>
      </c>
      <c r="F114" s="777">
        <f>(SUM('Fuel Equipment Savings Calculat'!$B111:$S111))+(SUM('Efficient Site Offices DD &amp; Cal'!$B147:$F147))+'PFC Calculations'!$G112+(SUM('Behaviour Calculations'!$E118,'Behaviour Calculations'!$J118,'Behaviour Calculations'!$O118))+(SUM('Reduced Power Lighting Calculat'!$B112:$F112)+SUM('Hybrid Lighting Calculations'!$B116:$F116)+('PIR Lighting Calculations'!$H112)+SUM('Water Calculations'!$B112:$G112)+'Additional Initiatives'!$H125)</f>
        <v>0</v>
      </c>
      <c r="G114" s="778">
        <f t="shared" si="69"/>
        <v>0</v>
      </c>
      <c r="H114" s="778">
        <f t="shared" si="45"/>
        <v>0</v>
      </c>
      <c r="I114" s="778">
        <f t="shared" si="70"/>
        <v>0</v>
      </c>
      <c r="J114" s="798">
        <f t="shared" si="74"/>
        <v>1668015.7406375667</v>
      </c>
      <c r="K114" s="779">
        <f t="shared" si="75"/>
        <v>2056931.9678366459</v>
      </c>
      <c r="L114" s="780">
        <f t="shared" si="71"/>
        <v>0</v>
      </c>
      <c r="M114" s="780">
        <f t="shared" si="72"/>
        <v>0.18907588256704344</v>
      </c>
      <c r="N114" s="781">
        <f t="shared" si="73"/>
        <v>0</v>
      </c>
      <c r="O114" s="781">
        <f t="shared" si="56"/>
        <v>388916.22719907941</v>
      </c>
      <c r="Q114" s="683">
        <f t="shared" si="76"/>
        <v>1546103.9322666666</v>
      </c>
      <c r="R114" s="683">
        <f t="shared" si="77"/>
        <v>121911.80837090002</v>
      </c>
      <c r="T114" s="673">
        <f t="shared" si="50"/>
        <v>0</v>
      </c>
      <c r="U114" s="674">
        <f>'Fuel Equipment Savings Calculat'!$V111</f>
        <v>0</v>
      </c>
      <c r="V114" s="674">
        <f>'Efficient Site Offices DD &amp; Cal'!$H147</f>
        <v>0</v>
      </c>
      <c r="W114" s="674">
        <f>'PFC Calculations'!$G112</f>
        <v>0</v>
      </c>
      <c r="X114" s="674">
        <f>'Behaviour Calculations'!$E118</f>
        <v>0</v>
      </c>
      <c r="Y114" s="674">
        <f>'Behaviour Calculations'!$J118</f>
        <v>0</v>
      </c>
      <c r="Z114" s="674">
        <f>'Behaviour Calculations'!$O118</f>
        <v>0</v>
      </c>
      <c r="AA114" s="674">
        <f>'Reduced Power Lighting Calculat'!$H112</f>
        <v>0</v>
      </c>
      <c r="AB114" s="674">
        <f>'Hybrid Lighting Calculations'!H116</f>
        <v>0</v>
      </c>
      <c r="AC114" s="674">
        <f>'PIR Lighting Calculations'!$H112</f>
        <v>0</v>
      </c>
      <c r="AD114" s="674">
        <f>'Water Calculations'!$I112</f>
        <v>0</v>
      </c>
      <c r="AE114" s="674">
        <f>'Additional Initiatives'!$H125</f>
        <v>0</v>
      </c>
      <c r="AF114" s="679">
        <f t="shared" si="51"/>
        <v>0</v>
      </c>
      <c r="AG114" s="679">
        <f>(C114-B114) - (0.13 * 'Data Entry Fuel'!I$3) * (U114+AB114)</f>
        <v>0</v>
      </c>
      <c r="AH114" s="5"/>
      <c r="AI114" s="19">
        <v>1806</v>
      </c>
      <c r="AJ114" s="19">
        <f t="shared" si="52"/>
        <v>2018</v>
      </c>
      <c r="AK114" s="19">
        <f t="shared" si="53"/>
        <v>12</v>
      </c>
      <c r="AL114" s="19">
        <v>110</v>
      </c>
      <c r="AM114" s="697">
        <f t="shared" si="78"/>
        <v>1546103.9322666666</v>
      </c>
      <c r="AN114" s="697">
        <f t="shared" si="57"/>
        <v>258650.4652223486</v>
      </c>
      <c r="AO114" s="697">
        <f t="shared" si="58"/>
        <v>54295.191999999995</v>
      </c>
      <c r="AP114" s="697">
        <f>IF(AP$4='Additional Initiatives'!$B$163,'Additional Initiatives'!$B273,IF(AP$4='Additional Initiatives'!$C$163,'Additional Initiatives'!$C273,IF(AP$4='Additional Initiatives'!$D$163,'Additional Initiatives'!$D273,IF(AP$4='Additional Initiatives'!$E$163,'Additional Initiatives'!$E273,IF(AP$4='Additional Initiatives'!$F$163,'Additional Initiatives'!$F273,0)))))+AP113</f>
        <v>0</v>
      </c>
      <c r="AQ114" s="697">
        <f>IF(AQ$4='Additional Initiatives'!$B$163,'Additional Initiatives'!$B273,IF(AQ$4='Additional Initiatives'!$C$163,'Additional Initiatives'!$C273,IF(AQ$4='Additional Initiatives'!$D$163,'Additional Initiatives'!$D273,IF(AQ$4='Additional Initiatives'!$E$163,'Additional Initiatives'!$E273,IF(AQ$4='Additional Initiatives'!$F$163,'Additional Initiatives'!$F273,0)))))+AQ113</f>
        <v>0</v>
      </c>
      <c r="AR114" s="697">
        <f>IF(AR$4='Additional Initiatives'!$B$163,'Additional Initiatives'!$B273,IF(AR$4='Additional Initiatives'!$C$163,'Additional Initiatives'!$C273,IF(AR$4='Additional Initiatives'!$D$163,'Additional Initiatives'!$D273,IF(AR$4='Additional Initiatives'!$E$163,'Additional Initiatives'!$E273,IF(AR$4='Additional Initiatives'!$F$163,'Additional Initiatives'!$F273,0)))))+AR113</f>
        <v>0</v>
      </c>
      <c r="AS114" s="697">
        <f t="shared" si="59"/>
        <v>0</v>
      </c>
      <c r="AT114" s="696">
        <f t="shared" si="79"/>
        <v>121911.80837090002</v>
      </c>
      <c r="AU114" s="696">
        <f t="shared" si="60"/>
        <v>25394.250457001559</v>
      </c>
      <c r="AV114" s="696">
        <f t="shared" si="61"/>
        <v>0</v>
      </c>
      <c r="AW114" s="696">
        <f t="shared" si="62"/>
        <v>0</v>
      </c>
      <c r="AX114" s="696">
        <f t="shared" si="63"/>
        <v>25828.950288959997</v>
      </c>
      <c r="AY114" s="696">
        <f t="shared" si="64"/>
        <v>10645.061538461536</v>
      </c>
      <c r="AZ114" s="696">
        <f t="shared" si="65"/>
        <v>7996.1538461538476</v>
      </c>
      <c r="BA114" s="696">
        <f t="shared" si="66"/>
        <v>6106.1538461538457</v>
      </c>
      <c r="BB114" s="696">
        <f t="shared" si="67"/>
        <v>0</v>
      </c>
      <c r="BC114" s="696">
        <f>IF(BC$4='Additional Initiatives'!$B$163,'Additional Initiatives'!$B273,IF(BC$4='Additional Initiatives'!$C$163,'Additional Initiatives'!$C273,IF(BC$4='Additional Initiatives'!$D$163,'Additional Initiatives'!$D273,IF(BC$4='Additional Initiatives'!$E$163,'Additional Initiatives'!$E273,IF(BC$4='Additional Initiatives'!$F$163,'Additional Initiatives'!$F273,0)))))+BC113</f>
        <v>0</v>
      </c>
      <c r="BD114" s="696">
        <f>IF(BD$4='Additional Initiatives'!$B$163,'Additional Initiatives'!$B273,IF(BD$4='Additional Initiatives'!$C$163,'Additional Initiatives'!$C273,IF(BD$4='Additional Initiatives'!$D$163,'Additional Initiatives'!$D273,IF(BD$4='Additional Initiatives'!$E$163,'Additional Initiatives'!$E273,IF(BD$4='Additional Initiatives'!$F$163,'Additional Initiatives'!$F273,0)))))+BD113</f>
        <v>0</v>
      </c>
      <c r="BE114" s="696">
        <f>IF(BE$4='Additional Initiatives'!$B$163,'Additional Initiatives'!$B273,IF(BE$4='Additional Initiatives'!$C$163,'Additional Initiatives'!$C273,IF(BE$4='Additional Initiatives'!$D$163,'Additional Initiatives'!$D273,IF(BE$4='Additional Initiatives'!$E$163,'Additional Initiatives'!$E273,IF(BE$4='Additional Initiatives'!$F$163,'Additional Initiatives'!$F273,0)))))+BE113</f>
        <v>0</v>
      </c>
      <c r="BF114" s="696">
        <f t="shared" si="68"/>
        <v>0</v>
      </c>
    </row>
    <row r="115" spans="1:58">
      <c r="A115" s="21" t="s">
        <v>993</v>
      </c>
      <c r="B115" s="672">
        <f>'Data Entry Fuel'!B114*'Data Entry Fuel'!B266
+'Data Entry Fuel'!C114*'Data Entry Fuel'!C266
+'Data Entry Fuel'!D114*'Data Entry Fuel'!D266
+'Data Entry Fuel'!E114*'Data Entry Fuel'!E266
+'Data Entry Fuel'!F114*'Data Entry Fuel'!F266
+'Data Entry Fuel'!G114*'Data Entry Fuel'!G266
+'Data Entry Fuel'!H114*'Data Entry Fuel'!H266
+'Data Entry Fuel'!I114*'Data Entry Fuel'!I266
+'Data Entry Fuel'!J114*'Data Entry Fuel'!J266</f>
        <v>0</v>
      </c>
      <c r="C115" s="672">
        <f>'Data Entry Fuel'!B114*'Data Entry Fuel'!B266
+'Data Entry Fuel'!C114*'Data Entry Fuel'!C266
+'Data Entry Fuel'!D114*'Data Entry Fuel'!D266
+'Data Entry Fuel'!E114*'Data Entry Fuel'!E266
+'Data Entry Fuel'!F114*'Data Entry Fuel'!F266
+'Data Entry Fuel'!G114*'Data Entry Fuel'!G266
+'Data Entry Fuel'!H114*'Data Entry Fuel'!H266
+'Data Entry Fuel'!I114*'Data Entry Fuel'!C266 *   (1 -  0.13 * 'Data Entry Fuel'!I$3)
+'Data Entry Fuel'!J114*'Data Entry Fuel'!J266</f>
        <v>0</v>
      </c>
      <c r="D115" s="677">
        <f>'Data Entry Electricity'!B114*'Data Entry Electricity'!L114+'Data Entry Electricity'!C114*'Data Entry Electricity'!M114+'Data Entry Electricity'!D114*'Data Entry Electricity'!N114+'Data Entry Electricity'!E114*'Data Entry Electricity'!O114</f>
        <v>0</v>
      </c>
      <c r="E115" s="776">
        <f>'Data Entry Electricity'!B114*'Data Entry Electricity'!L114+'Data Entry Electricity'!C114*'Data Entry Electricity'!L114+'Data Entry Electricity'!D114*'Data Entry Electricity'!N114+'Data Entry Electricity'!E114*'Data Entry Electricity'!O114</f>
        <v>0</v>
      </c>
      <c r="F115" s="777">
        <f>(SUM('Fuel Equipment Savings Calculat'!$B112:$S112))+(SUM('Efficient Site Offices DD &amp; Cal'!$B148:$F148))+'PFC Calculations'!$G113+(SUM('Behaviour Calculations'!$E119,'Behaviour Calculations'!$J119,'Behaviour Calculations'!$O119))+(SUM('Reduced Power Lighting Calculat'!$B113:$F113)+SUM('Hybrid Lighting Calculations'!$B117:$F117)+('PIR Lighting Calculations'!$H113)+SUM('Water Calculations'!$B113:$G113)+'Additional Initiatives'!$H126)</f>
        <v>0</v>
      </c>
      <c r="G115" s="778">
        <f t="shared" si="69"/>
        <v>0</v>
      </c>
      <c r="H115" s="778">
        <f t="shared" si="45"/>
        <v>0</v>
      </c>
      <c r="I115" s="778">
        <f t="shared" si="70"/>
        <v>0</v>
      </c>
      <c r="J115" s="798">
        <f t="shared" si="74"/>
        <v>1668015.7406375667</v>
      </c>
      <c r="K115" s="779">
        <f t="shared" si="75"/>
        <v>2056931.9678366459</v>
      </c>
      <c r="L115" s="780">
        <f t="shared" si="71"/>
        <v>0</v>
      </c>
      <c r="M115" s="780">
        <f t="shared" si="72"/>
        <v>0.18907588256704344</v>
      </c>
      <c r="N115" s="781">
        <f t="shared" si="73"/>
        <v>0</v>
      </c>
      <c r="O115" s="781">
        <f t="shared" si="56"/>
        <v>388916.22719907941</v>
      </c>
      <c r="Q115" s="683">
        <f t="shared" si="76"/>
        <v>1546103.9322666666</v>
      </c>
      <c r="R115" s="683">
        <f t="shared" si="77"/>
        <v>121911.80837090002</v>
      </c>
      <c r="T115" s="673">
        <f t="shared" si="50"/>
        <v>0</v>
      </c>
      <c r="U115" s="674">
        <f>'Fuel Equipment Savings Calculat'!$V112</f>
        <v>0</v>
      </c>
      <c r="V115" s="674">
        <f>'Efficient Site Offices DD &amp; Cal'!$H148</f>
        <v>0</v>
      </c>
      <c r="W115" s="674">
        <f>'PFC Calculations'!$G113</f>
        <v>0</v>
      </c>
      <c r="X115" s="674">
        <f>'Behaviour Calculations'!$E119</f>
        <v>0</v>
      </c>
      <c r="Y115" s="674">
        <f>'Behaviour Calculations'!$J119</f>
        <v>0</v>
      </c>
      <c r="Z115" s="674">
        <f>'Behaviour Calculations'!$O119</f>
        <v>0</v>
      </c>
      <c r="AA115" s="674">
        <f>'Reduced Power Lighting Calculat'!$H113</f>
        <v>0</v>
      </c>
      <c r="AB115" s="674">
        <f>'Hybrid Lighting Calculations'!H117</f>
        <v>0</v>
      </c>
      <c r="AC115" s="674">
        <f>'PIR Lighting Calculations'!$H113</f>
        <v>0</v>
      </c>
      <c r="AD115" s="674">
        <f>'Water Calculations'!$I113</f>
        <v>0</v>
      </c>
      <c r="AE115" s="674">
        <f>'Additional Initiatives'!$H126</f>
        <v>0</v>
      </c>
      <c r="AF115" s="679">
        <f t="shared" si="51"/>
        <v>0</v>
      </c>
      <c r="AG115" s="679">
        <f>(C115-B115) - (0.13 * 'Data Entry Fuel'!I$3) * (U115+AB115)</f>
        <v>0</v>
      </c>
      <c r="AH115" s="5"/>
      <c r="AI115" s="19">
        <v>1807</v>
      </c>
      <c r="AJ115" s="19">
        <f t="shared" si="52"/>
        <v>2018</v>
      </c>
      <c r="AK115" s="19">
        <f t="shared" si="53"/>
        <v>12</v>
      </c>
      <c r="AL115" s="19">
        <v>111</v>
      </c>
      <c r="AM115" s="697">
        <f t="shared" si="78"/>
        <v>1546103.9322666666</v>
      </c>
      <c r="AN115" s="697">
        <f t="shared" si="57"/>
        <v>258650.4652223486</v>
      </c>
      <c r="AO115" s="697">
        <f t="shared" si="58"/>
        <v>54295.191999999995</v>
      </c>
      <c r="AP115" s="697">
        <f>IF(AP$4='Additional Initiatives'!$B$163,'Additional Initiatives'!$B274,IF(AP$4='Additional Initiatives'!$C$163,'Additional Initiatives'!$C274,IF(AP$4='Additional Initiatives'!$D$163,'Additional Initiatives'!$D274,IF(AP$4='Additional Initiatives'!$E$163,'Additional Initiatives'!$E274,IF(AP$4='Additional Initiatives'!$F$163,'Additional Initiatives'!$F274,0)))))+AP114</f>
        <v>0</v>
      </c>
      <c r="AQ115" s="697">
        <f>IF(AQ$4='Additional Initiatives'!$B$163,'Additional Initiatives'!$B274,IF(AQ$4='Additional Initiatives'!$C$163,'Additional Initiatives'!$C274,IF(AQ$4='Additional Initiatives'!$D$163,'Additional Initiatives'!$D274,IF(AQ$4='Additional Initiatives'!$E$163,'Additional Initiatives'!$E274,IF(AQ$4='Additional Initiatives'!$F$163,'Additional Initiatives'!$F274,0)))))+AQ114</f>
        <v>0</v>
      </c>
      <c r="AR115" s="697">
        <f>IF(AR$4='Additional Initiatives'!$B$163,'Additional Initiatives'!$B274,IF(AR$4='Additional Initiatives'!$C$163,'Additional Initiatives'!$C274,IF(AR$4='Additional Initiatives'!$D$163,'Additional Initiatives'!$D274,IF(AR$4='Additional Initiatives'!$E$163,'Additional Initiatives'!$E274,IF(AR$4='Additional Initiatives'!$F$163,'Additional Initiatives'!$F274,0)))))+AR114</f>
        <v>0</v>
      </c>
      <c r="AS115" s="697">
        <f t="shared" si="59"/>
        <v>0</v>
      </c>
      <c r="AT115" s="696">
        <f t="shared" si="79"/>
        <v>121911.80837090002</v>
      </c>
      <c r="AU115" s="696">
        <f t="shared" si="60"/>
        <v>25394.250457001559</v>
      </c>
      <c r="AV115" s="696">
        <f t="shared" si="61"/>
        <v>0</v>
      </c>
      <c r="AW115" s="696">
        <f t="shared" si="62"/>
        <v>0</v>
      </c>
      <c r="AX115" s="696">
        <f t="shared" si="63"/>
        <v>25828.950288959997</v>
      </c>
      <c r="AY115" s="696">
        <f t="shared" si="64"/>
        <v>10645.061538461536</v>
      </c>
      <c r="AZ115" s="696">
        <f t="shared" si="65"/>
        <v>7996.1538461538476</v>
      </c>
      <c r="BA115" s="696">
        <f t="shared" si="66"/>
        <v>6106.1538461538457</v>
      </c>
      <c r="BB115" s="696">
        <f t="shared" si="67"/>
        <v>0</v>
      </c>
      <c r="BC115" s="696">
        <f>IF(BC$4='Additional Initiatives'!$B$163,'Additional Initiatives'!$B274,IF(BC$4='Additional Initiatives'!$C$163,'Additional Initiatives'!$C274,IF(BC$4='Additional Initiatives'!$D$163,'Additional Initiatives'!$D274,IF(BC$4='Additional Initiatives'!$E$163,'Additional Initiatives'!$E274,IF(BC$4='Additional Initiatives'!$F$163,'Additional Initiatives'!$F274,0)))))+BC114</f>
        <v>0</v>
      </c>
      <c r="BD115" s="696">
        <f>IF(BD$4='Additional Initiatives'!$B$163,'Additional Initiatives'!$B274,IF(BD$4='Additional Initiatives'!$C$163,'Additional Initiatives'!$C274,IF(BD$4='Additional Initiatives'!$D$163,'Additional Initiatives'!$D274,IF(BD$4='Additional Initiatives'!$E$163,'Additional Initiatives'!$E274,IF(BD$4='Additional Initiatives'!$F$163,'Additional Initiatives'!$F274,0)))))+BD114</f>
        <v>0</v>
      </c>
      <c r="BE115" s="696">
        <f>IF(BE$4='Additional Initiatives'!$B$163,'Additional Initiatives'!$B274,IF(BE$4='Additional Initiatives'!$C$163,'Additional Initiatives'!$C274,IF(BE$4='Additional Initiatives'!$D$163,'Additional Initiatives'!$D274,IF(BE$4='Additional Initiatives'!$E$163,'Additional Initiatives'!$E274,IF(BE$4='Additional Initiatives'!$F$163,'Additional Initiatives'!$F274,0)))))+BE114</f>
        <v>0</v>
      </c>
      <c r="BF115" s="696">
        <f t="shared" si="68"/>
        <v>0</v>
      </c>
    </row>
    <row r="116" spans="1:58">
      <c r="A116" s="21" t="s">
        <v>994</v>
      </c>
      <c r="B116" s="672">
        <f>'Data Entry Fuel'!B115*'Data Entry Fuel'!B267
+'Data Entry Fuel'!C115*'Data Entry Fuel'!C267
+'Data Entry Fuel'!D115*'Data Entry Fuel'!D267
+'Data Entry Fuel'!E115*'Data Entry Fuel'!E267
+'Data Entry Fuel'!F115*'Data Entry Fuel'!F267
+'Data Entry Fuel'!G115*'Data Entry Fuel'!G267
+'Data Entry Fuel'!H115*'Data Entry Fuel'!H267
+'Data Entry Fuel'!I115*'Data Entry Fuel'!I267
+'Data Entry Fuel'!J115*'Data Entry Fuel'!J267</f>
        <v>0</v>
      </c>
      <c r="C116" s="672">
        <f>'Data Entry Fuel'!B115*'Data Entry Fuel'!B267
+'Data Entry Fuel'!C115*'Data Entry Fuel'!C267
+'Data Entry Fuel'!D115*'Data Entry Fuel'!D267
+'Data Entry Fuel'!E115*'Data Entry Fuel'!E267
+'Data Entry Fuel'!F115*'Data Entry Fuel'!F267
+'Data Entry Fuel'!G115*'Data Entry Fuel'!G267
+'Data Entry Fuel'!H115*'Data Entry Fuel'!H267
+'Data Entry Fuel'!I115*'Data Entry Fuel'!C267 *   (1 -  0.13 * 'Data Entry Fuel'!I$3)
+'Data Entry Fuel'!J115*'Data Entry Fuel'!J267</f>
        <v>0</v>
      </c>
      <c r="D116" s="677">
        <f>'Data Entry Electricity'!B115*'Data Entry Electricity'!L115+'Data Entry Electricity'!C115*'Data Entry Electricity'!M115+'Data Entry Electricity'!D115*'Data Entry Electricity'!N115+'Data Entry Electricity'!E115*'Data Entry Electricity'!O115</f>
        <v>0</v>
      </c>
      <c r="E116" s="776">
        <f>'Data Entry Electricity'!B115*'Data Entry Electricity'!L115+'Data Entry Electricity'!C115*'Data Entry Electricity'!L115+'Data Entry Electricity'!D115*'Data Entry Electricity'!N115+'Data Entry Electricity'!E115*'Data Entry Electricity'!O115</f>
        <v>0</v>
      </c>
      <c r="F116" s="777">
        <f>(SUM('Fuel Equipment Savings Calculat'!$B113:$S113))+(SUM('Efficient Site Offices DD &amp; Cal'!$B149:$F149))+'PFC Calculations'!$G114+(SUM('Behaviour Calculations'!$E120,'Behaviour Calculations'!$J120,'Behaviour Calculations'!$O120))+(SUM('Reduced Power Lighting Calculat'!$B114:$F114)+SUM('Hybrid Lighting Calculations'!$B118:$F118)+('PIR Lighting Calculations'!$H114)+SUM('Water Calculations'!$B114:$G114)+'Additional Initiatives'!$H127)</f>
        <v>0</v>
      </c>
      <c r="G116" s="778">
        <f t="shared" si="69"/>
        <v>0</v>
      </c>
      <c r="H116" s="778">
        <f t="shared" si="45"/>
        <v>0</v>
      </c>
      <c r="I116" s="778">
        <f t="shared" si="70"/>
        <v>0</v>
      </c>
      <c r="J116" s="798">
        <f t="shared" si="74"/>
        <v>1668015.7406375667</v>
      </c>
      <c r="K116" s="779">
        <f t="shared" si="75"/>
        <v>2056931.9678366459</v>
      </c>
      <c r="L116" s="780">
        <f t="shared" si="71"/>
        <v>0</v>
      </c>
      <c r="M116" s="780">
        <f t="shared" si="72"/>
        <v>0.18907588256704344</v>
      </c>
      <c r="N116" s="781">
        <f t="shared" si="73"/>
        <v>0</v>
      </c>
      <c r="O116" s="781">
        <f t="shared" si="56"/>
        <v>388916.22719907941</v>
      </c>
      <c r="Q116" s="683">
        <f t="shared" si="76"/>
        <v>1546103.9322666666</v>
      </c>
      <c r="R116" s="683">
        <f t="shared" si="77"/>
        <v>121911.80837090002</v>
      </c>
      <c r="T116" s="673">
        <f t="shared" si="50"/>
        <v>0</v>
      </c>
      <c r="U116" s="674">
        <f>'Fuel Equipment Savings Calculat'!$V113</f>
        <v>0</v>
      </c>
      <c r="V116" s="674">
        <f>'Efficient Site Offices DD &amp; Cal'!$H149</f>
        <v>0</v>
      </c>
      <c r="W116" s="674">
        <f>'PFC Calculations'!$G114</f>
        <v>0</v>
      </c>
      <c r="X116" s="674">
        <f>'Behaviour Calculations'!$E120</f>
        <v>0</v>
      </c>
      <c r="Y116" s="674">
        <f>'Behaviour Calculations'!$J120</f>
        <v>0</v>
      </c>
      <c r="Z116" s="674">
        <f>'Behaviour Calculations'!$O120</f>
        <v>0</v>
      </c>
      <c r="AA116" s="674">
        <f>'Reduced Power Lighting Calculat'!$H114</f>
        <v>0</v>
      </c>
      <c r="AB116" s="674">
        <f>'Hybrid Lighting Calculations'!H118</f>
        <v>0</v>
      </c>
      <c r="AC116" s="674">
        <f>'PIR Lighting Calculations'!$H114</f>
        <v>0</v>
      </c>
      <c r="AD116" s="674">
        <f>'Water Calculations'!$I114</f>
        <v>0</v>
      </c>
      <c r="AE116" s="674">
        <f>'Additional Initiatives'!$H127</f>
        <v>0</v>
      </c>
      <c r="AF116" s="679">
        <f t="shared" si="51"/>
        <v>0</v>
      </c>
      <c r="AG116" s="679">
        <f>(C116-B116) - (0.13 * 'Data Entry Fuel'!I$3) * (U116+AB116)</f>
        <v>0</v>
      </c>
      <c r="AH116" s="5"/>
      <c r="AI116" s="19">
        <v>1808</v>
      </c>
      <c r="AJ116" s="19">
        <f t="shared" si="52"/>
        <v>2018</v>
      </c>
      <c r="AK116" s="19">
        <f t="shared" si="53"/>
        <v>12</v>
      </c>
      <c r="AL116" s="19">
        <v>112</v>
      </c>
      <c r="AM116" s="697">
        <f t="shared" si="78"/>
        <v>1546103.9322666666</v>
      </c>
      <c r="AN116" s="697">
        <f t="shared" si="57"/>
        <v>258650.4652223486</v>
      </c>
      <c r="AO116" s="697">
        <f t="shared" si="58"/>
        <v>54295.191999999995</v>
      </c>
      <c r="AP116" s="697">
        <f>IF(AP$4='Additional Initiatives'!$B$163,'Additional Initiatives'!$B275,IF(AP$4='Additional Initiatives'!$C$163,'Additional Initiatives'!$C275,IF(AP$4='Additional Initiatives'!$D$163,'Additional Initiatives'!$D275,IF(AP$4='Additional Initiatives'!$E$163,'Additional Initiatives'!$E275,IF(AP$4='Additional Initiatives'!$F$163,'Additional Initiatives'!$F275,0)))))+AP115</f>
        <v>0</v>
      </c>
      <c r="AQ116" s="697">
        <f>IF(AQ$4='Additional Initiatives'!$B$163,'Additional Initiatives'!$B275,IF(AQ$4='Additional Initiatives'!$C$163,'Additional Initiatives'!$C275,IF(AQ$4='Additional Initiatives'!$D$163,'Additional Initiatives'!$D275,IF(AQ$4='Additional Initiatives'!$E$163,'Additional Initiatives'!$E275,IF(AQ$4='Additional Initiatives'!$F$163,'Additional Initiatives'!$F275,0)))))+AQ115</f>
        <v>0</v>
      </c>
      <c r="AR116" s="697">
        <f>IF(AR$4='Additional Initiatives'!$B$163,'Additional Initiatives'!$B275,IF(AR$4='Additional Initiatives'!$C$163,'Additional Initiatives'!$C275,IF(AR$4='Additional Initiatives'!$D$163,'Additional Initiatives'!$D275,IF(AR$4='Additional Initiatives'!$E$163,'Additional Initiatives'!$E275,IF(AR$4='Additional Initiatives'!$F$163,'Additional Initiatives'!$F275,0)))))+AR115</f>
        <v>0</v>
      </c>
      <c r="AS116" s="697">
        <f t="shared" si="59"/>
        <v>0</v>
      </c>
      <c r="AT116" s="696">
        <f t="shared" si="79"/>
        <v>121911.80837090002</v>
      </c>
      <c r="AU116" s="696">
        <f t="shared" si="60"/>
        <v>25394.250457001559</v>
      </c>
      <c r="AV116" s="696">
        <f t="shared" si="61"/>
        <v>0</v>
      </c>
      <c r="AW116" s="696">
        <f t="shared" si="62"/>
        <v>0</v>
      </c>
      <c r="AX116" s="696">
        <f t="shared" si="63"/>
        <v>25828.950288959997</v>
      </c>
      <c r="AY116" s="696">
        <f t="shared" si="64"/>
        <v>10645.061538461536</v>
      </c>
      <c r="AZ116" s="696">
        <f t="shared" si="65"/>
        <v>7996.1538461538476</v>
      </c>
      <c r="BA116" s="696">
        <f t="shared" si="66"/>
        <v>6106.1538461538457</v>
      </c>
      <c r="BB116" s="696">
        <f t="shared" si="67"/>
        <v>0</v>
      </c>
      <c r="BC116" s="696">
        <f>IF(BC$4='Additional Initiatives'!$B$163,'Additional Initiatives'!$B275,IF(BC$4='Additional Initiatives'!$C$163,'Additional Initiatives'!$C275,IF(BC$4='Additional Initiatives'!$D$163,'Additional Initiatives'!$D275,IF(BC$4='Additional Initiatives'!$E$163,'Additional Initiatives'!$E275,IF(BC$4='Additional Initiatives'!$F$163,'Additional Initiatives'!$F275,0)))))+BC115</f>
        <v>0</v>
      </c>
      <c r="BD116" s="696">
        <f>IF(BD$4='Additional Initiatives'!$B$163,'Additional Initiatives'!$B275,IF(BD$4='Additional Initiatives'!$C$163,'Additional Initiatives'!$C275,IF(BD$4='Additional Initiatives'!$D$163,'Additional Initiatives'!$D275,IF(BD$4='Additional Initiatives'!$E$163,'Additional Initiatives'!$E275,IF(BD$4='Additional Initiatives'!$F$163,'Additional Initiatives'!$F275,0)))))+BD115</f>
        <v>0</v>
      </c>
      <c r="BE116" s="696">
        <f>IF(BE$4='Additional Initiatives'!$B$163,'Additional Initiatives'!$B275,IF(BE$4='Additional Initiatives'!$C$163,'Additional Initiatives'!$C275,IF(BE$4='Additional Initiatives'!$D$163,'Additional Initiatives'!$D275,IF(BE$4='Additional Initiatives'!$E$163,'Additional Initiatives'!$E275,IF(BE$4='Additional Initiatives'!$F$163,'Additional Initiatives'!$F275,0)))))+BE115</f>
        <v>0</v>
      </c>
      <c r="BF116" s="696">
        <f t="shared" si="68"/>
        <v>0</v>
      </c>
    </row>
    <row r="117" spans="1:58">
      <c r="A117" s="21" t="s">
        <v>995</v>
      </c>
      <c r="B117" s="672">
        <f>'Data Entry Fuel'!B116*'Data Entry Fuel'!B268
+'Data Entry Fuel'!C116*'Data Entry Fuel'!C268
+'Data Entry Fuel'!D116*'Data Entry Fuel'!D268
+'Data Entry Fuel'!E116*'Data Entry Fuel'!E268
+'Data Entry Fuel'!F116*'Data Entry Fuel'!F268
+'Data Entry Fuel'!G116*'Data Entry Fuel'!G268
+'Data Entry Fuel'!H116*'Data Entry Fuel'!H268
+'Data Entry Fuel'!I116*'Data Entry Fuel'!I268
+'Data Entry Fuel'!J116*'Data Entry Fuel'!J268</f>
        <v>0</v>
      </c>
      <c r="C117" s="672">
        <f>'Data Entry Fuel'!B116*'Data Entry Fuel'!B268
+'Data Entry Fuel'!C116*'Data Entry Fuel'!C268
+'Data Entry Fuel'!D116*'Data Entry Fuel'!D268
+'Data Entry Fuel'!E116*'Data Entry Fuel'!E268
+'Data Entry Fuel'!F116*'Data Entry Fuel'!F268
+'Data Entry Fuel'!G116*'Data Entry Fuel'!G268
+'Data Entry Fuel'!H116*'Data Entry Fuel'!H268
+'Data Entry Fuel'!I116*'Data Entry Fuel'!C268 *   (1 -  0.13 * 'Data Entry Fuel'!I$3)
+'Data Entry Fuel'!J116*'Data Entry Fuel'!J268</f>
        <v>0</v>
      </c>
      <c r="D117" s="677">
        <f>'Data Entry Electricity'!B116*'Data Entry Electricity'!L116+'Data Entry Electricity'!C116*'Data Entry Electricity'!M116+'Data Entry Electricity'!D116*'Data Entry Electricity'!N116+'Data Entry Electricity'!E116*'Data Entry Electricity'!O116</f>
        <v>0</v>
      </c>
      <c r="E117" s="776">
        <f>'Data Entry Electricity'!B116*'Data Entry Electricity'!L116+'Data Entry Electricity'!C116*'Data Entry Electricity'!L116+'Data Entry Electricity'!D116*'Data Entry Electricity'!N116+'Data Entry Electricity'!E116*'Data Entry Electricity'!O116</f>
        <v>0</v>
      </c>
      <c r="F117" s="777">
        <f>(SUM('Fuel Equipment Savings Calculat'!$B114:$S114))+(SUM('Efficient Site Offices DD &amp; Cal'!$B150:$F150))+'PFC Calculations'!$G115+(SUM('Behaviour Calculations'!$E121,'Behaviour Calculations'!$J121,'Behaviour Calculations'!$O121))+(SUM('Reduced Power Lighting Calculat'!$B115:$F115)+SUM('Hybrid Lighting Calculations'!$B119:$F119)+('PIR Lighting Calculations'!$H115)+SUM('Water Calculations'!$B115:$G115)+'Additional Initiatives'!$H128)</f>
        <v>0</v>
      </c>
      <c r="G117" s="778">
        <f t="shared" si="69"/>
        <v>0</v>
      </c>
      <c r="H117" s="778">
        <f t="shared" si="45"/>
        <v>0</v>
      </c>
      <c r="I117" s="778">
        <f t="shared" si="70"/>
        <v>0</v>
      </c>
      <c r="J117" s="798">
        <f t="shared" si="74"/>
        <v>1668015.7406375667</v>
      </c>
      <c r="K117" s="779">
        <f t="shared" si="75"/>
        <v>2056931.9678366459</v>
      </c>
      <c r="L117" s="780">
        <f t="shared" si="71"/>
        <v>0</v>
      </c>
      <c r="M117" s="780">
        <f t="shared" si="72"/>
        <v>0.18907588256704344</v>
      </c>
      <c r="N117" s="781">
        <f t="shared" si="73"/>
        <v>0</v>
      </c>
      <c r="O117" s="781">
        <f t="shared" si="56"/>
        <v>388916.22719907941</v>
      </c>
      <c r="Q117" s="683">
        <f t="shared" si="76"/>
        <v>1546103.9322666666</v>
      </c>
      <c r="R117" s="683">
        <f t="shared" si="77"/>
        <v>121911.80837090002</v>
      </c>
      <c r="T117" s="673">
        <f t="shared" si="50"/>
        <v>0</v>
      </c>
      <c r="U117" s="674">
        <f>'Fuel Equipment Savings Calculat'!$V114</f>
        <v>0</v>
      </c>
      <c r="V117" s="674">
        <f>'Efficient Site Offices DD &amp; Cal'!$H150</f>
        <v>0</v>
      </c>
      <c r="W117" s="674">
        <f>'PFC Calculations'!$G115</f>
        <v>0</v>
      </c>
      <c r="X117" s="674">
        <f>'Behaviour Calculations'!$E121</f>
        <v>0</v>
      </c>
      <c r="Y117" s="674">
        <f>'Behaviour Calculations'!$J121</f>
        <v>0</v>
      </c>
      <c r="Z117" s="674">
        <f>'Behaviour Calculations'!$O121</f>
        <v>0</v>
      </c>
      <c r="AA117" s="674">
        <f>'Reduced Power Lighting Calculat'!$H115</f>
        <v>0</v>
      </c>
      <c r="AB117" s="674">
        <f>'Hybrid Lighting Calculations'!H119</f>
        <v>0</v>
      </c>
      <c r="AC117" s="674">
        <f>'PIR Lighting Calculations'!$H115</f>
        <v>0</v>
      </c>
      <c r="AD117" s="674">
        <f>'Water Calculations'!$I115</f>
        <v>0</v>
      </c>
      <c r="AE117" s="674">
        <f>'Additional Initiatives'!$H128</f>
        <v>0</v>
      </c>
      <c r="AF117" s="679">
        <f t="shared" si="51"/>
        <v>0</v>
      </c>
      <c r="AG117" s="679">
        <f>(C117-B117) - (0.13 * 'Data Entry Fuel'!I$3) * (U117+AB117)</f>
        <v>0</v>
      </c>
      <c r="AH117" s="5"/>
      <c r="AI117" s="19">
        <v>1809</v>
      </c>
      <c r="AJ117" s="19">
        <f t="shared" si="52"/>
        <v>2018</v>
      </c>
      <c r="AK117" s="19">
        <f t="shared" si="53"/>
        <v>12</v>
      </c>
      <c r="AL117" s="19">
        <v>113</v>
      </c>
      <c r="AM117" s="697">
        <f t="shared" si="78"/>
        <v>1546103.9322666666</v>
      </c>
      <c r="AN117" s="697">
        <f t="shared" si="57"/>
        <v>258650.4652223486</v>
      </c>
      <c r="AO117" s="697">
        <f t="shared" si="58"/>
        <v>54295.191999999995</v>
      </c>
      <c r="AP117" s="697">
        <f>IF(AP$4='Additional Initiatives'!$B$163,'Additional Initiatives'!$B276,IF(AP$4='Additional Initiatives'!$C$163,'Additional Initiatives'!$C276,IF(AP$4='Additional Initiatives'!$D$163,'Additional Initiatives'!$D276,IF(AP$4='Additional Initiatives'!$E$163,'Additional Initiatives'!$E276,IF(AP$4='Additional Initiatives'!$F$163,'Additional Initiatives'!$F276,0)))))+AP116</f>
        <v>0</v>
      </c>
      <c r="AQ117" s="697">
        <f>IF(AQ$4='Additional Initiatives'!$B$163,'Additional Initiatives'!$B276,IF(AQ$4='Additional Initiatives'!$C$163,'Additional Initiatives'!$C276,IF(AQ$4='Additional Initiatives'!$D$163,'Additional Initiatives'!$D276,IF(AQ$4='Additional Initiatives'!$E$163,'Additional Initiatives'!$E276,IF(AQ$4='Additional Initiatives'!$F$163,'Additional Initiatives'!$F276,0)))))+AQ116</f>
        <v>0</v>
      </c>
      <c r="AR117" s="697">
        <f>IF(AR$4='Additional Initiatives'!$B$163,'Additional Initiatives'!$B276,IF(AR$4='Additional Initiatives'!$C$163,'Additional Initiatives'!$C276,IF(AR$4='Additional Initiatives'!$D$163,'Additional Initiatives'!$D276,IF(AR$4='Additional Initiatives'!$E$163,'Additional Initiatives'!$E276,IF(AR$4='Additional Initiatives'!$F$163,'Additional Initiatives'!$F276,0)))))+AR116</f>
        <v>0</v>
      </c>
      <c r="AS117" s="697">
        <f t="shared" si="59"/>
        <v>0</v>
      </c>
      <c r="AT117" s="696">
        <f t="shared" si="79"/>
        <v>121911.80837090002</v>
      </c>
      <c r="AU117" s="696">
        <f t="shared" si="60"/>
        <v>25394.250457001559</v>
      </c>
      <c r="AV117" s="696">
        <f t="shared" si="61"/>
        <v>0</v>
      </c>
      <c r="AW117" s="696">
        <f t="shared" si="62"/>
        <v>0</v>
      </c>
      <c r="AX117" s="696">
        <f t="shared" si="63"/>
        <v>25828.950288959997</v>
      </c>
      <c r="AY117" s="696">
        <f t="shared" si="64"/>
        <v>10645.061538461536</v>
      </c>
      <c r="AZ117" s="696">
        <f t="shared" si="65"/>
        <v>7996.1538461538476</v>
      </c>
      <c r="BA117" s="696">
        <f t="shared" si="66"/>
        <v>6106.1538461538457</v>
      </c>
      <c r="BB117" s="696">
        <f t="shared" si="67"/>
        <v>0</v>
      </c>
      <c r="BC117" s="696">
        <f>IF(BC$4='Additional Initiatives'!$B$163,'Additional Initiatives'!$B276,IF(BC$4='Additional Initiatives'!$C$163,'Additional Initiatives'!$C276,IF(BC$4='Additional Initiatives'!$D$163,'Additional Initiatives'!$D276,IF(BC$4='Additional Initiatives'!$E$163,'Additional Initiatives'!$E276,IF(BC$4='Additional Initiatives'!$F$163,'Additional Initiatives'!$F276,0)))))+BC116</f>
        <v>0</v>
      </c>
      <c r="BD117" s="696">
        <f>IF(BD$4='Additional Initiatives'!$B$163,'Additional Initiatives'!$B276,IF(BD$4='Additional Initiatives'!$C$163,'Additional Initiatives'!$C276,IF(BD$4='Additional Initiatives'!$D$163,'Additional Initiatives'!$D276,IF(BD$4='Additional Initiatives'!$E$163,'Additional Initiatives'!$E276,IF(BD$4='Additional Initiatives'!$F$163,'Additional Initiatives'!$F276,0)))))+BD116</f>
        <v>0</v>
      </c>
      <c r="BE117" s="696">
        <f>IF(BE$4='Additional Initiatives'!$B$163,'Additional Initiatives'!$B276,IF(BE$4='Additional Initiatives'!$C$163,'Additional Initiatives'!$C276,IF(BE$4='Additional Initiatives'!$D$163,'Additional Initiatives'!$D276,IF(BE$4='Additional Initiatives'!$E$163,'Additional Initiatives'!$E276,IF(BE$4='Additional Initiatives'!$F$163,'Additional Initiatives'!$F276,0)))))+BE116</f>
        <v>0</v>
      </c>
      <c r="BF117" s="696">
        <f t="shared" si="68"/>
        <v>0</v>
      </c>
    </row>
    <row r="118" spans="1:58">
      <c r="A118" s="21" t="s">
        <v>996</v>
      </c>
      <c r="B118" s="672">
        <f>'Data Entry Fuel'!B117*'Data Entry Fuel'!B269
+'Data Entry Fuel'!C117*'Data Entry Fuel'!C269
+'Data Entry Fuel'!D117*'Data Entry Fuel'!D269
+'Data Entry Fuel'!E117*'Data Entry Fuel'!E269
+'Data Entry Fuel'!F117*'Data Entry Fuel'!F269
+'Data Entry Fuel'!G117*'Data Entry Fuel'!G269
+'Data Entry Fuel'!H117*'Data Entry Fuel'!H269
+'Data Entry Fuel'!I117*'Data Entry Fuel'!I269
+'Data Entry Fuel'!J117*'Data Entry Fuel'!J269</f>
        <v>0</v>
      </c>
      <c r="C118" s="672">
        <f>'Data Entry Fuel'!B117*'Data Entry Fuel'!B269
+'Data Entry Fuel'!C117*'Data Entry Fuel'!C269
+'Data Entry Fuel'!D117*'Data Entry Fuel'!D269
+'Data Entry Fuel'!E117*'Data Entry Fuel'!E269
+'Data Entry Fuel'!F117*'Data Entry Fuel'!F269
+'Data Entry Fuel'!G117*'Data Entry Fuel'!G269
+'Data Entry Fuel'!H117*'Data Entry Fuel'!H269
+'Data Entry Fuel'!I117*'Data Entry Fuel'!C269 *   (1 -  0.13 * 'Data Entry Fuel'!I$3)
+'Data Entry Fuel'!J117*'Data Entry Fuel'!J269</f>
        <v>0</v>
      </c>
      <c r="D118" s="677">
        <f>'Data Entry Electricity'!B117*'Data Entry Electricity'!L117+'Data Entry Electricity'!C117*'Data Entry Electricity'!M117+'Data Entry Electricity'!D117*'Data Entry Electricity'!N117+'Data Entry Electricity'!E117*'Data Entry Electricity'!O117</f>
        <v>0</v>
      </c>
      <c r="E118" s="776">
        <f>'Data Entry Electricity'!B117*'Data Entry Electricity'!L117+'Data Entry Electricity'!C117*'Data Entry Electricity'!L117+'Data Entry Electricity'!D117*'Data Entry Electricity'!N117+'Data Entry Electricity'!E117*'Data Entry Electricity'!O117</f>
        <v>0</v>
      </c>
      <c r="F118" s="777">
        <f>(SUM('Fuel Equipment Savings Calculat'!$B115:$S115))+(SUM('Efficient Site Offices DD &amp; Cal'!$B151:$F151))+'PFC Calculations'!$G116+(SUM('Behaviour Calculations'!$E122,'Behaviour Calculations'!$J122,'Behaviour Calculations'!$O122))+(SUM('Reduced Power Lighting Calculat'!$B116:$F116)+SUM('Hybrid Lighting Calculations'!$B120:$F120)+('PIR Lighting Calculations'!$H116)+SUM('Water Calculations'!$B116:$G116)+'Additional Initiatives'!$H129)</f>
        <v>0</v>
      </c>
      <c r="G118" s="778">
        <f t="shared" si="69"/>
        <v>0</v>
      </c>
      <c r="H118" s="778">
        <f t="shared" si="45"/>
        <v>0</v>
      </c>
      <c r="I118" s="778">
        <f t="shared" si="70"/>
        <v>0</v>
      </c>
      <c r="J118" s="798">
        <f t="shared" si="74"/>
        <v>1668015.7406375667</v>
      </c>
      <c r="K118" s="779">
        <f t="shared" si="75"/>
        <v>2056931.9678366459</v>
      </c>
      <c r="L118" s="780">
        <f t="shared" si="71"/>
        <v>0</v>
      </c>
      <c r="M118" s="780">
        <f t="shared" si="72"/>
        <v>0.18907588256704344</v>
      </c>
      <c r="N118" s="781">
        <f t="shared" si="73"/>
        <v>0</v>
      </c>
      <c r="O118" s="781">
        <f t="shared" si="56"/>
        <v>388916.22719907941</v>
      </c>
      <c r="Q118" s="683">
        <f t="shared" si="76"/>
        <v>1546103.9322666666</v>
      </c>
      <c r="R118" s="683">
        <f t="shared" si="77"/>
        <v>121911.80837090002</v>
      </c>
      <c r="T118" s="673">
        <f t="shared" si="50"/>
        <v>0</v>
      </c>
      <c r="U118" s="674">
        <f>'Fuel Equipment Savings Calculat'!$V115</f>
        <v>0</v>
      </c>
      <c r="V118" s="674">
        <f>'Efficient Site Offices DD &amp; Cal'!$H151</f>
        <v>0</v>
      </c>
      <c r="W118" s="674">
        <f>'PFC Calculations'!$G116</f>
        <v>0</v>
      </c>
      <c r="X118" s="674">
        <f>'Behaviour Calculations'!$E122</f>
        <v>0</v>
      </c>
      <c r="Y118" s="674">
        <f>'Behaviour Calculations'!$J122</f>
        <v>0</v>
      </c>
      <c r="Z118" s="674">
        <f>'Behaviour Calculations'!$O122</f>
        <v>0</v>
      </c>
      <c r="AA118" s="674">
        <f>'Reduced Power Lighting Calculat'!$H116</f>
        <v>0</v>
      </c>
      <c r="AB118" s="674">
        <f>'Hybrid Lighting Calculations'!H120</f>
        <v>0</v>
      </c>
      <c r="AC118" s="674">
        <f>'PIR Lighting Calculations'!$H116</f>
        <v>0</v>
      </c>
      <c r="AD118" s="674">
        <f>'Water Calculations'!$I116</f>
        <v>0</v>
      </c>
      <c r="AE118" s="674">
        <f>'Additional Initiatives'!$H129</f>
        <v>0</v>
      </c>
      <c r="AF118" s="679">
        <f t="shared" si="51"/>
        <v>0</v>
      </c>
      <c r="AG118" s="679">
        <f>(C118-B118) - (0.13 * 'Data Entry Fuel'!I$3) * (U118+AB118)</f>
        <v>0</v>
      </c>
      <c r="AH118" s="5"/>
      <c r="AI118" s="19">
        <v>1810</v>
      </c>
      <c r="AJ118" s="19">
        <f t="shared" si="52"/>
        <v>2018</v>
      </c>
      <c r="AK118" s="19">
        <f t="shared" si="53"/>
        <v>12</v>
      </c>
      <c r="AL118" s="19">
        <v>114</v>
      </c>
      <c r="AM118" s="697">
        <f t="shared" si="78"/>
        <v>1546103.9322666666</v>
      </c>
      <c r="AN118" s="697">
        <f t="shared" si="57"/>
        <v>258650.4652223486</v>
      </c>
      <c r="AO118" s="697">
        <f t="shared" si="58"/>
        <v>54295.191999999995</v>
      </c>
      <c r="AP118" s="697">
        <f>IF(AP$4='Additional Initiatives'!$B$163,'Additional Initiatives'!$B277,IF(AP$4='Additional Initiatives'!$C$163,'Additional Initiatives'!$C277,IF(AP$4='Additional Initiatives'!$D$163,'Additional Initiatives'!$D277,IF(AP$4='Additional Initiatives'!$E$163,'Additional Initiatives'!$E277,IF(AP$4='Additional Initiatives'!$F$163,'Additional Initiatives'!$F277,0)))))+AP117</f>
        <v>0</v>
      </c>
      <c r="AQ118" s="697">
        <f>IF(AQ$4='Additional Initiatives'!$B$163,'Additional Initiatives'!$B277,IF(AQ$4='Additional Initiatives'!$C$163,'Additional Initiatives'!$C277,IF(AQ$4='Additional Initiatives'!$D$163,'Additional Initiatives'!$D277,IF(AQ$4='Additional Initiatives'!$E$163,'Additional Initiatives'!$E277,IF(AQ$4='Additional Initiatives'!$F$163,'Additional Initiatives'!$F277,0)))))+AQ117</f>
        <v>0</v>
      </c>
      <c r="AR118" s="697">
        <f>IF(AR$4='Additional Initiatives'!$B$163,'Additional Initiatives'!$B277,IF(AR$4='Additional Initiatives'!$C$163,'Additional Initiatives'!$C277,IF(AR$4='Additional Initiatives'!$D$163,'Additional Initiatives'!$D277,IF(AR$4='Additional Initiatives'!$E$163,'Additional Initiatives'!$E277,IF(AR$4='Additional Initiatives'!$F$163,'Additional Initiatives'!$F277,0)))))+AR117</f>
        <v>0</v>
      </c>
      <c r="AS118" s="697">
        <f t="shared" si="59"/>
        <v>0</v>
      </c>
      <c r="AT118" s="696">
        <f t="shared" si="79"/>
        <v>121911.80837090002</v>
      </c>
      <c r="AU118" s="696">
        <f t="shared" si="60"/>
        <v>25394.250457001559</v>
      </c>
      <c r="AV118" s="696">
        <f t="shared" si="61"/>
        <v>0</v>
      </c>
      <c r="AW118" s="696">
        <f t="shared" si="62"/>
        <v>0</v>
      </c>
      <c r="AX118" s="696">
        <f t="shared" si="63"/>
        <v>25828.950288959997</v>
      </c>
      <c r="AY118" s="696">
        <f t="shared" si="64"/>
        <v>10645.061538461536</v>
      </c>
      <c r="AZ118" s="696">
        <f t="shared" si="65"/>
        <v>7996.1538461538476</v>
      </c>
      <c r="BA118" s="696">
        <f t="shared" si="66"/>
        <v>6106.1538461538457</v>
      </c>
      <c r="BB118" s="696">
        <f t="shared" si="67"/>
        <v>0</v>
      </c>
      <c r="BC118" s="696">
        <f>IF(BC$4='Additional Initiatives'!$B$163,'Additional Initiatives'!$B277,IF(BC$4='Additional Initiatives'!$C$163,'Additional Initiatives'!$C277,IF(BC$4='Additional Initiatives'!$D$163,'Additional Initiatives'!$D277,IF(BC$4='Additional Initiatives'!$E$163,'Additional Initiatives'!$E277,IF(BC$4='Additional Initiatives'!$F$163,'Additional Initiatives'!$F277,0)))))+BC117</f>
        <v>0</v>
      </c>
      <c r="BD118" s="696">
        <f>IF(BD$4='Additional Initiatives'!$B$163,'Additional Initiatives'!$B277,IF(BD$4='Additional Initiatives'!$C$163,'Additional Initiatives'!$C277,IF(BD$4='Additional Initiatives'!$D$163,'Additional Initiatives'!$D277,IF(BD$4='Additional Initiatives'!$E$163,'Additional Initiatives'!$E277,IF(BD$4='Additional Initiatives'!$F$163,'Additional Initiatives'!$F277,0)))))+BD117</f>
        <v>0</v>
      </c>
      <c r="BE118" s="696">
        <f>IF(BE$4='Additional Initiatives'!$B$163,'Additional Initiatives'!$B277,IF(BE$4='Additional Initiatives'!$C$163,'Additional Initiatives'!$C277,IF(BE$4='Additional Initiatives'!$D$163,'Additional Initiatives'!$D277,IF(BE$4='Additional Initiatives'!$E$163,'Additional Initiatives'!$E277,IF(BE$4='Additional Initiatives'!$F$163,'Additional Initiatives'!$F277,0)))))+BE117</f>
        <v>0</v>
      </c>
      <c r="BF118" s="696">
        <f t="shared" si="68"/>
        <v>0</v>
      </c>
    </row>
    <row r="119" spans="1:58">
      <c r="A119" s="21" t="s">
        <v>997</v>
      </c>
      <c r="B119" s="672">
        <f>'Data Entry Fuel'!B118*'Data Entry Fuel'!B270
+'Data Entry Fuel'!C118*'Data Entry Fuel'!C270
+'Data Entry Fuel'!D118*'Data Entry Fuel'!D270
+'Data Entry Fuel'!E118*'Data Entry Fuel'!E270
+'Data Entry Fuel'!F118*'Data Entry Fuel'!F270
+'Data Entry Fuel'!G118*'Data Entry Fuel'!G270
+'Data Entry Fuel'!H118*'Data Entry Fuel'!H270
+'Data Entry Fuel'!I118*'Data Entry Fuel'!I270
+'Data Entry Fuel'!J118*'Data Entry Fuel'!J270</f>
        <v>0</v>
      </c>
      <c r="C119" s="672">
        <f>'Data Entry Fuel'!B118*'Data Entry Fuel'!B270
+'Data Entry Fuel'!C118*'Data Entry Fuel'!C270
+'Data Entry Fuel'!D118*'Data Entry Fuel'!D270
+'Data Entry Fuel'!E118*'Data Entry Fuel'!E270
+'Data Entry Fuel'!F118*'Data Entry Fuel'!F270
+'Data Entry Fuel'!G118*'Data Entry Fuel'!G270
+'Data Entry Fuel'!H118*'Data Entry Fuel'!H270
+'Data Entry Fuel'!I118*'Data Entry Fuel'!C270 *   (1 -  0.13 * 'Data Entry Fuel'!I$3)
+'Data Entry Fuel'!J118*'Data Entry Fuel'!J270</f>
        <v>0</v>
      </c>
      <c r="D119" s="677">
        <f>'Data Entry Electricity'!B118*'Data Entry Electricity'!L118+'Data Entry Electricity'!C118*'Data Entry Electricity'!M118+'Data Entry Electricity'!D118*'Data Entry Electricity'!N118+'Data Entry Electricity'!E118*'Data Entry Electricity'!O118</f>
        <v>0</v>
      </c>
      <c r="E119" s="776">
        <f>'Data Entry Electricity'!B118*'Data Entry Electricity'!L118+'Data Entry Electricity'!C118*'Data Entry Electricity'!L118+'Data Entry Electricity'!D118*'Data Entry Electricity'!N118+'Data Entry Electricity'!E118*'Data Entry Electricity'!O118</f>
        <v>0</v>
      </c>
      <c r="F119" s="777">
        <f>(SUM('Fuel Equipment Savings Calculat'!$B116:$S116))+(SUM('Efficient Site Offices DD &amp; Cal'!$B152:$F152))+'PFC Calculations'!$G117+(SUM('Behaviour Calculations'!$E123,'Behaviour Calculations'!$J123,'Behaviour Calculations'!$O123))+(SUM('Reduced Power Lighting Calculat'!$B117:$F117)+SUM('Hybrid Lighting Calculations'!$B121:$F121)+('PIR Lighting Calculations'!$H117)+SUM('Water Calculations'!$B117:$G117)+'Additional Initiatives'!$H130)</f>
        <v>0</v>
      </c>
      <c r="G119" s="778">
        <f t="shared" si="69"/>
        <v>0</v>
      </c>
      <c r="H119" s="778">
        <f t="shared" si="45"/>
        <v>0</v>
      </c>
      <c r="I119" s="778">
        <f t="shared" si="70"/>
        <v>0</v>
      </c>
      <c r="J119" s="798">
        <f t="shared" si="74"/>
        <v>1668015.7406375667</v>
      </c>
      <c r="K119" s="779">
        <f t="shared" si="75"/>
        <v>2056931.9678366459</v>
      </c>
      <c r="L119" s="780">
        <f t="shared" si="71"/>
        <v>0</v>
      </c>
      <c r="M119" s="780">
        <f t="shared" si="72"/>
        <v>0.18907588256704344</v>
      </c>
      <c r="N119" s="781">
        <f t="shared" si="73"/>
        <v>0</v>
      </c>
      <c r="O119" s="781">
        <f t="shared" si="56"/>
        <v>388916.22719907941</v>
      </c>
      <c r="Q119" s="683">
        <f t="shared" si="76"/>
        <v>1546103.9322666666</v>
      </c>
      <c r="R119" s="683">
        <f t="shared" si="77"/>
        <v>121911.80837090002</v>
      </c>
      <c r="T119" s="673">
        <f t="shared" si="50"/>
        <v>0</v>
      </c>
      <c r="U119" s="674">
        <f>'Fuel Equipment Savings Calculat'!$V116</f>
        <v>0</v>
      </c>
      <c r="V119" s="674">
        <f>'Efficient Site Offices DD &amp; Cal'!$H152</f>
        <v>0</v>
      </c>
      <c r="W119" s="674">
        <f>'PFC Calculations'!$G117</f>
        <v>0</v>
      </c>
      <c r="X119" s="674">
        <f>'Behaviour Calculations'!$E123</f>
        <v>0</v>
      </c>
      <c r="Y119" s="674">
        <f>'Behaviour Calculations'!$J123</f>
        <v>0</v>
      </c>
      <c r="Z119" s="674">
        <f>'Behaviour Calculations'!$O123</f>
        <v>0</v>
      </c>
      <c r="AA119" s="674">
        <f>'Reduced Power Lighting Calculat'!$H117</f>
        <v>0</v>
      </c>
      <c r="AB119" s="674">
        <f>'Hybrid Lighting Calculations'!H121</f>
        <v>0</v>
      </c>
      <c r="AC119" s="674">
        <f>'PIR Lighting Calculations'!$H117</f>
        <v>0</v>
      </c>
      <c r="AD119" s="674">
        <f>'Water Calculations'!$I117</f>
        <v>0</v>
      </c>
      <c r="AE119" s="674">
        <f>'Additional Initiatives'!$H130</f>
        <v>0</v>
      </c>
      <c r="AF119" s="679">
        <f t="shared" si="51"/>
        <v>0</v>
      </c>
      <c r="AG119" s="679">
        <f>(C119-B119) - (0.13 * 'Data Entry Fuel'!I$3) * (U119+AB119)</f>
        <v>0</v>
      </c>
      <c r="AH119" s="5"/>
      <c r="AI119" s="19">
        <v>1811</v>
      </c>
      <c r="AJ119" s="19">
        <f t="shared" si="52"/>
        <v>2018</v>
      </c>
      <c r="AK119" s="19">
        <f t="shared" si="53"/>
        <v>12</v>
      </c>
      <c r="AL119" s="19">
        <v>115</v>
      </c>
      <c r="AM119" s="697">
        <f t="shared" si="78"/>
        <v>1546103.9322666666</v>
      </c>
      <c r="AN119" s="697">
        <f t="shared" si="57"/>
        <v>258650.4652223486</v>
      </c>
      <c r="AO119" s="697">
        <f t="shared" si="58"/>
        <v>54295.191999999995</v>
      </c>
      <c r="AP119" s="697">
        <f>IF(AP$4='Additional Initiatives'!$B$163,'Additional Initiatives'!$B278,IF(AP$4='Additional Initiatives'!$C$163,'Additional Initiatives'!$C278,IF(AP$4='Additional Initiatives'!$D$163,'Additional Initiatives'!$D278,IF(AP$4='Additional Initiatives'!$E$163,'Additional Initiatives'!$E278,IF(AP$4='Additional Initiatives'!$F$163,'Additional Initiatives'!$F278,0)))))+AP118</f>
        <v>0</v>
      </c>
      <c r="AQ119" s="697">
        <f>IF(AQ$4='Additional Initiatives'!$B$163,'Additional Initiatives'!$B278,IF(AQ$4='Additional Initiatives'!$C$163,'Additional Initiatives'!$C278,IF(AQ$4='Additional Initiatives'!$D$163,'Additional Initiatives'!$D278,IF(AQ$4='Additional Initiatives'!$E$163,'Additional Initiatives'!$E278,IF(AQ$4='Additional Initiatives'!$F$163,'Additional Initiatives'!$F278,0)))))+AQ118</f>
        <v>0</v>
      </c>
      <c r="AR119" s="697">
        <f>IF(AR$4='Additional Initiatives'!$B$163,'Additional Initiatives'!$B278,IF(AR$4='Additional Initiatives'!$C$163,'Additional Initiatives'!$C278,IF(AR$4='Additional Initiatives'!$D$163,'Additional Initiatives'!$D278,IF(AR$4='Additional Initiatives'!$E$163,'Additional Initiatives'!$E278,IF(AR$4='Additional Initiatives'!$F$163,'Additional Initiatives'!$F278,0)))))+AR118</f>
        <v>0</v>
      </c>
      <c r="AS119" s="697">
        <f t="shared" si="59"/>
        <v>0</v>
      </c>
      <c r="AT119" s="696">
        <f t="shared" si="79"/>
        <v>121911.80837090002</v>
      </c>
      <c r="AU119" s="696">
        <f t="shared" si="60"/>
        <v>25394.250457001559</v>
      </c>
      <c r="AV119" s="696">
        <f t="shared" si="61"/>
        <v>0</v>
      </c>
      <c r="AW119" s="696">
        <f t="shared" si="62"/>
        <v>0</v>
      </c>
      <c r="AX119" s="696">
        <f t="shared" si="63"/>
        <v>25828.950288959997</v>
      </c>
      <c r="AY119" s="696">
        <f t="shared" si="64"/>
        <v>10645.061538461536</v>
      </c>
      <c r="AZ119" s="696">
        <f t="shared" si="65"/>
        <v>7996.1538461538476</v>
      </c>
      <c r="BA119" s="696">
        <f t="shared" si="66"/>
        <v>6106.1538461538457</v>
      </c>
      <c r="BB119" s="696">
        <f t="shared" si="67"/>
        <v>0</v>
      </c>
      <c r="BC119" s="696">
        <f>IF(BC$4='Additional Initiatives'!$B$163,'Additional Initiatives'!$B278,IF(BC$4='Additional Initiatives'!$C$163,'Additional Initiatives'!$C278,IF(BC$4='Additional Initiatives'!$D$163,'Additional Initiatives'!$D278,IF(BC$4='Additional Initiatives'!$E$163,'Additional Initiatives'!$E278,IF(BC$4='Additional Initiatives'!$F$163,'Additional Initiatives'!$F278,0)))))+BC118</f>
        <v>0</v>
      </c>
      <c r="BD119" s="696">
        <f>IF(BD$4='Additional Initiatives'!$B$163,'Additional Initiatives'!$B278,IF(BD$4='Additional Initiatives'!$C$163,'Additional Initiatives'!$C278,IF(BD$4='Additional Initiatives'!$D$163,'Additional Initiatives'!$D278,IF(BD$4='Additional Initiatives'!$E$163,'Additional Initiatives'!$E278,IF(BD$4='Additional Initiatives'!$F$163,'Additional Initiatives'!$F278,0)))))+BD118</f>
        <v>0</v>
      </c>
      <c r="BE119" s="696">
        <f>IF(BE$4='Additional Initiatives'!$B$163,'Additional Initiatives'!$B278,IF(BE$4='Additional Initiatives'!$C$163,'Additional Initiatives'!$C278,IF(BE$4='Additional Initiatives'!$D$163,'Additional Initiatives'!$D278,IF(BE$4='Additional Initiatives'!$E$163,'Additional Initiatives'!$E278,IF(BE$4='Additional Initiatives'!$F$163,'Additional Initiatives'!$F278,0)))))+BE118</f>
        <v>0</v>
      </c>
      <c r="BF119" s="696">
        <f t="shared" si="68"/>
        <v>0</v>
      </c>
    </row>
    <row r="120" spans="1:58">
      <c r="A120" s="21" t="s">
        <v>998</v>
      </c>
      <c r="B120" s="672">
        <f>'Data Entry Fuel'!B119*'Data Entry Fuel'!B271
+'Data Entry Fuel'!C119*'Data Entry Fuel'!C271
+'Data Entry Fuel'!D119*'Data Entry Fuel'!D271
+'Data Entry Fuel'!E119*'Data Entry Fuel'!E271
+'Data Entry Fuel'!F119*'Data Entry Fuel'!F271
+'Data Entry Fuel'!G119*'Data Entry Fuel'!G271
+'Data Entry Fuel'!H119*'Data Entry Fuel'!H271
+'Data Entry Fuel'!I119*'Data Entry Fuel'!I271
+'Data Entry Fuel'!J119*'Data Entry Fuel'!J271</f>
        <v>0</v>
      </c>
      <c r="C120" s="672">
        <f>'Data Entry Fuel'!B119*'Data Entry Fuel'!B271
+'Data Entry Fuel'!C119*'Data Entry Fuel'!C271
+'Data Entry Fuel'!D119*'Data Entry Fuel'!D271
+'Data Entry Fuel'!E119*'Data Entry Fuel'!E271
+'Data Entry Fuel'!F119*'Data Entry Fuel'!F271
+'Data Entry Fuel'!G119*'Data Entry Fuel'!G271
+'Data Entry Fuel'!H119*'Data Entry Fuel'!H271
+'Data Entry Fuel'!I119*'Data Entry Fuel'!C271 *   (1 -  0.13 * 'Data Entry Fuel'!I$3)
+'Data Entry Fuel'!J119*'Data Entry Fuel'!J271</f>
        <v>0</v>
      </c>
      <c r="D120" s="677">
        <f>'Data Entry Electricity'!B119*'Data Entry Electricity'!L119+'Data Entry Electricity'!C119*'Data Entry Electricity'!M119+'Data Entry Electricity'!D119*'Data Entry Electricity'!N119+'Data Entry Electricity'!E119*'Data Entry Electricity'!O119</f>
        <v>0</v>
      </c>
      <c r="E120" s="776">
        <f>'Data Entry Electricity'!B119*'Data Entry Electricity'!L119+'Data Entry Electricity'!C119*'Data Entry Electricity'!L119+'Data Entry Electricity'!D119*'Data Entry Electricity'!N119+'Data Entry Electricity'!E119*'Data Entry Electricity'!O119</f>
        <v>0</v>
      </c>
      <c r="F120" s="777">
        <f>(SUM('Fuel Equipment Savings Calculat'!$B117:$S117))+(SUM('Efficient Site Offices DD &amp; Cal'!$B153:$F153))+'PFC Calculations'!$G118+(SUM('Behaviour Calculations'!$E124,'Behaviour Calculations'!$J124,'Behaviour Calculations'!$O124))+(SUM('Reduced Power Lighting Calculat'!$B118:$F118)+SUM('Hybrid Lighting Calculations'!$B122:$F122)+('PIR Lighting Calculations'!$H118)+SUM('Water Calculations'!$B118:$G118)+'Additional Initiatives'!$H131)</f>
        <v>0</v>
      </c>
      <c r="G120" s="778">
        <f t="shared" si="69"/>
        <v>0</v>
      </c>
      <c r="H120" s="778">
        <f t="shared" si="45"/>
        <v>0</v>
      </c>
      <c r="I120" s="778">
        <f t="shared" si="70"/>
        <v>0</v>
      </c>
      <c r="J120" s="798">
        <f t="shared" si="74"/>
        <v>1668015.7406375667</v>
      </c>
      <c r="K120" s="779">
        <f t="shared" si="75"/>
        <v>2056931.9678366459</v>
      </c>
      <c r="L120" s="780">
        <f t="shared" si="71"/>
        <v>0</v>
      </c>
      <c r="M120" s="780">
        <f t="shared" si="72"/>
        <v>0.18907588256704344</v>
      </c>
      <c r="N120" s="781">
        <f t="shared" si="73"/>
        <v>0</v>
      </c>
      <c r="O120" s="781">
        <f t="shared" si="56"/>
        <v>388916.22719907941</v>
      </c>
      <c r="Q120" s="683">
        <f t="shared" si="76"/>
        <v>1546103.9322666666</v>
      </c>
      <c r="R120" s="683">
        <f t="shared" si="77"/>
        <v>121911.80837090002</v>
      </c>
      <c r="T120" s="673">
        <f t="shared" si="50"/>
        <v>0</v>
      </c>
      <c r="U120" s="674">
        <f>'Fuel Equipment Savings Calculat'!$V117</f>
        <v>0</v>
      </c>
      <c r="V120" s="674">
        <f>'Efficient Site Offices DD &amp; Cal'!$H153</f>
        <v>0</v>
      </c>
      <c r="W120" s="674">
        <f>'PFC Calculations'!$G118</f>
        <v>0</v>
      </c>
      <c r="X120" s="674">
        <f>'Behaviour Calculations'!$E124</f>
        <v>0</v>
      </c>
      <c r="Y120" s="674">
        <f>'Behaviour Calculations'!$J124</f>
        <v>0</v>
      </c>
      <c r="Z120" s="674">
        <f>'Behaviour Calculations'!$O124</f>
        <v>0</v>
      </c>
      <c r="AA120" s="674">
        <f>'Reduced Power Lighting Calculat'!$H118</f>
        <v>0</v>
      </c>
      <c r="AB120" s="674">
        <f>'Hybrid Lighting Calculations'!H122</f>
        <v>0</v>
      </c>
      <c r="AC120" s="674">
        <f>'PIR Lighting Calculations'!$H118</f>
        <v>0</v>
      </c>
      <c r="AD120" s="674">
        <f>'Water Calculations'!$I118</f>
        <v>0</v>
      </c>
      <c r="AE120" s="674">
        <f>'Additional Initiatives'!$H131</f>
        <v>0</v>
      </c>
      <c r="AF120" s="679">
        <f t="shared" si="51"/>
        <v>0</v>
      </c>
      <c r="AG120" s="679">
        <f>(C120-B120) - (0.13 * 'Data Entry Fuel'!I$3) * (U120+AB120)</f>
        <v>0</v>
      </c>
      <c r="AH120" s="5"/>
      <c r="AI120" s="19">
        <v>1812</v>
      </c>
      <c r="AJ120" s="19">
        <f t="shared" si="52"/>
        <v>2018</v>
      </c>
      <c r="AK120" s="19">
        <f t="shared" si="53"/>
        <v>12</v>
      </c>
      <c r="AL120" s="19">
        <v>116</v>
      </c>
      <c r="AM120" s="697">
        <f t="shared" si="78"/>
        <v>1546103.9322666666</v>
      </c>
      <c r="AN120" s="697">
        <f t="shared" si="57"/>
        <v>258650.4652223486</v>
      </c>
      <c r="AO120" s="697">
        <f t="shared" si="58"/>
        <v>54295.191999999995</v>
      </c>
      <c r="AP120" s="697">
        <f>IF(AP$4='Additional Initiatives'!$B$163,'Additional Initiatives'!$B279,IF(AP$4='Additional Initiatives'!$C$163,'Additional Initiatives'!$C279,IF(AP$4='Additional Initiatives'!$D$163,'Additional Initiatives'!$D279,IF(AP$4='Additional Initiatives'!$E$163,'Additional Initiatives'!$E279,IF(AP$4='Additional Initiatives'!$F$163,'Additional Initiatives'!$F279,0)))))+AP119</f>
        <v>0</v>
      </c>
      <c r="AQ120" s="697">
        <f>IF(AQ$4='Additional Initiatives'!$B$163,'Additional Initiatives'!$B279,IF(AQ$4='Additional Initiatives'!$C$163,'Additional Initiatives'!$C279,IF(AQ$4='Additional Initiatives'!$D$163,'Additional Initiatives'!$D279,IF(AQ$4='Additional Initiatives'!$E$163,'Additional Initiatives'!$E279,IF(AQ$4='Additional Initiatives'!$F$163,'Additional Initiatives'!$F279,0)))))+AQ119</f>
        <v>0</v>
      </c>
      <c r="AR120" s="697">
        <f>IF(AR$4='Additional Initiatives'!$B$163,'Additional Initiatives'!$B279,IF(AR$4='Additional Initiatives'!$C$163,'Additional Initiatives'!$C279,IF(AR$4='Additional Initiatives'!$D$163,'Additional Initiatives'!$D279,IF(AR$4='Additional Initiatives'!$E$163,'Additional Initiatives'!$E279,IF(AR$4='Additional Initiatives'!$F$163,'Additional Initiatives'!$F279,0)))))+AR119</f>
        <v>0</v>
      </c>
      <c r="AS120" s="697">
        <f t="shared" si="59"/>
        <v>0</v>
      </c>
      <c r="AT120" s="696">
        <f t="shared" si="79"/>
        <v>121911.80837090002</v>
      </c>
      <c r="AU120" s="696">
        <f t="shared" si="60"/>
        <v>25394.250457001559</v>
      </c>
      <c r="AV120" s="696">
        <f t="shared" si="61"/>
        <v>0</v>
      </c>
      <c r="AW120" s="696">
        <f t="shared" si="62"/>
        <v>0</v>
      </c>
      <c r="AX120" s="696">
        <f t="shared" si="63"/>
        <v>25828.950288959997</v>
      </c>
      <c r="AY120" s="696">
        <f t="shared" si="64"/>
        <v>10645.061538461536</v>
      </c>
      <c r="AZ120" s="696">
        <f t="shared" si="65"/>
        <v>7996.1538461538476</v>
      </c>
      <c r="BA120" s="696">
        <f t="shared" si="66"/>
        <v>6106.1538461538457</v>
      </c>
      <c r="BB120" s="696">
        <f t="shared" si="67"/>
        <v>0</v>
      </c>
      <c r="BC120" s="696">
        <f>IF(BC$4='Additional Initiatives'!$B$163,'Additional Initiatives'!$B279,IF(BC$4='Additional Initiatives'!$C$163,'Additional Initiatives'!$C279,IF(BC$4='Additional Initiatives'!$D$163,'Additional Initiatives'!$D279,IF(BC$4='Additional Initiatives'!$E$163,'Additional Initiatives'!$E279,IF(BC$4='Additional Initiatives'!$F$163,'Additional Initiatives'!$F279,0)))))+BC119</f>
        <v>0</v>
      </c>
      <c r="BD120" s="696">
        <f>IF(BD$4='Additional Initiatives'!$B$163,'Additional Initiatives'!$B279,IF(BD$4='Additional Initiatives'!$C$163,'Additional Initiatives'!$C279,IF(BD$4='Additional Initiatives'!$D$163,'Additional Initiatives'!$D279,IF(BD$4='Additional Initiatives'!$E$163,'Additional Initiatives'!$E279,IF(BD$4='Additional Initiatives'!$F$163,'Additional Initiatives'!$F279,0)))))+BD119</f>
        <v>0</v>
      </c>
      <c r="BE120" s="696">
        <f>IF(BE$4='Additional Initiatives'!$B$163,'Additional Initiatives'!$B279,IF(BE$4='Additional Initiatives'!$C$163,'Additional Initiatives'!$C279,IF(BE$4='Additional Initiatives'!$D$163,'Additional Initiatives'!$D279,IF(BE$4='Additional Initiatives'!$E$163,'Additional Initiatives'!$E279,IF(BE$4='Additional Initiatives'!$F$163,'Additional Initiatives'!$F279,0)))))+BE119</f>
        <v>0</v>
      </c>
      <c r="BF120" s="696">
        <f t="shared" si="68"/>
        <v>0</v>
      </c>
    </row>
    <row r="121" spans="1:58">
      <c r="A121" s="21" t="s">
        <v>999</v>
      </c>
      <c r="B121" s="672">
        <f>'Data Entry Fuel'!B120*'Data Entry Fuel'!B272
+'Data Entry Fuel'!C120*'Data Entry Fuel'!C272
+'Data Entry Fuel'!D120*'Data Entry Fuel'!D272
+'Data Entry Fuel'!E120*'Data Entry Fuel'!E272
+'Data Entry Fuel'!F120*'Data Entry Fuel'!F272
+'Data Entry Fuel'!G120*'Data Entry Fuel'!G272
+'Data Entry Fuel'!H120*'Data Entry Fuel'!H272
+'Data Entry Fuel'!I120*'Data Entry Fuel'!I272
+'Data Entry Fuel'!J120*'Data Entry Fuel'!J272</f>
        <v>0</v>
      </c>
      <c r="C121" s="672">
        <f>'Data Entry Fuel'!B120*'Data Entry Fuel'!B272
+'Data Entry Fuel'!C120*'Data Entry Fuel'!C272
+'Data Entry Fuel'!D120*'Data Entry Fuel'!D272
+'Data Entry Fuel'!E120*'Data Entry Fuel'!E272
+'Data Entry Fuel'!F120*'Data Entry Fuel'!F272
+'Data Entry Fuel'!G120*'Data Entry Fuel'!G272
+'Data Entry Fuel'!H120*'Data Entry Fuel'!H272
+'Data Entry Fuel'!I120*'Data Entry Fuel'!C272 *   (1 -  0.13 * 'Data Entry Fuel'!I$3)
+'Data Entry Fuel'!J120*'Data Entry Fuel'!J272</f>
        <v>0</v>
      </c>
      <c r="D121" s="677">
        <f>'Data Entry Electricity'!B120*'Data Entry Electricity'!L120+'Data Entry Electricity'!C120*'Data Entry Electricity'!M120+'Data Entry Electricity'!D120*'Data Entry Electricity'!N120+'Data Entry Electricity'!E120*'Data Entry Electricity'!O120</f>
        <v>0</v>
      </c>
      <c r="E121" s="776">
        <f>'Data Entry Electricity'!B120*'Data Entry Electricity'!L120+'Data Entry Electricity'!C120*'Data Entry Electricity'!L120+'Data Entry Electricity'!D120*'Data Entry Electricity'!N120+'Data Entry Electricity'!E120*'Data Entry Electricity'!O120</f>
        <v>0</v>
      </c>
      <c r="F121" s="777">
        <f>(SUM('Fuel Equipment Savings Calculat'!$B118:$S118))+(SUM('Efficient Site Offices DD &amp; Cal'!$B154:$F154))+'PFC Calculations'!$G119+(SUM('Behaviour Calculations'!$E125,'Behaviour Calculations'!$J125,'Behaviour Calculations'!$O125))+(SUM('Reduced Power Lighting Calculat'!$B119:$F119)+SUM('Hybrid Lighting Calculations'!$B123:$F123)+('PIR Lighting Calculations'!$H119)+SUM('Water Calculations'!$B119:$G119)+'Additional Initiatives'!$H132)</f>
        <v>0</v>
      </c>
      <c r="G121" s="778">
        <f t="shared" si="69"/>
        <v>0</v>
      </c>
      <c r="H121" s="778">
        <f t="shared" si="45"/>
        <v>0</v>
      </c>
      <c r="I121" s="778">
        <f t="shared" si="70"/>
        <v>0</v>
      </c>
      <c r="J121" s="798">
        <f t="shared" si="74"/>
        <v>1668015.7406375667</v>
      </c>
      <c r="K121" s="779">
        <f t="shared" si="75"/>
        <v>2056931.9678366459</v>
      </c>
      <c r="L121" s="780">
        <f t="shared" si="71"/>
        <v>0</v>
      </c>
      <c r="M121" s="780">
        <f t="shared" si="72"/>
        <v>0.18907588256704344</v>
      </c>
      <c r="N121" s="781">
        <f t="shared" si="73"/>
        <v>0</v>
      </c>
      <c r="O121" s="781">
        <f t="shared" si="56"/>
        <v>388916.22719907941</v>
      </c>
      <c r="Q121" s="683">
        <f t="shared" si="76"/>
        <v>1546103.9322666666</v>
      </c>
      <c r="R121" s="683">
        <f t="shared" si="77"/>
        <v>121911.80837090002</v>
      </c>
      <c r="T121" s="673">
        <f t="shared" si="50"/>
        <v>0</v>
      </c>
      <c r="U121" s="674">
        <f>'Fuel Equipment Savings Calculat'!$V118</f>
        <v>0</v>
      </c>
      <c r="V121" s="674">
        <f>'Efficient Site Offices DD &amp; Cal'!$H154</f>
        <v>0</v>
      </c>
      <c r="W121" s="674">
        <f>'PFC Calculations'!$G119</f>
        <v>0</v>
      </c>
      <c r="X121" s="674"/>
      <c r="Y121" s="674"/>
      <c r="Z121" s="674">
        <f>SUM('Behaviour Calculations'!$E125,'Behaviour Calculations'!$J125,'Behaviour Calculations'!$O125)</f>
        <v>0</v>
      </c>
      <c r="AA121" s="674">
        <f>'Reduced Power Lighting Calculat'!$H119</f>
        <v>0</v>
      </c>
      <c r="AB121" s="674">
        <f>'Hybrid Lighting Calculations'!H123</f>
        <v>0</v>
      </c>
      <c r="AC121" s="674">
        <f>'PIR Lighting Calculations'!$H119</f>
        <v>0</v>
      </c>
      <c r="AD121" s="674">
        <f>'Water Calculations'!$I119</f>
        <v>0</v>
      </c>
      <c r="AE121" s="674">
        <f>'Additional Initiatives'!$H132</f>
        <v>0</v>
      </c>
      <c r="AF121" s="679">
        <f t="shared" si="51"/>
        <v>0</v>
      </c>
      <c r="AG121" s="679">
        <f>(C121-B121) - (0.13 * 'Data Entry Fuel'!I$3) * (U121+AB121)</f>
        <v>0</v>
      </c>
      <c r="AH121" s="5"/>
      <c r="AI121" s="19">
        <v>1813</v>
      </c>
      <c r="AJ121" s="19">
        <f t="shared" si="52"/>
        <v>2018</v>
      </c>
      <c r="AK121" s="19">
        <f t="shared" si="53"/>
        <v>12</v>
      </c>
      <c r="AL121" s="19">
        <v>117</v>
      </c>
      <c r="AM121" s="697">
        <f t="shared" si="78"/>
        <v>1546103.9322666666</v>
      </c>
      <c r="AN121" s="697">
        <f t="shared" si="57"/>
        <v>258650.4652223486</v>
      </c>
      <c r="AO121" s="697">
        <f t="shared" si="58"/>
        <v>54295.191999999995</v>
      </c>
      <c r="AP121" s="697">
        <f>IF(AP$4='Additional Initiatives'!$B$163,'Additional Initiatives'!$B280,IF(AP$4='Additional Initiatives'!$C$163,'Additional Initiatives'!$C280,IF(AP$4='Additional Initiatives'!$D$163,'Additional Initiatives'!$D280,IF(AP$4='Additional Initiatives'!$E$163,'Additional Initiatives'!$E280,IF(AP$4='Additional Initiatives'!$F$163,'Additional Initiatives'!$F280,0)))))+AP120</f>
        <v>0</v>
      </c>
      <c r="AQ121" s="697">
        <f>IF(AQ$4='Additional Initiatives'!$B$163,'Additional Initiatives'!$B280,IF(AQ$4='Additional Initiatives'!$C$163,'Additional Initiatives'!$C280,IF(AQ$4='Additional Initiatives'!$D$163,'Additional Initiatives'!$D280,IF(AQ$4='Additional Initiatives'!$E$163,'Additional Initiatives'!$E280,IF(AQ$4='Additional Initiatives'!$F$163,'Additional Initiatives'!$F280,0)))))+AQ120</f>
        <v>0</v>
      </c>
      <c r="AR121" s="697">
        <f>IF(AR$4='Additional Initiatives'!$B$163,'Additional Initiatives'!$B280,IF(AR$4='Additional Initiatives'!$C$163,'Additional Initiatives'!$C280,IF(AR$4='Additional Initiatives'!$D$163,'Additional Initiatives'!$D280,IF(AR$4='Additional Initiatives'!$E$163,'Additional Initiatives'!$E280,IF(AR$4='Additional Initiatives'!$F$163,'Additional Initiatives'!$F280,0)))))+AR120</f>
        <v>0</v>
      </c>
      <c r="AS121" s="697">
        <f t="shared" si="59"/>
        <v>0</v>
      </c>
      <c r="AT121" s="696">
        <f t="shared" si="79"/>
        <v>121911.80837090002</v>
      </c>
      <c r="AU121" s="696">
        <f t="shared" si="60"/>
        <v>25394.250457001559</v>
      </c>
      <c r="AV121" s="696">
        <f t="shared" si="61"/>
        <v>0</v>
      </c>
      <c r="AW121" s="696">
        <f t="shared" si="62"/>
        <v>0</v>
      </c>
      <c r="AX121" s="696">
        <f t="shared" si="63"/>
        <v>25828.950288959997</v>
      </c>
      <c r="AY121" s="696">
        <f t="shared" si="64"/>
        <v>10645.061538461536</v>
      </c>
      <c r="AZ121" s="696">
        <f t="shared" si="65"/>
        <v>7996.1538461538476</v>
      </c>
      <c r="BA121" s="696">
        <f t="shared" si="66"/>
        <v>6106.1538461538457</v>
      </c>
      <c r="BB121" s="696">
        <f t="shared" si="67"/>
        <v>0</v>
      </c>
      <c r="BC121" s="696">
        <f>IF(BC$4='Additional Initiatives'!$B$163,'Additional Initiatives'!$B280,IF(BC$4='Additional Initiatives'!$C$163,'Additional Initiatives'!$C280,IF(BC$4='Additional Initiatives'!$D$163,'Additional Initiatives'!$D280,IF(BC$4='Additional Initiatives'!$E$163,'Additional Initiatives'!$E280,IF(BC$4='Additional Initiatives'!$F$163,'Additional Initiatives'!$F280,0)))))+BC120</f>
        <v>0</v>
      </c>
      <c r="BD121" s="696">
        <f>IF(BD$4='Additional Initiatives'!$B$163,'Additional Initiatives'!$B280,IF(BD$4='Additional Initiatives'!$C$163,'Additional Initiatives'!$C280,IF(BD$4='Additional Initiatives'!$D$163,'Additional Initiatives'!$D280,IF(BD$4='Additional Initiatives'!$E$163,'Additional Initiatives'!$E280,IF(BD$4='Additional Initiatives'!$F$163,'Additional Initiatives'!$F280,0)))))+BD120</f>
        <v>0</v>
      </c>
      <c r="BE121" s="696">
        <f>IF(BE$4='Additional Initiatives'!$B$163,'Additional Initiatives'!$B280,IF(BE$4='Additional Initiatives'!$C$163,'Additional Initiatives'!$C280,IF(BE$4='Additional Initiatives'!$D$163,'Additional Initiatives'!$D280,IF(BE$4='Additional Initiatives'!$E$163,'Additional Initiatives'!$E280,IF(BE$4='Additional Initiatives'!$F$163,'Additional Initiatives'!$F280,0)))))+BE120</f>
        <v>0</v>
      </c>
      <c r="BF121" s="696">
        <f t="shared" si="68"/>
        <v>0</v>
      </c>
    </row>
    <row r="122" spans="1:58" s="695" customFormat="1">
      <c r="B122" s="692"/>
      <c r="C122" s="821"/>
      <c r="D122" s="794"/>
      <c r="E122" s="782"/>
      <c r="F122" s="783"/>
      <c r="G122" s="783"/>
      <c r="H122" s="783"/>
      <c r="I122" s="783"/>
      <c r="J122" s="691"/>
      <c r="K122" s="784"/>
      <c r="L122" s="785"/>
      <c r="M122" s="785"/>
      <c r="N122" s="783"/>
      <c r="O122" s="783"/>
      <c r="AF122" s="691"/>
      <c r="AG122" s="818"/>
      <c r="AS122" s="11"/>
    </row>
    <row r="123" spans="1:58" s="16" customFormat="1" ht="18">
      <c r="A123" s="18" t="s">
        <v>1030</v>
      </c>
      <c r="B123" s="750">
        <f t="shared" ref="B123:S123" si="80">SUM(B5:B121)</f>
        <v>1546103.9322666666</v>
      </c>
      <c r="C123" s="750">
        <f t="shared" si="80"/>
        <v>1546103.9322666666</v>
      </c>
      <c r="D123" s="795">
        <f t="shared" si="80"/>
        <v>121911.80837090002</v>
      </c>
      <c r="E123" s="786">
        <f t="shared" si="80"/>
        <v>121911.80837090002</v>
      </c>
      <c r="F123" s="787">
        <f t="shared" si="80"/>
        <v>388916.22719907953</v>
      </c>
      <c r="G123" s="787">
        <f t="shared" si="80"/>
        <v>1668015.7406375667</v>
      </c>
      <c r="H123" s="787">
        <f t="shared" si="80"/>
        <v>1668015.7406375667</v>
      </c>
      <c r="I123" s="787">
        <f t="shared" si="80"/>
        <v>2056931.9678366459</v>
      </c>
      <c r="J123" s="752">
        <f t="shared" si="80"/>
        <v>84622809.745751634</v>
      </c>
      <c r="K123" s="788">
        <f t="shared" si="80"/>
        <v>104578165.97324848</v>
      </c>
      <c r="L123" s="789">
        <f t="shared" si="80"/>
        <v>5.3131271979466446</v>
      </c>
      <c r="M123" s="789">
        <f t="shared" si="80"/>
        <v>12.590931891125461</v>
      </c>
      <c r="N123" s="787">
        <f t="shared" si="80"/>
        <v>388916.22719907941</v>
      </c>
      <c r="O123" s="787">
        <f t="shared" si="80"/>
        <v>19955356.227496728</v>
      </c>
      <c r="P123" s="751">
        <f t="shared" si="80"/>
        <v>0</v>
      </c>
      <c r="Q123" s="751">
        <f t="shared" si="80"/>
        <v>78136904.899466693</v>
      </c>
      <c r="R123" s="751">
        <f t="shared" si="80"/>
        <v>6485904.8462850042</v>
      </c>
      <c r="S123" s="751">
        <f t="shared" si="80"/>
        <v>0</v>
      </c>
      <c r="T123" s="751">
        <f>SUM(T5:T121)</f>
        <v>388916.22719907953</v>
      </c>
      <c r="U123" s="751">
        <f t="shared" ref="U123:AF123" si="81">SUM(U5:U121)</f>
        <v>258650.4652223486</v>
      </c>
      <c r="V123" s="751">
        <f t="shared" si="81"/>
        <v>25394.250457001559</v>
      </c>
      <c r="W123" s="751">
        <f t="shared" si="81"/>
        <v>0</v>
      </c>
      <c r="X123" s="751">
        <f t="shared" si="81"/>
        <v>10645.061538461536</v>
      </c>
      <c r="Y123" s="751">
        <f t="shared" si="81"/>
        <v>7996.1538461538476</v>
      </c>
      <c r="Z123" s="751">
        <f t="shared" si="81"/>
        <v>6106.1538461538457</v>
      </c>
      <c r="AA123" s="751">
        <f t="shared" si="81"/>
        <v>0</v>
      </c>
      <c r="AB123" s="751">
        <f t="shared" si="81"/>
        <v>54295.191999999995</v>
      </c>
      <c r="AC123" s="751">
        <f t="shared" si="81"/>
        <v>25828.950288959997</v>
      </c>
      <c r="AD123" s="751">
        <f t="shared" si="81"/>
        <v>0</v>
      </c>
      <c r="AE123" s="751">
        <f t="shared" si="81"/>
        <v>0</v>
      </c>
      <c r="AF123" s="752">
        <f t="shared" si="81"/>
        <v>0</v>
      </c>
      <c r="AG123" s="819"/>
      <c r="AH123" s="751"/>
      <c r="AI123" s="751"/>
      <c r="AJ123" s="751"/>
      <c r="AK123" s="751"/>
      <c r="AM123" s="805"/>
      <c r="AP123" s="805"/>
    </row>
  </sheetData>
  <mergeCells count="19">
    <mergeCell ref="U3:AE3"/>
    <mergeCell ref="AN2:AR2"/>
    <mergeCell ref="AT2:AT4"/>
    <mergeCell ref="AM2:AM4"/>
    <mergeCell ref="AU2:BF2"/>
    <mergeCell ref="AP3:AR3"/>
    <mergeCell ref="AO3:AO4"/>
    <mergeCell ref="AN3:AN4"/>
    <mergeCell ref="BC3:BE3"/>
    <mergeCell ref="AU3:AU4"/>
    <mergeCell ref="AV3:AV4"/>
    <mergeCell ref="AW3:AW4"/>
    <mergeCell ref="AX3:AX4"/>
    <mergeCell ref="AY3:AY4"/>
    <mergeCell ref="AZ3:AZ4"/>
    <mergeCell ref="BA3:BA4"/>
    <mergeCell ref="AS3:AS4"/>
    <mergeCell ref="BB3:BB4"/>
    <mergeCell ref="BF3:BF4"/>
  </mergeCells>
  <conditionalFormatting sqref="B5:BF123">
    <cfRule type="cellIs" dxfId="80" priority="1" operator="lessThan">
      <formula>0</formula>
    </cfRule>
  </conditionalFormatting>
  <pageMargins left="0.7" right="0.7" top="0.75" bottom="0.75" header="0.3" footer="0.3"/>
  <pageSetup paperSize="8" scale="67" orientation="portrait" verticalDpi="4" r:id="rId1"/>
  <legacyDrawing r:id="rId2"/>
  <extLst>
    <ext xmlns:x14="http://schemas.microsoft.com/office/spreadsheetml/2009/9/main" uri="{78C0D931-6437-407d-A8EE-F0AAD7539E65}">
      <x14:conditionalFormattings>
        <x14:conditionalFormatting xmlns:xm="http://schemas.microsoft.com/office/excel/2006/main">
          <x14:cfRule type="expression" priority="3" id="{A8114FF9-2C6D-46C7-9AD1-3827AD3B6DB6}">
            <xm:f>$A5=Report!$C$6</xm:f>
            <x14:dxf>
              <fill>
                <patternFill>
                  <bgColor rgb="FF00B0F0"/>
                </patternFill>
              </fill>
            </x14:dxf>
          </x14:cfRule>
          <x14:cfRule type="expression" priority="4" id="{C55757BD-FD45-4276-9DDE-BDC292E90518}">
            <xm:f>$A5=Report!$C$5</xm:f>
            <x14:dxf>
              <fill>
                <patternFill>
                  <bgColor rgb="FFFFFF00"/>
                </patternFill>
              </fill>
            </x14:dxf>
          </x14:cfRule>
          <xm:sqref>A5:XFD121</xm:sqref>
        </x14:conditionalFormatting>
        <x14:conditionalFormatting xmlns:xm="http://schemas.microsoft.com/office/excel/2006/main">
          <x14:cfRule type="expression" priority="2" id="{3178FCC5-C358-461B-BC75-009A0F464BCC}">
            <xm:f>$A5=Report!$C$4</xm:f>
            <x14:dxf>
              <fill>
                <patternFill>
                  <bgColor rgb="FFFFC000"/>
                </patternFill>
              </fill>
            </x14:dxf>
          </x14:cfRule>
          <xm:sqref>A5:XFD121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2"/>
  <sheetViews>
    <sheetView zoomScale="70" zoomScaleNormal="70" workbookViewId="0">
      <selection activeCell="D49" sqref="D49"/>
    </sheetView>
  </sheetViews>
  <sheetFormatPr defaultRowHeight="15"/>
  <cols>
    <col min="2" max="2" width="16.28515625" customWidth="1"/>
    <col min="3" max="19" width="16.42578125" bestFit="1" customWidth="1"/>
  </cols>
  <sheetData>
    <row r="1" spans="1:26" s="179" customFormat="1">
      <c r="A1" s="926" t="s">
        <v>893</v>
      </c>
      <c r="B1" s="926"/>
      <c r="C1" s="926"/>
      <c r="D1" s="926"/>
      <c r="E1" s="926"/>
      <c r="F1" s="926"/>
      <c r="G1" s="926"/>
      <c r="H1" s="926"/>
      <c r="I1" s="926"/>
      <c r="J1" s="926"/>
      <c r="K1" s="926"/>
      <c r="L1" s="926"/>
      <c r="M1" s="926"/>
    </row>
    <row r="2" spans="1:26" s="179" customFormat="1" ht="15.75" thickBot="1"/>
    <row r="3" spans="1:26" s="179" customFormat="1" ht="15.75" thickBot="1">
      <c r="A3" s="179" t="s">
        <v>809</v>
      </c>
      <c r="B3" s="538" t="str">
        <f>IF(OR('Fuel Equipment'!B14=0,'Fuel Equipment'!B14='Fuel Equipment'!D56),"NOT REQUIRED","Not Listed")</f>
        <v>Not Listed</v>
      </c>
      <c r="C3" s="539" t="str">
        <f>IF(OR('Fuel Equipment'!C14=0,'Fuel Equipment'!C14='Fuel Equipment'!E56),"NOT REQUIRED","Not Listed")</f>
        <v>Not Listed</v>
      </c>
      <c r="D3" s="539" t="str">
        <f>IF(OR('Fuel Equipment'!D14=0,'Fuel Equipment'!D14='Fuel Equipment'!F56),"NOT REQUIRED","Not Listed")</f>
        <v>Not Listed</v>
      </c>
      <c r="E3" s="539" t="str">
        <f>IF(OR('Fuel Equipment'!E14=0,'Fuel Equipment'!E14='Fuel Equipment'!G56),"NOT REQUIRED","Not Listed")</f>
        <v>Not Listed</v>
      </c>
      <c r="F3" s="539" t="str">
        <f>IF(OR('Fuel Equipment'!F14=0,'Fuel Equipment'!F14='Fuel Equipment'!H56),"NOT REQUIRED","Not Listed")</f>
        <v>NOT REQUIRED</v>
      </c>
      <c r="G3" s="539" t="str">
        <f>IF(OR('Fuel Equipment'!G14=0,'Fuel Equipment'!G14='Fuel Equipment'!I56),"NOT REQUIRED","Not Listed")</f>
        <v>NOT REQUIRED</v>
      </c>
      <c r="H3" s="539" t="str">
        <f>IF(OR('Fuel Equipment'!H14=0,'Fuel Equipment'!H14='Fuel Equipment'!J56),"NOT REQUIRED","Not Listed")</f>
        <v>NOT REQUIRED</v>
      </c>
      <c r="I3" s="539" t="str">
        <f>IF(OR('Fuel Equipment'!I14=0,'Fuel Equipment'!I14='Fuel Equipment'!K56),"NOT REQUIRED","Not Listed")</f>
        <v>NOT REQUIRED</v>
      </c>
      <c r="J3" s="539" t="str">
        <f>IF(OR('Fuel Equipment'!J14=0,'Fuel Equipment'!J14='Fuel Equipment'!L56),"NOT REQUIRED","Not Listed")</f>
        <v>NOT REQUIRED</v>
      </c>
      <c r="K3" s="539" t="str">
        <f>IF(OR('Fuel Equipment'!K14=0,'Fuel Equipment'!K14='Fuel Equipment'!M56),"NOT REQUIRED","Not Listed")</f>
        <v>NOT REQUIRED</v>
      </c>
      <c r="L3" s="539" t="str">
        <f>IF(OR('Fuel Equipment'!L14=0,'Fuel Equipment'!L14='Fuel Equipment'!N56),"NOT REQUIRED","Not Listed")</f>
        <v>NOT REQUIRED</v>
      </c>
      <c r="M3" s="539" t="str">
        <f>IF(OR('Fuel Equipment'!M14=0,'Fuel Equipment'!M14='Fuel Equipment'!O56),"NOT REQUIRED","Not Listed")</f>
        <v>NOT REQUIRED</v>
      </c>
      <c r="N3" s="539" t="str">
        <f>IF(OR('Fuel Equipment'!N14=0,'Fuel Equipment'!N14='Fuel Equipment'!P56),"NOT REQUIRED","Not Listed")</f>
        <v>NOT REQUIRED</v>
      </c>
      <c r="O3" s="539" t="str">
        <f>IF(OR('Fuel Equipment'!O14=0,'Fuel Equipment'!O14='Fuel Equipment'!Q56),"NOT REQUIRED","Not Listed")</f>
        <v>NOT REQUIRED</v>
      </c>
      <c r="P3" s="539" t="str">
        <f>IF(OR('Fuel Equipment'!P14=0,'Fuel Equipment'!P14='Fuel Equipment'!R56),"NOT REQUIRED","Not Listed")</f>
        <v>NOT REQUIRED</v>
      </c>
      <c r="Q3" s="539" t="str">
        <f>IF(OR('Fuel Equipment'!Q14=0,'Fuel Equipment'!Q14='Fuel Equipment'!S56),"NOT REQUIRED","Not Listed")</f>
        <v>NOT REQUIRED</v>
      </c>
      <c r="R3" s="539" t="str">
        <f>IF(OR('Fuel Equipment'!R14=0,'Fuel Equipment'!R14='Fuel Equipment'!T56),"NOT REQUIRED","Not Listed")</f>
        <v>NOT REQUIRED</v>
      </c>
      <c r="S3" s="540" t="str">
        <f>IF(OR('Fuel Equipment'!S14=0,'Fuel Equipment'!S14='Fuel Equipment'!U56),"NOT REQUIRED","Not Listed")</f>
        <v>NOT REQUIRED</v>
      </c>
      <c r="U3" s="927" t="s">
        <v>894</v>
      </c>
      <c r="V3" s="927"/>
      <c r="W3" s="927" t="s">
        <v>895</v>
      </c>
      <c r="X3" s="927"/>
      <c r="Y3" s="927" t="s">
        <v>896</v>
      </c>
      <c r="Z3" s="927"/>
    </row>
    <row r="4" spans="1:26" s="179" customFormat="1">
      <c r="B4" s="474" t="str">
        <f>IF('Fuel Equipment'!B$14&gt;0,IF('Fuel Equipment'!B$14='Fuel Equipment'!$D$51,IF(Cranes!$G21&gt;0,Cranes!$G21," "),IF('Fuel Equipment'!B$14='Fuel Equipment'!$D$52,IF(Dumpers!$V30&gt;0,Dumpers!$V30," "),IF('Fuel Equipment'!B$14='Fuel Equipment'!$D$53,IF(Excavators!$W58&gt;0,Excavators!$W58," "),IF('Fuel Equipment'!B$14='Fuel Equipment'!$D$54,IF(Generators!$O118&gt;0,Generators!$O118," "),IF('Fuel Equipment'!B$14='Fuel Equipment'!$D$55,IF('Scissor Lifts'!$J42&gt;0,'Scissor Lifts'!$J42," "),"NOT REQUIRED"))))),"NOT REQUIRED")</f>
        <v>3T</v>
      </c>
      <c r="C4" s="474" t="str">
        <f>IF('Fuel Equipment'!C$14&gt;0,IF('Fuel Equipment'!C$14='Fuel Equipment'!$D$51,IF(Cranes!$G21&gt;0,Cranes!$G21," "),IF('Fuel Equipment'!C$14='Fuel Equipment'!$D$52,IF(Dumpers!$V30&gt;0,Dumpers!$V30," "),IF('Fuel Equipment'!C$14='Fuel Equipment'!$D$53,IF(Excavators!$W58&gt;0,Excavators!$W58," "),IF('Fuel Equipment'!C$14='Fuel Equipment'!$D$54,IF(Generators!$O118&gt;0,Generators!$O118," "),IF('Fuel Equipment'!C$14='Fuel Equipment'!$D$55,IF('Scissor Lifts'!$J42&gt;0,'Scissor Lifts'!$J42," "),"NOT REQUIRED"))))),"NOT REQUIRED")</f>
        <v>3T</v>
      </c>
      <c r="D4" s="474" t="str">
        <f>IF('Fuel Equipment'!D$14&gt;0,IF('Fuel Equipment'!D$14='Fuel Equipment'!$D$51,IF(Cranes!$G21&gt;0,Cranes!$G21," "),IF('Fuel Equipment'!D$14='Fuel Equipment'!$D$52,IF(Dumpers!$V30&gt;0,Dumpers!$V30," "),IF('Fuel Equipment'!D$14='Fuel Equipment'!$D$53,IF(Excavators!$W58&gt;0,Excavators!$W58," "),IF('Fuel Equipment'!D$14='Fuel Equipment'!$D$54,IF(Generators!$O118&gt;0,Generators!$O118," "),IF('Fuel Equipment'!D$14='Fuel Equipment'!$D$55,IF('Scissor Lifts'!$J42&gt;0,'Scissor Lifts'!$J42," "),"NOT REQUIRED"))))),"NOT REQUIRED")</f>
        <v>9-15kVA</v>
      </c>
      <c r="E4" s="474" t="str">
        <f>IF('Fuel Equipment'!E$14&gt;0,IF('Fuel Equipment'!E$14='Fuel Equipment'!$D$51,IF(Cranes!$G21&gt;0,Cranes!$G21," "),IF('Fuel Equipment'!E$14='Fuel Equipment'!$D$52,IF(Dumpers!$V30&gt;0,Dumpers!$V30," "),IF('Fuel Equipment'!E$14='Fuel Equipment'!$D$53,IF(Excavators!$W58&gt;0,Excavators!$W58," "),IF('Fuel Equipment'!E$14='Fuel Equipment'!$D$54,IF(Generators!$O118&gt;0,Generators!$O118," "),IF('Fuel Equipment'!E$14='Fuel Equipment'!$D$55,IF('Scissor Lifts'!$J42&gt;0,'Scissor Lifts'!$J42," "),"NOT REQUIRED"))))),"NOT REQUIRED")</f>
        <v>12T</v>
      </c>
      <c r="F4" s="474" t="str">
        <f>IF('Fuel Equipment'!F$14&gt;0,IF('Fuel Equipment'!F$14='Fuel Equipment'!$D$51,IF(Cranes!$G21&gt;0,Cranes!$G21," "),IF('Fuel Equipment'!F$14='Fuel Equipment'!$D$52,IF(Dumpers!$V30&gt;0,Dumpers!$V30," "),IF('Fuel Equipment'!F$14='Fuel Equipment'!$D$53,IF(Excavators!$W58&gt;0,Excavators!$W58," "),IF('Fuel Equipment'!F$14='Fuel Equipment'!$D$54,IF(Generators!$O118&gt;0,Generators!$O118," "),IF('Fuel Equipment'!F$14='Fuel Equipment'!$D$55,IF('Scissor Lifts'!$J42&gt;0,'Scissor Lifts'!$J42," "),"NOT REQUIRED"))))),"NOT REQUIRED")</f>
        <v>NOT REQUIRED</v>
      </c>
      <c r="G4" s="474" t="str">
        <f>IF('Fuel Equipment'!G$14&gt;0,IF('Fuel Equipment'!G$14='Fuel Equipment'!$D$51,IF(Cranes!$G21&gt;0,Cranes!$G21," "),IF('Fuel Equipment'!G$14='Fuel Equipment'!$D$52,IF(Dumpers!$V30&gt;0,Dumpers!$V30," "),IF('Fuel Equipment'!G$14='Fuel Equipment'!$D$53,IF(Excavators!$W58&gt;0,Excavators!$W58," "),IF('Fuel Equipment'!G$14='Fuel Equipment'!$D$54,IF(Generators!$O118&gt;0,Generators!$O118," "),IF('Fuel Equipment'!G$14='Fuel Equipment'!$D$55,IF('Scissor Lifts'!$J42&gt;0,'Scissor Lifts'!$J42," "),"NOT REQUIRED"))))),"NOT REQUIRED")</f>
        <v>NOT REQUIRED</v>
      </c>
      <c r="H4" s="474" t="str">
        <f>IF('Fuel Equipment'!H$14&gt;0,IF('Fuel Equipment'!H$14='Fuel Equipment'!$D$51,IF(Cranes!$G21&gt;0,Cranes!$G21," "),IF('Fuel Equipment'!H$14='Fuel Equipment'!$D$52,IF(Dumpers!$V30&gt;0,Dumpers!$V30," "),IF('Fuel Equipment'!H$14='Fuel Equipment'!$D$53,IF(Excavators!$W58&gt;0,Excavators!$W58," "),IF('Fuel Equipment'!H$14='Fuel Equipment'!$D$54,IF(Generators!$O118&gt;0,Generators!$O118," "),IF('Fuel Equipment'!H$14='Fuel Equipment'!$D$55,IF('Scissor Lifts'!$J42&gt;0,'Scissor Lifts'!$J42," "),"NOT REQUIRED"))))),"NOT REQUIRED")</f>
        <v>NOT REQUIRED</v>
      </c>
      <c r="I4" s="474" t="str">
        <f>IF('Fuel Equipment'!I$14&gt;0,IF('Fuel Equipment'!I$14='Fuel Equipment'!$D$51,IF(Cranes!$G21&gt;0,Cranes!$G21," "),IF('Fuel Equipment'!I$14='Fuel Equipment'!$D$52,IF(Dumpers!$V30&gt;0,Dumpers!$V30," "),IF('Fuel Equipment'!I$14='Fuel Equipment'!$D$53,IF(Excavators!$W58&gt;0,Excavators!$W58," "),IF('Fuel Equipment'!I$14='Fuel Equipment'!$D$54,IF(Generators!$O118&gt;0,Generators!$O118," "),IF('Fuel Equipment'!I$14='Fuel Equipment'!$D$55,IF('Scissor Lifts'!$J42&gt;0,'Scissor Lifts'!$J42," "),"NOT REQUIRED"))))),"NOT REQUIRED")</f>
        <v>NOT REQUIRED</v>
      </c>
      <c r="J4" s="474" t="str">
        <f>IF('Fuel Equipment'!J$14&gt;0,IF('Fuel Equipment'!J$14='Fuel Equipment'!$D$51,IF(Cranes!$G21&gt;0,Cranes!$G21," "),IF('Fuel Equipment'!J$14='Fuel Equipment'!$D$52,IF(Dumpers!$V30&gt;0,Dumpers!$V30," "),IF('Fuel Equipment'!J$14='Fuel Equipment'!$D$53,IF(Excavators!$W58&gt;0,Excavators!$W58," "),IF('Fuel Equipment'!J$14='Fuel Equipment'!$D$54,IF(Generators!$O118&gt;0,Generators!$O118," "),IF('Fuel Equipment'!J$14='Fuel Equipment'!$D$55,IF('Scissor Lifts'!$J42&gt;0,'Scissor Lifts'!$J42," "),"NOT REQUIRED"))))),"NOT REQUIRED")</f>
        <v>NOT REQUIRED</v>
      </c>
      <c r="K4" s="474" t="str">
        <f>IF('Fuel Equipment'!K$14&gt;0,IF('Fuel Equipment'!K$14='Fuel Equipment'!$D$51,IF(Cranes!$G21&gt;0,Cranes!$G21," "),IF('Fuel Equipment'!K$14='Fuel Equipment'!$D$52,IF(Dumpers!$V30&gt;0,Dumpers!$V30," "),IF('Fuel Equipment'!K$14='Fuel Equipment'!$D$53,IF(Excavators!$W58&gt;0,Excavators!$W58," "),IF('Fuel Equipment'!K$14='Fuel Equipment'!$D$54,IF(Generators!$O118&gt;0,Generators!$O118," "),IF('Fuel Equipment'!K$14='Fuel Equipment'!$D$55,IF('Scissor Lifts'!$J42&gt;0,'Scissor Lifts'!$J42," "),"NOT REQUIRED"))))),"NOT REQUIRED")</f>
        <v>NOT REQUIRED</v>
      </c>
      <c r="L4" s="474" t="str">
        <f>IF('Fuel Equipment'!L$14&gt;0,IF('Fuel Equipment'!L$14='Fuel Equipment'!$D$51,IF(Cranes!$G21&gt;0,Cranes!$G21," "),IF('Fuel Equipment'!L$14='Fuel Equipment'!$D$52,IF(Dumpers!$V30&gt;0,Dumpers!$V30," "),IF('Fuel Equipment'!L$14='Fuel Equipment'!$D$53,IF(Excavators!$W58&gt;0,Excavators!$W58," "),IF('Fuel Equipment'!L$14='Fuel Equipment'!$D$54,IF(Generators!$O118&gt;0,Generators!$O118," "),IF('Fuel Equipment'!L$14='Fuel Equipment'!$D$55,IF('Scissor Lifts'!$J42&gt;0,'Scissor Lifts'!$J42," "),"NOT REQUIRED"))))),"NOT REQUIRED")</f>
        <v>NOT REQUIRED</v>
      </c>
      <c r="M4" s="474" t="str">
        <f>IF('Fuel Equipment'!M$14&gt;0,IF('Fuel Equipment'!M$14='Fuel Equipment'!$D$51,IF(Cranes!$G21&gt;0,Cranes!$G21," "),IF('Fuel Equipment'!M$14='Fuel Equipment'!$D$52,IF(Dumpers!$V30&gt;0,Dumpers!$V30," "),IF('Fuel Equipment'!M$14='Fuel Equipment'!$D$53,IF(Excavators!$W58&gt;0,Excavators!$W58," "),IF('Fuel Equipment'!M$14='Fuel Equipment'!$D$54,IF(Generators!$O118&gt;0,Generators!$O118," "),IF('Fuel Equipment'!M$14='Fuel Equipment'!$D$55,IF('Scissor Lifts'!$J42&gt;0,'Scissor Lifts'!$J42," "),"NOT REQUIRED"))))),"NOT REQUIRED")</f>
        <v>NOT REQUIRED</v>
      </c>
      <c r="N4" s="474" t="str">
        <f>IF('Fuel Equipment'!N$14&gt;0,IF('Fuel Equipment'!N$14='Fuel Equipment'!$D$51,IF(Cranes!$G21&gt;0,Cranes!$G21," "),IF('Fuel Equipment'!N$14='Fuel Equipment'!$D$52,IF(Dumpers!$V30&gt;0,Dumpers!$V30," "),IF('Fuel Equipment'!N$14='Fuel Equipment'!$D$53,IF(Excavators!$W58&gt;0,Excavators!$W58," "),IF('Fuel Equipment'!N$14='Fuel Equipment'!$D$54,IF(Generators!$O118&gt;0,Generators!$O118," "),IF('Fuel Equipment'!N$14='Fuel Equipment'!$D$55,IF('Scissor Lifts'!$J42&gt;0,'Scissor Lifts'!$J42," "),"NOT REQUIRED"))))),"NOT REQUIRED")</f>
        <v>NOT REQUIRED</v>
      </c>
      <c r="O4" s="474" t="str">
        <f>IF('Fuel Equipment'!O$14&gt;0,IF('Fuel Equipment'!O$14='Fuel Equipment'!$D$51,IF(Cranes!$G21&gt;0,Cranes!$G21," "),IF('Fuel Equipment'!O$14='Fuel Equipment'!$D$52,IF(Dumpers!$V30&gt;0,Dumpers!$V30," "),IF('Fuel Equipment'!O$14='Fuel Equipment'!$D$53,IF(Excavators!$W58&gt;0,Excavators!$W58," "),IF('Fuel Equipment'!O$14='Fuel Equipment'!$D$54,IF(Generators!$O118&gt;0,Generators!$O118," "),IF('Fuel Equipment'!O$14='Fuel Equipment'!$D$55,IF('Scissor Lifts'!$J42&gt;0,'Scissor Lifts'!$J42," "),"NOT REQUIRED"))))),"NOT REQUIRED")</f>
        <v>NOT REQUIRED</v>
      </c>
      <c r="P4" s="474" t="str">
        <f>IF('Fuel Equipment'!P$14&gt;0,IF('Fuel Equipment'!P$14='Fuel Equipment'!$D$51,IF(Cranes!$G21&gt;0,Cranes!$G21," "),IF('Fuel Equipment'!P$14='Fuel Equipment'!$D$52,IF(Dumpers!$V30&gt;0,Dumpers!$V30," "),IF('Fuel Equipment'!P$14='Fuel Equipment'!$D$53,IF(Excavators!$W58&gt;0,Excavators!$W58," "),IF('Fuel Equipment'!P$14='Fuel Equipment'!$D$54,IF(Generators!$O118&gt;0,Generators!$O118," "),IF('Fuel Equipment'!P$14='Fuel Equipment'!$D$55,IF('Scissor Lifts'!$J42&gt;0,'Scissor Lifts'!$J42," "),"NOT REQUIRED"))))),"NOT REQUIRED")</f>
        <v>NOT REQUIRED</v>
      </c>
      <c r="Q4" s="474" t="str">
        <f>IF('Fuel Equipment'!Q$14&gt;0,IF('Fuel Equipment'!Q$14='Fuel Equipment'!$D$51,IF(Cranes!$G21&gt;0,Cranes!$G21," "),IF('Fuel Equipment'!Q$14='Fuel Equipment'!$D$52,IF(Dumpers!$V30&gt;0,Dumpers!$V30," "),IF('Fuel Equipment'!Q$14='Fuel Equipment'!$D$53,IF(Excavators!$W58&gt;0,Excavators!$W58," "),IF('Fuel Equipment'!Q$14='Fuel Equipment'!$D$54,IF(Generators!$O118&gt;0,Generators!$O118," "),IF('Fuel Equipment'!Q$14='Fuel Equipment'!$D$55,IF('Scissor Lifts'!$J42&gt;0,'Scissor Lifts'!$J42," "),"NOT REQUIRED"))))),"NOT REQUIRED")</f>
        <v>NOT REQUIRED</v>
      </c>
      <c r="R4" s="474" t="str">
        <f>IF('Fuel Equipment'!R$14&gt;0,IF('Fuel Equipment'!R$14='Fuel Equipment'!$D$51,IF(Cranes!$G21&gt;0,Cranes!$G21," "),IF('Fuel Equipment'!R$14='Fuel Equipment'!$D$52,IF(Dumpers!$V30&gt;0,Dumpers!$V30," "),IF('Fuel Equipment'!R$14='Fuel Equipment'!$D$53,IF(Excavators!$W58&gt;0,Excavators!$W58," "),IF('Fuel Equipment'!R$14='Fuel Equipment'!$D$54,IF(Generators!$O118&gt;0,Generators!$O118," "),IF('Fuel Equipment'!R$14='Fuel Equipment'!$D$55,IF('Scissor Lifts'!$J42&gt;0,'Scissor Lifts'!$J42," "),"NOT REQUIRED"))))),"NOT REQUIRED")</f>
        <v>NOT REQUIRED</v>
      </c>
      <c r="S4" s="474" t="str">
        <f>IF('Fuel Equipment'!S$14&gt;0,IF('Fuel Equipment'!S$14='Fuel Equipment'!$D$51,IF(Cranes!$G21&gt;0,Cranes!$G21," "),IF('Fuel Equipment'!S$14='Fuel Equipment'!$D$52,IF(Dumpers!$V30&gt;0,Dumpers!$V30," "),IF('Fuel Equipment'!S$14='Fuel Equipment'!$D$53,IF(Excavators!$W58&gt;0,Excavators!$W58," "),IF('Fuel Equipment'!S$14='Fuel Equipment'!$D$54,IF(Generators!$O118&gt;0,Generators!$O118," "),IF('Fuel Equipment'!S$14='Fuel Equipment'!$D$55,IF('Scissor Lifts'!$J42&gt;0,'Scissor Lifts'!$J42," "),"NOT REQUIRED"))))),"NOT REQUIRED")</f>
        <v>NOT REQUIRED</v>
      </c>
      <c r="U4" s="927"/>
      <c r="V4" s="927"/>
      <c r="W4" s="927"/>
      <c r="X4" s="927"/>
      <c r="Y4" s="927"/>
      <c r="Z4" s="927"/>
    </row>
    <row r="5" spans="1:26" s="179" customFormat="1">
      <c r="B5" s="474" t="str">
        <f>IF('Fuel Equipment'!B$14&gt;0,IF('Fuel Equipment'!B$14='Fuel Equipment'!$D$51,IF(Cranes!$G22&gt;0,Cranes!$G22," "),IF('Fuel Equipment'!B$14='Fuel Equipment'!$D$52,IF(Dumpers!$V31&gt;0,Dumpers!$V31," "),IF('Fuel Equipment'!B$14='Fuel Equipment'!$D$53,IF(Excavators!$W59&gt;0,Excavators!$W59," "),IF('Fuel Equipment'!B$14='Fuel Equipment'!$D$54,IF(Generators!$O119&gt;0,Generators!$O119," "),IF('Fuel Equipment'!B$14='Fuel Equipment'!$D$55,IF('Scissor Lifts'!$J43&gt;0,'Scissor Lifts'!$J43," "),"NOT REQUIRED"))))),"NOT REQUIRED")</f>
        <v>5T</v>
      </c>
      <c r="C5" s="474" t="str">
        <f>IF('Fuel Equipment'!C$14&gt;0,IF('Fuel Equipment'!C$14='Fuel Equipment'!$D$51,IF(Cranes!$G22&gt;0,Cranes!$G22," "),IF('Fuel Equipment'!C$14='Fuel Equipment'!$D$52,IF(Dumpers!$V31&gt;0,Dumpers!$V31," "),IF('Fuel Equipment'!C$14='Fuel Equipment'!$D$53,IF(Excavators!$W59&gt;0,Excavators!$W59," "),IF('Fuel Equipment'!C$14='Fuel Equipment'!$D$54,IF(Generators!$O119&gt;0,Generators!$O119," "),IF('Fuel Equipment'!C$14='Fuel Equipment'!$D$55,IF('Scissor Lifts'!$J43&gt;0,'Scissor Lifts'!$J43," "),"NOT REQUIRED"))))),"NOT REQUIRED")</f>
        <v>5T</v>
      </c>
      <c r="D5" s="474" t="str">
        <f>IF('Fuel Equipment'!D$14&gt;0,IF('Fuel Equipment'!D$14='Fuel Equipment'!$D$51,IF(Cranes!$G22&gt;0,Cranes!$G22," "),IF('Fuel Equipment'!D$14='Fuel Equipment'!$D$52,IF(Dumpers!$V31&gt;0,Dumpers!$V31," "),IF('Fuel Equipment'!D$14='Fuel Equipment'!$D$53,IF(Excavators!$W59&gt;0,Excavators!$W59," "),IF('Fuel Equipment'!D$14='Fuel Equipment'!$D$54,IF(Generators!$O119&gt;0,Generators!$O119," "),IF('Fuel Equipment'!D$14='Fuel Equipment'!$D$55,IF('Scissor Lifts'!$J43&gt;0,'Scissor Lifts'!$J43," "),"NOT REQUIRED"))))),"NOT REQUIRED")</f>
        <v>20kVA</v>
      </c>
      <c r="E5" s="474" t="str">
        <f>IF('Fuel Equipment'!E$14&gt;0,IF('Fuel Equipment'!E$14='Fuel Equipment'!$D$51,IF(Cranes!$G22&gt;0,Cranes!$G22," "),IF('Fuel Equipment'!E$14='Fuel Equipment'!$D$52,IF(Dumpers!$V31&gt;0,Dumpers!$V31," "),IF('Fuel Equipment'!E$14='Fuel Equipment'!$D$53,IF(Excavators!$W59&gt;0,Excavators!$W59," "),IF('Fuel Equipment'!E$14='Fuel Equipment'!$D$54,IF(Generators!$O119&gt;0,Generators!$O119," "),IF('Fuel Equipment'!E$14='Fuel Equipment'!$D$55,IF('Scissor Lifts'!$J43&gt;0,'Scissor Lifts'!$J43," "),"NOT REQUIRED"))))),"NOT REQUIRED")</f>
        <v>22T</v>
      </c>
      <c r="F5" s="474" t="str">
        <f>IF('Fuel Equipment'!F$14&gt;0,IF('Fuel Equipment'!F$14='Fuel Equipment'!$D$51,IF(Cranes!$G22&gt;0,Cranes!$G22," "),IF('Fuel Equipment'!F$14='Fuel Equipment'!$D$52,IF(Dumpers!$V31&gt;0,Dumpers!$V31," "),IF('Fuel Equipment'!F$14='Fuel Equipment'!$D$53,IF(Excavators!$W59&gt;0,Excavators!$W59," "),IF('Fuel Equipment'!F$14='Fuel Equipment'!$D$54,IF(Generators!$O119&gt;0,Generators!$O119," "),IF('Fuel Equipment'!F$14='Fuel Equipment'!$D$55,IF('Scissor Lifts'!$J43&gt;0,'Scissor Lifts'!$J43," "),"NOT REQUIRED"))))),"NOT REQUIRED")</f>
        <v>NOT REQUIRED</v>
      </c>
      <c r="G5" s="474" t="str">
        <f>IF('Fuel Equipment'!G$14&gt;0,IF('Fuel Equipment'!G$14='Fuel Equipment'!$D$51,IF(Cranes!$G22&gt;0,Cranes!$G22," "),IF('Fuel Equipment'!G$14='Fuel Equipment'!$D$52,IF(Dumpers!$V31&gt;0,Dumpers!$V31," "),IF('Fuel Equipment'!G$14='Fuel Equipment'!$D$53,IF(Excavators!$W59&gt;0,Excavators!$W59," "),IF('Fuel Equipment'!G$14='Fuel Equipment'!$D$54,IF(Generators!$O119&gt;0,Generators!$O119," "),IF('Fuel Equipment'!G$14='Fuel Equipment'!$D$55,IF('Scissor Lifts'!$J43&gt;0,'Scissor Lifts'!$J43," "),"NOT REQUIRED"))))),"NOT REQUIRED")</f>
        <v>NOT REQUIRED</v>
      </c>
      <c r="H5" s="474" t="str">
        <f>IF('Fuel Equipment'!H$14&gt;0,IF('Fuel Equipment'!H$14='Fuel Equipment'!$D$51,IF(Cranes!$G22&gt;0,Cranes!$G22," "),IF('Fuel Equipment'!H$14='Fuel Equipment'!$D$52,IF(Dumpers!$V31&gt;0,Dumpers!$V31," "),IF('Fuel Equipment'!H$14='Fuel Equipment'!$D$53,IF(Excavators!$W59&gt;0,Excavators!$W59," "),IF('Fuel Equipment'!H$14='Fuel Equipment'!$D$54,IF(Generators!$O119&gt;0,Generators!$O119," "),IF('Fuel Equipment'!H$14='Fuel Equipment'!$D$55,IF('Scissor Lifts'!$J43&gt;0,'Scissor Lifts'!$J43," "),"NOT REQUIRED"))))),"NOT REQUIRED")</f>
        <v>NOT REQUIRED</v>
      </c>
      <c r="I5" s="474" t="str">
        <f>IF('Fuel Equipment'!I$14&gt;0,IF('Fuel Equipment'!I$14='Fuel Equipment'!$D$51,IF(Cranes!$G22&gt;0,Cranes!$G22," "),IF('Fuel Equipment'!I$14='Fuel Equipment'!$D$52,IF(Dumpers!$V31&gt;0,Dumpers!$V31," "),IF('Fuel Equipment'!I$14='Fuel Equipment'!$D$53,IF(Excavators!$W59&gt;0,Excavators!$W59," "),IF('Fuel Equipment'!I$14='Fuel Equipment'!$D$54,IF(Generators!$O119&gt;0,Generators!$O119," "),IF('Fuel Equipment'!I$14='Fuel Equipment'!$D$55,IF('Scissor Lifts'!$J43&gt;0,'Scissor Lifts'!$J43," "),"NOT REQUIRED"))))),"NOT REQUIRED")</f>
        <v>NOT REQUIRED</v>
      </c>
      <c r="J5" s="474" t="str">
        <f>IF('Fuel Equipment'!J$14&gt;0,IF('Fuel Equipment'!J$14='Fuel Equipment'!$D$51,IF(Cranes!$G22&gt;0,Cranes!$G22," "),IF('Fuel Equipment'!J$14='Fuel Equipment'!$D$52,IF(Dumpers!$V31&gt;0,Dumpers!$V31," "),IF('Fuel Equipment'!J$14='Fuel Equipment'!$D$53,IF(Excavators!$W59&gt;0,Excavators!$W59," "),IF('Fuel Equipment'!J$14='Fuel Equipment'!$D$54,IF(Generators!$O119&gt;0,Generators!$O119," "),IF('Fuel Equipment'!J$14='Fuel Equipment'!$D$55,IF('Scissor Lifts'!$J43&gt;0,'Scissor Lifts'!$J43," "),"NOT REQUIRED"))))),"NOT REQUIRED")</f>
        <v>NOT REQUIRED</v>
      </c>
      <c r="K5" s="474" t="str">
        <f>IF('Fuel Equipment'!K$14&gt;0,IF('Fuel Equipment'!K$14='Fuel Equipment'!$D$51,IF(Cranes!$G22&gt;0,Cranes!$G22," "),IF('Fuel Equipment'!K$14='Fuel Equipment'!$D$52,IF(Dumpers!$V31&gt;0,Dumpers!$V31," "),IF('Fuel Equipment'!K$14='Fuel Equipment'!$D$53,IF(Excavators!$W59&gt;0,Excavators!$W59," "),IF('Fuel Equipment'!K$14='Fuel Equipment'!$D$54,IF(Generators!$O119&gt;0,Generators!$O119," "),IF('Fuel Equipment'!K$14='Fuel Equipment'!$D$55,IF('Scissor Lifts'!$J43&gt;0,'Scissor Lifts'!$J43," "),"NOT REQUIRED"))))),"NOT REQUIRED")</f>
        <v>NOT REQUIRED</v>
      </c>
      <c r="L5" s="474" t="str">
        <f>IF('Fuel Equipment'!L$14&gt;0,IF('Fuel Equipment'!L$14='Fuel Equipment'!$D$51,IF(Cranes!$G22&gt;0,Cranes!$G22," "),IF('Fuel Equipment'!L$14='Fuel Equipment'!$D$52,IF(Dumpers!$V31&gt;0,Dumpers!$V31," "),IF('Fuel Equipment'!L$14='Fuel Equipment'!$D$53,IF(Excavators!$W59&gt;0,Excavators!$W59," "),IF('Fuel Equipment'!L$14='Fuel Equipment'!$D$54,IF(Generators!$O119&gt;0,Generators!$O119," "),IF('Fuel Equipment'!L$14='Fuel Equipment'!$D$55,IF('Scissor Lifts'!$J43&gt;0,'Scissor Lifts'!$J43," "),"NOT REQUIRED"))))),"NOT REQUIRED")</f>
        <v>NOT REQUIRED</v>
      </c>
      <c r="M5" s="474" t="str">
        <f>IF('Fuel Equipment'!M$14&gt;0,IF('Fuel Equipment'!M$14='Fuel Equipment'!$D$51,IF(Cranes!$G22&gt;0,Cranes!$G22," "),IF('Fuel Equipment'!M$14='Fuel Equipment'!$D$52,IF(Dumpers!$V31&gt;0,Dumpers!$V31," "),IF('Fuel Equipment'!M$14='Fuel Equipment'!$D$53,IF(Excavators!$W59&gt;0,Excavators!$W59," "),IF('Fuel Equipment'!M$14='Fuel Equipment'!$D$54,IF(Generators!$O119&gt;0,Generators!$O119," "),IF('Fuel Equipment'!M$14='Fuel Equipment'!$D$55,IF('Scissor Lifts'!$J43&gt;0,'Scissor Lifts'!$J43," "),"NOT REQUIRED"))))),"NOT REQUIRED")</f>
        <v>NOT REQUIRED</v>
      </c>
      <c r="N5" s="474" t="str">
        <f>IF('Fuel Equipment'!N$14&gt;0,IF('Fuel Equipment'!N$14='Fuel Equipment'!$D$51,IF(Cranes!$G22&gt;0,Cranes!$G22," "),IF('Fuel Equipment'!N$14='Fuel Equipment'!$D$52,IF(Dumpers!$V31&gt;0,Dumpers!$V31," "),IF('Fuel Equipment'!N$14='Fuel Equipment'!$D$53,IF(Excavators!$W59&gt;0,Excavators!$W59," "),IF('Fuel Equipment'!N$14='Fuel Equipment'!$D$54,IF(Generators!$O119&gt;0,Generators!$O119," "),IF('Fuel Equipment'!N$14='Fuel Equipment'!$D$55,IF('Scissor Lifts'!$J43&gt;0,'Scissor Lifts'!$J43," "),"NOT REQUIRED"))))),"NOT REQUIRED")</f>
        <v>NOT REQUIRED</v>
      </c>
      <c r="O5" s="474" t="str">
        <f>IF('Fuel Equipment'!O$14&gt;0,IF('Fuel Equipment'!O$14='Fuel Equipment'!$D$51,IF(Cranes!$G22&gt;0,Cranes!$G22," "),IF('Fuel Equipment'!O$14='Fuel Equipment'!$D$52,IF(Dumpers!$V31&gt;0,Dumpers!$V31," "),IF('Fuel Equipment'!O$14='Fuel Equipment'!$D$53,IF(Excavators!$W59&gt;0,Excavators!$W59," "),IF('Fuel Equipment'!O$14='Fuel Equipment'!$D$54,IF(Generators!$O119&gt;0,Generators!$O119," "),IF('Fuel Equipment'!O$14='Fuel Equipment'!$D$55,IF('Scissor Lifts'!$J43&gt;0,'Scissor Lifts'!$J43," "),"NOT REQUIRED"))))),"NOT REQUIRED")</f>
        <v>NOT REQUIRED</v>
      </c>
      <c r="P5" s="474" t="str">
        <f>IF('Fuel Equipment'!P$14&gt;0,IF('Fuel Equipment'!P$14='Fuel Equipment'!$D$51,IF(Cranes!$G22&gt;0,Cranes!$G22," "),IF('Fuel Equipment'!P$14='Fuel Equipment'!$D$52,IF(Dumpers!$V31&gt;0,Dumpers!$V31," "),IF('Fuel Equipment'!P$14='Fuel Equipment'!$D$53,IF(Excavators!$W59&gt;0,Excavators!$W59," "),IF('Fuel Equipment'!P$14='Fuel Equipment'!$D$54,IF(Generators!$O119&gt;0,Generators!$O119," "),IF('Fuel Equipment'!P$14='Fuel Equipment'!$D$55,IF('Scissor Lifts'!$J43&gt;0,'Scissor Lifts'!$J43," "),"NOT REQUIRED"))))),"NOT REQUIRED")</f>
        <v>NOT REQUIRED</v>
      </c>
      <c r="Q5" s="474" t="str">
        <f>IF('Fuel Equipment'!Q$14&gt;0,IF('Fuel Equipment'!Q$14='Fuel Equipment'!$D$51,IF(Cranes!$G22&gt;0,Cranes!$G22," "),IF('Fuel Equipment'!Q$14='Fuel Equipment'!$D$52,IF(Dumpers!$V31&gt;0,Dumpers!$V31," "),IF('Fuel Equipment'!Q$14='Fuel Equipment'!$D$53,IF(Excavators!$W59&gt;0,Excavators!$W59," "),IF('Fuel Equipment'!Q$14='Fuel Equipment'!$D$54,IF(Generators!$O119&gt;0,Generators!$O119," "),IF('Fuel Equipment'!Q$14='Fuel Equipment'!$D$55,IF('Scissor Lifts'!$J43&gt;0,'Scissor Lifts'!$J43," "),"NOT REQUIRED"))))),"NOT REQUIRED")</f>
        <v>NOT REQUIRED</v>
      </c>
      <c r="R5" s="474" t="str">
        <f>IF('Fuel Equipment'!R$14&gt;0,IF('Fuel Equipment'!R$14='Fuel Equipment'!$D$51,IF(Cranes!$G22&gt;0,Cranes!$G22," "),IF('Fuel Equipment'!R$14='Fuel Equipment'!$D$52,IF(Dumpers!$V31&gt;0,Dumpers!$V31," "),IF('Fuel Equipment'!R$14='Fuel Equipment'!$D$53,IF(Excavators!$W59&gt;0,Excavators!$W59," "),IF('Fuel Equipment'!R$14='Fuel Equipment'!$D$54,IF(Generators!$O119&gt;0,Generators!$O119," "),IF('Fuel Equipment'!R$14='Fuel Equipment'!$D$55,IF('Scissor Lifts'!$J43&gt;0,'Scissor Lifts'!$J43," "),"NOT REQUIRED"))))),"NOT REQUIRED")</f>
        <v>NOT REQUIRED</v>
      </c>
      <c r="S5" s="474" t="str">
        <f>IF('Fuel Equipment'!S$14&gt;0,IF('Fuel Equipment'!S$14='Fuel Equipment'!$D$51,IF(Cranes!$G22&gt;0,Cranes!$G22," "),IF('Fuel Equipment'!S$14='Fuel Equipment'!$D$52,IF(Dumpers!$V31&gt;0,Dumpers!$V31," "),IF('Fuel Equipment'!S$14='Fuel Equipment'!$D$53,IF(Excavators!$W59&gt;0,Excavators!$W59," "),IF('Fuel Equipment'!S$14='Fuel Equipment'!$D$54,IF(Generators!$O119&gt;0,Generators!$O119," "),IF('Fuel Equipment'!S$14='Fuel Equipment'!$D$55,IF('Scissor Lifts'!$J43&gt;0,'Scissor Lifts'!$J43," "),"NOT REQUIRED"))))),"NOT REQUIRED")</f>
        <v>NOT REQUIRED</v>
      </c>
      <c r="U5" s="927"/>
      <c r="V5" s="927"/>
      <c r="W5" s="927"/>
      <c r="X5" s="927"/>
      <c r="Y5" s="927"/>
      <c r="Z5" s="927"/>
    </row>
    <row r="6" spans="1:26" s="179" customFormat="1">
      <c r="B6" s="474" t="str">
        <f>IF('Fuel Equipment'!B$14&gt;0,IF('Fuel Equipment'!B$14='Fuel Equipment'!$D$51,IF(Cranes!$G23&gt;0,Cranes!$G23," "),IF('Fuel Equipment'!B$14='Fuel Equipment'!$D$52,IF(Dumpers!$V32&gt;0,Dumpers!$V32," "),IF('Fuel Equipment'!B$14='Fuel Equipment'!$D$53,IF(Excavators!$W60&gt;0,Excavators!$W60," "),IF('Fuel Equipment'!B$14='Fuel Equipment'!$D$54,IF(Generators!$O120&gt;0,Generators!$O120," "),IF('Fuel Equipment'!B$14='Fuel Equipment'!$D$55,IF('Scissor Lifts'!$J44&gt;0,'Scissor Lifts'!$J44," "),"NOT REQUIRED"))))),"NOT REQUIRED")</f>
        <v>6T-8T</v>
      </c>
      <c r="C6" s="474" t="str">
        <f>IF('Fuel Equipment'!C$14&gt;0,IF('Fuel Equipment'!C$14='Fuel Equipment'!$D$51,IF(Cranes!$G23&gt;0,Cranes!$G23," "),IF('Fuel Equipment'!C$14='Fuel Equipment'!$D$52,IF(Dumpers!$V32&gt;0,Dumpers!$V32," "),IF('Fuel Equipment'!C$14='Fuel Equipment'!$D$53,IF(Excavators!$W60&gt;0,Excavators!$W60," "),IF('Fuel Equipment'!C$14='Fuel Equipment'!$D$54,IF(Generators!$O120&gt;0,Generators!$O120," "),IF('Fuel Equipment'!C$14='Fuel Equipment'!$D$55,IF('Scissor Lifts'!$J44&gt;0,'Scissor Lifts'!$J44," "),"NOT REQUIRED"))))),"NOT REQUIRED")</f>
        <v>6T-8T</v>
      </c>
      <c r="D6" s="474" t="str">
        <f>IF('Fuel Equipment'!D$14&gt;0,IF('Fuel Equipment'!D$14='Fuel Equipment'!$D$51,IF(Cranes!$G23&gt;0,Cranes!$G23," "),IF('Fuel Equipment'!D$14='Fuel Equipment'!$D$52,IF(Dumpers!$V32&gt;0,Dumpers!$V32," "),IF('Fuel Equipment'!D$14='Fuel Equipment'!$D$53,IF(Excavators!$W60&gt;0,Excavators!$W60," "),IF('Fuel Equipment'!D$14='Fuel Equipment'!$D$54,IF(Generators!$O120&gt;0,Generators!$O120," "),IF('Fuel Equipment'!D$14='Fuel Equipment'!$D$55,IF('Scissor Lifts'!$J44&gt;0,'Scissor Lifts'!$J44," "),"NOT REQUIRED"))))),"NOT REQUIRED")</f>
        <v>27kVA</v>
      </c>
      <c r="E6" s="474" t="str">
        <f>IF('Fuel Equipment'!E$14&gt;0,IF('Fuel Equipment'!E$14='Fuel Equipment'!$D$51,IF(Cranes!$G23&gt;0,Cranes!$G23," "),IF('Fuel Equipment'!E$14='Fuel Equipment'!$D$52,IF(Dumpers!$V32&gt;0,Dumpers!$V32," "),IF('Fuel Equipment'!E$14='Fuel Equipment'!$D$53,IF(Excavators!$W60&gt;0,Excavators!$W60," "),IF('Fuel Equipment'!E$14='Fuel Equipment'!$D$54,IF(Generators!$O120&gt;0,Generators!$O120," "),IF('Fuel Equipment'!E$14='Fuel Equipment'!$D$55,IF('Scissor Lifts'!$J44&gt;0,'Scissor Lifts'!$J44," "),"NOT REQUIRED"))))),"NOT REQUIRED")</f>
        <v>25T</v>
      </c>
      <c r="F6" s="474" t="str">
        <f>IF('Fuel Equipment'!F$14&gt;0,IF('Fuel Equipment'!F$14='Fuel Equipment'!$D$51,IF(Cranes!$G23&gt;0,Cranes!$G23," "),IF('Fuel Equipment'!F$14='Fuel Equipment'!$D$52,IF(Dumpers!$V32&gt;0,Dumpers!$V32," "),IF('Fuel Equipment'!F$14='Fuel Equipment'!$D$53,IF(Excavators!$W60&gt;0,Excavators!$W60," "),IF('Fuel Equipment'!F$14='Fuel Equipment'!$D$54,IF(Generators!$O120&gt;0,Generators!$O120," "),IF('Fuel Equipment'!F$14='Fuel Equipment'!$D$55,IF('Scissor Lifts'!$J44&gt;0,'Scissor Lifts'!$J44," "),"NOT REQUIRED"))))),"NOT REQUIRED")</f>
        <v>NOT REQUIRED</v>
      </c>
      <c r="G6" s="474" t="str">
        <f>IF('Fuel Equipment'!G$14&gt;0,IF('Fuel Equipment'!G$14='Fuel Equipment'!$D$51,IF(Cranes!$G23&gt;0,Cranes!$G23," "),IF('Fuel Equipment'!G$14='Fuel Equipment'!$D$52,IF(Dumpers!$V32&gt;0,Dumpers!$V32," "),IF('Fuel Equipment'!G$14='Fuel Equipment'!$D$53,IF(Excavators!$W60&gt;0,Excavators!$W60," "),IF('Fuel Equipment'!G$14='Fuel Equipment'!$D$54,IF(Generators!$O120&gt;0,Generators!$O120," "),IF('Fuel Equipment'!G$14='Fuel Equipment'!$D$55,IF('Scissor Lifts'!$J44&gt;0,'Scissor Lifts'!$J44," "),"NOT REQUIRED"))))),"NOT REQUIRED")</f>
        <v>NOT REQUIRED</v>
      </c>
      <c r="H6" s="474" t="str">
        <f>IF('Fuel Equipment'!H$14&gt;0,IF('Fuel Equipment'!H$14='Fuel Equipment'!$D$51,IF(Cranes!$G23&gt;0,Cranes!$G23," "),IF('Fuel Equipment'!H$14='Fuel Equipment'!$D$52,IF(Dumpers!$V32&gt;0,Dumpers!$V32," "),IF('Fuel Equipment'!H$14='Fuel Equipment'!$D$53,IF(Excavators!$W60&gt;0,Excavators!$W60," "),IF('Fuel Equipment'!H$14='Fuel Equipment'!$D$54,IF(Generators!$O120&gt;0,Generators!$O120," "),IF('Fuel Equipment'!H$14='Fuel Equipment'!$D$55,IF('Scissor Lifts'!$J44&gt;0,'Scissor Lifts'!$J44," "),"NOT REQUIRED"))))),"NOT REQUIRED")</f>
        <v>NOT REQUIRED</v>
      </c>
      <c r="I6" s="474" t="str">
        <f>IF('Fuel Equipment'!I$14&gt;0,IF('Fuel Equipment'!I$14='Fuel Equipment'!$D$51,IF(Cranes!$G23&gt;0,Cranes!$G23," "),IF('Fuel Equipment'!I$14='Fuel Equipment'!$D$52,IF(Dumpers!$V32&gt;0,Dumpers!$V32," "),IF('Fuel Equipment'!I$14='Fuel Equipment'!$D$53,IF(Excavators!$W60&gt;0,Excavators!$W60," "),IF('Fuel Equipment'!I$14='Fuel Equipment'!$D$54,IF(Generators!$O120&gt;0,Generators!$O120," "),IF('Fuel Equipment'!I$14='Fuel Equipment'!$D$55,IF('Scissor Lifts'!$J44&gt;0,'Scissor Lifts'!$J44," "),"NOT REQUIRED"))))),"NOT REQUIRED")</f>
        <v>NOT REQUIRED</v>
      </c>
      <c r="J6" s="474" t="str">
        <f>IF('Fuel Equipment'!J$14&gt;0,IF('Fuel Equipment'!J$14='Fuel Equipment'!$D$51,IF(Cranes!$G23&gt;0,Cranes!$G23," "),IF('Fuel Equipment'!J$14='Fuel Equipment'!$D$52,IF(Dumpers!$V32&gt;0,Dumpers!$V32," "),IF('Fuel Equipment'!J$14='Fuel Equipment'!$D$53,IF(Excavators!$W60&gt;0,Excavators!$W60," "),IF('Fuel Equipment'!J$14='Fuel Equipment'!$D$54,IF(Generators!$O120&gt;0,Generators!$O120," "),IF('Fuel Equipment'!J$14='Fuel Equipment'!$D$55,IF('Scissor Lifts'!$J44&gt;0,'Scissor Lifts'!$J44," "),"NOT REQUIRED"))))),"NOT REQUIRED")</f>
        <v>NOT REQUIRED</v>
      </c>
      <c r="K6" s="474" t="str">
        <f>IF('Fuel Equipment'!K$14&gt;0,IF('Fuel Equipment'!K$14='Fuel Equipment'!$D$51,IF(Cranes!$G23&gt;0,Cranes!$G23," "),IF('Fuel Equipment'!K$14='Fuel Equipment'!$D$52,IF(Dumpers!$V32&gt;0,Dumpers!$V32," "),IF('Fuel Equipment'!K$14='Fuel Equipment'!$D$53,IF(Excavators!$W60&gt;0,Excavators!$W60," "),IF('Fuel Equipment'!K$14='Fuel Equipment'!$D$54,IF(Generators!$O120&gt;0,Generators!$O120," "),IF('Fuel Equipment'!K$14='Fuel Equipment'!$D$55,IF('Scissor Lifts'!$J44&gt;0,'Scissor Lifts'!$J44," "),"NOT REQUIRED"))))),"NOT REQUIRED")</f>
        <v>NOT REQUIRED</v>
      </c>
      <c r="L6" s="474" t="str">
        <f>IF('Fuel Equipment'!L$14&gt;0,IF('Fuel Equipment'!L$14='Fuel Equipment'!$D$51,IF(Cranes!$G23&gt;0,Cranes!$G23," "),IF('Fuel Equipment'!L$14='Fuel Equipment'!$D$52,IF(Dumpers!$V32&gt;0,Dumpers!$V32," "),IF('Fuel Equipment'!L$14='Fuel Equipment'!$D$53,IF(Excavators!$W60&gt;0,Excavators!$W60," "),IF('Fuel Equipment'!L$14='Fuel Equipment'!$D$54,IF(Generators!$O120&gt;0,Generators!$O120," "),IF('Fuel Equipment'!L$14='Fuel Equipment'!$D$55,IF('Scissor Lifts'!$J44&gt;0,'Scissor Lifts'!$J44," "),"NOT REQUIRED"))))),"NOT REQUIRED")</f>
        <v>NOT REQUIRED</v>
      </c>
      <c r="M6" s="474" t="str">
        <f>IF('Fuel Equipment'!M$14&gt;0,IF('Fuel Equipment'!M$14='Fuel Equipment'!$D$51,IF(Cranes!$G23&gt;0,Cranes!$G23," "),IF('Fuel Equipment'!M$14='Fuel Equipment'!$D$52,IF(Dumpers!$V32&gt;0,Dumpers!$V32," "),IF('Fuel Equipment'!M$14='Fuel Equipment'!$D$53,IF(Excavators!$W60&gt;0,Excavators!$W60," "),IF('Fuel Equipment'!M$14='Fuel Equipment'!$D$54,IF(Generators!$O120&gt;0,Generators!$O120," "),IF('Fuel Equipment'!M$14='Fuel Equipment'!$D$55,IF('Scissor Lifts'!$J44&gt;0,'Scissor Lifts'!$J44," "),"NOT REQUIRED"))))),"NOT REQUIRED")</f>
        <v>NOT REQUIRED</v>
      </c>
      <c r="N6" s="474" t="str">
        <f>IF('Fuel Equipment'!N$14&gt;0,IF('Fuel Equipment'!N$14='Fuel Equipment'!$D$51,IF(Cranes!$G23&gt;0,Cranes!$G23," "),IF('Fuel Equipment'!N$14='Fuel Equipment'!$D$52,IF(Dumpers!$V32&gt;0,Dumpers!$V32," "),IF('Fuel Equipment'!N$14='Fuel Equipment'!$D$53,IF(Excavators!$W60&gt;0,Excavators!$W60," "),IF('Fuel Equipment'!N$14='Fuel Equipment'!$D$54,IF(Generators!$O120&gt;0,Generators!$O120," "),IF('Fuel Equipment'!N$14='Fuel Equipment'!$D$55,IF('Scissor Lifts'!$J44&gt;0,'Scissor Lifts'!$J44," "),"NOT REQUIRED"))))),"NOT REQUIRED")</f>
        <v>NOT REQUIRED</v>
      </c>
      <c r="O6" s="474" t="str">
        <f>IF('Fuel Equipment'!O$14&gt;0,IF('Fuel Equipment'!O$14='Fuel Equipment'!$D$51,IF(Cranes!$G23&gt;0,Cranes!$G23," "),IF('Fuel Equipment'!O$14='Fuel Equipment'!$D$52,IF(Dumpers!$V32&gt;0,Dumpers!$V32," "),IF('Fuel Equipment'!O$14='Fuel Equipment'!$D$53,IF(Excavators!$W60&gt;0,Excavators!$W60," "),IF('Fuel Equipment'!O$14='Fuel Equipment'!$D$54,IF(Generators!$O120&gt;0,Generators!$O120," "),IF('Fuel Equipment'!O$14='Fuel Equipment'!$D$55,IF('Scissor Lifts'!$J44&gt;0,'Scissor Lifts'!$J44," "),"NOT REQUIRED"))))),"NOT REQUIRED")</f>
        <v>NOT REQUIRED</v>
      </c>
      <c r="P6" s="474" t="str">
        <f>IF('Fuel Equipment'!P$14&gt;0,IF('Fuel Equipment'!P$14='Fuel Equipment'!$D$51,IF(Cranes!$G23&gt;0,Cranes!$G23," "),IF('Fuel Equipment'!P$14='Fuel Equipment'!$D$52,IF(Dumpers!$V32&gt;0,Dumpers!$V32," "),IF('Fuel Equipment'!P$14='Fuel Equipment'!$D$53,IF(Excavators!$W60&gt;0,Excavators!$W60," "),IF('Fuel Equipment'!P$14='Fuel Equipment'!$D$54,IF(Generators!$O120&gt;0,Generators!$O120," "),IF('Fuel Equipment'!P$14='Fuel Equipment'!$D$55,IF('Scissor Lifts'!$J44&gt;0,'Scissor Lifts'!$J44," "),"NOT REQUIRED"))))),"NOT REQUIRED")</f>
        <v>NOT REQUIRED</v>
      </c>
      <c r="Q6" s="474" t="str">
        <f>IF('Fuel Equipment'!Q$14&gt;0,IF('Fuel Equipment'!Q$14='Fuel Equipment'!$D$51,IF(Cranes!$G23&gt;0,Cranes!$G23," "),IF('Fuel Equipment'!Q$14='Fuel Equipment'!$D$52,IF(Dumpers!$V32&gt;0,Dumpers!$V32," "),IF('Fuel Equipment'!Q$14='Fuel Equipment'!$D$53,IF(Excavators!$W60&gt;0,Excavators!$W60," "),IF('Fuel Equipment'!Q$14='Fuel Equipment'!$D$54,IF(Generators!$O120&gt;0,Generators!$O120," "),IF('Fuel Equipment'!Q$14='Fuel Equipment'!$D$55,IF('Scissor Lifts'!$J44&gt;0,'Scissor Lifts'!$J44," "),"NOT REQUIRED"))))),"NOT REQUIRED")</f>
        <v>NOT REQUIRED</v>
      </c>
      <c r="R6" s="474" t="str">
        <f>IF('Fuel Equipment'!R$14&gt;0,IF('Fuel Equipment'!R$14='Fuel Equipment'!$D$51,IF(Cranes!$G23&gt;0,Cranes!$G23," "),IF('Fuel Equipment'!R$14='Fuel Equipment'!$D$52,IF(Dumpers!$V32&gt;0,Dumpers!$V32," "),IF('Fuel Equipment'!R$14='Fuel Equipment'!$D$53,IF(Excavators!$W60&gt;0,Excavators!$W60," "),IF('Fuel Equipment'!R$14='Fuel Equipment'!$D$54,IF(Generators!$O120&gt;0,Generators!$O120," "),IF('Fuel Equipment'!R$14='Fuel Equipment'!$D$55,IF('Scissor Lifts'!$J44&gt;0,'Scissor Lifts'!$J44," "),"NOT REQUIRED"))))),"NOT REQUIRED")</f>
        <v>NOT REQUIRED</v>
      </c>
      <c r="S6" s="474" t="str">
        <f>IF('Fuel Equipment'!S$14&gt;0,IF('Fuel Equipment'!S$14='Fuel Equipment'!$D$51,IF(Cranes!$G23&gt;0,Cranes!$G23," "),IF('Fuel Equipment'!S$14='Fuel Equipment'!$D$52,IF(Dumpers!$V32&gt;0,Dumpers!$V32," "),IF('Fuel Equipment'!S$14='Fuel Equipment'!$D$53,IF(Excavators!$W60&gt;0,Excavators!$W60," "),IF('Fuel Equipment'!S$14='Fuel Equipment'!$D$54,IF(Generators!$O120&gt;0,Generators!$O120," "),IF('Fuel Equipment'!S$14='Fuel Equipment'!$D$55,IF('Scissor Lifts'!$J44&gt;0,'Scissor Lifts'!$J44," "),"NOT REQUIRED"))))),"NOT REQUIRED")</f>
        <v>NOT REQUIRED</v>
      </c>
      <c r="U6" s="927"/>
      <c r="V6" s="927"/>
      <c r="W6" s="927"/>
      <c r="X6" s="927"/>
      <c r="Y6" s="927"/>
      <c r="Z6" s="927"/>
    </row>
    <row r="7" spans="1:26" s="179" customFormat="1">
      <c r="B7" s="474" t="str">
        <f>IF('Fuel Equipment'!B$14&gt;0,IF('Fuel Equipment'!B$14='Fuel Equipment'!$D$51,IF(Cranes!$G24&gt;0,Cranes!$G24," "),IF('Fuel Equipment'!B$14='Fuel Equipment'!$D$52,IF(Dumpers!$V33&gt;0,Dumpers!$V33," "),IF('Fuel Equipment'!B$14='Fuel Equipment'!$D$53,IF(Excavators!$W61&gt;0,Excavators!$W61," "),IF('Fuel Equipment'!B$14='Fuel Equipment'!$D$54,IF(Generators!$O121&gt;0,Generators!$O121," "),IF('Fuel Equipment'!B$14='Fuel Equipment'!$D$55,IF('Scissor Lifts'!$J45&gt;0,'Scissor Lifts'!$J45," "),"NOT REQUIRED"))))),"NOT REQUIRED")</f>
        <v>12T</v>
      </c>
      <c r="C7" s="474" t="str">
        <f>IF('Fuel Equipment'!C$14&gt;0,IF('Fuel Equipment'!C$14='Fuel Equipment'!$D$51,IF(Cranes!$G24&gt;0,Cranes!$G24," "),IF('Fuel Equipment'!C$14='Fuel Equipment'!$D$52,IF(Dumpers!$V33&gt;0,Dumpers!$V33," "),IF('Fuel Equipment'!C$14='Fuel Equipment'!$D$53,IF(Excavators!$W61&gt;0,Excavators!$W61," "),IF('Fuel Equipment'!C$14='Fuel Equipment'!$D$54,IF(Generators!$O121&gt;0,Generators!$O121," "),IF('Fuel Equipment'!C$14='Fuel Equipment'!$D$55,IF('Scissor Lifts'!$J45&gt;0,'Scissor Lifts'!$J45," "),"NOT REQUIRED"))))),"NOT REQUIRED")</f>
        <v>12T</v>
      </c>
      <c r="D7" s="474" t="str">
        <f>IF('Fuel Equipment'!D$14&gt;0,IF('Fuel Equipment'!D$14='Fuel Equipment'!$D$51,IF(Cranes!$G24&gt;0,Cranes!$G24," "),IF('Fuel Equipment'!D$14='Fuel Equipment'!$D$52,IF(Dumpers!$V33&gt;0,Dumpers!$V33," "),IF('Fuel Equipment'!D$14='Fuel Equipment'!$D$53,IF(Excavators!$W61&gt;0,Excavators!$W61," "),IF('Fuel Equipment'!D$14='Fuel Equipment'!$D$54,IF(Generators!$O121&gt;0,Generators!$O121," "),IF('Fuel Equipment'!D$14='Fuel Equipment'!$D$55,IF('Scissor Lifts'!$J45&gt;0,'Scissor Lifts'!$J45," "),"NOT REQUIRED"))))),"NOT REQUIRED")</f>
        <v>30kVA</v>
      </c>
      <c r="E7" s="474" t="str">
        <f>IF('Fuel Equipment'!E$14&gt;0,IF('Fuel Equipment'!E$14='Fuel Equipment'!$D$51,IF(Cranes!$G24&gt;0,Cranes!$G24," "),IF('Fuel Equipment'!E$14='Fuel Equipment'!$D$52,IF(Dumpers!$V33&gt;0,Dumpers!$V33," "),IF('Fuel Equipment'!E$14='Fuel Equipment'!$D$53,IF(Excavators!$W61&gt;0,Excavators!$W61," "),IF('Fuel Equipment'!E$14='Fuel Equipment'!$D$54,IF(Generators!$O121&gt;0,Generators!$O121," "),IF('Fuel Equipment'!E$14='Fuel Equipment'!$D$55,IF('Scissor Lifts'!$J45&gt;0,'Scissor Lifts'!$J45," "),"NOT REQUIRED"))))),"NOT REQUIRED")</f>
        <v>30T</v>
      </c>
      <c r="F7" s="474" t="str">
        <f>IF('Fuel Equipment'!F$14&gt;0,IF('Fuel Equipment'!F$14='Fuel Equipment'!$D$51,IF(Cranes!$G24&gt;0,Cranes!$G24," "),IF('Fuel Equipment'!F$14='Fuel Equipment'!$D$52,IF(Dumpers!$V33&gt;0,Dumpers!$V33," "),IF('Fuel Equipment'!F$14='Fuel Equipment'!$D$53,IF(Excavators!$W61&gt;0,Excavators!$W61," "),IF('Fuel Equipment'!F$14='Fuel Equipment'!$D$54,IF(Generators!$O121&gt;0,Generators!$O121," "),IF('Fuel Equipment'!F$14='Fuel Equipment'!$D$55,IF('Scissor Lifts'!$J45&gt;0,'Scissor Lifts'!$J45," "),"NOT REQUIRED"))))),"NOT REQUIRED")</f>
        <v>NOT REQUIRED</v>
      </c>
      <c r="G7" s="474" t="str">
        <f>IF('Fuel Equipment'!G$14&gt;0,IF('Fuel Equipment'!G$14='Fuel Equipment'!$D$51,IF(Cranes!$G24&gt;0,Cranes!$G24," "),IF('Fuel Equipment'!G$14='Fuel Equipment'!$D$52,IF(Dumpers!$V33&gt;0,Dumpers!$V33," "),IF('Fuel Equipment'!G$14='Fuel Equipment'!$D$53,IF(Excavators!$W61&gt;0,Excavators!$W61," "),IF('Fuel Equipment'!G$14='Fuel Equipment'!$D$54,IF(Generators!$O121&gt;0,Generators!$O121," "),IF('Fuel Equipment'!G$14='Fuel Equipment'!$D$55,IF('Scissor Lifts'!$J45&gt;0,'Scissor Lifts'!$J45," "),"NOT REQUIRED"))))),"NOT REQUIRED")</f>
        <v>NOT REQUIRED</v>
      </c>
      <c r="H7" s="474" t="str">
        <f>IF('Fuel Equipment'!H$14&gt;0,IF('Fuel Equipment'!H$14='Fuel Equipment'!$D$51,IF(Cranes!$G24&gt;0,Cranes!$G24," "),IF('Fuel Equipment'!H$14='Fuel Equipment'!$D$52,IF(Dumpers!$V33&gt;0,Dumpers!$V33," "),IF('Fuel Equipment'!H$14='Fuel Equipment'!$D$53,IF(Excavators!$W61&gt;0,Excavators!$W61," "),IF('Fuel Equipment'!H$14='Fuel Equipment'!$D$54,IF(Generators!$O121&gt;0,Generators!$O121," "),IF('Fuel Equipment'!H$14='Fuel Equipment'!$D$55,IF('Scissor Lifts'!$J45&gt;0,'Scissor Lifts'!$J45," "),"NOT REQUIRED"))))),"NOT REQUIRED")</f>
        <v>NOT REQUIRED</v>
      </c>
      <c r="I7" s="474" t="str">
        <f>IF('Fuel Equipment'!I$14&gt;0,IF('Fuel Equipment'!I$14='Fuel Equipment'!$D$51,IF(Cranes!$G24&gt;0,Cranes!$G24," "),IF('Fuel Equipment'!I$14='Fuel Equipment'!$D$52,IF(Dumpers!$V33&gt;0,Dumpers!$V33," "),IF('Fuel Equipment'!I$14='Fuel Equipment'!$D$53,IF(Excavators!$W61&gt;0,Excavators!$W61," "),IF('Fuel Equipment'!I$14='Fuel Equipment'!$D$54,IF(Generators!$O121&gt;0,Generators!$O121," "),IF('Fuel Equipment'!I$14='Fuel Equipment'!$D$55,IF('Scissor Lifts'!$J45&gt;0,'Scissor Lifts'!$J45," "),"NOT REQUIRED"))))),"NOT REQUIRED")</f>
        <v>NOT REQUIRED</v>
      </c>
      <c r="J7" s="474" t="str">
        <f>IF('Fuel Equipment'!J$14&gt;0,IF('Fuel Equipment'!J$14='Fuel Equipment'!$D$51,IF(Cranes!$G24&gt;0,Cranes!$G24," "),IF('Fuel Equipment'!J$14='Fuel Equipment'!$D$52,IF(Dumpers!$V33&gt;0,Dumpers!$V33," "),IF('Fuel Equipment'!J$14='Fuel Equipment'!$D$53,IF(Excavators!$W61&gt;0,Excavators!$W61," "),IF('Fuel Equipment'!J$14='Fuel Equipment'!$D$54,IF(Generators!$O121&gt;0,Generators!$O121," "),IF('Fuel Equipment'!J$14='Fuel Equipment'!$D$55,IF('Scissor Lifts'!$J45&gt;0,'Scissor Lifts'!$J45," "),"NOT REQUIRED"))))),"NOT REQUIRED")</f>
        <v>NOT REQUIRED</v>
      </c>
      <c r="K7" s="474" t="str">
        <f>IF('Fuel Equipment'!K$14&gt;0,IF('Fuel Equipment'!K$14='Fuel Equipment'!$D$51,IF(Cranes!$G24&gt;0,Cranes!$G24," "),IF('Fuel Equipment'!K$14='Fuel Equipment'!$D$52,IF(Dumpers!$V33&gt;0,Dumpers!$V33," "),IF('Fuel Equipment'!K$14='Fuel Equipment'!$D$53,IF(Excavators!$W61&gt;0,Excavators!$W61," "),IF('Fuel Equipment'!K$14='Fuel Equipment'!$D$54,IF(Generators!$O121&gt;0,Generators!$O121," "),IF('Fuel Equipment'!K$14='Fuel Equipment'!$D$55,IF('Scissor Lifts'!$J45&gt;0,'Scissor Lifts'!$J45," "),"NOT REQUIRED"))))),"NOT REQUIRED")</f>
        <v>NOT REQUIRED</v>
      </c>
      <c r="L7" s="474" t="str">
        <f>IF('Fuel Equipment'!L$14&gt;0,IF('Fuel Equipment'!L$14='Fuel Equipment'!$D$51,IF(Cranes!$G24&gt;0,Cranes!$G24," "),IF('Fuel Equipment'!L$14='Fuel Equipment'!$D$52,IF(Dumpers!$V33&gt;0,Dumpers!$V33," "),IF('Fuel Equipment'!L$14='Fuel Equipment'!$D$53,IF(Excavators!$W61&gt;0,Excavators!$W61," "),IF('Fuel Equipment'!L$14='Fuel Equipment'!$D$54,IF(Generators!$O121&gt;0,Generators!$O121," "),IF('Fuel Equipment'!L$14='Fuel Equipment'!$D$55,IF('Scissor Lifts'!$J45&gt;0,'Scissor Lifts'!$J45," "),"NOT REQUIRED"))))),"NOT REQUIRED")</f>
        <v>NOT REQUIRED</v>
      </c>
      <c r="M7" s="474" t="str">
        <f>IF('Fuel Equipment'!M$14&gt;0,IF('Fuel Equipment'!M$14='Fuel Equipment'!$D$51,IF(Cranes!$G24&gt;0,Cranes!$G24," "),IF('Fuel Equipment'!M$14='Fuel Equipment'!$D$52,IF(Dumpers!$V33&gt;0,Dumpers!$V33," "),IF('Fuel Equipment'!M$14='Fuel Equipment'!$D$53,IF(Excavators!$W61&gt;0,Excavators!$W61," "),IF('Fuel Equipment'!M$14='Fuel Equipment'!$D$54,IF(Generators!$O121&gt;0,Generators!$O121," "),IF('Fuel Equipment'!M$14='Fuel Equipment'!$D$55,IF('Scissor Lifts'!$J45&gt;0,'Scissor Lifts'!$J45," "),"NOT REQUIRED"))))),"NOT REQUIRED")</f>
        <v>NOT REQUIRED</v>
      </c>
      <c r="N7" s="474" t="str">
        <f>IF('Fuel Equipment'!N$14&gt;0,IF('Fuel Equipment'!N$14='Fuel Equipment'!$D$51,IF(Cranes!$G24&gt;0,Cranes!$G24," "),IF('Fuel Equipment'!N$14='Fuel Equipment'!$D$52,IF(Dumpers!$V33&gt;0,Dumpers!$V33," "),IF('Fuel Equipment'!N$14='Fuel Equipment'!$D$53,IF(Excavators!$W61&gt;0,Excavators!$W61," "),IF('Fuel Equipment'!N$14='Fuel Equipment'!$D$54,IF(Generators!$O121&gt;0,Generators!$O121," "),IF('Fuel Equipment'!N$14='Fuel Equipment'!$D$55,IF('Scissor Lifts'!$J45&gt;0,'Scissor Lifts'!$J45," "),"NOT REQUIRED"))))),"NOT REQUIRED")</f>
        <v>NOT REQUIRED</v>
      </c>
      <c r="O7" s="474" t="str">
        <f>IF('Fuel Equipment'!O$14&gt;0,IF('Fuel Equipment'!O$14='Fuel Equipment'!$D$51,IF(Cranes!$G24&gt;0,Cranes!$G24," "),IF('Fuel Equipment'!O$14='Fuel Equipment'!$D$52,IF(Dumpers!$V33&gt;0,Dumpers!$V33," "),IF('Fuel Equipment'!O$14='Fuel Equipment'!$D$53,IF(Excavators!$W61&gt;0,Excavators!$W61," "),IF('Fuel Equipment'!O$14='Fuel Equipment'!$D$54,IF(Generators!$O121&gt;0,Generators!$O121," "),IF('Fuel Equipment'!O$14='Fuel Equipment'!$D$55,IF('Scissor Lifts'!$J45&gt;0,'Scissor Lifts'!$J45," "),"NOT REQUIRED"))))),"NOT REQUIRED")</f>
        <v>NOT REQUIRED</v>
      </c>
      <c r="P7" s="474" t="str">
        <f>IF('Fuel Equipment'!P$14&gt;0,IF('Fuel Equipment'!P$14='Fuel Equipment'!$D$51,IF(Cranes!$G24&gt;0,Cranes!$G24," "),IF('Fuel Equipment'!P$14='Fuel Equipment'!$D$52,IF(Dumpers!$V33&gt;0,Dumpers!$V33," "),IF('Fuel Equipment'!P$14='Fuel Equipment'!$D$53,IF(Excavators!$W61&gt;0,Excavators!$W61," "),IF('Fuel Equipment'!P$14='Fuel Equipment'!$D$54,IF(Generators!$O121&gt;0,Generators!$O121," "),IF('Fuel Equipment'!P$14='Fuel Equipment'!$D$55,IF('Scissor Lifts'!$J45&gt;0,'Scissor Lifts'!$J45," "),"NOT REQUIRED"))))),"NOT REQUIRED")</f>
        <v>NOT REQUIRED</v>
      </c>
      <c r="Q7" s="474" t="str">
        <f>IF('Fuel Equipment'!Q$14&gt;0,IF('Fuel Equipment'!Q$14='Fuel Equipment'!$D$51,IF(Cranes!$G24&gt;0,Cranes!$G24," "),IF('Fuel Equipment'!Q$14='Fuel Equipment'!$D$52,IF(Dumpers!$V33&gt;0,Dumpers!$V33," "),IF('Fuel Equipment'!Q$14='Fuel Equipment'!$D$53,IF(Excavators!$W61&gt;0,Excavators!$W61," "),IF('Fuel Equipment'!Q$14='Fuel Equipment'!$D$54,IF(Generators!$O121&gt;0,Generators!$O121," "),IF('Fuel Equipment'!Q$14='Fuel Equipment'!$D$55,IF('Scissor Lifts'!$J45&gt;0,'Scissor Lifts'!$J45," "),"NOT REQUIRED"))))),"NOT REQUIRED")</f>
        <v>NOT REQUIRED</v>
      </c>
      <c r="R7" s="474" t="str">
        <f>IF('Fuel Equipment'!R$14&gt;0,IF('Fuel Equipment'!R$14='Fuel Equipment'!$D$51,IF(Cranes!$G24&gt;0,Cranes!$G24," "),IF('Fuel Equipment'!R$14='Fuel Equipment'!$D$52,IF(Dumpers!$V33&gt;0,Dumpers!$V33," "),IF('Fuel Equipment'!R$14='Fuel Equipment'!$D$53,IF(Excavators!$W61&gt;0,Excavators!$W61," "),IF('Fuel Equipment'!R$14='Fuel Equipment'!$D$54,IF(Generators!$O121&gt;0,Generators!$O121," "),IF('Fuel Equipment'!R$14='Fuel Equipment'!$D$55,IF('Scissor Lifts'!$J45&gt;0,'Scissor Lifts'!$J45," "),"NOT REQUIRED"))))),"NOT REQUIRED")</f>
        <v>NOT REQUIRED</v>
      </c>
      <c r="S7" s="474" t="str">
        <f>IF('Fuel Equipment'!S$14&gt;0,IF('Fuel Equipment'!S$14='Fuel Equipment'!$D$51,IF(Cranes!$G24&gt;0,Cranes!$G24," "),IF('Fuel Equipment'!S$14='Fuel Equipment'!$D$52,IF(Dumpers!$V33&gt;0,Dumpers!$V33," "),IF('Fuel Equipment'!S$14='Fuel Equipment'!$D$53,IF(Excavators!$W61&gt;0,Excavators!$W61," "),IF('Fuel Equipment'!S$14='Fuel Equipment'!$D$54,IF(Generators!$O121&gt;0,Generators!$O121," "),IF('Fuel Equipment'!S$14='Fuel Equipment'!$D$55,IF('Scissor Lifts'!$J45&gt;0,'Scissor Lifts'!$J45," "),"NOT REQUIRED"))))),"NOT REQUIRED")</f>
        <v>NOT REQUIRED</v>
      </c>
      <c r="U7" s="927"/>
      <c r="V7" s="927"/>
      <c r="W7" s="927"/>
      <c r="X7" s="927"/>
      <c r="Y7" s="927"/>
      <c r="Z7" s="927"/>
    </row>
    <row r="8" spans="1:26" s="179" customFormat="1">
      <c r="B8" s="474" t="str">
        <f>IF('Fuel Equipment'!B$14&gt;0,IF('Fuel Equipment'!B$14='Fuel Equipment'!$D$51,IF(Cranes!$G25&gt;0,Cranes!$G25," "),IF('Fuel Equipment'!B$14='Fuel Equipment'!$D$52,IF(Dumpers!$V34&gt;0,Dumpers!$V34," "),IF('Fuel Equipment'!B$14='Fuel Equipment'!$D$53,IF(Excavators!$W62&gt;0,Excavators!$W62," "),IF('Fuel Equipment'!B$14='Fuel Equipment'!$D$54,IF(Generators!$O122&gt;0,Generators!$O122," "),IF('Fuel Equipment'!B$14='Fuel Equipment'!$D$55,IF('Scissor Lifts'!$J46&gt;0,'Scissor Lifts'!$J46," "),"NOT REQUIRED"))))),"NOT REQUIRED")</f>
        <v>16T</v>
      </c>
      <c r="C8" s="474" t="str">
        <f>IF('Fuel Equipment'!C$14&gt;0,IF('Fuel Equipment'!C$14='Fuel Equipment'!$D$51,IF(Cranes!$G25&gt;0,Cranes!$G25," "),IF('Fuel Equipment'!C$14='Fuel Equipment'!$D$52,IF(Dumpers!$V34&gt;0,Dumpers!$V34," "),IF('Fuel Equipment'!C$14='Fuel Equipment'!$D$53,IF(Excavators!$W62&gt;0,Excavators!$W62," "),IF('Fuel Equipment'!C$14='Fuel Equipment'!$D$54,IF(Generators!$O122&gt;0,Generators!$O122," "),IF('Fuel Equipment'!C$14='Fuel Equipment'!$D$55,IF('Scissor Lifts'!$J46&gt;0,'Scissor Lifts'!$J46," "),"NOT REQUIRED"))))),"NOT REQUIRED")</f>
        <v>16T</v>
      </c>
      <c r="D8" s="474" t="str">
        <f>IF('Fuel Equipment'!D$14&gt;0,IF('Fuel Equipment'!D$14='Fuel Equipment'!$D$51,IF(Cranes!$G25&gt;0,Cranes!$G25," "),IF('Fuel Equipment'!D$14='Fuel Equipment'!$D$52,IF(Dumpers!$V34&gt;0,Dumpers!$V34," "),IF('Fuel Equipment'!D$14='Fuel Equipment'!$D$53,IF(Excavators!$W62&gt;0,Excavators!$W62," "),IF('Fuel Equipment'!D$14='Fuel Equipment'!$D$54,IF(Generators!$O122&gt;0,Generators!$O122," "),IF('Fuel Equipment'!D$14='Fuel Equipment'!$D$55,IF('Scissor Lifts'!$J46&gt;0,'Scissor Lifts'!$J46," "),"NOT REQUIRED"))))),"NOT REQUIRED")</f>
        <v>60kVA</v>
      </c>
      <c r="E8" s="474" t="str">
        <f>IF('Fuel Equipment'!E$14&gt;0,IF('Fuel Equipment'!E$14='Fuel Equipment'!$D$51,IF(Cranes!$G25&gt;0,Cranes!$G25," "),IF('Fuel Equipment'!E$14='Fuel Equipment'!$D$52,IF(Dumpers!$V34&gt;0,Dumpers!$V34," "),IF('Fuel Equipment'!E$14='Fuel Equipment'!$D$53,IF(Excavators!$W62&gt;0,Excavators!$W62," "),IF('Fuel Equipment'!E$14='Fuel Equipment'!$D$54,IF(Generators!$O122&gt;0,Generators!$O122," "),IF('Fuel Equipment'!E$14='Fuel Equipment'!$D$55,IF('Scissor Lifts'!$J46&gt;0,'Scissor Lifts'!$J46," "),"NOT REQUIRED"))))),"NOT REQUIRED")</f>
        <v>35T</v>
      </c>
      <c r="F8" s="474" t="str">
        <f>IF('Fuel Equipment'!F$14&gt;0,IF('Fuel Equipment'!F$14='Fuel Equipment'!$D$51,IF(Cranes!$G25&gt;0,Cranes!$G25," "),IF('Fuel Equipment'!F$14='Fuel Equipment'!$D$52,IF(Dumpers!$V34&gt;0,Dumpers!$V34," "),IF('Fuel Equipment'!F$14='Fuel Equipment'!$D$53,IF(Excavators!$W62&gt;0,Excavators!$W62," "),IF('Fuel Equipment'!F$14='Fuel Equipment'!$D$54,IF(Generators!$O122&gt;0,Generators!$O122," "),IF('Fuel Equipment'!F$14='Fuel Equipment'!$D$55,IF('Scissor Lifts'!$J46&gt;0,'Scissor Lifts'!$J46," "),"NOT REQUIRED"))))),"NOT REQUIRED")</f>
        <v>NOT REQUIRED</v>
      </c>
      <c r="G8" s="474" t="str">
        <f>IF('Fuel Equipment'!G$14&gt;0,IF('Fuel Equipment'!G$14='Fuel Equipment'!$D$51,IF(Cranes!$G25&gt;0,Cranes!$G25," "),IF('Fuel Equipment'!G$14='Fuel Equipment'!$D$52,IF(Dumpers!$V34&gt;0,Dumpers!$V34," "),IF('Fuel Equipment'!G$14='Fuel Equipment'!$D$53,IF(Excavators!$W62&gt;0,Excavators!$W62," "),IF('Fuel Equipment'!G$14='Fuel Equipment'!$D$54,IF(Generators!$O122&gt;0,Generators!$O122," "),IF('Fuel Equipment'!G$14='Fuel Equipment'!$D$55,IF('Scissor Lifts'!$J46&gt;0,'Scissor Lifts'!$J46," "),"NOT REQUIRED"))))),"NOT REQUIRED")</f>
        <v>NOT REQUIRED</v>
      </c>
      <c r="H8" s="474" t="str">
        <f>IF('Fuel Equipment'!H$14&gt;0,IF('Fuel Equipment'!H$14='Fuel Equipment'!$D$51,IF(Cranes!$G25&gt;0,Cranes!$G25," "),IF('Fuel Equipment'!H$14='Fuel Equipment'!$D$52,IF(Dumpers!$V34&gt;0,Dumpers!$V34," "),IF('Fuel Equipment'!H$14='Fuel Equipment'!$D$53,IF(Excavators!$W62&gt;0,Excavators!$W62," "),IF('Fuel Equipment'!H$14='Fuel Equipment'!$D$54,IF(Generators!$O122&gt;0,Generators!$O122," "),IF('Fuel Equipment'!H$14='Fuel Equipment'!$D$55,IF('Scissor Lifts'!$J46&gt;0,'Scissor Lifts'!$J46," "),"NOT REQUIRED"))))),"NOT REQUIRED")</f>
        <v>NOT REQUIRED</v>
      </c>
      <c r="I8" s="474" t="str">
        <f>IF('Fuel Equipment'!I$14&gt;0,IF('Fuel Equipment'!I$14='Fuel Equipment'!$D$51,IF(Cranes!$G25&gt;0,Cranes!$G25," "),IF('Fuel Equipment'!I$14='Fuel Equipment'!$D$52,IF(Dumpers!$V34&gt;0,Dumpers!$V34," "),IF('Fuel Equipment'!I$14='Fuel Equipment'!$D$53,IF(Excavators!$W62&gt;0,Excavators!$W62," "),IF('Fuel Equipment'!I$14='Fuel Equipment'!$D$54,IF(Generators!$O122&gt;0,Generators!$O122," "),IF('Fuel Equipment'!I$14='Fuel Equipment'!$D$55,IF('Scissor Lifts'!$J46&gt;0,'Scissor Lifts'!$J46," "),"NOT REQUIRED"))))),"NOT REQUIRED")</f>
        <v>NOT REQUIRED</v>
      </c>
      <c r="J8" s="474" t="str">
        <f>IF('Fuel Equipment'!J$14&gt;0,IF('Fuel Equipment'!J$14='Fuel Equipment'!$D$51,IF(Cranes!$G25&gt;0,Cranes!$G25," "),IF('Fuel Equipment'!J$14='Fuel Equipment'!$D$52,IF(Dumpers!$V34&gt;0,Dumpers!$V34," "),IF('Fuel Equipment'!J$14='Fuel Equipment'!$D$53,IF(Excavators!$W62&gt;0,Excavators!$W62," "),IF('Fuel Equipment'!J$14='Fuel Equipment'!$D$54,IF(Generators!$O122&gt;0,Generators!$O122," "),IF('Fuel Equipment'!J$14='Fuel Equipment'!$D$55,IF('Scissor Lifts'!$J46&gt;0,'Scissor Lifts'!$J46," "),"NOT REQUIRED"))))),"NOT REQUIRED")</f>
        <v>NOT REQUIRED</v>
      </c>
      <c r="K8" s="474" t="str">
        <f>IF('Fuel Equipment'!K$14&gt;0,IF('Fuel Equipment'!K$14='Fuel Equipment'!$D$51,IF(Cranes!$G25&gt;0,Cranes!$G25," "),IF('Fuel Equipment'!K$14='Fuel Equipment'!$D$52,IF(Dumpers!$V34&gt;0,Dumpers!$V34," "),IF('Fuel Equipment'!K$14='Fuel Equipment'!$D$53,IF(Excavators!$W62&gt;0,Excavators!$W62," "),IF('Fuel Equipment'!K$14='Fuel Equipment'!$D$54,IF(Generators!$O122&gt;0,Generators!$O122," "),IF('Fuel Equipment'!K$14='Fuel Equipment'!$D$55,IF('Scissor Lifts'!$J46&gt;0,'Scissor Lifts'!$J46," "),"NOT REQUIRED"))))),"NOT REQUIRED")</f>
        <v>NOT REQUIRED</v>
      </c>
      <c r="L8" s="474" t="str">
        <f>IF('Fuel Equipment'!L$14&gt;0,IF('Fuel Equipment'!L$14='Fuel Equipment'!$D$51,IF(Cranes!$G25&gt;0,Cranes!$G25," "),IF('Fuel Equipment'!L$14='Fuel Equipment'!$D$52,IF(Dumpers!$V34&gt;0,Dumpers!$V34," "),IF('Fuel Equipment'!L$14='Fuel Equipment'!$D$53,IF(Excavators!$W62&gt;0,Excavators!$W62," "),IF('Fuel Equipment'!L$14='Fuel Equipment'!$D$54,IF(Generators!$O122&gt;0,Generators!$O122," "),IF('Fuel Equipment'!L$14='Fuel Equipment'!$D$55,IF('Scissor Lifts'!$J46&gt;0,'Scissor Lifts'!$J46," "),"NOT REQUIRED"))))),"NOT REQUIRED")</f>
        <v>NOT REQUIRED</v>
      </c>
      <c r="M8" s="474" t="str">
        <f>IF('Fuel Equipment'!M$14&gt;0,IF('Fuel Equipment'!M$14='Fuel Equipment'!$D$51,IF(Cranes!$G25&gt;0,Cranes!$G25," "),IF('Fuel Equipment'!M$14='Fuel Equipment'!$D$52,IF(Dumpers!$V34&gt;0,Dumpers!$V34," "),IF('Fuel Equipment'!M$14='Fuel Equipment'!$D$53,IF(Excavators!$W62&gt;0,Excavators!$W62," "),IF('Fuel Equipment'!M$14='Fuel Equipment'!$D$54,IF(Generators!$O122&gt;0,Generators!$O122," "),IF('Fuel Equipment'!M$14='Fuel Equipment'!$D$55,IF('Scissor Lifts'!$J46&gt;0,'Scissor Lifts'!$J46," "),"NOT REQUIRED"))))),"NOT REQUIRED")</f>
        <v>NOT REQUIRED</v>
      </c>
      <c r="N8" s="474" t="str">
        <f>IF('Fuel Equipment'!N$14&gt;0,IF('Fuel Equipment'!N$14='Fuel Equipment'!$D$51,IF(Cranes!$G25&gt;0,Cranes!$G25," "),IF('Fuel Equipment'!N$14='Fuel Equipment'!$D$52,IF(Dumpers!$V34&gt;0,Dumpers!$V34," "),IF('Fuel Equipment'!N$14='Fuel Equipment'!$D$53,IF(Excavators!$W62&gt;0,Excavators!$W62," "),IF('Fuel Equipment'!N$14='Fuel Equipment'!$D$54,IF(Generators!$O122&gt;0,Generators!$O122," "),IF('Fuel Equipment'!N$14='Fuel Equipment'!$D$55,IF('Scissor Lifts'!$J46&gt;0,'Scissor Lifts'!$J46," "),"NOT REQUIRED"))))),"NOT REQUIRED")</f>
        <v>NOT REQUIRED</v>
      </c>
      <c r="O8" s="474" t="str">
        <f>IF('Fuel Equipment'!O$14&gt;0,IF('Fuel Equipment'!O$14='Fuel Equipment'!$D$51,IF(Cranes!$G25&gt;0,Cranes!$G25," "),IF('Fuel Equipment'!O$14='Fuel Equipment'!$D$52,IF(Dumpers!$V34&gt;0,Dumpers!$V34," "),IF('Fuel Equipment'!O$14='Fuel Equipment'!$D$53,IF(Excavators!$W62&gt;0,Excavators!$W62," "),IF('Fuel Equipment'!O$14='Fuel Equipment'!$D$54,IF(Generators!$O122&gt;0,Generators!$O122," "),IF('Fuel Equipment'!O$14='Fuel Equipment'!$D$55,IF('Scissor Lifts'!$J46&gt;0,'Scissor Lifts'!$J46," "),"NOT REQUIRED"))))),"NOT REQUIRED")</f>
        <v>NOT REQUIRED</v>
      </c>
      <c r="P8" s="474" t="str">
        <f>IF('Fuel Equipment'!P$14&gt;0,IF('Fuel Equipment'!P$14='Fuel Equipment'!$D$51,IF(Cranes!$G25&gt;0,Cranes!$G25," "),IF('Fuel Equipment'!P$14='Fuel Equipment'!$D$52,IF(Dumpers!$V34&gt;0,Dumpers!$V34," "),IF('Fuel Equipment'!P$14='Fuel Equipment'!$D$53,IF(Excavators!$W62&gt;0,Excavators!$W62," "),IF('Fuel Equipment'!P$14='Fuel Equipment'!$D$54,IF(Generators!$O122&gt;0,Generators!$O122," "),IF('Fuel Equipment'!P$14='Fuel Equipment'!$D$55,IF('Scissor Lifts'!$J46&gt;0,'Scissor Lifts'!$J46," "),"NOT REQUIRED"))))),"NOT REQUIRED")</f>
        <v>NOT REQUIRED</v>
      </c>
      <c r="Q8" s="474" t="str">
        <f>IF('Fuel Equipment'!Q$14&gt;0,IF('Fuel Equipment'!Q$14='Fuel Equipment'!$D$51,IF(Cranes!$G25&gt;0,Cranes!$G25," "),IF('Fuel Equipment'!Q$14='Fuel Equipment'!$D$52,IF(Dumpers!$V34&gt;0,Dumpers!$V34," "),IF('Fuel Equipment'!Q$14='Fuel Equipment'!$D$53,IF(Excavators!$W62&gt;0,Excavators!$W62," "),IF('Fuel Equipment'!Q$14='Fuel Equipment'!$D$54,IF(Generators!$O122&gt;0,Generators!$O122," "),IF('Fuel Equipment'!Q$14='Fuel Equipment'!$D$55,IF('Scissor Lifts'!$J46&gt;0,'Scissor Lifts'!$J46," "),"NOT REQUIRED"))))),"NOT REQUIRED")</f>
        <v>NOT REQUIRED</v>
      </c>
      <c r="R8" s="474" t="str">
        <f>IF('Fuel Equipment'!R$14&gt;0,IF('Fuel Equipment'!R$14='Fuel Equipment'!$D$51,IF(Cranes!$G25&gt;0,Cranes!$G25," "),IF('Fuel Equipment'!R$14='Fuel Equipment'!$D$52,IF(Dumpers!$V34&gt;0,Dumpers!$V34," "),IF('Fuel Equipment'!R$14='Fuel Equipment'!$D$53,IF(Excavators!$W62&gt;0,Excavators!$W62," "),IF('Fuel Equipment'!R$14='Fuel Equipment'!$D$54,IF(Generators!$O122&gt;0,Generators!$O122," "),IF('Fuel Equipment'!R$14='Fuel Equipment'!$D$55,IF('Scissor Lifts'!$J46&gt;0,'Scissor Lifts'!$J46," "),"NOT REQUIRED"))))),"NOT REQUIRED")</f>
        <v>NOT REQUIRED</v>
      </c>
      <c r="S8" s="474" t="str">
        <f>IF('Fuel Equipment'!S$14&gt;0,IF('Fuel Equipment'!S$14='Fuel Equipment'!$D$51,IF(Cranes!$G25&gt;0,Cranes!$G25," "),IF('Fuel Equipment'!S$14='Fuel Equipment'!$D$52,IF(Dumpers!$V34&gt;0,Dumpers!$V34," "),IF('Fuel Equipment'!S$14='Fuel Equipment'!$D$53,IF(Excavators!$W62&gt;0,Excavators!$W62," "),IF('Fuel Equipment'!S$14='Fuel Equipment'!$D$54,IF(Generators!$O122&gt;0,Generators!$O122," "),IF('Fuel Equipment'!S$14='Fuel Equipment'!$D$55,IF('Scissor Lifts'!$J46&gt;0,'Scissor Lifts'!$J46," "),"NOT REQUIRED"))))),"NOT REQUIRED")</f>
        <v>NOT REQUIRED</v>
      </c>
      <c r="U8" s="927"/>
      <c r="V8" s="927"/>
      <c r="W8" s="927"/>
      <c r="X8" s="927"/>
      <c r="Y8" s="927"/>
      <c r="Z8" s="927"/>
    </row>
    <row r="9" spans="1:26" s="179" customFormat="1">
      <c r="B9" s="474" t="str">
        <f>IF('Fuel Equipment'!B$14&gt;0,IF('Fuel Equipment'!B$14='Fuel Equipment'!$D$51,IF(Cranes!$G26&gt;0,Cranes!$G26," "),IF('Fuel Equipment'!B$14='Fuel Equipment'!$D$52,IF(Dumpers!$V35&gt;0,Dumpers!$V35," "),IF('Fuel Equipment'!B$14='Fuel Equipment'!$D$53,IF(Excavators!$W63&gt;0,Excavators!$W63," "),IF('Fuel Equipment'!B$14='Fuel Equipment'!$D$54,IF(Generators!$O123&gt;0,Generators!$O123," "),IF('Fuel Equipment'!B$14='Fuel Equipment'!$D$55,IF('Scissor Lifts'!$J47&gt;0,'Scissor Lifts'!$J47," "),"NOT REQUIRED"))))),"NOT REQUIRED")</f>
        <v>18T</v>
      </c>
      <c r="C9" s="474" t="str">
        <f>IF('Fuel Equipment'!C$14&gt;0,IF('Fuel Equipment'!C$14='Fuel Equipment'!$D$51,IF(Cranes!$G26&gt;0,Cranes!$G26," "),IF('Fuel Equipment'!C$14='Fuel Equipment'!$D$52,IF(Dumpers!$V35&gt;0,Dumpers!$V35," "),IF('Fuel Equipment'!C$14='Fuel Equipment'!$D$53,IF(Excavators!$W63&gt;0,Excavators!$W63," "),IF('Fuel Equipment'!C$14='Fuel Equipment'!$D$54,IF(Generators!$O123&gt;0,Generators!$O123," "),IF('Fuel Equipment'!C$14='Fuel Equipment'!$D$55,IF('Scissor Lifts'!$J47&gt;0,'Scissor Lifts'!$J47," "),"NOT REQUIRED"))))),"NOT REQUIRED")</f>
        <v>18T</v>
      </c>
      <c r="D9" s="474" t="str">
        <f>IF('Fuel Equipment'!D$14&gt;0,IF('Fuel Equipment'!D$14='Fuel Equipment'!$D$51,IF(Cranes!$G26&gt;0,Cranes!$G26," "),IF('Fuel Equipment'!D$14='Fuel Equipment'!$D$52,IF(Dumpers!$V35&gt;0,Dumpers!$V35," "),IF('Fuel Equipment'!D$14='Fuel Equipment'!$D$53,IF(Excavators!$W63&gt;0,Excavators!$W63," "),IF('Fuel Equipment'!D$14='Fuel Equipment'!$D$54,IF(Generators!$O123&gt;0,Generators!$O123," "),IF('Fuel Equipment'!D$14='Fuel Equipment'!$D$55,IF('Scissor Lifts'!$J47&gt;0,'Scissor Lifts'!$J47," "),"NOT REQUIRED"))))),"NOT REQUIRED")</f>
        <v>100kVA</v>
      </c>
      <c r="E9" s="474" t="str">
        <f>IF('Fuel Equipment'!E$14&gt;0,IF('Fuel Equipment'!E$14='Fuel Equipment'!$D$51,IF(Cranes!$G26&gt;0,Cranes!$G26," "),IF('Fuel Equipment'!E$14='Fuel Equipment'!$D$52,IF(Dumpers!$V35&gt;0,Dumpers!$V35," "),IF('Fuel Equipment'!E$14='Fuel Equipment'!$D$53,IF(Excavators!$W63&gt;0,Excavators!$W63," "),IF('Fuel Equipment'!E$14='Fuel Equipment'!$D$54,IF(Generators!$O123&gt;0,Generators!$O123," "),IF('Fuel Equipment'!E$14='Fuel Equipment'!$D$55,IF('Scissor Lifts'!$J47&gt;0,'Scissor Lifts'!$J47," "),"NOT REQUIRED"))))),"NOT REQUIRED")</f>
        <v xml:space="preserve"> </v>
      </c>
      <c r="F9" s="474" t="str">
        <f>IF('Fuel Equipment'!F$14&gt;0,IF('Fuel Equipment'!F$14='Fuel Equipment'!$D$51,IF(Cranes!$G26&gt;0,Cranes!$G26," "),IF('Fuel Equipment'!F$14='Fuel Equipment'!$D$52,IF(Dumpers!$V35&gt;0,Dumpers!$V35," "),IF('Fuel Equipment'!F$14='Fuel Equipment'!$D$53,IF(Excavators!$W63&gt;0,Excavators!$W63," "),IF('Fuel Equipment'!F$14='Fuel Equipment'!$D$54,IF(Generators!$O123&gt;0,Generators!$O123," "),IF('Fuel Equipment'!F$14='Fuel Equipment'!$D$55,IF('Scissor Lifts'!$J47&gt;0,'Scissor Lifts'!$J47," "),"NOT REQUIRED"))))),"NOT REQUIRED")</f>
        <v>NOT REQUIRED</v>
      </c>
      <c r="G9" s="474" t="str">
        <f>IF('Fuel Equipment'!G$14&gt;0,IF('Fuel Equipment'!G$14='Fuel Equipment'!$D$51,IF(Cranes!$G26&gt;0,Cranes!$G26," "),IF('Fuel Equipment'!G$14='Fuel Equipment'!$D$52,IF(Dumpers!$V35&gt;0,Dumpers!$V35," "),IF('Fuel Equipment'!G$14='Fuel Equipment'!$D$53,IF(Excavators!$W63&gt;0,Excavators!$W63," "),IF('Fuel Equipment'!G$14='Fuel Equipment'!$D$54,IF(Generators!$O123&gt;0,Generators!$O123," "),IF('Fuel Equipment'!G$14='Fuel Equipment'!$D$55,IF('Scissor Lifts'!$J47&gt;0,'Scissor Lifts'!$J47," "),"NOT REQUIRED"))))),"NOT REQUIRED")</f>
        <v>NOT REQUIRED</v>
      </c>
      <c r="H9" s="474" t="str">
        <f>IF('Fuel Equipment'!H$14&gt;0,IF('Fuel Equipment'!H$14='Fuel Equipment'!$D$51,IF(Cranes!$G26&gt;0,Cranes!$G26," "),IF('Fuel Equipment'!H$14='Fuel Equipment'!$D$52,IF(Dumpers!$V35&gt;0,Dumpers!$V35," "),IF('Fuel Equipment'!H$14='Fuel Equipment'!$D$53,IF(Excavators!$W63&gt;0,Excavators!$W63," "),IF('Fuel Equipment'!H$14='Fuel Equipment'!$D$54,IF(Generators!$O123&gt;0,Generators!$O123," "),IF('Fuel Equipment'!H$14='Fuel Equipment'!$D$55,IF('Scissor Lifts'!$J47&gt;0,'Scissor Lifts'!$J47," "),"NOT REQUIRED"))))),"NOT REQUIRED")</f>
        <v>NOT REQUIRED</v>
      </c>
      <c r="I9" s="474" t="str">
        <f>IF('Fuel Equipment'!I$14&gt;0,IF('Fuel Equipment'!I$14='Fuel Equipment'!$D$51,IF(Cranes!$G26&gt;0,Cranes!$G26," "),IF('Fuel Equipment'!I$14='Fuel Equipment'!$D$52,IF(Dumpers!$V35&gt;0,Dumpers!$V35," "),IF('Fuel Equipment'!I$14='Fuel Equipment'!$D$53,IF(Excavators!$W63&gt;0,Excavators!$W63," "),IF('Fuel Equipment'!I$14='Fuel Equipment'!$D$54,IF(Generators!$O123&gt;0,Generators!$O123," "),IF('Fuel Equipment'!I$14='Fuel Equipment'!$D$55,IF('Scissor Lifts'!$J47&gt;0,'Scissor Lifts'!$J47," "),"NOT REQUIRED"))))),"NOT REQUIRED")</f>
        <v>NOT REQUIRED</v>
      </c>
      <c r="J9" s="474" t="str">
        <f>IF('Fuel Equipment'!J$14&gt;0,IF('Fuel Equipment'!J$14='Fuel Equipment'!$D$51,IF(Cranes!$G26&gt;0,Cranes!$G26," "),IF('Fuel Equipment'!J$14='Fuel Equipment'!$D$52,IF(Dumpers!$V35&gt;0,Dumpers!$V35," "),IF('Fuel Equipment'!J$14='Fuel Equipment'!$D$53,IF(Excavators!$W63&gt;0,Excavators!$W63," "),IF('Fuel Equipment'!J$14='Fuel Equipment'!$D$54,IF(Generators!$O123&gt;0,Generators!$O123," "),IF('Fuel Equipment'!J$14='Fuel Equipment'!$D$55,IF('Scissor Lifts'!$J47&gt;0,'Scissor Lifts'!$J47," "),"NOT REQUIRED"))))),"NOT REQUIRED")</f>
        <v>NOT REQUIRED</v>
      </c>
      <c r="K9" s="474" t="str">
        <f>IF('Fuel Equipment'!K$14&gt;0,IF('Fuel Equipment'!K$14='Fuel Equipment'!$D$51,IF(Cranes!$G26&gt;0,Cranes!$G26," "),IF('Fuel Equipment'!K$14='Fuel Equipment'!$D$52,IF(Dumpers!$V35&gt;0,Dumpers!$V35," "),IF('Fuel Equipment'!K$14='Fuel Equipment'!$D$53,IF(Excavators!$W63&gt;0,Excavators!$W63," "),IF('Fuel Equipment'!K$14='Fuel Equipment'!$D$54,IF(Generators!$O123&gt;0,Generators!$O123," "),IF('Fuel Equipment'!K$14='Fuel Equipment'!$D$55,IF('Scissor Lifts'!$J47&gt;0,'Scissor Lifts'!$J47," "),"NOT REQUIRED"))))),"NOT REQUIRED")</f>
        <v>NOT REQUIRED</v>
      </c>
      <c r="L9" s="474" t="str">
        <f>IF('Fuel Equipment'!L$14&gt;0,IF('Fuel Equipment'!L$14='Fuel Equipment'!$D$51,IF(Cranes!$G26&gt;0,Cranes!$G26," "),IF('Fuel Equipment'!L$14='Fuel Equipment'!$D$52,IF(Dumpers!$V35&gt;0,Dumpers!$V35," "),IF('Fuel Equipment'!L$14='Fuel Equipment'!$D$53,IF(Excavators!$W63&gt;0,Excavators!$W63," "),IF('Fuel Equipment'!L$14='Fuel Equipment'!$D$54,IF(Generators!$O123&gt;0,Generators!$O123," "),IF('Fuel Equipment'!L$14='Fuel Equipment'!$D$55,IF('Scissor Lifts'!$J47&gt;0,'Scissor Lifts'!$J47," "),"NOT REQUIRED"))))),"NOT REQUIRED")</f>
        <v>NOT REQUIRED</v>
      </c>
      <c r="M9" s="474" t="str">
        <f>IF('Fuel Equipment'!M$14&gt;0,IF('Fuel Equipment'!M$14='Fuel Equipment'!$D$51,IF(Cranes!$G26&gt;0,Cranes!$G26," "),IF('Fuel Equipment'!M$14='Fuel Equipment'!$D$52,IF(Dumpers!$V35&gt;0,Dumpers!$V35," "),IF('Fuel Equipment'!M$14='Fuel Equipment'!$D$53,IF(Excavators!$W63&gt;0,Excavators!$W63," "),IF('Fuel Equipment'!M$14='Fuel Equipment'!$D$54,IF(Generators!$O123&gt;0,Generators!$O123," "),IF('Fuel Equipment'!M$14='Fuel Equipment'!$D$55,IF('Scissor Lifts'!$J47&gt;0,'Scissor Lifts'!$J47," "),"NOT REQUIRED"))))),"NOT REQUIRED")</f>
        <v>NOT REQUIRED</v>
      </c>
      <c r="N9" s="474" t="str">
        <f>IF('Fuel Equipment'!N$14&gt;0,IF('Fuel Equipment'!N$14='Fuel Equipment'!$D$51,IF(Cranes!$G26&gt;0,Cranes!$G26," "),IF('Fuel Equipment'!N$14='Fuel Equipment'!$D$52,IF(Dumpers!$V35&gt;0,Dumpers!$V35," "),IF('Fuel Equipment'!N$14='Fuel Equipment'!$D$53,IF(Excavators!$W63&gt;0,Excavators!$W63," "),IF('Fuel Equipment'!N$14='Fuel Equipment'!$D$54,IF(Generators!$O123&gt;0,Generators!$O123," "),IF('Fuel Equipment'!N$14='Fuel Equipment'!$D$55,IF('Scissor Lifts'!$J47&gt;0,'Scissor Lifts'!$J47," "),"NOT REQUIRED"))))),"NOT REQUIRED")</f>
        <v>NOT REQUIRED</v>
      </c>
      <c r="O9" s="474" t="str">
        <f>IF('Fuel Equipment'!O$14&gt;0,IF('Fuel Equipment'!O$14='Fuel Equipment'!$D$51,IF(Cranes!$G26&gt;0,Cranes!$G26," "),IF('Fuel Equipment'!O$14='Fuel Equipment'!$D$52,IF(Dumpers!$V35&gt;0,Dumpers!$V35," "),IF('Fuel Equipment'!O$14='Fuel Equipment'!$D$53,IF(Excavators!$W63&gt;0,Excavators!$W63," "),IF('Fuel Equipment'!O$14='Fuel Equipment'!$D$54,IF(Generators!$O123&gt;0,Generators!$O123," "),IF('Fuel Equipment'!O$14='Fuel Equipment'!$D$55,IF('Scissor Lifts'!$J47&gt;0,'Scissor Lifts'!$J47," "),"NOT REQUIRED"))))),"NOT REQUIRED")</f>
        <v>NOT REQUIRED</v>
      </c>
      <c r="P9" s="474" t="str">
        <f>IF('Fuel Equipment'!P$14&gt;0,IF('Fuel Equipment'!P$14='Fuel Equipment'!$D$51,IF(Cranes!$G26&gt;0,Cranes!$G26," "),IF('Fuel Equipment'!P$14='Fuel Equipment'!$D$52,IF(Dumpers!$V35&gt;0,Dumpers!$V35," "),IF('Fuel Equipment'!P$14='Fuel Equipment'!$D$53,IF(Excavators!$W63&gt;0,Excavators!$W63," "),IF('Fuel Equipment'!P$14='Fuel Equipment'!$D$54,IF(Generators!$O123&gt;0,Generators!$O123," "),IF('Fuel Equipment'!P$14='Fuel Equipment'!$D$55,IF('Scissor Lifts'!$J47&gt;0,'Scissor Lifts'!$J47," "),"NOT REQUIRED"))))),"NOT REQUIRED")</f>
        <v>NOT REQUIRED</v>
      </c>
      <c r="Q9" s="474" t="str">
        <f>IF('Fuel Equipment'!Q$14&gt;0,IF('Fuel Equipment'!Q$14='Fuel Equipment'!$D$51,IF(Cranes!$G26&gt;0,Cranes!$G26," "),IF('Fuel Equipment'!Q$14='Fuel Equipment'!$D$52,IF(Dumpers!$V35&gt;0,Dumpers!$V35," "),IF('Fuel Equipment'!Q$14='Fuel Equipment'!$D$53,IF(Excavators!$W63&gt;0,Excavators!$W63," "),IF('Fuel Equipment'!Q$14='Fuel Equipment'!$D$54,IF(Generators!$O123&gt;0,Generators!$O123," "),IF('Fuel Equipment'!Q$14='Fuel Equipment'!$D$55,IF('Scissor Lifts'!$J47&gt;0,'Scissor Lifts'!$J47," "),"NOT REQUIRED"))))),"NOT REQUIRED")</f>
        <v>NOT REQUIRED</v>
      </c>
      <c r="R9" s="474" t="str">
        <f>IF('Fuel Equipment'!R$14&gt;0,IF('Fuel Equipment'!R$14='Fuel Equipment'!$D$51,IF(Cranes!$G26&gt;0,Cranes!$G26," "),IF('Fuel Equipment'!R$14='Fuel Equipment'!$D$52,IF(Dumpers!$V35&gt;0,Dumpers!$V35," "),IF('Fuel Equipment'!R$14='Fuel Equipment'!$D$53,IF(Excavators!$W63&gt;0,Excavators!$W63," "),IF('Fuel Equipment'!R$14='Fuel Equipment'!$D$54,IF(Generators!$O123&gt;0,Generators!$O123," "),IF('Fuel Equipment'!R$14='Fuel Equipment'!$D$55,IF('Scissor Lifts'!$J47&gt;0,'Scissor Lifts'!$J47," "),"NOT REQUIRED"))))),"NOT REQUIRED")</f>
        <v>NOT REQUIRED</v>
      </c>
      <c r="S9" s="474" t="str">
        <f>IF('Fuel Equipment'!S$14&gt;0,IF('Fuel Equipment'!S$14='Fuel Equipment'!$D$51,IF(Cranes!$G26&gt;0,Cranes!$G26," "),IF('Fuel Equipment'!S$14='Fuel Equipment'!$D$52,IF(Dumpers!$V35&gt;0,Dumpers!$V35," "),IF('Fuel Equipment'!S$14='Fuel Equipment'!$D$53,IF(Excavators!$W63&gt;0,Excavators!$W63," "),IF('Fuel Equipment'!S$14='Fuel Equipment'!$D$54,IF(Generators!$O123&gt;0,Generators!$O123," "),IF('Fuel Equipment'!S$14='Fuel Equipment'!$D$55,IF('Scissor Lifts'!$J47&gt;0,'Scissor Lifts'!$J47," "),"NOT REQUIRED"))))),"NOT REQUIRED")</f>
        <v>NOT REQUIRED</v>
      </c>
      <c r="U9" s="927"/>
      <c r="V9" s="927"/>
      <c r="W9" s="927"/>
      <c r="X9" s="927"/>
      <c r="Y9" s="927"/>
      <c r="Z9" s="927"/>
    </row>
    <row r="10" spans="1:26" s="179" customFormat="1">
      <c r="B10" s="474" t="str">
        <f>IF('Fuel Equipment'!B$14&gt;0,IF('Fuel Equipment'!B$14='Fuel Equipment'!$D$51,IF(Cranes!$G27&gt;0,Cranes!$G27," "),IF('Fuel Equipment'!B$14='Fuel Equipment'!$D$52,IF(Dumpers!$V36&gt;0,Dumpers!$V36," "),IF('Fuel Equipment'!B$14='Fuel Equipment'!$D$53,IF(Excavators!$W64&gt;0,Excavators!$W64," "),IF('Fuel Equipment'!B$14='Fuel Equipment'!$D$54,IF(Generators!$O124&gt;0,Generators!$O124," "),IF('Fuel Equipment'!B$14='Fuel Equipment'!$D$55,IF('Scissor Lifts'!$J48&gt;0,'Scissor Lifts'!$J48," "),"NOT REQUIRED"))))),"NOT REQUIRED")</f>
        <v>20T</v>
      </c>
      <c r="C10" s="474" t="str">
        <f>IF('Fuel Equipment'!C$14&gt;0,IF('Fuel Equipment'!C$14='Fuel Equipment'!$D$51,IF(Cranes!$G27&gt;0,Cranes!$G27," "),IF('Fuel Equipment'!C$14='Fuel Equipment'!$D$52,IF(Dumpers!$V36&gt;0,Dumpers!$V36," "),IF('Fuel Equipment'!C$14='Fuel Equipment'!$D$53,IF(Excavators!$W64&gt;0,Excavators!$W64," "),IF('Fuel Equipment'!C$14='Fuel Equipment'!$D$54,IF(Generators!$O124&gt;0,Generators!$O124," "),IF('Fuel Equipment'!C$14='Fuel Equipment'!$D$55,IF('Scissor Lifts'!$J48&gt;0,'Scissor Lifts'!$J48," "),"NOT REQUIRED"))))),"NOT REQUIRED")</f>
        <v>20T</v>
      </c>
      <c r="D10" s="474" t="str">
        <f>IF('Fuel Equipment'!D$14&gt;0,IF('Fuel Equipment'!D$14='Fuel Equipment'!$D$51,IF(Cranes!$G27&gt;0,Cranes!$G27," "),IF('Fuel Equipment'!D$14='Fuel Equipment'!$D$52,IF(Dumpers!$V36&gt;0,Dumpers!$V36," "),IF('Fuel Equipment'!D$14='Fuel Equipment'!$D$53,IF(Excavators!$W64&gt;0,Excavators!$W64," "),IF('Fuel Equipment'!D$14='Fuel Equipment'!$D$54,IF(Generators!$O124&gt;0,Generators!$O124," "),IF('Fuel Equipment'!D$14='Fuel Equipment'!$D$55,IF('Scissor Lifts'!$J48&gt;0,'Scissor Lifts'!$J48," "),"NOT REQUIRED"))))),"NOT REQUIRED")</f>
        <v>125kVA</v>
      </c>
      <c r="E10" s="474" t="str">
        <f>IF('Fuel Equipment'!E$14&gt;0,IF('Fuel Equipment'!E$14='Fuel Equipment'!$D$51,IF(Cranes!$G27&gt;0,Cranes!$G27," "),IF('Fuel Equipment'!E$14='Fuel Equipment'!$D$52,IF(Dumpers!$V36&gt;0,Dumpers!$V36," "),IF('Fuel Equipment'!E$14='Fuel Equipment'!$D$53,IF(Excavators!$W64&gt;0,Excavators!$W64," "),IF('Fuel Equipment'!E$14='Fuel Equipment'!$D$54,IF(Generators!$O124&gt;0,Generators!$O124," "),IF('Fuel Equipment'!E$14='Fuel Equipment'!$D$55,IF('Scissor Lifts'!$J48&gt;0,'Scissor Lifts'!$J48," "),"NOT REQUIRED"))))),"NOT REQUIRED")</f>
        <v xml:space="preserve"> </v>
      </c>
      <c r="F10" s="474" t="str">
        <f>IF('Fuel Equipment'!F$14&gt;0,IF('Fuel Equipment'!F$14='Fuel Equipment'!$D$51,IF(Cranes!$G27&gt;0,Cranes!$G27," "),IF('Fuel Equipment'!F$14='Fuel Equipment'!$D$52,IF(Dumpers!$V36&gt;0,Dumpers!$V36," "),IF('Fuel Equipment'!F$14='Fuel Equipment'!$D$53,IF(Excavators!$W64&gt;0,Excavators!$W64," "),IF('Fuel Equipment'!F$14='Fuel Equipment'!$D$54,IF(Generators!$O124&gt;0,Generators!$O124," "),IF('Fuel Equipment'!F$14='Fuel Equipment'!$D$55,IF('Scissor Lifts'!$J48&gt;0,'Scissor Lifts'!$J48," "),"NOT REQUIRED"))))),"NOT REQUIRED")</f>
        <v>NOT REQUIRED</v>
      </c>
      <c r="G10" s="474" t="str">
        <f>IF('Fuel Equipment'!G$14&gt;0,IF('Fuel Equipment'!G$14='Fuel Equipment'!$D$51,IF(Cranes!$G27&gt;0,Cranes!$G27," "),IF('Fuel Equipment'!G$14='Fuel Equipment'!$D$52,IF(Dumpers!$V36&gt;0,Dumpers!$V36," "),IF('Fuel Equipment'!G$14='Fuel Equipment'!$D$53,IF(Excavators!$W64&gt;0,Excavators!$W64," "),IF('Fuel Equipment'!G$14='Fuel Equipment'!$D$54,IF(Generators!$O124&gt;0,Generators!$O124," "),IF('Fuel Equipment'!G$14='Fuel Equipment'!$D$55,IF('Scissor Lifts'!$J48&gt;0,'Scissor Lifts'!$J48," "),"NOT REQUIRED"))))),"NOT REQUIRED")</f>
        <v>NOT REQUIRED</v>
      </c>
      <c r="H10" s="474" t="str">
        <f>IF('Fuel Equipment'!H$14&gt;0,IF('Fuel Equipment'!H$14='Fuel Equipment'!$D$51,IF(Cranes!$G27&gt;0,Cranes!$G27," "),IF('Fuel Equipment'!H$14='Fuel Equipment'!$D$52,IF(Dumpers!$V36&gt;0,Dumpers!$V36," "),IF('Fuel Equipment'!H$14='Fuel Equipment'!$D$53,IF(Excavators!$W64&gt;0,Excavators!$W64," "),IF('Fuel Equipment'!H$14='Fuel Equipment'!$D$54,IF(Generators!$O124&gt;0,Generators!$O124," "),IF('Fuel Equipment'!H$14='Fuel Equipment'!$D$55,IF('Scissor Lifts'!$J48&gt;0,'Scissor Lifts'!$J48," "),"NOT REQUIRED"))))),"NOT REQUIRED")</f>
        <v>NOT REQUIRED</v>
      </c>
      <c r="I10" s="474" t="str">
        <f>IF('Fuel Equipment'!I$14&gt;0,IF('Fuel Equipment'!I$14='Fuel Equipment'!$D$51,IF(Cranes!$G27&gt;0,Cranes!$G27," "),IF('Fuel Equipment'!I$14='Fuel Equipment'!$D$52,IF(Dumpers!$V36&gt;0,Dumpers!$V36," "),IF('Fuel Equipment'!I$14='Fuel Equipment'!$D$53,IF(Excavators!$W64&gt;0,Excavators!$W64," "),IF('Fuel Equipment'!I$14='Fuel Equipment'!$D$54,IF(Generators!$O124&gt;0,Generators!$O124," "),IF('Fuel Equipment'!I$14='Fuel Equipment'!$D$55,IF('Scissor Lifts'!$J48&gt;0,'Scissor Lifts'!$J48," "),"NOT REQUIRED"))))),"NOT REQUIRED")</f>
        <v>NOT REQUIRED</v>
      </c>
      <c r="J10" s="474" t="str">
        <f>IF('Fuel Equipment'!J$14&gt;0,IF('Fuel Equipment'!J$14='Fuel Equipment'!$D$51,IF(Cranes!$G27&gt;0,Cranes!$G27," "),IF('Fuel Equipment'!J$14='Fuel Equipment'!$D$52,IF(Dumpers!$V36&gt;0,Dumpers!$V36," "),IF('Fuel Equipment'!J$14='Fuel Equipment'!$D$53,IF(Excavators!$W64&gt;0,Excavators!$W64," "),IF('Fuel Equipment'!J$14='Fuel Equipment'!$D$54,IF(Generators!$O124&gt;0,Generators!$O124," "),IF('Fuel Equipment'!J$14='Fuel Equipment'!$D$55,IF('Scissor Lifts'!$J48&gt;0,'Scissor Lifts'!$J48," "),"NOT REQUIRED"))))),"NOT REQUIRED")</f>
        <v>NOT REQUIRED</v>
      </c>
      <c r="K10" s="474" t="str">
        <f>IF('Fuel Equipment'!K$14&gt;0,IF('Fuel Equipment'!K$14='Fuel Equipment'!$D$51,IF(Cranes!$G27&gt;0,Cranes!$G27," "),IF('Fuel Equipment'!K$14='Fuel Equipment'!$D$52,IF(Dumpers!$V36&gt;0,Dumpers!$V36," "),IF('Fuel Equipment'!K$14='Fuel Equipment'!$D$53,IF(Excavators!$W64&gt;0,Excavators!$W64," "),IF('Fuel Equipment'!K$14='Fuel Equipment'!$D$54,IF(Generators!$O124&gt;0,Generators!$O124," "),IF('Fuel Equipment'!K$14='Fuel Equipment'!$D$55,IF('Scissor Lifts'!$J48&gt;0,'Scissor Lifts'!$J48," "),"NOT REQUIRED"))))),"NOT REQUIRED")</f>
        <v>NOT REQUIRED</v>
      </c>
      <c r="L10" s="474" t="str">
        <f>IF('Fuel Equipment'!L$14&gt;0,IF('Fuel Equipment'!L$14='Fuel Equipment'!$D$51,IF(Cranes!$G27&gt;0,Cranes!$G27," "),IF('Fuel Equipment'!L$14='Fuel Equipment'!$D$52,IF(Dumpers!$V36&gt;0,Dumpers!$V36," "),IF('Fuel Equipment'!L$14='Fuel Equipment'!$D$53,IF(Excavators!$W64&gt;0,Excavators!$W64," "),IF('Fuel Equipment'!L$14='Fuel Equipment'!$D$54,IF(Generators!$O124&gt;0,Generators!$O124," "),IF('Fuel Equipment'!L$14='Fuel Equipment'!$D$55,IF('Scissor Lifts'!$J48&gt;0,'Scissor Lifts'!$J48," "),"NOT REQUIRED"))))),"NOT REQUIRED")</f>
        <v>NOT REQUIRED</v>
      </c>
      <c r="M10" s="474" t="str">
        <f>IF('Fuel Equipment'!M$14&gt;0,IF('Fuel Equipment'!M$14='Fuel Equipment'!$D$51,IF(Cranes!$G27&gt;0,Cranes!$G27," "),IF('Fuel Equipment'!M$14='Fuel Equipment'!$D$52,IF(Dumpers!$V36&gt;0,Dumpers!$V36," "),IF('Fuel Equipment'!M$14='Fuel Equipment'!$D$53,IF(Excavators!$W64&gt;0,Excavators!$W64," "),IF('Fuel Equipment'!M$14='Fuel Equipment'!$D$54,IF(Generators!$O124&gt;0,Generators!$O124," "),IF('Fuel Equipment'!M$14='Fuel Equipment'!$D$55,IF('Scissor Lifts'!$J48&gt;0,'Scissor Lifts'!$J48," "),"NOT REQUIRED"))))),"NOT REQUIRED")</f>
        <v>NOT REQUIRED</v>
      </c>
      <c r="N10" s="474" t="str">
        <f>IF('Fuel Equipment'!N$14&gt;0,IF('Fuel Equipment'!N$14='Fuel Equipment'!$D$51,IF(Cranes!$G27&gt;0,Cranes!$G27," "),IF('Fuel Equipment'!N$14='Fuel Equipment'!$D$52,IF(Dumpers!$V36&gt;0,Dumpers!$V36," "),IF('Fuel Equipment'!N$14='Fuel Equipment'!$D$53,IF(Excavators!$W64&gt;0,Excavators!$W64," "),IF('Fuel Equipment'!N$14='Fuel Equipment'!$D$54,IF(Generators!$O124&gt;0,Generators!$O124," "),IF('Fuel Equipment'!N$14='Fuel Equipment'!$D$55,IF('Scissor Lifts'!$J48&gt;0,'Scissor Lifts'!$J48," "),"NOT REQUIRED"))))),"NOT REQUIRED")</f>
        <v>NOT REQUIRED</v>
      </c>
      <c r="O10" s="474" t="str">
        <f>IF('Fuel Equipment'!O$14&gt;0,IF('Fuel Equipment'!O$14='Fuel Equipment'!$D$51,IF(Cranes!$G27&gt;0,Cranes!$G27," "),IF('Fuel Equipment'!O$14='Fuel Equipment'!$D$52,IF(Dumpers!$V36&gt;0,Dumpers!$V36," "),IF('Fuel Equipment'!O$14='Fuel Equipment'!$D$53,IF(Excavators!$W64&gt;0,Excavators!$W64," "),IF('Fuel Equipment'!O$14='Fuel Equipment'!$D$54,IF(Generators!$O124&gt;0,Generators!$O124," "),IF('Fuel Equipment'!O$14='Fuel Equipment'!$D$55,IF('Scissor Lifts'!$J48&gt;0,'Scissor Lifts'!$J48," "),"NOT REQUIRED"))))),"NOT REQUIRED")</f>
        <v>NOT REQUIRED</v>
      </c>
      <c r="P10" s="474" t="str">
        <f>IF('Fuel Equipment'!P$14&gt;0,IF('Fuel Equipment'!P$14='Fuel Equipment'!$D$51,IF(Cranes!$G27&gt;0,Cranes!$G27," "),IF('Fuel Equipment'!P$14='Fuel Equipment'!$D$52,IF(Dumpers!$V36&gt;0,Dumpers!$V36," "),IF('Fuel Equipment'!P$14='Fuel Equipment'!$D$53,IF(Excavators!$W64&gt;0,Excavators!$W64," "),IF('Fuel Equipment'!P$14='Fuel Equipment'!$D$54,IF(Generators!$O124&gt;0,Generators!$O124," "),IF('Fuel Equipment'!P$14='Fuel Equipment'!$D$55,IF('Scissor Lifts'!$J48&gt;0,'Scissor Lifts'!$J48," "),"NOT REQUIRED"))))),"NOT REQUIRED")</f>
        <v>NOT REQUIRED</v>
      </c>
      <c r="Q10" s="474" t="str">
        <f>IF('Fuel Equipment'!Q$14&gt;0,IF('Fuel Equipment'!Q$14='Fuel Equipment'!$D$51,IF(Cranes!$G27&gt;0,Cranes!$G27," "),IF('Fuel Equipment'!Q$14='Fuel Equipment'!$D$52,IF(Dumpers!$V36&gt;0,Dumpers!$V36," "),IF('Fuel Equipment'!Q$14='Fuel Equipment'!$D$53,IF(Excavators!$W64&gt;0,Excavators!$W64," "),IF('Fuel Equipment'!Q$14='Fuel Equipment'!$D$54,IF(Generators!$O124&gt;0,Generators!$O124," "),IF('Fuel Equipment'!Q$14='Fuel Equipment'!$D$55,IF('Scissor Lifts'!$J48&gt;0,'Scissor Lifts'!$J48," "),"NOT REQUIRED"))))),"NOT REQUIRED")</f>
        <v>NOT REQUIRED</v>
      </c>
      <c r="R10" s="474" t="str">
        <f>IF('Fuel Equipment'!R$14&gt;0,IF('Fuel Equipment'!R$14='Fuel Equipment'!$D$51,IF(Cranes!$G27&gt;0,Cranes!$G27," "),IF('Fuel Equipment'!R$14='Fuel Equipment'!$D$52,IF(Dumpers!$V36&gt;0,Dumpers!$V36," "),IF('Fuel Equipment'!R$14='Fuel Equipment'!$D$53,IF(Excavators!$W64&gt;0,Excavators!$W64," "),IF('Fuel Equipment'!R$14='Fuel Equipment'!$D$54,IF(Generators!$O124&gt;0,Generators!$O124," "),IF('Fuel Equipment'!R$14='Fuel Equipment'!$D$55,IF('Scissor Lifts'!$J48&gt;0,'Scissor Lifts'!$J48," "),"NOT REQUIRED"))))),"NOT REQUIRED")</f>
        <v>NOT REQUIRED</v>
      </c>
      <c r="S10" s="474" t="str">
        <f>IF('Fuel Equipment'!S$14&gt;0,IF('Fuel Equipment'!S$14='Fuel Equipment'!$D$51,IF(Cranes!$G27&gt;0,Cranes!$G27," "),IF('Fuel Equipment'!S$14='Fuel Equipment'!$D$52,IF(Dumpers!$V36&gt;0,Dumpers!$V36," "),IF('Fuel Equipment'!S$14='Fuel Equipment'!$D$53,IF(Excavators!$W64&gt;0,Excavators!$W64," "),IF('Fuel Equipment'!S$14='Fuel Equipment'!$D$54,IF(Generators!$O124&gt;0,Generators!$O124," "),IF('Fuel Equipment'!S$14='Fuel Equipment'!$D$55,IF('Scissor Lifts'!$J48&gt;0,'Scissor Lifts'!$J48," "),"NOT REQUIRED"))))),"NOT REQUIRED")</f>
        <v>NOT REQUIRED</v>
      </c>
      <c r="U10" s="927"/>
      <c r="V10" s="927"/>
      <c r="W10" s="927"/>
      <c r="X10" s="927"/>
      <c r="Y10" s="927"/>
      <c r="Z10" s="927"/>
    </row>
    <row r="11" spans="1:26" s="179" customFormat="1">
      <c r="B11" s="474" t="str">
        <f>IF('Fuel Equipment'!B$14&gt;0,IF('Fuel Equipment'!B$14='Fuel Equipment'!$D$51,IF(Cranes!$G28&gt;0,Cranes!$G28," "),IF('Fuel Equipment'!B$14='Fuel Equipment'!$D$52,IF(Dumpers!$V37&gt;0,Dumpers!$V37," "),IF('Fuel Equipment'!B$14='Fuel Equipment'!$D$53,IF(Excavators!$W65&gt;0,Excavators!$W65," "),IF('Fuel Equipment'!B$14='Fuel Equipment'!$D$54,IF(Generators!$O125&gt;0,Generators!$O125," "),IF('Fuel Equipment'!B$14='Fuel Equipment'!$D$55,IF('Scissor Lifts'!$J49&gt;0,'Scissor Lifts'!$J49," "),"NOT REQUIRED"))))),"NOT REQUIRED")</f>
        <v>25T</v>
      </c>
      <c r="C11" s="474" t="str">
        <f>IF('Fuel Equipment'!C$14&gt;0,IF('Fuel Equipment'!C$14='Fuel Equipment'!$D$51,IF(Cranes!$G28&gt;0,Cranes!$G28," "),IF('Fuel Equipment'!C$14='Fuel Equipment'!$D$52,IF(Dumpers!$V37&gt;0,Dumpers!$V37," "),IF('Fuel Equipment'!C$14='Fuel Equipment'!$D$53,IF(Excavators!$W65&gt;0,Excavators!$W65," "),IF('Fuel Equipment'!C$14='Fuel Equipment'!$D$54,IF(Generators!$O125&gt;0,Generators!$O125," "),IF('Fuel Equipment'!C$14='Fuel Equipment'!$D$55,IF('Scissor Lifts'!$J49&gt;0,'Scissor Lifts'!$J49," "),"NOT REQUIRED"))))),"NOT REQUIRED")</f>
        <v>25T</v>
      </c>
      <c r="D11" s="474" t="str">
        <f>IF('Fuel Equipment'!D$14&gt;0,IF('Fuel Equipment'!D$14='Fuel Equipment'!$D$51,IF(Cranes!$G28&gt;0,Cranes!$G28," "),IF('Fuel Equipment'!D$14='Fuel Equipment'!$D$52,IF(Dumpers!$V37&gt;0,Dumpers!$V37," "),IF('Fuel Equipment'!D$14='Fuel Equipment'!$D$53,IF(Excavators!$W65&gt;0,Excavators!$W65," "),IF('Fuel Equipment'!D$14='Fuel Equipment'!$D$54,IF(Generators!$O125&gt;0,Generators!$O125," "),IF('Fuel Equipment'!D$14='Fuel Equipment'!$D$55,IF('Scissor Lifts'!$J49&gt;0,'Scissor Lifts'!$J49," "),"NOT REQUIRED"))))),"NOT REQUIRED")</f>
        <v>175kVA</v>
      </c>
      <c r="E11" s="474" t="str">
        <f>IF('Fuel Equipment'!E$14&gt;0,IF('Fuel Equipment'!E$14='Fuel Equipment'!$D$51,IF(Cranes!$G28&gt;0,Cranes!$G28," "),IF('Fuel Equipment'!E$14='Fuel Equipment'!$D$52,IF(Dumpers!$V37&gt;0,Dumpers!$V37," "),IF('Fuel Equipment'!E$14='Fuel Equipment'!$D$53,IF(Excavators!$W65&gt;0,Excavators!$W65," "),IF('Fuel Equipment'!E$14='Fuel Equipment'!$D$54,IF(Generators!$O125&gt;0,Generators!$O125," "),IF('Fuel Equipment'!E$14='Fuel Equipment'!$D$55,IF('Scissor Lifts'!$J49&gt;0,'Scissor Lifts'!$J49," "),"NOT REQUIRED"))))),"NOT REQUIRED")</f>
        <v xml:space="preserve"> </v>
      </c>
      <c r="F11" s="474" t="str">
        <f>IF('Fuel Equipment'!F$14&gt;0,IF('Fuel Equipment'!F$14='Fuel Equipment'!$D$51,IF(Cranes!$G28&gt;0,Cranes!$G28," "),IF('Fuel Equipment'!F$14='Fuel Equipment'!$D$52,IF(Dumpers!$V37&gt;0,Dumpers!$V37," "),IF('Fuel Equipment'!F$14='Fuel Equipment'!$D$53,IF(Excavators!$W65&gt;0,Excavators!$W65," "),IF('Fuel Equipment'!F$14='Fuel Equipment'!$D$54,IF(Generators!$O125&gt;0,Generators!$O125," "),IF('Fuel Equipment'!F$14='Fuel Equipment'!$D$55,IF('Scissor Lifts'!$J49&gt;0,'Scissor Lifts'!$J49," "),"NOT REQUIRED"))))),"NOT REQUIRED")</f>
        <v>NOT REQUIRED</v>
      </c>
      <c r="G11" s="474" t="str">
        <f>IF('Fuel Equipment'!G$14&gt;0,IF('Fuel Equipment'!G$14='Fuel Equipment'!$D$51,IF(Cranes!$G28&gt;0,Cranes!$G28," "),IF('Fuel Equipment'!G$14='Fuel Equipment'!$D$52,IF(Dumpers!$V37&gt;0,Dumpers!$V37," "),IF('Fuel Equipment'!G$14='Fuel Equipment'!$D$53,IF(Excavators!$W65&gt;0,Excavators!$W65," "),IF('Fuel Equipment'!G$14='Fuel Equipment'!$D$54,IF(Generators!$O125&gt;0,Generators!$O125," "),IF('Fuel Equipment'!G$14='Fuel Equipment'!$D$55,IF('Scissor Lifts'!$J49&gt;0,'Scissor Lifts'!$J49," "),"NOT REQUIRED"))))),"NOT REQUIRED")</f>
        <v>NOT REQUIRED</v>
      </c>
      <c r="H11" s="474" t="str">
        <f>IF('Fuel Equipment'!H$14&gt;0,IF('Fuel Equipment'!H$14='Fuel Equipment'!$D$51,IF(Cranes!$G28&gt;0,Cranes!$G28," "),IF('Fuel Equipment'!H$14='Fuel Equipment'!$D$52,IF(Dumpers!$V37&gt;0,Dumpers!$V37," "),IF('Fuel Equipment'!H$14='Fuel Equipment'!$D$53,IF(Excavators!$W65&gt;0,Excavators!$W65," "),IF('Fuel Equipment'!H$14='Fuel Equipment'!$D$54,IF(Generators!$O125&gt;0,Generators!$O125," "),IF('Fuel Equipment'!H$14='Fuel Equipment'!$D$55,IF('Scissor Lifts'!$J49&gt;0,'Scissor Lifts'!$J49," "),"NOT REQUIRED"))))),"NOT REQUIRED")</f>
        <v>NOT REQUIRED</v>
      </c>
      <c r="I11" s="474" t="str">
        <f>IF('Fuel Equipment'!I$14&gt;0,IF('Fuel Equipment'!I$14='Fuel Equipment'!$D$51,IF(Cranes!$G28&gt;0,Cranes!$G28," "),IF('Fuel Equipment'!I$14='Fuel Equipment'!$D$52,IF(Dumpers!$V37&gt;0,Dumpers!$V37," "),IF('Fuel Equipment'!I$14='Fuel Equipment'!$D$53,IF(Excavators!$W65&gt;0,Excavators!$W65," "),IF('Fuel Equipment'!I$14='Fuel Equipment'!$D$54,IF(Generators!$O125&gt;0,Generators!$O125," "),IF('Fuel Equipment'!I$14='Fuel Equipment'!$D$55,IF('Scissor Lifts'!$J49&gt;0,'Scissor Lifts'!$J49," "),"NOT REQUIRED"))))),"NOT REQUIRED")</f>
        <v>NOT REQUIRED</v>
      </c>
      <c r="J11" s="474" t="str">
        <f>IF('Fuel Equipment'!J$14&gt;0,IF('Fuel Equipment'!J$14='Fuel Equipment'!$D$51,IF(Cranes!$G28&gt;0,Cranes!$G28," "),IF('Fuel Equipment'!J$14='Fuel Equipment'!$D$52,IF(Dumpers!$V37&gt;0,Dumpers!$V37," "),IF('Fuel Equipment'!J$14='Fuel Equipment'!$D$53,IF(Excavators!$W65&gt;0,Excavators!$W65," "),IF('Fuel Equipment'!J$14='Fuel Equipment'!$D$54,IF(Generators!$O125&gt;0,Generators!$O125," "),IF('Fuel Equipment'!J$14='Fuel Equipment'!$D$55,IF('Scissor Lifts'!$J49&gt;0,'Scissor Lifts'!$J49," "),"NOT REQUIRED"))))),"NOT REQUIRED")</f>
        <v>NOT REQUIRED</v>
      </c>
      <c r="K11" s="474" t="str">
        <f>IF('Fuel Equipment'!K$14&gt;0,IF('Fuel Equipment'!K$14='Fuel Equipment'!$D$51,IF(Cranes!$G28&gt;0,Cranes!$G28," "),IF('Fuel Equipment'!K$14='Fuel Equipment'!$D$52,IF(Dumpers!$V37&gt;0,Dumpers!$V37," "),IF('Fuel Equipment'!K$14='Fuel Equipment'!$D$53,IF(Excavators!$W65&gt;0,Excavators!$W65," "),IF('Fuel Equipment'!K$14='Fuel Equipment'!$D$54,IF(Generators!$O125&gt;0,Generators!$O125," "),IF('Fuel Equipment'!K$14='Fuel Equipment'!$D$55,IF('Scissor Lifts'!$J49&gt;0,'Scissor Lifts'!$J49," "),"NOT REQUIRED"))))),"NOT REQUIRED")</f>
        <v>NOT REQUIRED</v>
      </c>
      <c r="L11" s="474" t="str">
        <f>IF('Fuel Equipment'!L$14&gt;0,IF('Fuel Equipment'!L$14='Fuel Equipment'!$D$51,IF(Cranes!$G28&gt;0,Cranes!$G28," "),IF('Fuel Equipment'!L$14='Fuel Equipment'!$D$52,IF(Dumpers!$V37&gt;0,Dumpers!$V37," "),IF('Fuel Equipment'!L$14='Fuel Equipment'!$D$53,IF(Excavators!$W65&gt;0,Excavators!$W65," "),IF('Fuel Equipment'!L$14='Fuel Equipment'!$D$54,IF(Generators!$O125&gt;0,Generators!$O125," "),IF('Fuel Equipment'!L$14='Fuel Equipment'!$D$55,IF('Scissor Lifts'!$J49&gt;0,'Scissor Lifts'!$J49," "),"NOT REQUIRED"))))),"NOT REQUIRED")</f>
        <v>NOT REQUIRED</v>
      </c>
      <c r="M11" s="474" t="str">
        <f>IF('Fuel Equipment'!M$14&gt;0,IF('Fuel Equipment'!M$14='Fuel Equipment'!$D$51,IF(Cranes!$G28&gt;0,Cranes!$G28," "),IF('Fuel Equipment'!M$14='Fuel Equipment'!$D$52,IF(Dumpers!$V37&gt;0,Dumpers!$V37," "),IF('Fuel Equipment'!M$14='Fuel Equipment'!$D$53,IF(Excavators!$W65&gt;0,Excavators!$W65," "),IF('Fuel Equipment'!M$14='Fuel Equipment'!$D$54,IF(Generators!$O125&gt;0,Generators!$O125," "),IF('Fuel Equipment'!M$14='Fuel Equipment'!$D$55,IF('Scissor Lifts'!$J49&gt;0,'Scissor Lifts'!$J49," "),"NOT REQUIRED"))))),"NOT REQUIRED")</f>
        <v>NOT REQUIRED</v>
      </c>
      <c r="N11" s="474" t="str">
        <f>IF('Fuel Equipment'!N$14&gt;0,IF('Fuel Equipment'!N$14='Fuel Equipment'!$D$51,IF(Cranes!$G28&gt;0,Cranes!$G28," "),IF('Fuel Equipment'!N$14='Fuel Equipment'!$D$52,IF(Dumpers!$V37&gt;0,Dumpers!$V37," "),IF('Fuel Equipment'!N$14='Fuel Equipment'!$D$53,IF(Excavators!$W65&gt;0,Excavators!$W65," "),IF('Fuel Equipment'!N$14='Fuel Equipment'!$D$54,IF(Generators!$O125&gt;0,Generators!$O125," "),IF('Fuel Equipment'!N$14='Fuel Equipment'!$D$55,IF('Scissor Lifts'!$J49&gt;0,'Scissor Lifts'!$J49," "),"NOT REQUIRED"))))),"NOT REQUIRED")</f>
        <v>NOT REQUIRED</v>
      </c>
      <c r="O11" s="474" t="str">
        <f>IF('Fuel Equipment'!O$14&gt;0,IF('Fuel Equipment'!O$14='Fuel Equipment'!$D$51,IF(Cranes!$G28&gt;0,Cranes!$G28," "),IF('Fuel Equipment'!O$14='Fuel Equipment'!$D$52,IF(Dumpers!$V37&gt;0,Dumpers!$V37," "),IF('Fuel Equipment'!O$14='Fuel Equipment'!$D$53,IF(Excavators!$W65&gt;0,Excavators!$W65," "),IF('Fuel Equipment'!O$14='Fuel Equipment'!$D$54,IF(Generators!$O125&gt;0,Generators!$O125," "),IF('Fuel Equipment'!O$14='Fuel Equipment'!$D$55,IF('Scissor Lifts'!$J49&gt;0,'Scissor Lifts'!$J49," "),"NOT REQUIRED"))))),"NOT REQUIRED")</f>
        <v>NOT REQUIRED</v>
      </c>
      <c r="P11" s="474" t="str">
        <f>IF('Fuel Equipment'!P$14&gt;0,IF('Fuel Equipment'!P$14='Fuel Equipment'!$D$51,IF(Cranes!$G28&gt;0,Cranes!$G28," "),IF('Fuel Equipment'!P$14='Fuel Equipment'!$D$52,IF(Dumpers!$V37&gt;0,Dumpers!$V37," "),IF('Fuel Equipment'!P$14='Fuel Equipment'!$D$53,IF(Excavators!$W65&gt;0,Excavators!$W65," "),IF('Fuel Equipment'!P$14='Fuel Equipment'!$D$54,IF(Generators!$O125&gt;0,Generators!$O125," "),IF('Fuel Equipment'!P$14='Fuel Equipment'!$D$55,IF('Scissor Lifts'!$J49&gt;0,'Scissor Lifts'!$J49," "),"NOT REQUIRED"))))),"NOT REQUIRED")</f>
        <v>NOT REQUIRED</v>
      </c>
      <c r="Q11" s="474" t="str">
        <f>IF('Fuel Equipment'!Q$14&gt;0,IF('Fuel Equipment'!Q$14='Fuel Equipment'!$D$51,IF(Cranes!$G28&gt;0,Cranes!$G28," "),IF('Fuel Equipment'!Q$14='Fuel Equipment'!$D$52,IF(Dumpers!$V37&gt;0,Dumpers!$V37," "),IF('Fuel Equipment'!Q$14='Fuel Equipment'!$D$53,IF(Excavators!$W65&gt;0,Excavators!$W65," "),IF('Fuel Equipment'!Q$14='Fuel Equipment'!$D$54,IF(Generators!$O125&gt;0,Generators!$O125," "),IF('Fuel Equipment'!Q$14='Fuel Equipment'!$D$55,IF('Scissor Lifts'!$J49&gt;0,'Scissor Lifts'!$J49," "),"NOT REQUIRED"))))),"NOT REQUIRED")</f>
        <v>NOT REQUIRED</v>
      </c>
      <c r="R11" s="474" t="str">
        <f>IF('Fuel Equipment'!R$14&gt;0,IF('Fuel Equipment'!R$14='Fuel Equipment'!$D$51,IF(Cranes!$G28&gt;0,Cranes!$G28," "),IF('Fuel Equipment'!R$14='Fuel Equipment'!$D$52,IF(Dumpers!$V37&gt;0,Dumpers!$V37," "),IF('Fuel Equipment'!R$14='Fuel Equipment'!$D$53,IF(Excavators!$W65&gt;0,Excavators!$W65," "),IF('Fuel Equipment'!R$14='Fuel Equipment'!$D$54,IF(Generators!$O125&gt;0,Generators!$O125," "),IF('Fuel Equipment'!R$14='Fuel Equipment'!$D$55,IF('Scissor Lifts'!$J49&gt;0,'Scissor Lifts'!$J49," "),"NOT REQUIRED"))))),"NOT REQUIRED")</f>
        <v>NOT REQUIRED</v>
      </c>
      <c r="S11" s="474" t="str">
        <f>IF('Fuel Equipment'!S$14&gt;0,IF('Fuel Equipment'!S$14='Fuel Equipment'!$D$51,IF(Cranes!$G28&gt;0,Cranes!$G28," "),IF('Fuel Equipment'!S$14='Fuel Equipment'!$D$52,IF(Dumpers!$V37&gt;0,Dumpers!$V37," "),IF('Fuel Equipment'!S$14='Fuel Equipment'!$D$53,IF(Excavators!$W65&gt;0,Excavators!$W65," "),IF('Fuel Equipment'!S$14='Fuel Equipment'!$D$54,IF(Generators!$O125&gt;0,Generators!$O125," "),IF('Fuel Equipment'!S$14='Fuel Equipment'!$D$55,IF('Scissor Lifts'!$J49&gt;0,'Scissor Lifts'!$J49," "),"NOT REQUIRED"))))),"NOT REQUIRED")</f>
        <v>NOT REQUIRED</v>
      </c>
      <c r="U11" s="927"/>
      <c r="V11" s="927"/>
      <c r="W11" s="927"/>
      <c r="X11" s="927"/>
      <c r="Y11" s="927"/>
      <c r="Z11" s="927"/>
    </row>
    <row r="12" spans="1:26" s="179" customFormat="1">
      <c r="B12" s="474" t="str">
        <f>IF('Fuel Equipment'!B$14&gt;0,IF('Fuel Equipment'!B$14='Fuel Equipment'!$D$51,IF(Cranes!$G29&gt;0,Cranes!$G29," "),IF('Fuel Equipment'!B$14='Fuel Equipment'!$D$52,IF(Dumpers!$V38&gt;0,Dumpers!$V38," "),IF('Fuel Equipment'!B$14='Fuel Equipment'!$D$53,IF(Excavators!$W66&gt;0,Excavators!$W66," "),IF('Fuel Equipment'!B$14='Fuel Equipment'!$D$54,IF(Generators!$O126&gt;0,Generators!$O126," "),IF('Fuel Equipment'!B$14='Fuel Equipment'!$D$55,IF('Scissor Lifts'!$J50&gt;0,'Scissor Lifts'!$J50," "),"NOT REQUIRED"))))),"NOT REQUIRED")</f>
        <v>28T-30T</v>
      </c>
      <c r="C12" s="474" t="str">
        <f>IF('Fuel Equipment'!C$14&gt;0,IF('Fuel Equipment'!C$14='Fuel Equipment'!$D$51,IF(Cranes!$G29&gt;0,Cranes!$G29," "),IF('Fuel Equipment'!C$14='Fuel Equipment'!$D$52,IF(Dumpers!$V38&gt;0,Dumpers!$V38," "),IF('Fuel Equipment'!C$14='Fuel Equipment'!$D$53,IF(Excavators!$W66&gt;0,Excavators!$W66," "),IF('Fuel Equipment'!C$14='Fuel Equipment'!$D$54,IF(Generators!$O126&gt;0,Generators!$O126," "),IF('Fuel Equipment'!C$14='Fuel Equipment'!$D$55,IF('Scissor Lifts'!$J50&gt;0,'Scissor Lifts'!$J50," "),"NOT REQUIRED"))))),"NOT REQUIRED")</f>
        <v>28T-30T</v>
      </c>
      <c r="D12" s="474" t="str">
        <f>IF('Fuel Equipment'!D$14&gt;0,IF('Fuel Equipment'!D$14='Fuel Equipment'!$D$51,IF(Cranes!$G29&gt;0,Cranes!$G29," "),IF('Fuel Equipment'!D$14='Fuel Equipment'!$D$52,IF(Dumpers!$V38&gt;0,Dumpers!$V38," "),IF('Fuel Equipment'!D$14='Fuel Equipment'!$D$53,IF(Excavators!$W66&gt;0,Excavators!$W66," "),IF('Fuel Equipment'!D$14='Fuel Equipment'!$D$54,IF(Generators!$O126&gt;0,Generators!$O126," "),IF('Fuel Equipment'!D$14='Fuel Equipment'!$D$55,IF('Scissor Lifts'!$J50&gt;0,'Scissor Lifts'!$J50," "),"NOT REQUIRED"))))),"NOT REQUIRED")</f>
        <v>200kVA</v>
      </c>
      <c r="E12" s="474" t="str">
        <f>IF('Fuel Equipment'!E$14&gt;0,IF('Fuel Equipment'!E$14='Fuel Equipment'!$D$51,IF(Cranes!$G29&gt;0,Cranes!$G29," "),IF('Fuel Equipment'!E$14='Fuel Equipment'!$D$52,IF(Dumpers!$V38&gt;0,Dumpers!$V38," "),IF('Fuel Equipment'!E$14='Fuel Equipment'!$D$53,IF(Excavators!$W66&gt;0,Excavators!$W66," "),IF('Fuel Equipment'!E$14='Fuel Equipment'!$D$54,IF(Generators!$O126&gt;0,Generators!$O126," "),IF('Fuel Equipment'!E$14='Fuel Equipment'!$D$55,IF('Scissor Lifts'!$J50&gt;0,'Scissor Lifts'!$J50," "),"NOT REQUIRED"))))),"NOT REQUIRED")</f>
        <v xml:space="preserve"> </v>
      </c>
      <c r="F12" s="474" t="str">
        <f>IF('Fuel Equipment'!F$14&gt;0,IF('Fuel Equipment'!F$14='Fuel Equipment'!$D$51,IF(Cranes!$G29&gt;0,Cranes!$G29," "),IF('Fuel Equipment'!F$14='Fuel Equipment'!$D$52,IF(Dumpers!$V38&gt;0,Dumpers!$V38," "),IF('Fuel Equipment'!F$14='Fuel Equipment'!$D$53,IF(Excavators!$W66&gt;0,Excavators!$W66," "),IF('Fuel Equipment'!F$14='Fuel Equipment'!$D$54,IF(Generators!$O126&gt;0,Generators!$O126," "),IF('Fuel Equipment'!F$14='Fuel Equipment'!$D$55,IF('Scissor Lifts'!$J50&gt;0,'Scissor Lifts'!$J50," "),"NOT REQUIRED"))))),"NOT REQUIRED")</f>
        <v>NOT REQUIRED</v>
      </c>
      <c r="G12" s="474" t="str">
        <f>IF('Fuel Equipment'!G$14&gt;0,IF('Fuel Equipment'!G$14='Fuel Equipment'!$D$51,IF(Cranes!$G29&gt;0,Cranes!$G29," "),IF('Fuel Equipment'!G$14='Fuel Equipment'!$D$52,IF(Dumpers!$V38&gt;0,Dumpers!$V38," "),IF('Fuel Equipment'!G$14='Fuel Equipment'!$D$53,IF(Excavators!$W66&gt;0,Excavators!$W66," "),IF('Fuel Equipment'!G$14='Fuel Equipment'!$D$54,IF(Generators!$O126&gt;0,Generators!$O126," "),IF('Fuel Equipment'!G$14='Fuel Equipment'!$D$55,IF('Scissor Lifts'!$J50&gt;0,'Scissor Lifts'!$J50," "),"NOT REQUIRED"))))),"NOT REQUIRED")</f>
        <v>NOT REQUIRED</v>
      </c>
      <c r="H12" s="474" t="str">
        <f>IF('Fuel Equipment'!H$14&gt;0,IF('Fuel Equipment'!H$14='Fuel Equipment'!$D$51,IF(Cranes!$G29&gt;0,Cranes!$G29," "),IF('Fuel Equipment'!H$14='Fuel Equipment'!$D$52,IF(Dumpers!$V38&gt;0,Dumpers!$V38," "),IF('Fuel Equipment'!H$14='Fuel Equipment'!$D$53,IF(Excavators!$W66&gt;0,Excavators!$W66," "),IF('Fuel Equipment'!H$14='Fuel Equipment'!$D$54,IF(Generators!$O126&gt;0,Generators!$O126," "),IF('Fuel Equipment'!H$14='Fuel Equipment'!$D$55,IF('Scissor Lifts'!$J50&gt;0,'Scissor Lifts'!$J50," "),"NOT REQUIRED"))))),"NOT REQUIRED")</f>
        <v>NOT REQUIRED</v>
      </c>
      <c r="I12" s="474" t="str">
        <f>IF('Fuel Equipment'!I$14&gt;0,IF('Fuel Equipment'!I$14='Fuel Equipment'!$D$51,IF(Cranes!$G29&gt;0,Cranes!$G29," "),IF('Fuel Equipment'!I$14='Fuel Equipment'!$D$52,IF(Dumpers!$V38&gt;0,Dumpers!$V38," "),IF('Fuel Equipment'!I$14='Fuel Equipment'!$D$53,IF(Excavators!$W66&gt;0,Excavators!$W66," "),IF('Fuel Equipment'!I$14='Fuel Equipment'!$D$54,IF(Generators!$O126&gt;0,Generators!$O126," "),IF('Fuel Equipment'!I$14='Fuel Equipment'!$D$55,IF('Scissor Lifts'!$J50&gt;0,'Scissor Lifts'!$J50," "),"NOT REQUIRED"))))),"NOT REQUIRED")</f>
        <v>NOT REQUIRED</v>
      </c>
      <c r="J12" s="474" t="str">
        <f>IF('Fuel Equipment'!J$14&gt;0,IF('Fuel Equipment'!J$14='Fuel Equipment'!$D$51,IF(Cranes!$G29&gt;0,Cranes!$G29," "),IF('Fuel Equipment'!J$14='Fuel Equipment'!$D$52,IF(Dumpers!$V38&gt;0,Dumpers!$V38," "),IF('Fuel Equipment'!J$14='Fuel Equipment'!$D$53,IF(Excavators!$W66&gt;0,Excavators!$W66," "),IF('Fuel Equipment'!J$14='Fuel Equipment'!$D$54,IF(Generators!$O126&gt;0,Generators!$O126," "),IF('Fuel Equipment'!J$14='Fuel Equipment'!$D$55,IF('Scissor Lifts'!$J50&gt;0,'Scissor Lifts'!$J50," "),"NOT REQUIRED"))))),"NOT REQUIRED")</f>
        <v>NOT REQUIRED</v>
      </c>
      <c r="K12" s="474" t="str">
        <f>IF('Fuel Equipment'!K$14&gt;0,IF('Fuel Equipment'!K$14='Fuel Equipment'!$D$51,IF(Cranes!$G29&gt;0,Cranes!$G29," "),IF('Fuel Equipment'!K$14='Fuel Equipment'!$D$52,IF(Dumpers!$V38&gt;0,Dumpers!$V38," "),IF('Fuel Equipment'!K$14='Fuel Equipment'!$D$53,IF(Excavators!$W66&gt;0,Excavators!$W66," "),IF('Fuel Equipment'!K$14='Fuel Equipment'!$D$54,IF(Generators!$O126&gt;0,Generators!$O126," "),IF('Fuel Equipment'!K$14='Fuel Equipment'!$D$55,IF('Scissor Lifts'!$J50&gt;0,'Scissor Lifts'!$J50," "),"NOT REQUIRED"))))),"NOT REQUIRED")</f>
        <v>NOT REQUIRED</v>
      </c>
      <c r="L12" s="474" t="str">
        <f>IF('Fuel Equipment'!L$14&gt;0,IF('Fuel Equipment'!L$14='Fuel Equipment'!$D$51,IF(Cranes!$G29&gt;0,Cranes!$G29," "),IF('Fuel Equipment'!L$14='Fuel Equipment'!$D$52,IF(Dumpers!$V38&gt;0,Dumpers!$V38," "),IF('Fuel Equipment'!L$14='Fuel Equipment'!$D$53,IF(Excavators!$W66&gt;0,Excavators!$W66," "),IF('Fuel Equipment'!L$14='Fuel Equipment'!$D$54,IF(Generators!$O126&gt;0,Generators!$O126," "),IF('Fuel Equipment'!L$14='Fuel Equipment'!$D$55,IF('Scissor Lifts'!$J50&gt;0,'Scissor Lifts'!$J50," "),"NOT REQUIRED"))))),"NOT REQUIRED")</f>
        <v>NOT REQUIRED</v>
      </c>
      <c r="M12" s="474" t="str">
        <f>IF('Fuel Equipment'!M$14&gt;0,IF('Fuel Equipment'!M$14='Fuel Equipment'!$D$51,IF(Cranes!$G29&gt;0,Cranes!$G29," "),IF('Fuel Equipment'!M$14='Fuel Equipment'!$D$52,IF(Dumpers!$V38&gt;0,Dumpers!$V38," "),IF('Fuel Equipment'!M$14='Fuel Equipment'!$D$53,IF(Excavators!$W66&gt;0,Excavators!$W66," "),IF('Fuel Equipment'!M$14='Fuel Equipment'!$D$54,IF(Generators!$O126&gt;0,Generators!$O126," "),IF('Fuel Equipment'!M$14='Fuel Equipment'!$D$55,IF('Scissor Lifts'!$J50&gt;0,'Scissor Lifts'!$J50," "),"NOT REQUIRED"))))),"NOT REQUIRED")</f>
        <v>NOT REQUIRED</v>
      </c>
      <c r="N12" s="474" t="str">
        <f>IF('Fuel Equipment'!N$14&gt;0,IF('Fuel Equipment'!N$14='Fuel Equipment'!$D$51,IF(Cranes!$G29&gt;0,Cranes!$G29," "),IF('Fuel Equipment'!N$14='Fuel Equipment'!$D$52,IF(Dumpers!$V38&gt;0,Dumpers!$V38," "),IF('Fuel Equipment'!N$14='Fuel Equipment'!$D$53,IF(Excavators!$W66&gt;0,Excavators!$W66," "),IF('Fuel Equipment'!N$14='Fuel Equipment'!$D$54,IF(Generators!$O126&gt;0,Generators!$O126," "),IF('Fuel Equipment'!N$14='Fuel Equipment'!$D$55,IF('Scissor Lifts'!$J50&gt;0,'Scissor Lifts'!$J50," "),"NOT REQUIRED"))))),"NOT REQUIRED")</f>
        <v>NOT REQUIRED</v>
      </c>
      <c r="O12" s="474" t="str">
        <f>IF('Fuel Equipment'!O$14&gt;0,IF('Fuel Equipment'!O$14='Fuel Equipment'!$D$51,IF(Cranes!$G29&gt;0,Cranes!$G29," "),IF('Fuel Equipment'!O$14='Fuel Equipment'!$D$52,IF(Dumpers!$V38&gt;0,Dumpers!$V38," "),IF('Fuel Equipment'!O$14='Fuel Equipment'!$D$53,IF(Excavators!$W66&gt;0,Excavators!$W66," "),IF('Fuel Equipment'!O$14='Fuel Equipment'!$D$54,IF(Generators!$O126&gt;0,Generators!$O126," "),IF('Fuel Equipment'!O$14='Fuel Equipment'!$D$55,IF('Scissor Lifts'!$J50&gt;0,'Scissor Lifts'!$J50," "),"NOT REQUIRED"))))),"NOT REQUIRED")</f>
        <v>NOT REQUIRED</v>
      </c>
      <c r="P12" s="474" t="str">
        <f>IF('Fuel Equipment'!P$14&gt;0,IF('Fuel Equipment'!P$14='Fuel Equipment'!$D$51,IF(Cranes!$G29&gt;0,Cranes!$G29," "),IF('Fuel Equipment'!P$14='Fuel Equipment'!$D$52,IF(Dumpers!$V38&gt;0,Dumpers!$V38," "),IF('Fuel Equipment'!P$14='Fuel Equipment'!$D$53,IF(Excavators!$W66&gt;0,Excavators!$W66," "),IF('Fuel Equipment'!P$14='Fuel Equipment'!$D$54,IF(Generators!$O126&gt;0,Generators!$O126," "),IF('Fuel Equipment'!P$14='Fuel Equipment'!$D$55,IF('Scissor Lifts'!$J50&gt;0,'Scissor Lifts'!$J50," "),"NOT REQUIRED"))))),"NOT REQUIRED")</f>
        <v>NOT REQUIRED</v>
      </c>
      <c r="Q12" s="474" t="str">
        <f>IF('Fuel Equipment'!Q$14&gt;0,IF('Fuel Equipment'!Q$14='Fuel Equipment'!$D$51,IF(Cranes!$G29&gt;0,Cranes!$G29," "),IF('Fuel Equipment'!Q$14='Fuel Equipment'!$D$52,IF(Dumpers!$V38&gt;0,Dumpers!$V38," "),IF('Fuel Equipment'!Q$14='Fuel Equipment'!$D$53,IF(Excavators!$W66&gt;0,Excavators!$W66," "),IF('Fuel Equipment'!Q$14='Fuel Equipment'!$D$54,IF(Generators!$O126&gt;0,Generators!$O126," "),IF('Fuel Equipment'!Q$14='Fuel Equipment'!$D$55,IF('Scissor Lifts'!$J50&gt;0,'Scissor Lifts'!$J50," "),"NOT REQUIRED"))))),"NOT REQUIRED")</f>
        <v>NOT REQUIRED</v>
      </c>
      <c r="R12" s="474" t="str">
        <f>IF('Fuel Equipment'!R$14&gt;0,IF('Fuel Equipment'!R$14='Fuel Equipment'!$D$51,IF(Cranes!$G29&gt;0,Cranes!$G29," "),IF('Fuel Equipment'!R$14='Fuel Equipment'!$D$52,IF(Dumpers!$V38&gt;0,Dumpers!$V38," "),IF('Fuel Equipment'!R$14='Fuel Equipment'!$D$53,IF(Excavators!$W66&gt;0,Excavators!$W66," "),IF('Fuel Equipment'!R$14='Fuel Equipment'!$D$54,IF(Generators!$O126&gt;0,Generators!$O126," "),IF('Fuel Equipment'!R$14='Fuel Equipment'!$D$55,IF('Scissor Lifts'!$J50&gt;0,'Scissor Lifts'!$J50," "),"NOT REQUIRED"))))),"NOT REQUIRED")</f>
        <v>NOT REQUIRED</v>
      </c>
      <c r="S12" s="474" t="str">
        <f>IF('Fuel Equipment'!S$14&gt;0,IF('Fuel Equipment'!S$14='Fuel Equipment'!$D$51,IF(Cranes!$G29&gt;0,Cranes!$G29," "),IF('Fuel Equipment'!S$14='Fuel Equipment'!$D$52,IF(Dumpers!$V38&gt;0,Dumpers!$V38," "),IF('Fuel Equipment'!S$14='Fuel Equipment'!$D$53,IF(Excavators!$W66&gt;0,Excavators!$W66," "),IF('Fuel Equipment'!S$14='Fuel Equipment'!$D$54,IF(Generators!$O126&gt;0,Generators!$O126," "),IF('Fuel Equipment'!S$14='Fuel Equipment'!$D$55,IF('Scissor Lifts'!$J50&gt;0,'Scissor Lifts'!$J50," "),"NOT REQUIRED"))))),"NOT REQUIRED")</f>
        <v>NOT REQUIRED</v>
      </c>
      <c r="U12" s="927"/>
      <c r="V12" s="927"/>
      <c r="W12" s="927"/>
      <c r="X12" s="927"/>
      <c r="Y12" s="927"/>
      <c r="Z12" s="927"/>
    </row>
    <row r="13" spans="1:26" s="179" customFormat="1">
      <c r="B13" s="474" t="str">
        <f>IF('Fuel Equipment'!B$14&gt;0,IF('Fuel Equipment'!B$14='Fuel Equipment'!$D$51,IF(Cranes!$G30&gt;0,Cranes!$G30," "),IF('Fuel Equipment'!B$14='Fuel Equipment'!$D$52,IF(Dumpers!$V39&gt;0,Dumpers!$V39," "),IF('Fuel Equipment'!B$14='Fuel Equipment'!$D$53,IF(Excavators!$W67&gt;0,Excavators!$W67," "),IF('Fuel Equipment'!B$14='Fuel Equipment'!$D$54,IF(Generators!$O127&gt;0,Generators!$O127," "),IF('Fuel Equipment'!B$14='Fuel Equipment'!$D$55,IF('Scissor Lifts'!$J51&gt;0,'Scissor Lifts'!$J51," "),"NOT REQUIRED"))))),"NOT REQUIRED")</f>
        <v>35T</v>
      </c>
      <c r="C13" s="474" t="str">
        <f>IF('Fuel Equipment'!C$14&gt;0,IF('Fuel Equipment'!C$14='Fuel Equipment'!$D$51,IF(Cranes!$G30&gt;0,Cranes!$G30," "),IF('Fuel Equipment'!C$14='Fuel Equipment'!$D$52,IF(Dumpers!$V39&gt;0,Dumpers!$V39," "),IF('Fuel Equipment'!C$14='Fuel Equipment'!$D$53,IF(Excavators!$W67&gt;0,Excavators!$W67," "),IF('Fuel Equipment'!C$14='Fuel Equipment'!$D$54,IF(Generators!$O127&gt;0,Generators!$O127," "),IF('Fuel Equipment'!C$14='Fuel Equipment'!$D$55,IF('Scissor Lifts'!$J51&gt;0,'Scissor Lifts'!$J51," "),"NOT REQUIRED"))))),"NOT REQUIRED")</f>
        <v>35T</v>
      </c>
      <c r="D13" s="474" t="str">
        <f>IF('Fuel Equipment'!D$14&gt;0,IF('Fuel Equipment'!D$14='Fuel Equipment'!$D$51,IF(Cranes!$G30&gt;0,Cranes!$G30," "),IF('Fuel Equipment'!D$14='Fuel Equipment'!$D$52,IF(Dumpers!$V39&gt;0,Dumpers!$V39," "),IF('Fuel Equipment'!D$14='Fuel Equipment'!$D$53,IF(Excavators!$W67&gt;0,Excavators!$W67," "),IF('Fuel Equipment'!D$14='Fuel Equipment'!$D$54,IF(Generators!$O127&gt;0,Generators!$O127," "),IF('Fuel Equipment'!D$14='Fuel Equipment'!$D$55,IF('Scissor Lifts'!$J51&gt;0,'Scissor Lifts'!$J51," "),"NOT REQUIRED"))))),"NOT REQUIRED")</f>
        <v>250kVA</v>
      </c>
      <c r="E13" s="474" t="str">
        <f>IF('Fuel Equipment'!E$14&gt;0,IF('Fuel Equipment'!E$14='Fuel Equipment'!$D$51,IF(Cranes!$G30&gt;0,Cranes!$G30," "),IF('Fuel Equipment'!E$14='Fuel Equipment'!$D$52,IF(Dumpers!$V39&gt;0,Dumpers!$V39," "),IF('Fuel Equipment'!E$14='Fuel Equipment'!$D$53,IF(Excavators!$W67&gt;0,Excavators!$W67," "),IF('Fuel Equipment'!E$14='Fuel Equipment'!$D$54,IF(Generators!$O127&gt;0,Generators!$O127," "),IF('Fuel Equipment'!E$14='Fuel Equipment'!$D$55,IF('Scissor Lifts'!$J51&gt;0,'Scissor Lifts'!$J51," "),"NOT REQUIRED"))))),"NOT REQUIRED")</f>
        <v xml:space="preserve"> </v>
      </c>
      <c r="F13" s="474" t="str">
        <f>IF('Fuel Equipment'!F$14&gt;0,IF('Fuel Equipment'!F$14='Fuel Equipment'!$D$51,IF(Cranes!$G30&gt;0,Cranes!$G30," "),IF('Fuel Equipment'!F$14='Fuel Equipment'!$D$52,IF(Dumpers!$V39&gt;0,Dumpers!$V39," "),IF('Fuel Equipment'!F$14='Fuel Equipment'!$D$53,IF(Excavators!$W67&gt;0,Excavators!$W67," "),IF('Fuel Equipment'!F$14='Fuel Equipment'!$D$54,IF(Generators!$O127&gt;0,Generators!$O127," "),IF('Fuel Equipment'!F$14='Fuel Equipment'!$D$55,IF('Scissor Lifts'!$J51&gt;0,'Scissor Lifts'!$J51," "),"NOT REQUIRED"))))),"NOT REQUIRED")</f>
        <v>NOT REQUIRED</v>
      </c>
      <c r="G13" s="474" t="str">
        <f>IF('Fuel Equipment'!G$14&gt;0,IF('Fuel Equipment'!G$14='Fuel Equipment'!$D$51,IF(Cranes!$G30&gt;0,Cranes!$G30," "),IF('Fuel Equipment'!G$14='Fuel Equipment'!$D$52,IF(Dumpers!$V39&gt;0,Dumpers!$V39," "),IF('Fuel Equipment'!G$14='Fuel Equipment'!$D$53,IF(Excavators!$W67&gt;0,Excavators!$W67," "),IF('Fuel Equipment'!G$14='Fuel Equipment'!$D$54,IF(Generators!$O127&gt;0,Generators!$O127," "),IF('Fuel Equipment'!G$14='Fuel Equipment'!$D$55,IF('Scissor Lifts'!$J51&gt;0,'Scissor Lifts'!$J51," "),"NOT REQUIRED"))))),"NOT REQUIRED")</f>
        <v>NOT REQUIRED</v>
      </c>
      <c r="H13" s="474" t="str">
        <f>IF('Fuel Equipment'!H$14&gt;0,IF('Fuel Equipment'!H$14='Fuel Equipment'!$D$51,IF(Cranes!$G30&gt;0,Cranes!$G30," "),IF('Fuel Equipment'!H$14='Fuel Equipment'!$D$52,IF(Dumpers!$V39&gt;0,Dumpers!$V39," "),IF('Fuel Equipment'!H$14='Fuel Equipment'!$D$53,IF(Excavators!$W67&gt;0,Excavators!$W67," "),IF('Fuel Equipment'!H$14='Fuel Equipment'!$D$54,IF(Generators!$O127&gt;0,Generators!$O127," "),IF('Fuel Equipment'!H$14='Fuel Equipment'!$D$55,IF('Scissor Lifts'!$J51&gt;0,'Scissor Lifts'!$J51," "),"NOT REQUIRED"))))),"NOT REQUIRED")</f>
        <v>NOT REQUIRED</v>
      </c>
      <c r="I13" s="474" t="str">
        <f>IF('Fuel Equipment'!I$14&gt;0,IF('Fuel Equipment'!I$14='Fuel Equipment'!$D$51,IF(Cranes!$G30&gt;0,Cranes!$G30," "),IF('Fuel Equipment'!I$14='Fuel Equipment'!$D$52,IF(Dumpers!$V39&gt;0,Dumpers!$V39," "),IF('Fuel Equipment'!I$14='Fuel Equipment'!$D$53,IF(Excavators!$W67&gt;0,Excavators!$W67," "),IF('Fuel Equipment'!I$14='Fuel Equipment'!$D$54,IF(Generators!$O127&gt;0,Generators!$O127," "),IF('Fuel Equipment'!I$14='Fuel Equipment'!$D$55,IF('Scissor Lifts'!$J51&gt;0,'Scissor Lifts'!$J51," "),"NOT REQUIRED"))))),"NOT REQUIRED")</f>
        <v>NOT REQUIRED</v>
      </c>
      <c r="J13" s="474" t="str">
        <f>IF('Fuel Equipment'!J$14&gt;0,IF('Fuel Equipment'!J$14='Fuel Equipment'!$D$51,IF(Cranes!$G30&gt;0,Cranes!$G30," "),IF('Fuel Equipment'!J$14='Fuel Equipment'!$D$52,IF(Dumpers!$V39&gt;0,Dumpers!$V39," "),IF('Fuel Equipment'!J$14='Fuel Equipment'!$D$53,IF(Excavators!$W67&gt;0,Excavators!$W67," "),IF('Fuel Equipment'!J$14='Fuel Equipment'!$D$54,IF(Generators!$O127&gt;0,Generators!$O127," "),IF('Fuel Equipment'!J$14='Fuel Equipment'!$D$55,IF('Scissor Lifts'!$J51&gt;0,'Scissor Lifts'!$J51," "),"NOT REQUIRED"))))),"NOT REQUIRED")</f>
        <v>NOT REQUIRED</v>
      </c>
      <c r="K13" s="474" t="str">
        <f>IF('Fuel Equipment'!K$14&gt;0,IF('Fuel Equipment'!K$14='Fuel Equipment'!$D$51,IF(Cranes!$G30&gt;0,Cranes!$G30," "),IF('Fuel Equipment'!K$14='Fuel Equipment'!$D$52,IF(Dumpers!$V39&gt;0,Dumpers!$V39," "),IF('Fuel Equipment'!K$14='Fuel Equipment'!$D$53,IF(Excavators!$W67&gt;0,Excavators!$W67," "),IF('Fuel Equipment'!K$14='Fuel Equipment'!$D$54,IF(Generators!$O127&gt;0,Generators!$O127," "),IF('Fuel Equipment'!K$14='Fuel Equipment'!$D$55,IF('Scissor Lifts'!$J51&gt;0,'Scissor Lifts'!$J51," "),"NOT REQUIRED"))))),"NOT REQUIRED")</f>
        <v>NOT REQUIRED</v>
      </c>
      <c r="L13" s="474" t="str">
        <f>IF('Fuel Equipment'!L$14&gt;0,IF('Fuel Equipment'!L$14='Fuel Equipment'!$D$51,IF(Cranes!$G30&gt;0,Cranes!$G30," "),IF('Fuel Equipment'!L$14='Fuel Equipment'!$D$52,IF(Dumpers!$V39&gt;0,Dumpers!$V39," "),IF('Fuel Equipment'!L$14='Fuel Equipment'!$D$53,IF(Excavators!$W67&gt;0,Excavators!$W67," "),IF('Fuel Equipment'!L$14='Fuel Equipment'!$D$54,IF(Generators!$O127&gt;0,Generators!$O127," "),IF('Fuel Equipment'!L$14='Fuel Equipment'!$D$55,IF('Scissor Lifts'!$J51&gt;0,'Scissor Lifts'!$J51," "),"NOT REQUIRED"))))),"NOT REQUIRED")</f>
        <v>NOT REQUIRED</v>
      </c>
      <c r="M13" s="474" t="str">
        <f>IF('Fuel Equipment'!M$14&gt;0,IF('Fuel Equipment'!M$14='Fuel Equipment'!$D$51,IF(Cranes!$G30&gt;0,Cranes!$G30," "),IF('Fuel Equipment'!M$14='Fuel Equipment'!$D$52,IF(Dumpers!$V39&gt;0,Dumpers!$V39," "),IF('Fuel Equipment'!M$14='Fuel Equipment'!$D$53,IF(Excavators!$W67&gt;0,Excavators!$W67," "),IF('Fuel Equipment'!M$14='Fuel Equipment'!$D$54,IF(Generators!$O127&gt;0,Generators!$O127," "),IF('Fuel Equipment'!M$14='Fuel Equipment'!$D$55,IF('Scissor Lifts'!$J51&gt;0,'Scissor Lifts'!$J51," "),"NOT REQUIRED"))))),"NOT REQUIRED")</f>
        <v>NOT REQUIRED</v>
      </c>
      <c r="N13" s="474" t="str">
        <f>IF('Fuel Equipment'!N$14&gt;0,IF('Fuel Equipment'!N$14='Fuel Equipment'!$D$51,IF(Cranes!$G30&gt;0,Cranes!$G30," "),IF('Fuel Equipment'!N$14='Fuel Equipment'!$D$52,IF(Dumpers!$V39&gt;0,Dumpers!$V39," "),IF('Fuel Equipment'!N$14='Fuel Equipment'!$D$53,IF(Excavators!$W67&gt;0,Excavators!$W67," "),IF('Fuel Equipment'!N$14='Fuel Equipment'!$D$54,IF(Generators!$O127&gt;0,Generators!$O127," "),IF('Fuel Equipment'!N$14='Fuel Equipment'!$D$55,IF('Scissor Lifts'!$J51&gt;0,'Scissor Lifts'!$J51," "),"NOT REQUIRED"))))),"NOT REQUIRED")</f>
        <v>NOT REQUIRED</v>
      </c>
      <c r="O13" s="474" t="str">
        <f>IF('Fuel Equipment'!O$14&gt;0,IF('Fuel Equipment'!O$14='Fuel Equipment'!$D$51,IF(Cranes!$G30&gt;0,Cranes!$G30," "),IF('Fuel Equipment'!O$14='Fuel Equipment'!$D$52,IF(Dumpers!$V39&gt;0,Dumpers!$V39," "),IF('Fuel Equipment'!O$14='Fuel Equipment'!$D$53,IF(Excavators!$W67&gt;0,Excavators!$W67," "),IF('Fuel Equipment'!O$14='Fuel Equipment'!$D$54,IF(Generators!$O127&gt;0,Generators!$O127," "),IF('Fuel Equipment'!O$14='Fuel Equipment'!$D$55,IF('Scissor Lifts'!$J51&gt;0,'Scissor Lifts'!$J51," "),"NOT REQUIRED"))))),"NOT REQUIRED")</f>
        <v>NOT REQUIRED</v>
      </c>
      <c r="P13" s="474" t="str">
        <f>IF('Fuel Equipment'!P$14&gt;0,IF('Fuel Equipment'!P$14='Fuel Equipment'!$D$51,IF(Cranes!$G30&gt;0,Cranes!$G30," "),IF('Fuel Equipment'!P$14='Fuel Equipment'!$D$52,IF(Dumpers!$V39&gt;0,Dumpers!$V39," "),IF('Fuel Equipment'!P$14='Fuel Equipment'!$D$53,IF(Excavators!$W67&gt;0,Excavators!$W67," "),IF('Fuel Equipment'!P$14='Fuel Equipment'!$D$54,IF(Generators!$O127&gt;0,Generators!$O127," "),IF('Fuel Equipment'!P$14='Fuel Equipment'!$D$55,IF('Scissor Lifts'!$J51&gt;0,'Scissor Lifts'!$J51," "),"NOT REQUIRED"))))),"NOT REQUIRED")</f>
        <v>NOT REQUIRED</v>
      </c>
      <c r="Q13" s="474" t="str">
        <f>IF('Fuel Equipment'!Q$14&gt;0,IF('Fuel Equipment'!Q$14='Fuel Equipment'!$D$51,IF(Cranes!$G30&gt;0,Cranes!$G30," "),IF('Fuel Equipment'!Q$14='Fuel Equipment'!$D$52,IF(Dumpers!$V39&gt;0,Dumpers!$V39," "),IF('Fuel Equipment'!Q$14='Fuel Equipment'!$D$53,IF(Excavators!$W67&gt;0,Excavators!$W67," "),IF('Fuel Equipment'!Q$14='Fuel Equipment'!$D$54,IF(Generators!$O127&gt;0,Generators!$O127," "),IF('Fuel Equipment'!Q$14='Fuel Equipment'!$D$55,IF('Scissor Lifts'!$J51&gt;0,'Scissor Lifts'!$J51," "),"NOT REQUIRED"))))),"NOT REQUIRED")</f>
        <v>NOT REQUIRED</v>
      </c>
      <c r="R13" s="474" t="str">
        <f>IF('Fuel Equipment'!R$14&gt;0,IF('Fuel Equipment'!R$14='Fuel Equipment'!$D$51,IF(Cranes!$G30&gt;0,Cranes!$G30," "),IF('Fuel Equipment'!R$14='Fuel Equipment'!$D$52,IF(Dumpers!$V39&gt;0,Dumpers!$V39," "),IF('Fuel Equipment'!R$14='Fuel Equipment'!$D$53,IF(Excavators!$W67&gt;0,Excavators!$W67," "),IF('Fuel Equipment'!R$14='Fuel Equipment'!$D$54,IF(Generators!$O127&gt;0,Generators!$O127," "),IF('Fuel Equipment'!R$14='Fuel Equipment'!$D$55,IF('Scissor Lifts'!$J51&gt;0,'Scissor Lifts'!$J51," "),"NOT REQUIRED"))))),"NOT REQUIRED")</f>
        <v>NOT REQUIRED</v>
      </c>
      <c r="S13" s="474" t="str">
        <f>IF('Fuel Equipment'!S$14&gt;0,IF('Fuel Equipment'!S$14='Fuel Equipment'!$D$51,IF(Cranes!$G30&gt;0,Cranes!$G30," "),IF('Fuel Equipment'!S$14='Fuel Equipment'!$D$52,IF(Dumpers!$V39&gt;0,Dumpers!$V39," "),IF('Fuel Equipment'!S$14='Fuel Equipment'!$D$53,IF(Excavators!$W67&gt;0,Excavators!$W67," "),IF('Fuel Equipment'!S$14='Fuel Equipment'!$D$54,IF(Generators!$O127&gt;0,Generators!$O127," "),IF('Fuel Equipment'!S$14='Fuel Equipment'!$D$55,IF('Scissor Lifts'!$J51&gt;0,'Scissor Lifts'!$J51," "),"NOT REQUIRED"))))),"NOT REQUIRED")</f>
        <v>NOT REQUIRED</v>
      </c>
      <c r="U13" s="927"/>
      <c r="V13" s="927"/>
      <c r="W13" s="927"/>
      <c r="X13" s="927"/>
      <c r="Y13" s="927"/>
      <c r="Z13" s="927"/>
    </row>
    <row r="14" spans="1:26" s="179" customFormat="1">
      <c r="B14" s="474" t="str">
        <f>IF('Fuel Equipment'!B$14&gt;0,IF('Fuel Equipment'!B$14='Fuel Equipment'!$D$51,IF(Cranes!$G31&gt;0,Cranes!$G31," "),IF('Fuel Equipment'!B$14='Fuel Equipment'!$D$52,IF(Dumpers!$V40&gt;0,Dumpers!$V40," "),IF('Fuel Equipment'!B$14='Fuel Equipment'!$D$53,IF(Excavators!$W68&gt;0,Excavators!$W68," "),IF('Fuel Equipment'!B$14='Fuel Equipment'!$D$54,IF(Generators!$O128&gt;0,Generators!$O128," "),IF('Fuel Equipment'!B$14='Fuel Equipment'!$D$55,IF('Scissor Lifts'!$J52&gt;0,'Scissor Lifts'!$J52," "),"NOT REQUIRED"))))),"NOT REQUIRED")</f>
        <v>40T</v>
      </c>
      <c r="C14" s="474" t="str">
        <f>IF('Fuel Equipment'!C$14&gt;0,IF('Fuel Equipment'!C$14='Fuel Equipment'!$D$51,IF(Cranes!$G31&gt;0,Cranes!$G31," "),IF('Fuel Equipment'!C$14='Fuel Equipment'!$D$52,IF(Dumpers!$V40&gt;0,Dumpers!$V40," "),IF('Fuel Equipment'!C$14='Fuel Equipment'!$D$53,IF(Excavators!$W68&gt;0,Excavators!$W68," "),IF('Fuel Equipment'!C$14='Fuel Equipment'!$D$54,IF(Generators!$O128&gt;0,Generators!$O128," "),IF('Fuel Equipment'!C$14='Fuel Equipment'!$D$55,IF('Scissor Lifts'!$J52&gt;0,'Scissor Lifts'!$J52," "),"NOT REQUIRED"))))),"NOT REQUIRED")</f>
        <v>40T</v>
      </c>
      <c r="D14" s="474" t="str">
        <f>IF('Fuel Equipment'!D$14&gt;0,IF('Fuel Equipment'!D$14='Fuel Equipment'!$D$51,IF(Cranes!$G31&gt;0,Cranes!$G31," "),IF('Fuel Equipment'!D$14='Fuel Equipment'!$D$52,IF(Dumpers!$V40&gt;0,Dumpers!$V40," "),IF('Fuel Equipment'!D$14='Fuel Equipment'!$D$53,IF(Excavators!$W68&gt;0,Excavators!$W68," "),IF('Fuel Equipment'!D$14='Fuel Equipment'!$D$54,IF(Generators!$O128&gt;0,Generators!$O128," "),IF('Fuel Equipment'!D$14='Fuel Equipment'!$D$55,IF('Scissor Lifts'!$J52&gt;0,'Scissor Lifts'!$J52," "),"NOT REQUIRED"))))),"NOT REQUIRED")</f>
        <v>320kVA</v>
      </c>
      <c r="E14" s="474" t="str">
        <f>IF('Fuel Equipment'!E$14&gt;0,IF('Fuel Equipment'!E$14='Fuel Equipment'!$D$51,IF(Cranes!$G31&gt;0,Cranes!$G31," "),IF('Fuel Equipment'!E$14='Fuel Equipment'!$D$52,IF(Dumpers!$V40&gt;0,Dumpers!$V40," "),IF('Fuel Equipment'!E$14='Fuel Equipment'!$D$53,IF(Excavators!$W68&gt;0,Excavators!$W68," "),IF('Fuel Equipment'!E$14='Fuel Equipment'!$D$54,IF(Generators!$O128&gt;0,Generators!$O128," "),IF('Fuel Equipment'!E$14='Fuel Equipment'!$D$55,IF('Scissor Lifts'!$J52&gt;0,'Scissor Lifts'!$J52," "),"NOT REQUIRED"))))),"NOT REQUIRED")</f>
        <v xml:space="preserve"> </v>
      </c>
      <c r="F14" s="474" t="str">
        <f>IF('Fuel Equipment'!F$14&gt;0,IF('Fuel Equipment'!F$14='Fuel Equipment'!$D$51,IF(Cranes!$G31&gt;0,Cranes!$G31," "),IF('Fuel Equipment'!F$14='Fuel Equipment'!$D$52,IF(Dumpers!$V40&gt;0,Dumpers!$V40," "),IF('Fuel Equipment'!F$14='Fuel Equipment'!$D$53,IF(Excavators!$W68&gt;0,Excavators!$W68," "),IF('Fuel Equipment'!F$14='Fuel Equipment'!$D$54,IF(Generators!$O128&gt;0,Generators!$O128," "),IF('Fuel Equipment'!F$14='Fuel Equipment'!$D$55,IF('Scissor Lifts'!$J52&gt;0,'Scissor Lifts'!$J52," "),"NOT REQUIRED"))))),"NOT REQUIRED")</f>
        <v>NOT REQUIRED</v>
      </c>
      <c r="G14" s="474" t="str">
        <f>IF('Fuel Equipment'!G$14&gt;0,IF('Fuel Equipment'!G$14='Fuel Equipment'!$D$51,IF(Cranes!$G31&gt;0,Cranes!$G31," "),IF('Fuel Equipment'!G$14='Fuel Equipment'!$D$52,IF(Dumpers!$V40&gt;0,Dumpers!$V40," "),IF('Fuel Equipment'!G$14='Fuel Equipment'!$D$53,IF(Excavators!$W68&gt;0,Excavators!$W68," "),IF('Fuel Equipment'!G$14='Fuel Equipment'!$D$54,IF(Generators!$O128&gt;0,Generators!$O128," "),IF('Fuel Equipment'!G$14='Fuel Equipment'!$D$55,IF('Scissor Lifts'!$J52&gt;0,'Scissor Lifts'!$J52," "),"NOT REQUIRED"))))),"NOT REQUIRED")</f>
        <v>NOT REQUIRED</v>
      </c>
      <c r="H14" s="474" t="str">
        <f>IF('Fuel Equipment'!H$14&gt;0,IF('Fuel Equipment'!H$14='Fuel Equipment'!$D$51,IF(Cranes!$G31&gt;0,Cranes!$G31," "),IF('Fuel Equipment'!H$14='Fuel Equipment'!$D$52,IF(Dumpers!$V40&gt;0,Dumpers!$V40," "),IF('Fuel Equipment'!H$14='Fuel Equipment'!$D$53,IF(Excavators!$W68&gt;0,Excavators!$W68," "),IF('Fuel Equipment'!H$14='Fuel Equipment'!$D$54,IF(Generators!$O128&gt;0,Generators!$O128," "),IF('Fuel Equipment'!H$14='Fuel Equipment'!$D$55,IF('Scissor Lifts'!$J52&gt;0,'Scissor Lifts'!$J52," "),"NOT REQUIRED"))))),"NOT REQUIRED")</f>
        <v>NOT REQUIRED</v>
      </c>
      <c r="I14" s="474" t="str">
        <f>IF('Fuel Equipment'!I$14&gt;0,IF('Fuel Equipment'!I$14='Fuel Equipment'!$D$51,IF(Cranes!$G31&gt;0,Cranes!$G31," "),IF('Fuel Equipment'!I$14='Fuel Equipment'!$D$52,IF(Dumpers!$V40&gt;0,Dumpers!$V40," "),IF('Fuel Equipment'!I$14='Fuel Equipment'!$D$53,IF(Excavators!$W68&gt;0,Excavators!$W68," "),IF('Fuel Equipment'!I$14='Fuel Equipment'!$D$54,IF(Generators!$O128&gt;0,Generators!$O128," "),IF('Fuel Equipment'!I$14='Fuel Equipment'!$D$55,IF('Scissor Lifts'!$J52&gt;0,'Scissor Lifts'!$J52," "),"NOT REQUIRED"))))),"NOT REQUIRED")</f>
        <v>NOT REQUIRED</v>
      </c>
      <c r="J14" s="474" t="str">
        <f>IF('Fuel Equipment'!J$14&gt;0,IF('Fuel Equipment'!J$14='Fuel Equipment'!$D$51,IF(Cranes!$G31&gt;0,Cranes!$G31," "),IF('Fuel Equipment'!J$14='Fuel Equipment'!$D$52,IF(Dumpers!$V40&gt;0,Dumpers!$V40," "),IF('Fuel Equipment'!J$14='Fuel Equipment'!$D$53,IF(Excavators!$W68&gt;0,Excavators!$W68," "),IF('Fuel Equipment'!J$14='Fuel Equipment'!$D$54,IF(Generators!$O128&gt;0,Generators!$O128," "),IF('Fuel Equipment'!J$14='Fuel Equipment'!$D$55,IF('Scissor Lifts'!$J52&gt;0,'Scissor Lifts'!$J52," "),"NOT REQUIRED"))))),"NOT REQUIRED")</f>
        <v>NOT REQUIRED</v>
      </c>
      <c r="K14" s="474" t="str">
        <f>IF('Fuel Equipment'!K$14&gt;0,IF('Fuel Equipment'!K$14='Fuel Equipment'!$D$51,IF(Cranes!$G31&gt;0,Cranes!$G31," "),IF('Fuel Equipment'!K$14='Fuel Equipment'!$D$52,IF(Dumpers!$V40&gt;0,Dumpers!$V40," "),IF('Fuel Equipment'!K$14='Fuel Equipment'!$D$53,IF(Excavators!$W68&gt;0,Excavators!$W68," "),IF('Fuel Equipment'!K$14='Fuel Equipment'!$D$54,IF(Generators!$O128&gt;0,Generators!$O128," "),IF('Fuel Equipment'!K$14='Fuel Equipment'!$D$55,IF('Scissor Lifts'!$J52&gt;0,'Scissor Lifts'!$J52," "),"NOT REQUIRED"))))),"NOT REQUIRED")</f>
        <v>NOT REQUIRED</v>
      </c>
      <c r="L14" s="474" t="str">
        <f>IF('Fuel Equipment'!L$14&gt;0,IF('Fuel Equipment'!L$14='Fuel Equipment'!$D$51,IF(Cranes!$G31&gt;0,Cranes!$G31," "),IF('Fuel Equipment'!L$14='Fuel Equipment'!$D$52,IF(Dumpers!$V40&gt;0,Dumpers!$V40," "),IF('Fuel Equipment'!L$14='Fuel Equipment'!$D$53,IF(Excavators!$W68&gt;0,Excavators!$W68," "),IF('Fuel Equipment'!L$14='Fuel Equipment'!$D$54,IF(Generators!$O128&gt;0,Generators!$O128," "),IF('Fuel Equipment'!L$14='Fuel Equipment'!$D$55,IF('Scissor Lifts'!$J52&gt;0,'Scissor Lifts'!$J52," "),"NOT REQUIRED"))))),"NOT REQUIRED")</f>
        <v>NOT REQUIRED</v>
      </c>
      <c r="M14" s="474" t="str">
        <f>IF('Fuel Equipment'!M$14&gt;0,IF('Fuel Equipment'!M$14='Fuel Equipment'!$D$51,IF(Cranes!$G31&gt;0,Cranes!$G31," "),IF('Fuel Equipment'!M$14='Fuel Equipment'!$D$52,IF(Dumpers!$V40&gt;0,Dumpers!$V40," "),IF('Fuel Equipment'!M$14='Fuel Equipment'!$D$53,IF(Excavators!$W68&gt;0,Excavators!$W68," "),IF('Fuel Equipment'!M$14='Fuel Equipment'!$D$54,IF(Generators!$O128&gt;0,Generators!$O128," "),IF('Fuel Equipment'!M$14='Fuel Equipment'!$D$55,IF('Scissor Lifts'!$J52&gt;0,'Scissor Lifts'!$J52," "),"NOT REQUIRED"))))),"NOT REQUIRED")</f>
        <v>NOT REQUIRED</v>
      </c>
      <c r="N14" s="474" t="str">
        <f>IF('Fuel Equipment'!N$14&gt;0,IF('Fuel Equipment'!N$14='Fuel Equipment'!$D$51,IF(Cranes!$G31&gt;0,Cranes!$G31," "),IF('Fuel Equipment'!N$14='Fuel Equipment'!$D$52,IF(Dumpers!$V40&gt;0,Dumpers!$V40," "),IF('Fuel Equipment'!N$14='Fuel Equipment'!$D$53,IF(Excavators!$W68&gt;0,Excavators!$W68," "),IF('Fuel Equipment'!N$14='Fuel Equipment'!$D$54,IF(Generators!$O128&gt;0,Generators!$O128," "),IF('Fuel Equipment'!N$14='Fuel Equipment'!$D$55,IF('Scissor Lifts'!$J52&gt;0,'Scissor Lifts'!$J52," "),"NOT REQUIRED"))))),"NOT REQUIRED")</f>
        <v>NOT REQUIRED</v>
      </c>
      <c r="O14" s="474" t="str">
        <f>IF('Fuel Equipment'!O$14&gt;0,IF('Fuel Equipment'!O$14='Fuel Equipment'!$D$51,IF(Cranes!$G31&gt;0,Cranes!$G31," "),IF('Fuel Equipment'!O$14='Fuel Equipment'!$D$52,IF(Dumpers!$V40&gt;0,Dumpers!$V40," "),IF('Fuel Equipment'!O$14='Fuel Equipment'!$D$53,IF(Excavators!$W68&gt;0,Excavators!$W68," "),IF('Fuel Equipment'!O$14='Fuel Equipment'!$D$54,IF(Generators!$O128&gt;0,Generators!$O128," "),IF('Fuel Equipment'!O$14='Fuel Equipment'!$D$55,IF('Scissor Lifts'!$J52&gt;0,'Scissor Lifts'!$J52," "),"NOT REQUIRED"))))),"NOT REQUIRED")</f>
        <v>NOT REQUIRED</v>
      </c>
      <c r="P14" s="474" t="str">
        <f>IF('Fuel Equipment'!P$14&gt;0,IF('Fuel Equipment'!P$14='Fuel Equipment'!$D$51,IF(Cranes!$G31&gt;0,Cranes!$G31," "),IF('Fuel Equipment'!P$14='Fuel Equipment'!$D$52,IF(Dumpers!$V40&gt;0,Dumpers!$V40," "),IF('Fuel Equipment'!P$14='Fuel Equipment'!$D$53,IF(Excavators!$W68&gt;0,Excavators!$W68," "),IF('Fuel Equipment'!P$14='Fuel Equipment'!$D$54,IF(Generators!$O128&gt;0,Generators!$O128," "),IF('Fuel Equipment'!P$14='Fuel Equipment'!$D$55,IF('Scissor Lifts'!$J52&gt;0,'Scissor Lifts'!$J52," "),"NOT REQUIRED"))))),"NOT REQUIRED")</f>
        <v>NOT REQUIRED</v>
      </c>
      <c r="Q14" s="474" t="str">
        <f>IF('Fuel Equipment'!Q$14&gt;0,IF('Fuel Equipment'!Q$14='Fuel Equipment'!$D$51,IF(Cranes!$G31&gt;0,Cranes!$G31," "),IF('Fuel Equipment'!Q$14='Fuel Equipment'!$D$52,IF(Dumpers!$V40&gt;0,Dumpers!$V40," "),IF('Fuel Equipment'!Q$14='Fuel Equipment'!$D$53,IF(Excavators!$W68&gt;0,Excavators!$W68," "),IF('Fuel Equipment'!Q$14='Fuel Equipment'!$D$54,IF(Generators!$O128&gt;0,Generators!$O128," "),IF('Fuel Equipment'!Q$14='Fuel Equipment'!$D$55,IF('Scissor Lifts'!$J52&gt;0,'Scissor Lifts'!$J52," "),"NOT REQUIRED"))))),"NOT REQUIRED")</f>
        <v>NOT REQUIRED</v>
      </c>
      <c r="R14" s="474" t="str">
        <f>IF('Fuel Equipment'!R$14&gt;0,IF('Fuel Equipment'!R$14='Fuel Equipment'!$D$51,IF(Cranes!$G31&gt;0,Cranes!$G31," "),IF('Fuel Equipment'!R$14='Fuel Equipment'!$D$52,IF(Dumpers!$V40&gt;0,Dumpers!$V40," "),IF('Fuel Equipment'!R$14='Fuel Equipment'!$D$53,IF(Excavators!$W68&gt;0,Excavators!$W68," "),IF('Fuel Equipment'!R$14='Fuel Equipment'!$D$54,IF(Generators!$O128&gt;0,Generators!$O128," "),IF('Fuel Equipment'!R$14='Fuel Equipment'!$D$55,IF('Scissor Lifts'!$J52&gt;0,'Scissor Lifts'!$J52," "),"NOT REQUIRED"))))),"NOT REQUIRED")</f>
        <v>NOT REQUIRED</v>
      </c>
      <c r="S14" s="474" t="str">
        <f>IF('Fuel Equipment'!S$14&gt;0,IF('Fuel Equipment'!S$14='Fuel Equipment'!$D$51,IF(Cranes!$G31&gt;0,Cranes!$G31," "),IF('Fuel Equipment'!S$14='Fuel Equipment'!$D$52,IF(Dumpers!$V40&gt;0,Dumpers!$V40," "),IF('Fuel Equipment'!S$14='Fuel Equipment'!$D$53,IF(Excavators!$W68&gt;0,Excavators!$W68," "),IF('Fuel Equipment'!S$14='Fuel Equipment'!$D$54,IF(Generators!$O128&gt;0,Generators!$O128," "),IF('Fuel Equipment'!S$14='Fuel Equipment'!$D$55,IF('Scissor Lifts'!$J52&gt;0,'Scissor Lifts'!$J52," "),"NOT REQUIRED"))))),"NOT REQUIRED")</f>
        <v>NOT REQUIRED</v>
      </c>
      <c r="U14" s="927"/>
      <c r="V14" s="927"/>
      <c r="W14" s="927"/>
      <c r="X14" s="927"/>
      <c r="Y14" s="927"/>
      <c r="Z14" s="927"/>
    </row>
    <row r="15" spans="1:26" s="179" customFormat="1">
      <c r="B15" s="474" t="str">
        <f>IF('Fuel Equipment'!B$14&gt;0,IF('Fuel Equipment'!B$14='Fuel Equipment'!$D$51,IF(Cranes!$G32&gt;0,Cranes!$G32," "),IF('Fuel Equipment'!B$14='Fuel Equipment'!$D$52,IF(Dumpers!$V41&gt;0,Dumpers!$V41," "),IF('Fuel Equipment'!B$14='Fuel Equipment'!$D$53,IF(Excavators!$W69&gt;0,Excavators!$W69," "),IF('Fuel Equipment'!B$14='Fuel Equipment'!$D$54,IF(Generators!$O129&gt;0,Generators!$O129," "),IF('Fuel Equipment'!B$14='Fuel Equipment'!$D$55,IF('Scissor Lifts'!$J53&gt;0,'Scissor Lifts'!$J53," "),"NOT REQUIRED"))))),"NOT REQUIRED")</f>
        <v>45T</v>
      </c>
      <c r="C15" s="474" t="str">
        <f>IF('Fuel Equipment'!C$14&gt;0,IF('Fuel Equipment'!C$14='Fuel Equipment'!$D$51,IF(Cranes!$G32&gt;0,Cranes!$G32," "),IF('Fuel Equipment'!C$14='Fuel Equipment'!$D$52,IF(Dumpers!$V41&gt;0,Dumpers!$V41," "),IF('Fuel Equipment'!C$14='Fuel Equipment'!$D$53,IF(Excavators!$W69&gt;0,Excavators!$W69," "),IF('Fuel Equipment'!C$14='Fuel Equipment'!$D$54,IF(Generators!$O129&gt;0,Generators!$O129," "),IF('Fuel Equipment'!C$14='Fuel Equipment'!$D$55,IF('Scissor Lifts'!$J53&gt;0,'Scissor Lifts'!$J53," "),"NOT REQUIRED"))))),"NOT REQUIRED")</f>
        <v>45T</v>
      </c>
      <c r="D15" s="474" t="str">
        <f>IF('Fuel Equipment'!D$14&gt;0,IF('Fuel Equipment'!D$14='Fuel Equipment'!$D$51,IF(Cranes!$G32&gt;0,Cranes!$G32," "),IF('Fuel Equipment'!D$14='Fuel Equipment'!$D$52,IF(Dumpers!$V41&gt;0,Dumpers!$V41," "),IF('Fuel Equipment'!D$14='Fuel Equipment'!$D$53,IF(Excavators!$W69&gt;0,Excavators!$W69," "),IF('Fuel Equipment'!D$14='Fuel Equipment'!$D$54,IF(Generators!$O129&gt;0,Generators!$O129," "),IF('Fuel Equipment'!D$14='Fuel Equipment'!$D$55,IF('Scissor Lifts'!$J53&gt;0,'Scissor Lifts'!$J53," "),"NOT REQUIRED"))))),"NOT REQUIRED")</f>
        <v>350kVA</v>
      </c>
      <c r="E15" s="474" t="str">
        <f>IF('Fuel Equipment'!E$14&gt;0,IF('Fuel Equipment'!E$14='Fuel Equipment'!$D$51,IF(Cranes!$G32&gt;0,Cranes!$G32," "),IF('Fuel Equipment'!E$14='Fuel Equipment'!$D$52,IF(Dumpers!$V41&gt;0,Dumpers!$V41," "),IF('Fuel Equipment'!E$14='Fuel Equipment'!$D$53,IF(Excavators!$W69&gt;0,Excavators!$W69," "),IF('Fuel Equipment'!E$14='Fuel Equipment'!$D$54,IF(Generators!$O129&gt;0,Generators!$O129," "),IF('Fuel Equipment'!E$14='Fuel Equipment'!$D$55,IF('Scissor Lifts'!$J53&gt;0,'Scissor Lifts'!$J53," "),"NOT REQUIRED"))))),"NOT REQUIRED")</f>
        <v xml:space="preserve"> </v>
      </c>
      <c r="F15" s="474" t="str">
        <f>IF('Fuel Equipment'!F$14&gt;0,IF('Fuel Equipment'!F$14='Fuel Equipment'!$D$51,IF(Cranes!$G32&gt;0,Cranes!$G32," "),IF('Fuel Equipment'!F$14='Fuel Equipment'!$D$52,IF(Dumpers!$V41&gt;0,Dumpers!$V41," "),IF('Fuel Equipment'!F$14='Fuel Equipment'!$D$53,IF(Excavators!$W69&gt;0,Excavators!$W69," "),IF('Fuel Equipment'!F$14='Fuel Equipment'!$D$54,IF(Generators!$O129&gt;0,Generators!$O129," "),IF('Fuel Equipment'!F$14='Fuel Equipment'!$D$55,IF('Scissor Lifts'!$J53&gt;0,'Scissor Lifts'!$J53," "),"NOT REQUIRED"))))),"NOT REQUIRED")</f>
        <v>NOT REQUIRED</v>
      </c>
      <c r="G15" s="474" t="str">
        <f>IF('Fuel Equipment'!G$14&gt;0,IF('Fuel Equipment'!G$14='Fuel Equipment'!$D$51,IF(Cranes!$G32&gt;0,Cranes!$G32," "),IF('Fuel Equipment'!G$14='Fuel Equipment'!$D$52,IF(Dumpers!$V41&gt;0,Dumpers!$V41," "),IF('Fuel Equipment'!G$14='Fuel Equipment'!$D$53,IF(Excavators!$W69&gt;0,Excavators!$W69," "),IF('Fuel Equipment'!G$14='Fuel Equipment'!$D$54,IF(Generators!$O129&gt;0,Generators!$O129," "),IF('Fuel Equipment'!G$14='Fuel Equipment'!$D$55,IF('Scissor Lifts'!$J53&gt;0,'Scissor Lifts'!$J53," "),"NOT REQUIRED"))))),"NOT REQUIRED")</f>
        <v>NOT REQUIRED</v>
      </c>
      <c r="H15" s="474" t="str">
        <f>IF('Fuel Equipment'!H$14&gt;0,IF('Fuel Equipment'!H$14='Fuel Equipment'!$D$51,IF(Cranes!$G32&gt;0,Cranes!$G32," "),IF('Fuel Equipment'!H$14='Fuel Equipment'!$D$52,IF(Dumpers!$V41&gt;0,Dumpers!$V41," "),IF('Fuel Equipment'!H$14='Fuel Equipment'!$D$53,IF(Excavators!$W69&gt;0,Excavators!$W69," "),IF('Fuel Equipment'!H$14='Fuel Equipment'!$D$54,IF(Generators!$O129&gt;0,Generators!$O129," "),IF('Fuel Equipment'!H$14='Fuel Equipment'!$D$55,IF('Scissor Lifts'!$J53&gt;0,'Scissor Lifts'!$J53," "),"NOT REQUIRED"))))),"NOT REQUIRED")</f>
        <v>NOT REQUIRED</v>
      </c>
      <c r="I15" s="474" t="str">
        <f>IF('Fuel Equipment'!I$14&gt;0,IF('Fuel Equipment'!I$14='Fuel Equipment'!$D$51,IF(Cranes!$G32&gt;0,Cranes!$G32," "),IF('Fuel Equipment'!I$14='Fuel Equipment'!$D$52,IF(Dumpers!$V41&gt;0,Dumpers!$V41," "),IF('Fuel Equipment'!I$14='Fuel Equipment'!$D$53,IF(Excavators!$W69&gt;0,Excavators!$W69," "),IF('Fuel Equipment'!I$14='Fuel Equipment'!$D$54,IF(Generators!$O129&gt;0,Generators!$O129," "),IF('Fuel Equipment'!I$14='Fuel Equipment'!$D$55,IF('Scissor Lifts'!$J53&gt;0,'Scissor Lifts'!$J53," "),"NOT REQUIRED"))))),"NOT REQUIRED")</f>
        <v>NOT REQUIRED</v>
      </c>
      <c r="J15" s="474" t="str">
        <f>IF('Fuel Equipment'!J$14&gt;0,IF('Fuel Equipment'!J$14='Fuel Equipment'!$D$51,IF(Cranes!$G32&gt;0,Cranes!$G32," "),IF('Fuel Equipment'!J$14='Fuel Equipment'!$D$52,IF(Dumpers!$V41&gt;0,Dumpers!$V41," "),IF('Fuel Equipment'!J$14='Fuel Equipment'!$D$53,IF(Excavators!$W69&gt;0,Excavators!$W69," "),IF('Fuel Equipment'!J$14='Fuel Equipment'!$D$54,IF(Generators!$O129&gt;0,Generators!$O129," "),IF('Fuel Equipment'!J$14='Fuel Equipment'!$D$55,IF('Scissor Lifts'!$J53&gt;0,'Scissor Lifts'!$J53," "),"NOT REQUIRED"))))),"NOT REQUIRED")</f>
        <v>NOT REQUIRED</v>
      </c>
      <c r="K15" s="474" t="str">
        <f>IF('Fuel Equipment'!K$14&gt;0,IF('Fuel Equipment'!K$14='Fuel Equipment'!$D$51,IF(Cranes!$G32&gt;0,Cranes!$G32," "),IF('Fuel Equipment'!K$14='Fuel Equipment'!$D$52,IF(Dumpers!$V41&gt;0,Dumpers!$V41," "),IF('Fuel Equipment'!K$14='Fuel Equipment'!$D$53,IF(Excavators!$W69&gt;0,Excavators!$W69," "),IF('Fuel Equipment'!K$14='Fuel Equipment'!$D$54,IF(Generators!$O129&gt;0,Generators!$O129," "),IF('Fuel Equipment'!K$14='Fuel Equipment'!$D$55,IF('Scissor Lifts'!$J53&gt;0,'Scissor Lifts'!$J53," "),"NOT REQUIRED"))))),"NOT REQUIRED")</f>
        <v>NOT REQUIRED</v>
      </c>
      <c r="L15" s="474" t="str">
        <f>IF('Fuel Equipment'!L$14&gt;0,IF('Fuel Equipment'!L$14='Fuel Equipment'!$D$51,IF(Cranes!$G32&gt;0,Cranes!$G32," "),IF('Fuel Equipment'!L$14='Fuel Equipment'!$D$52,IF(Dumpers!$V41&gt;0,Dumpers!$V41," "),IF('Fuel Equipment'!L$14='Fuel Equipment'!$D$53,IF(Excavators!$W69&gt;0,Excavators!$W69," "),IF('Fuel Equipment'!L$14='Fuel Equipment'!$D$54,IF(Generators!$O129&gt;0,Generators!$O129," "),IF('Fuel Equipment'!L$14='Fuel Equipment'!$D$55,IF('Scissor Lifts'!$J53&gt;0,'Scissor Lifts'!$J53," "),"NOT REQUIRED"))))),"NOT REQUIRED")</f>
        <v>NOT REQUIRED</v>
      </c>
      <c r="M15" s="474" t="str">
        <f>IF('Fuel Equipment'!M$14&gt;0,IF('Fuel Equipment'!M$14='Fuel Equipment'!$D$51,IF(Cranes!$G32&gt;0,Cranes!$G32," "),IF('Fuel Equipment'!M$14='Fuel Equipment'!$D$52,IF(Dumpers!$V41&gt;0,Dumpers!$V41," "),IF('Fuel Equipment'!M$14='Fuel Equipment'!$D$53,IF(Excavators!$W69&gt;0,Excavators!$W69," "),IF('Fuel Equipment'!M$14='Fuel Equipment'!$D$54,IF(Generators!$O129&gt;0,Generators!$O129," "),IF('Fuel Equipment'!M$14='Fuel Equipment'!$D$55,IF('Scissor Lifts'!$J53&gt;0,'Scissor Lifts'!$J53," "),"NOT REQUIRED"))))),"NOT REQUIRED")</f>
        <v>NOT REQUIRED</v>
      </c>
      <c r="N15" s="474" t="str">
        <f>IF('Fuel Equipment'!N$14&gt;0,IF('Fuel Equipment'!N$14='Fuel Equipment'!$D$51,IF(Cranes!$G32&gt;0,Cranes!$G32," "),IF('Fuel Equipment'!N$14='Fuel Equipment'!$D$52,IF(Dumpers!$V41&gt;0,Dumpers!$V41," "),IF('Fuel Equipment'!N$14='Fuel Equipment'!$D$53,IF(Excavators!$W69&gt;0,Excavators!$W69," "),IF('Fuel Equipment'!N$14='Fuel Equipment'!$D$54,IF(Generators!$O129&gt;0,Generators!$O129," "),IF('Fuel Equipment'!N$14='Fuel Equipment'!$D$55,IF('Scissor Lifts'!$J53&gt;0,'Scissor Lifts'!$J53," "),"NOT REQUIRED"))))),"NOT REQUIRED")</f>
        <v>NOT REQUIRED</v>
      </c>
      <c r="O15" s="474" t="str">
        <f>IF('Fuel Equipment'!O$14&gt;0,IF('Fuel Equipment'!O$14='Fuel Equipment'!$D$51,IF(Cranes!$G32&gt;0,Cranes!$G32," "),IF('Fuel Equipment'!O$14='Fuel Equipment'!$D$52,IF(Dumpers!$V41&gt;0,Dumpers!$V41," "),IF('Fuel Equipment'!O$14='Fuel Equipment'!$D$53,IF(Excavators!$W69&gt;0,Excavators!$W69," "),IF('Fuel Equipment'!O$14='Fuel Equipment'!$D$54,IF(Generators!$O129&gt;0,Generators!$O129," "),IF('Fuel Equipment'!O$14='Fuel Equipment'!$D$55,IF('Scissor Lifts'!$J53&gt;0,'Scissor Lifts'!$J53," "),"NOT REQUIRED"))))),"NOT REQUIRED")</f>
        <v>NOT REQUIRED</v>
      </c>
      <c r="P15" s="474" t="str">
        <f>IF('Fuel Equipment'!P$14&gt;0,IF('Fuel Equipment'!P$14='Fuel Equipment'!$D$51,IF(Cranes!$G32&gt;0,Cranes!$G32," "),IF('Fuel Equipment'!P$14='Fuel Equipment'!$D$52,IF(Dumpers!$V41&gt;0,Dumpers!$V41," "),IF('Fuel Equipment'!P$14='Fuel Equipment'!$D$53,IF(Excavators!$W69&gt;0,Excavators!$W69," "),IF('Fuel Equipment'!P$14='Fuel Equipment'!$D$54,IF(Generators!$O129&gt;0,Generators!$O129," "),IF('Fuel Equipment'!P$14='Fuel Equipment'!$D$55,IF('Scissor Lifts'!$J53&gt;0,'Scissor Lifts'!$J53," "),"NOT REQUIRED"))))),"NOT REQUIRED")</f>
        <v>NOT REQUIRED</v>
      </c>
      <c r="Q15" s="474" t="str">
        <f>IF('Fuel Equipment'!Q$14&gt;0,IF('Fuel Equipment'!Q$14='Fuel Equipment'!$D$51,IF(Cranes!$G32&gt;0,Cranes!$G32," "),IF('Fuel Equipment'!Q$14='Fuel Equipment'!$D$52,IF(Dumpers!$V41&gt;0,Dumpers!$V41," "),IF('Fuel Equipment'!Q$14='Fuel Equipment'!$D$53,IF(Excavators!$W69&gt;0,Excavators!$W69," "),IF('Fuel Equipment'!Q$14='Fuel Equipment'!$D$54,IF(Generators!$O129&gt;0,Generators!$O129," "),IF('Fuel Equipment'!Q$14='Fuel Equipment'!$D$55,IF('Scissor Lifts'!$J53&gt;0,'Scissor Lifts'!$J53," "),"NOT REQUIRED"))))),"NOT REQUIRED")</f>
        <v>NOT REQUIRED</v>
      </c>
      <c r="R15" s="474" t="str">
        <f>IF('Fuel Equipment'!R$14&gt;0,IF('Fuel Equipment'!R$14='Fuel Equipment'!$D$51,IF(Cranes!$G32&gt;0,Cranes!$G32," "),IF('Fuel Equipment'!R$14='Fuel Equipment'!$D$52,IF(Dumpers!$V41&gt;0,Dumpers!$V41," "),IF('Fuel Equipment'!R$14='Fuel Equipment'!$D$53,IF(Excavators!$W69&gt;0,Excavators!$W69," "),IF('Fuel Equipment'!R$14='Fuel Equipment'!$D$54,IF(Generators!$O129&gt;0,Generators!$O129," "),IF('Fuel Equipment'!R$14='Fuel Equipment'!$D$55,IF('Scissor Lifts'!$J53&gt;0,'Scissor Lifts'!$J53," "),"NOT REQUIRED"))))),"NOT REQUIRED")</f>
        <v>NOT REQUIRED</v>
      </c>
      <c r="S15" s="474" t="str">
        <f>IF('Fuel Equipment'!S$14&gt;0,IF('Fuel Equipment'!S$14='Fuel Equipment'!$D$51,IF(Cranes!$G32&gt;0,Cranes!$G32," "),IF('Fuel Equipment'!S$14='Fuel Equipment'!$D$52,IF(Dumpers!$V41&gt;0,Dumpers!$V41," "),IF('Fuel Equipment'!S$14='Fuel Equipment'!$D$53,IF(Excavators!$W69&gt;0,Excavators!$W69," "),IF('Fuel Equipment'!S$14='Fuel Equipment'!$D$54,IF(Generators!$O129&gt;0,Generators!$O129," "),IF('Fuel Equipment'!S$14='Fuel Equipment'!$D$55,IF('Scissor Lifts'!$J53&gt;0,'Scissor Lifts'!$J53," "),"NOT REQUIRED"))))),"NOT REQUIRED")</f>
        <v>NOT REQUIRED</v>
      </c>
      <c r="U15" s="927"/>
      <c r="V15" s="927"/>
      <c r="W15" s="927"/>
      <c r="X15" s="927"/>
      <c r="Y15" s="927"/>
      <c r="Z15" s="927"/>
    </row>
    <row r="16" spans="1:26" s="179" customFormat="1">
      <c r="B16" s="474" t="str">
        <f>IF('Fuel Equipment'!B$14&gt;0,IF('Fuel Equipment'!B$14='Fuel Equipment'!$D$51,IF(Cranes!$G33&gt;0,Cranes!$G33," "),IF('Fuel Equipment'!B$14='Fuel Equipment'!$D$52,IF(Dumpers!$V42&gt;0,Dumpers!$V42," "),IF('Fuel Equipment'!B$14='Fuel Equipment'!$D$53,IF(Excavators!$W70&gt;0,Excavators!$W70," "),IF('Fuel Equipment'!B$14='Fuel Equipment'!$D$54,IF(Generators!$O130&gt;0,Generators!$O130," "),IF('Fuel Equipment'!B$14='Fuel Equipment'!$D$55,IF('Scissor Lifts'!$J54&gt;0,'Scissor Lifts'!$J54," "),"NOT REQUIRED"))))),"NOT REQUIRED")</f>
        <v>49T</v>
      </c>
      <c r="C16" s="474" t="str">
        <f>IF('Fuel Equipment'!C$14&gt;0,IF('Fuel Equipment'!C$14='Fuel Equipment'!$D$51,IF(Cranes!$G33&gt;0,Cranes!$G33," "),IF('Fuel Equipment'!C$14='Fuel Equipment'!$D$52,IF(Dumpers!$V42&gt;0,Dumpers!$V42," "),IF('Fuel Equipment'!C$14='Fuel Equipment'!$D$53,IF(Excavators!$W70&gt;0,Excavators!$W70," "),IF('Fuel Equipment'!C$14='Fuel Equipment'!$D$54,IF(Generators!$O130&gt;0,Generators!$O130," "),IF('Fuel Equipment'!C$14='Fuel Equipment'!$D$55,IF('Scissor Lifts'!$J54&gt;0,'Scissor Lifts'!$J54," "),"NOT REQUIRED"))))),"NOT REQUIRED")</f>
        <v>49T</v>
      </c>
      <c r="D16" s="474" t="str">
        <f>IF('Fuel Equipment'!D$14&gt;0,IF('Fuel Equipment'!D$14='Fuel Equipment'!$D$51,IF(Cranes!$G33&gt;0,Cranes!$G33," "),IF('Fuel Equipment'!D$14='Fuel Equipment'!$D$52,IF(Dumpers!$V42&gt;0,Dumpers!$V42," "),IF('Fuel Equipment'!D$14='Fuel Equipment'!$D$53,IF(Excavators!$W70&gt;0,Excavators!$W70," "),IF('Fuel Equipment'!D$14='Fuel Equipment'!$D$54,IF(Generators!$O130&gt;0,Generators!$O130," "),IF('Fuel Equipment'!D$14='Fuel Equipment'!$D$55,IF('Scissor Lifts'!$J54&gt;0,'Scissor Lifts'!$J54," "),"NOT REQUIRED"))))),"NOT REQUIRED")</f>
        <v>500kVA</v>
      </c>
      <c r="E16" s="474" t="str">
        <f>IF('Fuel Equipment'!E$14&gt;0,IF('Fuel Equipment'!E$14='Fuel Equipment'!$D$51,IF(Cranes!$G33&gt;0,Cranes!$G33," "),IF('Fuel Equipment'!E$14='Fuel Equipment'!$D$52,IF(Dumpers!$V42&gt;0,Dumpers!$V42," "),IF('Fuel Equipment'!E$14='Fuel Equipment'!$D$53,IF(Excavators!$W70&gt;0,Excavators!$W70," "),IF('Fuel Equipment'!E$14='Fuel Equipment'!$D$54,IF(Generators!$O130&gt;0,Generators!$O130," "),IF('Fuel Equipment'!E$14='Fuel Equipment'!$D$55,IF('Scissor Lifts'!$J54&gt;0,'Scissor Lifts'!$J54," "),"NOT REQUIRED"))))),"NOT REQUIRED")</f>
        <v xml:space="preserve"> </v>
      </c>
      <c r="F16" s="474" t="str">
        <f>IF('Fuel Equipment'!F$14&gt;0,IF('Fuel Equipment'!F$14='Fuel Equipment'!$D$51,IF(Cranes!$G33&gt;0,Cranes!$G33," "),IF('Fuel Equipment'!F$14='Fuel Equipment'!$D$52,IF(Dumpers!$V42&gt;0,Dumpers!$V42," "),IF('Fuel Equipment'!F$14='Fuel Equipment'!$D$53,IF(Excavators!$W70&gt;0,Excavators!$W70," "),IF('Fuel Equipment'!F$14='Fuel Equipment'!$D$54,IF(Generators!$O130&gt;0,Generators!$O130," "),IF('Fuel Equipment'!F$14='Fuel Equipment'!$D$55,IF('Scissor Lifts'!$J54&gt;0,'Scissor Lifts'!$J54," "),"NOT REQUIRED"))))),"NOT REQUIRED")</f>
        <v>NOT REQUIRED</v>
      </c>
      <c r="G16" s="474" t="str">
        <f>IF('Fuel Equipment'!G$14&gt;0,IF('Fuel Equipment'!G$14='Fuel Equipment'!$D$51,IF(Cranes!$G33&gt;0,Cranes!$G33," "),IF('Fuel Equipment'!G$14='Fuel Equipment'!$D$52,IF(Dumpers!$V42&gt;0,Dumpers!$V42," "),IF('Fuel Equipment'!G$14='Fuel Equipment'!$D$53,IF(Excavators!$W70&gt;0,Excavators!$W70," "),IF('Fuel Equipment'!G$14='Fuel Equipment'!$D$54,IF(Generators!$O130&gt;0,Generators!$O130," "),IF('Fuel Equipment'!G$14='Fuel Equipment'!$D$55,IF('Scissor Lifts'!$J54&gt;0,'Scissor Lifts'!$J54," "),"NOT REQUIRED"))))),"NOT REQUIRED")</f>
        <v>NOT REQUIRED</v>
      </c>
      <c r="H16" s="474" t="str">
        <f>IF('Fuel Equipment'!H$14&gt;0,IF('Fuel Equipment'!H$14='Fuel Equipment'!$D$51,IF(Cranes!$G33&gt;0,Cranes!$G33," "),IF('Fuel Equipment'!H$14='Fuel Equipment'!$D$52,IF(Dumpers!$V42&gt;0,Dumpers!$V42," "),IF('Fuel Equipment'!H$14='Fuel Equipment'!$D$53,IF(Excavators!$W70&gt;0,Excavators!$W70," "),IF('Fuel Equipment'!H$14='Fuel Equipment'!$D$54,IF(Generators!$O130&gt;0,Generators!$O130," "),IF('Fuel Equipment'!H$14='Fuel Equipment'!$D$55,IF('Scissor Lifts'!$J54&gt;0,'Scissor Lifts'!$J54," "),"NOT REQUIRED"))))),"NOT REQUIRED")</f>
        <v>NOT REQUIRED</v>
      </c>
      <c r="I16" s="474" t="str">
        <f>IF('Fuel Equipment'!I$14&gt;0,IF('Fuel Equipment'!I$14='Fuel Equipment'!$D$51,IF(Cranes!$G33&gt;0,Cranes!$G33," "),IF('Fuel Equipment'!I$14='Fuel Equipment'!$D$52,IF(Dumpers!$V42&gt;0,Dumpers!$V42," "),IF('Fuel Equipment'!I$14='Fuel Equipment'!$D$53,IF(Excavators!$W70&gt;0,Excavators!$W70," "),IF('Fuel Equipment'!I$14='Fuel Equipment'!$D$54,IF(Generators!$O130&gt;0,Generators!$O130," "),IF('Fuel Equipment'!I$14='Fuel Equipment'!$D$55,IF('Scissor Lifts'!$J54&gt;0,'Scissor Lifts'!$J54," "),"NOT REQUIRED"))))),"NOT REQUIRED")</f>
        <v>NOT REQUIRED</v>
      </c>
      <c r="J16" s="474" t="str">
        <f>IF('Fuel Equipment'!J$14&gt;0,IF('Fuel Equipment'!J$14='Fuel Equipment'!$D$51,IF(Cranes!$G33&gt;0,Cranes!$G33," "),IF('Fuel Equipment'!J$14='Fuel Equipment'!$D$52,IF(Dumpers!$V42&gt;0,Dumpers!$V42," "),IF('Fuel Equipment'!J$14='Fuel Equipment'!$D$53,IF(Excavators!$W70&gt;0,Excavators!$W70," "),IF('Fuel Equipment'!J$14='Fuel Equipment'!$D$54,IF(Generators!$O130&gt;0,Generators!$O130," "),IF('Fuel Equipment'!J$14='Fuel Equipment'!$D$55,IF('Scissor Lifts'!$J54&gt;0,'Scissor Lifts'!$J54," "),"NOT REQUIRED"))))),"NOT REQUIRED")</f>
        <v>NOT REQUIRED</v>
      </c>
      <c r="K16" s="474" t="str">
        <f>IF('Fuel Equipment'!K$14&gt;0,IF('Fuel Equipment'!K$14='Fuel Equipment'!$D$51,IF(Cranes!$G33&gt;0,Cranes!$G33," "),IF('Fuel Equipment'!K$14='Fuel Equipment'!$D$52,IF(Dumpers!$V42&gt;0,Dumpers!$V42," "),IF('Fuel Equipment'!K$14='Fuel Equipment'!$D$53,IF(Excavators!$W70&gt;0,Excavators!$W70," "),IF('Fuel Equipment'!K$14='Fuel Equipment'!$D$54,IF(Generators!$O130&gt;0,Generators!$O130," "),IF('Fuel Equipment'!K$14='Fuel Equipment'!$D$55,IF('Scissor Lifts'!$J54&gt;0,'Scissor Lifts'!$J54," "),"NOT REQUIRED"))))),"NOT REQUIRED")</f>
        <v>NOT REQUIRED</v>
      </c>
      <c r="L16" s="474" t="str">
        <f>IF('Fuel Equipment'!L$14&gt;0,IF('Fuel Equipment'!L$14='Fuel Equipment'!$D$51,IF(Cranes!$G33&gt;0,Cranes!$G33," "),IF('Fuel Equipment'!L$14='Fuel Equipment'!$D$52,IF(Dumpers!$V42&gt;0,Dumpers!$V42," "),IF('Fuel Equipment'!L$14='Fuel Equipment'!$D$53,IF(Excavators!$W70&gt;0,Excavators!$W70," "),IF('Fuel Equipment'!L$14='Fuel Equipment'!$D$54,IF(Generators!$O130&gt;0,Generators!$O130," "),IF('Fuel Equipment'!L$14='Fuel Equipment'!$D$55,IF('Scissor Lifts'!$J54&gt;0,'Scissor Lifts'!$J54," "),"NOT REQUIRED"))))),"NOT REQUIRED")</f>
        <v>NOT REQUIRED</v>
      </c>
      <c r="M16" s="474" t="str">
        <f>IF('Fuel Equipment'!M$14&gt;0,IF('Fuel Equipment'!M$14='Fuel Equipment'!$D$51,IF(Cranes!$G33&gt;0,Cranes!$G33," "),IF('Fuel Equipment'!M$14='Fuel Equipment'!$D$52,IF(Dumpers!$V42&gt;0,Dumpers!$V42," "),IF('Fuel Equipment'!M$14='Fuel Equipment'!$D$53,IF(Excavators!$W70&gt;0,Excavators!$W70," "),IF('Fuel Equipment'!M$14='Fuel Equipment'!$D$54,IF(Generators!$O130&gt;0,Generators!$O130," "),IF('Fuel Equipment'!M$14='Fuel Equipment'!$D$55,IF('Scissor Lifts'!$J54&gt;0,'Scissor Lifts'!$J54," "),"NOT REQUIRED"))))),"NOT REQUIRED")</f>
        <v>NOT REQUIRED</v>
      </c>
      <c r="N16" s="474" t="str">
        <f>IF('Fuel Equipment'!N$14&gt;0,IF('Fuel Equipment'!N$14='Fuel Equipment'!$D$51,IF(Cranes!$G33&gt;0,Cranes!$G33," "),IF('Fuel Equipment'!N$14='Fuel Equipment'!$D$52,IF(Dumpers!$V42&gt;0,Dumpers!$V42," "),IF('Fuel Equipment'!N$14='Fuel Equipment'!$D$53,IF(Excavators!$W70&gt;0,Excavators!$W70," "),IF('Fuel Equipment'!N$14='Fuel Equipment'!$D$54,IF(Generators!$O130&gt;0,Generators!$O130," "),IF('Fuel Equipment'!N$14='Fuel Equipment'!$D$55,IF('Scissor Lifts'!$J54&gt;0,'Scissor Lifts'!$J54," "),"NOT REQUIRED"))))),"NOT REQUIRED")</f>
        <v>NOT REQUIRED</v>
      </c>
      <c r="O16" s="474" t="str">
        <f>IF('Fuel Equipment'!O$14&gt;0,IF('Fuel Equipment'!O$14='Fuel Equipment'!$D$51,IF(Cranes!$G33&gt;0,Cranes!$G33," "),IF('Fuel Equipment'!O$14='Fuel Equipment'!$D$52,IF(Dumpers!$V42&gt;0,Dumpers!$V42," "),IF('Fuel Equipment'!O$14='Fuel Equipment'!$D$53,IF(Excavators!$W70&gt;0,Excavators!$W70," "),IF('Fuel Equipment'!O$14='Fuel Equipment'!$D$54,IF(Generators!$O130&gt;0,Generators!$O130," "),IF('Fuel Equipment'!O$14='Fuel Equipment'!$D$55,IF('Scissor Lifts'!$J54&gt;0,'Scissor Lifts'!$J54," "),"NOT REQUIRED"))))),"NOT REQUIRED")</f>
        <v>NOT REQUIRED</v>
      </c>
      <c r="P16" s="474" t="str">
        <f>IF('Fuel Equipment'!P$14&gt;0,IF('Fuel Equipment'!P$14='Fuel Equipment'!$D$51,IF(Cranes!$G33&gt;0,Cranes!$G33," "),IF('Fuel Equipment'!P$14='Fuel Equipment'!$D$52,IF(Dumpers!$V42&gt;0,Dumpers!$V42," "),IF('Fuel Equipment'!P$14='Fuel Equipment'!$D$53,IF(Excavators!$W70&gt;0,Excavators!$W70," "),IF('Fuel Equipment'!P$14='Fuel Equipment'!$D$54,IF(Generators!$O130&gt;0,Generators!$O130," "),IF('Fuel Equipment'!P$14='Fuel Equipment'!$D$55,IF('Scissor Lifts'!$J54&gt;0,'Scissor Lifts'!$J54," "),"NOT REQUIRED"))))),"NOT REQUIRED")</f>
        <v>NOT REQUIRED</v>
      </c>
      <c r="Q16" s="474" t="str">
        <f>IF('Fuel Equipment'!Q$14&gt;0,IF('Fuel Equipment'!Q$14='Fuel Equipment'!$D$51,IF(Cranes!$G33&gt;0,Cranes!$G33," "),IF('Fuel Equipment'!Q$14='Fuel Equipment'!$D$52,IF(Dumpers!$V42&gt;0,Dumpers!$V42," "),IF('Fuel Equipment'!Q$14='Fuel Equipment'!$D$53,IF(Excavators!$W70&gt;0,Excavators!$W70," "),IF('Fuel Equipment'!Q$14='Fuel Equipment'!$D$54,IF(Generators!$O130&gt;0,Generators!$O130," "),IF('Fuel Equipment'!Q$14='Fuel Equipment'!$D$55,IF('Scissor Lifts'!$J54&gt;0,'Scissor Lifts'!$J54," "),"NOT REQUIRED"))))),"NOT REQUIRED")</f>
        <v>NOT REQUIRED</v>
      </c>
      <c r="R16" s="474" t="str">
        <f>IF('Fuel Equipment'!R$14&gt;0,IF('Fuel Equipment'!R$14='Fuel Equipment'!$D$51,IF(Cranes!$G33&gt;0,Cranes!$G33," "),IF('Fuel Equipment'!R$14='Fuel Equipment'!$D$52,IF(Dumpers!$V42&gt;0,Dumpers!$V42," "),IF('Fuel Equipment'!R$14='Fuel Equipment'!$D$53,IF(Excavators!$W70&gt;0,Excavators!$W70," "),IF('Fuel Equipment'!R$14='Fuel Equipment'!$D$54,IF(Generators!$O130&gt;0,Generators!$O130," "),IF('Fuel Equipment'!R$14='Fuel Equipment'!$D$55,IF('Scissor Lifts'!$J54&gt;0,'Scissor Lifts'!$J54," "),"NOT REQUIRED"))))),"NOT REQUIRED")</f>
        <v>NOT REQUIRED</v>
      </c>
      <c r="S16" s="474" t="str">
        <f>IF('Fuel Equipment'!S$14&gt;0,IF('Fuel Equipment'!S$14='Fuel Equipment'!$D$51,IF(Cranes!$G33&gt;0,Cranes!$G33," "),IF('Fuel Equipment'!S$14='Fuel Equipment'!$D$52,IF(Dumpers!$V42&gt;0,Dumpers!$V42," "),IF('Fuel Equipment'!S$14='Fuel Equipment'!$D$53,IF(Excavators!$W70&gt;0,Excavators!$W70," "),IF('Fuel Equipment'!S$14='Fuel Equipment'!$D$54,IF(Generators!$O130&gt;0,Generators!$O130," "),IF('Fuel Equipment'!S$14='Fuel Equipment'!$D$55,IF('Scissor Lifts'!$J54&gt;0,'Scissor Lifts'!$J54," "),"NOT REQUIRED"))))),"NOT REQUIRED")</f>
        <v>NOT REQUIRED</v>
      </c>
      <c r="U16" s="927"/>
      <c r="V16" s="927"/>
      <c r="W16" s="927"/>
      <c r="X16" s="927"/>
      <c r="Y16" s="927"/>
      <c r="Z16" s="927"/>
    </row>
    <row r="17" spans="1:27" s="179" customFormat="1">
      <c r="B17" s="474" t="str">
        <f>IF('Fuel Equipment'!B$14&gt;0,IF('Fuel Equipment'!B$14='Fuel Equipment'!$D$51,IF(Cranes!$G34&gt;0,Cranes!$G34," "),IF('Fuel Equipment'!B$14='Fuel Equipment'!$D$52,IF(Dumpers!$V43&gt;0,Dumpers!$V43," "),IF('Fuel Equipment'!B$14='Fuel Equipment'!$D$53,IF(Excavators!$W71&gt;0,Excavators!$W71," "),IF('Fuel Equipment'!B$14='Fuel Equipment'!$D$54,IF(Generators!$O131&gt;0,Generators!$O131," "),IF('Fuel Equipment'!B$14='Fuel Equipment'!$D$55,IF('Scissor Lifts'!$J55&gt;0,'Scissor Lifts'!$J55," "),"NOT REQUIRED"))))),"NOT REQUIRED")</f>
        <v>80T</v>
      </c>
      <c r="C17" s="474" t="str">
        <f>IF('Fuel Equipment'!C$14&gt;0,IF('Fuel Equipment'!C$14='Fuel Equipment'!$D$51,IF(Cranes!$G34&gt;0,Cranes!$G34," "),IF('Fuel Equipment'!C$14='Fuel Equipment'!$D$52,IF(Dumpers!$V43&gt;0,Dumpers!$V43," "),IF('Fuel Equipment'!C$14='Fuel Equipment'!$D$53,IF(Excavators!$W71&gt;0,Excavators!$W71," "),IF('Fuel Equipment'!C$14='Fuel Equipment'!$D$54,IF(Generators!$O131&gt;0,Generators!$O131," "),IF('Fuel Equipment'!C$14='Fuel Equipment'!$D$55,IF('Scissor Lifts'!$J55&gt;0,'Scissor Lifts'!$J55," "),"NOT REQUIRED"))))),"NOT REQUIRED")</f>
        <v>80T</v>
      </c>
      <c r="D17" s="474" t="str">
        <f>IF('Fuel Equipment'!D$14&gt;0,IF('Fuel Equipment'!D$14='Fuel Equipment'!$D$51,IF(Cranes!$G34&gt;0,Cranes!$G34," "),IF('Fuel Equipment'!D$14='Fuel Equipment'!$D$52,IF(Dumpers!$V43&gt;0,Dumpers!$V43," "),IF('Fuel Equipment'!D$14='Fuel Equipment'!$D$53,IF(Excavators!$W71&gt;0,Excavators!$W71," "),IF('Fuel Equipment'!D$14='Fuel Equipment'!$D$54,IF(Generators!$O131&gt;0,Generators!$O131," "),IF('Fuel Equipment'!D$14='Fuel Equipment'!$D$55,IF('Scissor Lifts'!$J55&gt;0,'Scissor Lifts'!$J55," "),"NOT REQUIRED"))))),"NOT REQUIRED")</f>
        <v>800kVA</v>
      </c>
      <c r="E17" s="474" t="str">
        <f>IF('Fuel Equipment'!E$14&gt;0,IF('Fuel Equipment'!E$14='Fuel Equipment'!$D$51,IF(Cranes!$G34&gt;0,Cranes!$G34," "),IF('Fuel Equipment'!E$14='Fuel Equipment'!$D$52,IF(Dumpers!$V43&gt;0,Dumpers!$V43," "),IF('Fuel Equipment'!E$14='Fuel Equipment'!$D$53,IF(Excavators!$W71&gt;0,Excavators!$W71," "),IF('Fuel Equipment'!E$14='Fuel Equipment'!$D$54,IF(Generators!$O131&gt;0,Generators!$O131," "),IF('Fuel Equipment'!E$14='Fuel Equipment'!$D$55,IF('Scissor Lifts'!$J55&gt;0,'Scissor Lifts'!$J55," "),"NOT REQUIRED"))))),"NOT REQUIRED")</f>
        <v xml:space="preserve"> </v>
      </c>
      <c r="F17" s="474" t="str">
        <f>IF('Fuel Equipment'!F$14&gt;0,IF('Fuel Equipment'!F$14='Fuel Equipment'!$D$51,IF(Cranes!$G34&gt;0,Cranes!$G34," "),IF('Fuel Equipment'!F$14='Fuel Equipment'!$D$52,IF(Dumpers!$V43&gt;0,Dumpers!$V43," "),IF('Fuel Equipment'!F$14='Fuel Equipment'!$D$53,IF(Excavators!$W71&gt;0,Excavators!$W71," "),IF('Fuel Equipment'!F$14='Fuel Equipment'!$D$54,IF(Generators!$O131&gt;0,Generators!$O131," "),IF('Fuel Equipment'!F$14='Fuel Equipment'!$D$55,IF('Scissor Lifts'!$J55&gt;0,'Scissor Lifts'!$J55," "),"NOT REQUIRED"))))),"NOT REQUIRED")</f>
        <v>NOT REQUIRED</v>
      </c>
      <c r="G17" s="474" t="str">
        <f>IF('Fuel Equipment'!G$14&gt;0,IF('Fuel Equipment'!G$14='Fuel Equipment'!$D$51,IF(Cranes!$G34&gt;0,Cranes!$G34," "),IF('Fuel Equipment'!G$14='Fuel Equipment'!$D$52,IF(Dumpers!$V43&gt;0,Dumpers!$V43," "),IF('Fuel Equipment'!G$14='Fuel Equipment'!$D$53,IF(Excavators!$W71&gt;0,Excavators!$W71," "),IF('Fuel Equipment'!G$14='Fuel Equipment'!$D$54,IF(Generators!$O131&gt;0,Generators!$O131," "),IF('Fuel Equipment'!G$14='Fuel Equipment'!$D$55,IF('Scissor Lifts'!$J55&gt;0,'Scissor Lifts'!$J55," "),"NOT REQUIRED"))))),"NOT REQUIRED")</f>
        <v>NOT REQUIRED</v>
      </c>
      <c r="H17" s="474" t="str">
        <f>IF('Fuel Equipment'!H$14&gt;0,IF('Fuel Equipment'!H$14='Fuel Equipment'!$D$51,IF(Cranes!$G34&gt;0,Cranes!$G34," "),IF('Fuel Equipment'!H$14='Fuel Equipment'!$D$52,IF(Dumpers!$V43&gt;0,Dumpers!$V43," "),IF('Fuel Equipment'!H$14='Fuel Equipment'!$D$53,IF(Excavators!$W71&gt;0,Excavators!$W71," "),IF('Fuel Equipment'!H$14='Fuel Equipment'!$D$54,IF(Generators!$O131&gt;0,Generators!$O131," "),IF('Fuel Equipment'!H$14='Fuel Equipment'!$D$55,IF('Scissor Lifts'!$J55&gt;0,'Scissor Lifts'!$J55," "),"NOT REQUIRED"))))),"NOT REQUIRED")</f>
        <v>NOT REQUIRED</v>
      </c>
      <c r="I17" s="474" t="str">
        <f>IF('Fuel Equipment'!I$14&gt;0,IF('Fuel Equipment'!I$14='Fuel Equipment'!$D$51,IF(Cranes!$G34&gt;0,Cranes!$G34," "),IF('Fuel Equipment'!I$14='Fuel Equipment'!$D$52,IF(Dumpers!$V43&gt;0,Dumpers!$V43," "),IF('Fuel Equipment'!I$14='Fuel Equipment'!$D$53,IF(Excavators!$W71&gt;0,Excavators!$W71," "),IF('Fuel Equipment'!I$14='Fuel Equipment'!$D$54,IF(Generators!$O131&gt;0,Generators!$O131," "),IF('Fuel Equipment'!I$14='Fuel Equipment'!$D$55,IF('Scissor Lifts'!$J55&gt;0,'Scissor Lifts'!$J55," "),"NOT REQUIRED"))))),"NOT REQUIRED")</f>
        <v>NOT REQUIRED</v>
      </c>
      <c r="J17" s="474" t="str">
        <f>IF('Fuel Equipment'!J$14&gt;0,IF('Fuel Equipment'!J$14='Fuel Equipment'!$D$51,IF(Cranes!$G34&gt;0,Cranes!$G34," "),IF('Fuel Equipment'!J$14='Fuel Equipment'!$D$52,IF(Dumpers!$V43&gt;0,Dumpers!$V43," "),IF('Fuel Equipment'!J$14='Fuel Equipment'!$D$53,IF(Excavators!$W71&gt;0,Excavators!$W71," "),IF('Fuel Equipment'!J$14='Fuel Equipment'!$D$54,IF(Generators!$O131&gt;0,Generators!$O131," "),IF('Fuel Equipment'!J$14='Fuel Equipment'!$D$55,IF('Scissor Lifts'!$J55&gt;0,'Scissor Lifts'!$J55," "),"NOT REQUIRED"))))),"NOT REQUIRED")</f>
        <v>NOT REQUIRED</v>
      </c>
      <c r="K17" s="474" t="str">
        <f>IF('Fuel Equipment'!K$14&gt;0,IF('Fuel Equipment'!K$14='Fuel Equipment'!$D$51,IF(Cranes!$G34&gt;0,Cranes!$G34," "),IF('Fuel Equipment'!K$14='Fuel Equipment'!$D$52,IF(Dumpers!$V43&gt;0,Dumpers!$V43," "),IF('Fuel Equipment'!K$14='Fuel Equipment'!$D$53,IF(Excavators!$W71&gt;0,Excavators!$W71," "),IF('Fuel Equipment'!K$14='Fuel Equipment'!$D$54,IF(Generators!$O131&gt;0,Generators!$O131," "),IF('Fuel Equipment'!K$14='Fuel Equipment'!$D$55,IF('Scissor Lifts'!$J55&gt;0,'Scissor Lifts'!$J55," "),"NOT REQUIRED"))))),"NOT REQUIRED")</f>
        <v>NOT REQUIRED</v>
      </c>
      <c r="L17" s="474" t="str">
        <f>IF('Fuel Equipment'!L$14&gt;0,IF('Fuel Equipment'!L$14='Fuel Equipment'!$D$51,IF(Cranes!$G34&gt;0,Cranes!$G34," "),IF('Fuel Equipment'!L$14='Fuel Equipment'!$D$52,IF(Dumpers!$V43&gt;0,Dumpers!$V43," "),IF('Fuel Equipment'!L$14='Fuel Equipment'!$D$53,IF(Excavators!$W71&gt;0,Excavators!$W71," "),IF('Fuel Equipment'!L$14='Fuel Equipment'!$D$54,IF(Generators!$O131&gt;0,Generators!$O131," "),IF('Fuel Equipment'!L$14='Fuel Equipment'!$D$55,IF('Scissor Lifts'!$J55&gt;0,'Scissor Lifts'!$J55," "),"NOT REQUIRED"))))),"NOT REQUIRED")</f>
        <v>NOT REQUIRED</v>
      </c>
      <c r="M17" s="474" t="str">
        <f>IF('Fuel Equipment'!M$14&gt;0,IF('Fuel Equipment'!M$14='Fuel Equipment'!$D$51,IF(Cranes!$G34&gt;0,Cranes!$G34," "),IF('Fuel Equipment'!M$14='Fuel Equipment'!$D$52,IF(Dumpers!$V43&gt;0,Dumpers!$V43," "),IF('Fuel Equipment'!M$14='Fuel Equipment'!$D$53,IF(Excavators!$W71&gt;0,Excavators!$W71," "),IF('Fuel Equipment'!M$14='Fuel Equipment'!$D$54,IF(Generators!$O131&gt;0,Generators!$O131," "),IF('Fuel Equipment'!M$14='Fuel Equipment'!$D$55,IF('Scissor Lifts'!$J55&gt;0,'Scissor Lifts'!$J55," "),"NOT REQUIRED"))))),"NOT REQUIRED")</f>
        <v>NOT REQUIRED</v>
      </c>
      <c r="N17" s="474" t="str">
        <f>IF('Fuel Equipment'!N$14&gt;0,IF('Fuel Equipment'!N$14='Fuel Equipment'!$D$51,IF(Cranes!$G34&gt;0,Cranes!$G34," "),IF('Fuel Equipment'!N$14='Fuel Equipment'!$D$52,IF(Dumpers!$V43&gt;0,Dumpers!$V43," "),IF('Fuel Equipment'!N$14='Fuel Equipment'!$D$53,IF(Excavators!$W71&gt;0,Excavators!$W71," "),IF('Fuel Equipment'!N$14='Fuel Equipment'!$D$54,IF(Generators!$O131&gt;0,Generators!$O131," "),IF('Fuel Equipment'!N$14='Fuel Equipment'!$D$55,IF('Scissor Lifts'!$J55&gt;0,'Scissor Lifts'!$J55," "),"NOT REQUIRED"))))),"NOT REQUIRED")</f>
        <v>NOT REQUIRED</v>
      </c>
      <c r="O17" s="474" t="str">
        <f>IF('Fuel Equipment'!O$14&gt;0,IF('Fuel Equipment'!O$14='Fuel Equipment'!$D$51,IF(Cranes!$G34&gt;0,Cranes!$G34," "),IF('Fuel Equipment'!O$14='Fuel Equipment'!$D$52,IF(Dumpers!$V43&gt;0,Dumpers!$V43," "),IF('Fuel Equipment'!O$14='Fuel Equipment'!$D$53,IF(Excavators!$W71&gt;0,Excavators!$W71," "),IF('Fuel Equipment'!O$14='Fuel Equipment'!$D$54,IF(Generators!$O131&gt;0,Generators!$O131," "),IF('Fuel Equipment'!O$14='Fuel Equipment'!$D$55,IF('Scissor Lifts'!$J55&gt;0,'Scissor Lifts'!$J55," "),"NOT REQUIRED"))))),"NOT REQUIRED")</f>
        <v>NOT REQUIRED</v>
      </c>
      <c r="P17" s="474" t="str">
        <f>IF('Fuel Equipment'!P$14&gt;0,IF('Fuel Equipment'!P$14='Fuel Equipment'!$D$51,IF(Cranes!$G34&gt;0,Cranes!$G34," "),IF('Fuel Equipment'!P$14='Fuel Equipment'!$D$52,IF(Dumpers!$V43&gt;0,Dumpers!$V43," "),IF('Fuel Equipment'!P$14='Fuel Equipment'!$D$53,IF(Excavators!$W71&gt;0,Excavators!$W71," "),IF('Fuel Equipment'!P$14='Fuel Equipment'!$D$54,IF(Generators!$O131&gt;0,Generators!$O131," "),IF('Fuel Equipment'!P$14='Fuel Equipment'!$D$55,IF('Scissor Lifts'!$J55&gt;0,'Scissor Lifts'!$J55," "),"NOT REQUIRED"))))),"NOT REQUIRED")</f>
        <v>NOT REQUIRED</v>
      </c>
      <c r="Q17" s="474" t="str">
        <f>IF('Fuel Equipment'!Q$14&gt;0,IF('Fuel Equipment'!Q$14='Fuel Equipment'!$D$51,IF(Cranes!$G34&gt;0,Cranes!$G34," "),IF('Fuel Equipment'!Q$14='Fuel Equipment'!$D$52,IF(Dumpers!$V43&gt;0,Dumpers!$V43," "),IF('Fuel Equipment'!Q$14='Fuel Equipment'!$D$53,IF(Excavators!$W71&gt;0,Excavators!$W71," "),IF('Fuel Equipment'!Q$14='Fuel Equipment'!$D$54,IF(Generators!$O131&gt;0,Generators!$O131," "),IF('Fuel Equipment'!Q$14='Fuel Equipment'!$D$55,IF('Scissor Lifts'!$J55&gt;0,'Scissor Lifts'!$J55," "),"NOT REQUIRED"))))),"NOT REQUIRED")</f>
        <v>NOT REQUIRED</v>
      </c>
      <c r="R17" s="474" t="str">
        <f>IF('Fuel Equipment'!R$14&gt;0,IF('Fuel Equipment'!R$14='Fuel Equipment'!$D$51,IF(Cranes!$G34&gt;0,Cranes!$G34," "),IF('Fuel Equipment'!R$14='Fuel Equipment'!$D$52,IF(Dumpers!$V43&gt;0,Dumpers!$V43," "),IF('Fuel Equipment'!R$14='Fuel Equipment'!$D$53,IF(Excavators!$W71&gt;0,Excavators!$W71," "),IF('Fuel Equipment'!R$14='Fuel Equipment'!$D$54,IF(Generators!$O131&gt;0,Generators!$O131," "),IF('Fuel Equipment'!R$14='Fuel Equipment'!$D$55,IF('Scissor Lifts'!$J55&gt;0,'Scissor Lifts'!$J55," "),"NOT REQUIRED"))))),"NOT REQUIRED")</f>
        <v>NOT REQUIRED</v>
      </c>
      <c r="S17" s="474" t="str">
        <f>IF('Fuel Equipment'!S$14&gt;0,IF('Fuel Equipment'!S$14='Fuel Equipment'!$D$51,IF(Cranes!$G34&gt;0,Cranes!$G34," "),IF('Fuel Equipment'!S$14='Fuel Equipment'!$D$52,IF(Dumpers!$V43&gt;0,Dumpers!$V43," "),IF('Fuel Equipment'!S$14='Fuel Equipment'!$D$53,IF(Excavators!$W71&gt;0,Excavators!$W71," "),IF('Fuel Equipment'!S$14='Fuel Equipment'!$D$54,IF(Generators!$O131&gt;0,Generators!$O131," "),IF('Fuel Equipment'!S$14='Fuel Equipment'!$D$55,IF('Scissor Lifts'!$J55&gt;0,'Scissor Lifts'!$J55," "),"NOT REQUIRED"))))),"NOT REQUIRED")</f>
        <v>NOT REQUIRED</v>
      </c>
      <c r="U17" s="927"/>
      <c r="V17" s="927"/>
      <c r="W17" s="927"/>
      <c r="X17" s="927"/>
      <c r="Y17" s="927"/>
      <c r="Z17" s="927"/>
    </row>
    <row r="18" spans="1:27" s="179" customFormat="1">
      <c r="B18" s="474" t="str">
        <f>IF('Fuel Equipment'!B$14&gt;0,IF('Fuel Equipment'!B$14='Fuel Equipment'!$D$51,IF(Cranes!$G35&gt;0,Cranes!$G35," "),IF('Fuel Equipment'!B$14='Fuel Equipment'!$D$52,IF(Dumpers!$V44&gt;0,Dumpers!$V44," "),IF('Fuel Equipment'!B$14='Fuel Equipment'!$D$53,IF(Excavators!$W72&gt;0,Excavators!$W72," "),IF('Fuel Equipment'!B$14='Fuel Equipment'!$D$54,IF(Generators!$O132&gt;0,Generators!$O132," "),IF('Fuel Equipment'!B$14='Fuel Equipment'!$D$55,IF('Scissor Lifts'!$J56&gt;0,'Scissor Lifts'!$J56," "),"NOT REQUIRED"))))),"NOT REQUIRED")</f>
        <v xml:space="preserve"> </v>
      </c>
      <c r="C18" s="474" t="str">
        <f>IF('Fuel Equipment'!C$14&gt;0,IF('Fuel Equipment'!C$14='Fuel Equipment'!$D$51,IF(Cranes!$G35&gt;0,Cranes!$G35," "),IF('Fuel Equipment'!C$14='Fuel Equipment'!$D$52,IF(Dumpers!$V44&gt;0,Dumpers!$V44," "),IF('Fuel Equipment'!C$14='Fuel Equipment'!$D$53,IF(Excavators!$W72&gt;0,Excavators!$W72," "),IF('Fuel Equipment'!C$14='Fuel Equipment'!$D$54,IF(Generators!$O132&gt;0,Generators!$O132," "),IF('Fuel Equipment'!C$14='Fuel Equipment'!$D$55,IF('Scissor Lifts'!$J56&gt;0,'Scissor Lifts'!$J56," "),"NOT REQUIRED"))))),"NOT REQUIRED")</f>
        <v xml:space="preserve"> </v>
      </c>
      <c r="D18" s="474" t="str">
        <f>IF('Fuel Equipment'!D$14&gt;0,IF('Fuel Equipment'!D$14='Fuel Equipment'!$D$51,IF(Cranes!$G35&gt;0,Cranes!$G35," "),IF('Fuel Equipment'!D$14='Fuel Equipment'!$D$52,IF(Dumpers!$V44&gt;0,Dumpers!$V44," "),IF('Fuel Equipment'!D$14='Fuel Equipment'!$D$53,IF(Excavators!$W72&gt;0,Excavators!$W72," "),IF('Fuel Equipment'!D$14='Fuel Equipment'!$D$54,IF(Generators!$O132&gt;0,Generators!$O132," "),IF('Fuel Equipment'!D$14='Fuel Equipment'!$D$55,IF('Scissor Lifts'!$J56&gt;0,'Scissor Lifts'!$J56," "),"NOT REQUIRED"))))),"NOT REQUIRED")</f>
        <v>1000kVA</v>
      </c>
      <c r="E18" s="474" t="str">
        <f>IF('Fuel Equipment'!E$14&gt;0,IF('Fuel Equipment'!E$14='Fuel Equipment'!$D$51,IF(Cranes!$G35&gt;0,Cranes!$G35," "),IF('Fuel Equipment'!E$14='Fuel Equipment'!$D$52,IF(Dumpers!$V44&gt;0,Dumpers!$V44," "),IF('Fuel Equipment'!E$14='Fuel Equipment'!$D$53,IF(Excavators!$W72&gt;0,Excavators!$W72," "),IF('Fuel Equipment'!E$14='Fuel Equipment'!$D$54,IF(Generators!$O132&gt;0,Generators!$O132," "),IF('Fuel Equipment'!E$14='Fuel Equipment'!$D$55,IF('Scissor Lifts'!$J56&gt;0,'Scissor Lifts'!$J56," "),"NOT REQUIRED"))))),"NOT REQUIRED")</f>
        <v xml:space="preserve"> </v>
      </c>
      <c r="F18" s="474" t="str">
        <f>IF('Fuel Equipment'!F$14&gt;0,IF('Fuel Equipment'!F$14='Fuel Equipment'!$D$51,IF(Cranes!$G35&gt;0,Cranes!$G35," "),IF('Fuel Equipment'!F$14='Fuel Equipment'!$D$52,IF(Dumpers!$V44&gt;0,Dumpers!$V44," "),IF('Fuel Equipment'!F$14='Fuel Equipment'!$D$53,IF(Excavators!$W72&gt;0,Excavators!$W72," "),IF('Fuel Equipment'!F$14='Fuel Equipment'!$D$54,IF(Generators!$O132&gt;0,Generators!$O132," "),IF('Fuel Equipment'!F$14='Fuel Equipment'!$D$55,IF('Scissor Lifts'!$J56&gt;0,'Scissor Lifts'!$J56," "),"NOT REQUIRED"))))),"NOT REQUIRED")</f>
        <v>NOT REQUIRED</v>
      </c>
      <c r="G18" s="474" t="str">
        <f>IF('Fuel Equipment'!G$14&gt;0,IF('Fuel Equipment'!G$14='Fuel Equipment'!$D$51,IF(Cranes!$G35&gt;0,Cranes!$G35," "),IF('Fuel Equipment'!G$14='Fuel Equipment'!$D$52,IF(Dumpers!$V44&gt;0,Dumpers!$V44," "),IF('Fuel Equipment'!G$14='Fuel Equipment'!$D$53,IF(Excavators!$W72&gt;0,Excavators!$W72," "),IF('Fuel Equipment'!G$14='Fuel Equipment'!$D$54,IF(Generators!$O132&gt;0,Generators!$O132," "),IF('Fuel Equipment'!G$14='Fuel Equipment'!$D$55,IF('Scissor Lifts'!$J56&gt;0,'Scissor Lifts'!$J56," "),"NOT REQUIRED"))))),"NOT REQUIRED")</f>
        <v>NOT REQUIRED</v>
      </c>
      <c r="H18" s="474" t="str">
        <f>IF('Fuel Equipment'!H$14&gt;0,IF('Fuel Equipment'!H$14='Fuel Equipment'!$D$51,IF(Cranes!$G35&gt;0,Cranes!$G35," "),IF('Fuel Equipment'!H$14='Fuel Equipment'!$D$52,IF(Dumpers!$V44&gt;0,Dumpers!$V44," "),IF('Fuel Equipment'!H$14='Fuel Equipment'!$D$53,IF(Excavators!$W72&gt;0,Excavators!$W72," "),IF('Fuel Equipment'!H$14='Fuel Equipment'!$D$54,IF(Generators!$O132&gt;0,Generators!$O132," "),IF('Fuel Equipment'!H$14='Fuel Equipment'!$D$55,IF('Scissor Lifts'!$J56&gt;0,'Scissor Lifts'!$J56," "),"NOT REQUIRED"))))),"NOT REQUIRED")</f>
        <v>NOT REQUIRED</v>
      </c>
      <c r="I18" s="474" t="str">
        <f>IF('Fuel Equipment'!I$14&gt;0,IF('Fuel Equipment'!I$14='Fuel Equipment'!$D$51,IF(Cranes!$G35&gt;0,Cranes!$G35," "),IF('Fuel Equipment'!I$14='Fuel Equipment'!$D$52,IF(Dumpers!$V44&gt;0,Dumpers!$V44," "),IF('Fuel Equipment'!I$14='Fuel Equipment'!$D$53,IF(Excavators!$W72&gt;0,Excavators!$W72," "),IF('Fuel Equipment'!I$14='Fuel Equipment'!$D$54,IF(Generators!$O132&gt;0,Generators!$O132," "),IF('Fuel Equipment'!I$14='Fuel Equipment'!$D$55,IF('Scissor Lifts'!$J56&gt;0,'Scissor Lifts'!$J56," "),"NOT REQUIRED"))))),"NOT REQUIRED")</f>
        <v>NOT REQUIRED</v>
      </c>
      <c r="J18" s="474" t="str">
        <f>IF('Fuel Equipment'!J$14&gt;0,IF('Fuel Equipment'!J$14='Fuel Equipment'!$D$51,IF(Cranes!$G35&gt;0,Cranes!$G35," "),IF('Fuel Equipment'!J$14='Fuel Equipment'!$D$52,IF(Dumpers!$V44&gt;0,Dumpers!$V44," "),IF('Fuel Equipment'!J$14='Fuel Equipment'!$D$53,IF(Excavators!$W72&gt;0,Excavators!$W72," "),IF('Fuel Equipment'!J$14='Fuel Equipment'!$D$54,IF(Generators!$O132&gt;0,Generators!$O132," "),IF('Fuel Equipment'!J$14='Fuel Equipment'!$D$55,IF('Scissor Lifts'!$J56&gt;0,'Scissor Lifts'!$J56," "),"NOT REQUIRED"))))),"NOT REQUIRED")</f>
        <v>NOT REQUIRED</v>
      </c>
      <c r="K18" s="474" t="str">
        <f>IF('Fuel Equipment'!K$14&gt;0,IF('Fuel Equipment'!K$14='Fuel Equipment'!$D$51,IF(Cranes!$G35&gt;0,Cranes!$G35," "),IF('Fuel Equipment'!K$14='Fuel Equipment'!$D$52,IF(Dumpers!$V44&gt;0,Dumpers!$V44," "),IF('Fuel Equipment'!K$14='Fuel Equipment'!$D$53,IF(Excavators!$W72&gt;0,Excavators!$W72," "),IF('Fuel Equipment'!K$14='Fuel Equipment'!$D$54,IF(Generators!$O132&gt;0,Generators!$O132," "),IF('Fuel Equipment'!K$14='Fuel Equipment'!$D$55,IF('Scissor Lifts'!$J56&gt;0,'Scissor Lifts'!$J56," "),"NOT REQUIRED"))))),"NOT REQUIRED")</f>
        <v>NOT REQUIRED</v>
      </c>
      <c r="L18" s="474" t="str">
        <f>IF('Fuel Equipment'!L$14&gt;0,IF('Fuel Equipment'!L$14='Fuel Equipment'!$D$51,IF(Cranes!$G35&gt;0,Cranes!$G35," "),IF('Fuel Equipment'!L$14='Fuel Equipment'!$D$52,IF(Dumpers!$V44&gt;0,Dumpers!$V44," "),IF('Fuel Equipment'!L$14='Fuel Equipment'!$D$53,IF(Excavators!$W72&gt;0,Excavators!$W72," "),IF('Fuel Equipment'!L$14='Fuel Equipment'!$D$54,IF(Generators!$O132&gt;0,Generators!$O132," "),IF('Fuel Equipment'!L$14='Fuel Equipment'!$D$55,IF('Scissor Lifts'!$J56&gt;0,'Scissor Lifts'!$J56," "),"NOT REQUIRED"))))),"NOT REQUIRED")</f>
        <v>NOT REQUIRED</v>
      </c>
      <c r="M18" s="474" t="str">
        <f>IF('Fuel Equipment'!M$14&gt;0,IF('Fuel Equipment'!M$14='Fuel Equipment'!$D$51,IF(Cranes!$G35&gt;0,Cranes!$G35," "),IF('Fuel Equipment'!M$14='Fuel Equipment'!$D$52,IF(Dumpers!$V44&gt;0,Dumpers!$V44," "),IF('Fuel Equipment'!M$14='Fuel Equipment'!$D$53,IF(Excavators!$W72&gt;0,Excavators!$W72," "),IF('Fuel Equipment'!M$14='Fuel Equipment'!$D$54,IF(Generators!$O132&gt;0,Generators!$O132," "),IF('Fuel Equipment'!M$14='Fuel Equipment'!$D$55,IF('Scissor Lifts'!$J56&gt;0,'Scissor Lifts'!$J56," "),"NOT REQUIRED"))))),"NOT REQUIRED")</f>
        <v>NOT REQUIRED</v>
      </c>
      <c r="N18" s="474" t="str">
        <f>IF('Fuel Equipment'!N$14&gt;0,IF('Fuel Equipment'!N$14='Fuel Equipment'!$D$51,IF(Cranes!$G35&gt;0,Cranes!$G35," "),IF('Fuel Equipment'!N$14='Fuel Equipment'!$D$52,IF(Dumpers!$V44&gt;0,Dumpers!$V44," "),IF('Fuel Equipment'!N$14='Fuel Equipment'!$D$53,IF(Excavators!$W72&gt;0,Excavators!$W72," "),IF('Fuel Equipment'!N$14='Fuel Equipment'!$D$54,IF(Generators!$O132&gt;0,Generators!$O132," "),IF('Fuel Equipment'!N$14='Fuel Equipment'!$D$55,IF('Scissor Lifts'!$J56&gt;0,'Scissor Lifts'!$J56," "),"NOT REQUIRED"))))),"NOT REQUIRED")</f>
        <v>NOT REQUIRED</v>
      </c>
      <c r="O18" s="474" t="str">
        <f>IF('Fuel Equipment'!O$14&gt;0,IF('Fuel Equipment'!O$14='Fuel Equipment'!$D$51,IF(Cranes!$G35&gt;0,Cranes!$G35," "),IF('Fuel Equipment'!O$14='Fuel Equipment'!$D$52,IF(Dumpers!$V44&gt;0,Dumpers!$V44," "),IF('Fuel Equipment'!O$14='Fuel Equipment'!$D$53,IF(Excavators!$W72&gt;0,Excavators!$W72," "),IF('Fuel Equipment'!O$14='Fuel Equipment'!$D$54,IF(Generators!$O132&gt;0,Generators!$O132," "),IF('Fuel Equipment'!O$14='Fuel Equipment'!$D$55,IF('Scissor Lifts'!$J56&gt;0,'Scissor Lifts'!$J56," "),"NOT REQUIRED"))))),"NOT REQUIRED")</f>
        <v>NOT REQUIRED</v>
      </c>
      <c r="P18" s="474" t="str">
        <f>IF('Fuel Equipment'!P$14&gt;0,IF('Fuel Equipment'!P$14='Fuel Equipment'!$D$51,IF(Cranes!$G35&gt;0,Cranes!$G35," "),IF('Fuel Equipment'!P$14='Fuel Equipment'!$D$52,IF(Dumpers!$V44&gt;0,Dumpers!$V44," "),IF('Fuel Equipment'!P$14='Fuel Equipment'!$D$53,IF(Excavators!$W72&gt;0,Excavators!$W72," "),IF('Fuel Equipment'!P$14='Fuel Equipment'!$D$54,IF(Generators!$O132&gt;0,Generators!$O132," "),IF('Fuel Equipment'!P$14='Fuel Equipment'!$D$55,IF('Scissor Lifts'!$J56&gt;0,'Scissor Lifts'!$J56," "),"NOT REQUIRED"))))),"NOT REQUIRED")</f>
        <v>NOT REQUIRED</v>
      </c>
      <c r="Q18" s="474" t="str">
        <f>IF('Fuel Equipment'!Q$14&gt;0,IF('Fuel Equipment'!Q$14='Fuel Equipment'!$D$51,IF(Cranes!$G35&gt;0,Cranes!$G35," "),IF('Fuel Equipment'!Q$14='Fuel Equipment'!$D$52,IF(Dumpers!$V44&gt;0,Dumpers!$V44," "),IF('Fuel Equipment'!Q$14='Fuel Equipment'!$D$53,IF(Excavators!$W72&gt;0,Excavators!$W72," "),IF('Fuel Equipment'!Q$14='Fuel Equipment'!$D$54,IF(Generators!$O132&gt;0,Generators!$O132," "),IF('Fuel Equipment'!Q$14='Fuel Equipment'!$D$55,IF('Scissor Lifts'!$J56&gt;0,'Scissor Lifts'!$J56," "),"NOT REQUIRED"))))),"NOT REQUIRED")</f>
        <v>NOT REQUIRED</v>
      </c>
      <c r="R18" s="474" t="str">
        <f>IF('Fuel Equipment'!R$14&gt;0,IF('Fuel Equipment'!R$14='Fuel Equipment'!$D$51,IF(Cranes!$G35&gt;0,Cranes!$G35," "),IF('Fuel Equipment'!R$14='Fuel Equipment'!$D$52,IF(Dumpers!$V44&gt;0,Dumpers!$V44," "),IF('Fuel Equipment'!R$14='Fuel Equipment'!$D$53,IF(Excavators!$W72&gt;0,Excavators!$W72," "),IF('Fuel Equipment'!R$14='Fuel Equipment'!$D$54,IF(Generators!$O132&gt;0,Generators!$O132," "),IF('Fuel Equipment'!R$14='Fuel Equipment'!$D$55,IF('Scissor Lifts'!$J56&gt;0,'Scissor Lifts'!$J56," "),"NOT REQUIRED"))))),"NOT REQUIRED")</f>
        <v>NOT REQUIRED</v>
      </c>
      <c r="S18" s="474" t="str">
        <f>IF('Fuel Equipment'!S$14&gt;0,IF('Fuel Equipment'!S$14='Fuel Equipment'!$D$51,IF(Cranes!$G35&gt;0,Cranes!$G35," "),IF('Fuel Equipment'!S$14='Fuel Equipment'!$D$52,IF(Dumpers!$V44&gt;0,Dumpers!$V44," "),IF('Fuel Equipment'!S$14='Fuel Equipment'!$D$53,IF(Excavators!$W72&gt;0,Excavators!$W72," "),IF('Fuel Equipment'!S$14='Fuel Equipment'!$D$54,IF(Generators!$O132&gt;0,Generators!$O132," "),IF('Fuel Equipment'!S$14='Fuel Equipment'!$D$55,IF('Scissor Lifts'!$J56&gt;0,'Scissor Lifts'!$J56," "),"NOT REQUIRED"))))),"NOT REQUIRED")</f>
        <v>NOT REQUIRED</v>
      </c>
      <c r="U18" s="927"/>
      <c r="V18" s="927"/>
      <c r="W18" s="927"/>
      <c r="X18" s="927"/>
      <c r="Y18" s="927"/>
      <c r="Z18" s="927"/>
    </row>
    <row r="19" spans="1:27" s="179" customFormat="1">
      <c r="B19" s="474" t="str">
        <f>IF('Fuel Equipment'!B$14&gt;0,IF('Fuel Equipment'!B$14='Fuel Equipment'!$D$51,IF(Cranes!$G36&gt;0,Cranes!$G36," "),IF('Fuel Equipment'!B$14='Fuel Equipment'!$D$52,IF(Dumpers!$V45&gt;0,Dumpers!$V45," "),IF('Fuel Equipment'!B$14='Fuel Equipment'!$D$53,IF(Excavators!$W73&gt;0,Excavators!$W73," "),IF('Fuel Equipment'!B$14='Fuel Equipment'!$D$54,IF(Generators!$O133&gt;0,Generators!$O133," "),IF('Fuel Equipment'!B$14='Fuel Equipment'!$D$55,IF('Scissor Lifts'!$J57&gt;0,'Scissor Lifts'!$J57," "),"NOT REQUIRED"))))),"NOT REQUIRED")</f>
        <v xml:space="preserve"> </v>
      </c>
      <c r="C19" s="474" t="str">
        <f>IF('Fuel Equipment'!C$14&gt;0,IF('Fuel Equipment'!C$14='Fuel Equipment'!$D$51,IF(Cranes!$G36&gt;0,Cranes!$G36," "),IF('Fuel Equipment'!C$14='Fuel Equipment'!$D$52,IF(Dumpers!$V45&gt;0,Dumpers!$V45," "),IF('Fuel Equipment'!C$14='Fuel Equipment'!$D$53,IF(Excavators!$W73&gt;0,Excavators!$W73," "),IF('Fuel Equipment'!C$14='Fuel Equipment'!$D$54,IF(Generators!$O133&gt;0,Generators!$O133," "),IF('Fuel Equipment'!C$14='Fuel Equipment'!$D$55,IF('Scissor Lifts'!$J57&gt;0,'Scissor Lifts'!$J57," "),"NOT REQUIRED"))))),"NOT REQUIRED")</f>
        <v xml:space="preserve"> </v>
      </c>
      <c r="D19" s="474" t="str">
        <f>IF('Fuel Equipment'!D$14&gt;0,IF('Fuel Equipment'!D$14='Fuel Equipment'!$D$51,IF(Cranes!$G36&gt;0,Cranes!$G36," "),IF('Fuel Equipment'!D$14='Fuel Equipment'!$D$52,IF(Dumpers!$V45&gt;0,Dumpers!$V45," "),IF('Fuel Equipment'!D$14='Fuel Equipment'!$D$53,IF(Excavators!$W73&gt;0,Excavators!$W73," "),IF('Fuel Equipment'!D$14='Fuel Equipment'!$D$54,IF(Generators!$O133&gt;0,Generators!$O133," "),IF('Fuel Equipment'!D$14='Fuel Equipment'!$D$55,IF('Scissor Lifts'!$J57&gt;0,'Scissor Lifts'!$J57," "),"NOT REQUIRED"))))),"NOT REQUIRED")</f>
        <v>1250kVA</v>
      </c>
      <c r="E19" s="474" t="str">
        <f>IF('Fuel Equipment'!E$14&gt;0,IF('Fuel Equipment'!E$14='Fuel Equipment'!$D$51,IF(Cranes!$G36&gt;0,Cranes!$G36," "),IF('Fuel Equipment'!E$14='Fuel Equipment'!$D$52,IF(Dumpers!$V45&gt;0,Dumpers!$V45," "),IF('Fuel Equipment'!E$14='Fuel Equipment'!$D$53,IF(Excavators!$W73&gt;0,Excavators!$W73," "),IF('Fuel Equipment'!E$14='Fuel Equipment'!$D$54,IF(Generators!$O133&gt;0,Generators!$O133," "),IF('Fuel Equipment'!E$14='Fuel Equipment'!$D$55,IF('Scissor Lifts'!$J57&gt;0,'Scissor Lifts'!$J57," "),"NOT REQUIRED"))))),"NOT REQUIRED")</f>
        <v xml:space="preserve"> </v>
      </c>
      <c r="F19" s="474" t="str">
        <f>IF('Fuel Equipment'!F$14&gt;0,IF('Fuel Equipment'!F$14='Fuel Equipment'!$D$51,IF(Cranes!$G36&gt;0,Cranes!$G36," "),IF('Fuel Equipment'!F$14='Fuel Equipment'!$D$52,IF(Dumpers!$V45&gt;0,Dumpers!$V45," "),IF('Fuel Equipment'!F$14='Fuel Equipment'!$D$53,IF(Excavators!$W73&gt;0,Excavators!$W73," "),IF('Fuel Equipment'!F$14='Fuel Equipment'!$D$54,IF(Generators!$O133&gt;0,Generators!$O133," "),IF('Fuel Equipment'!F$14='Fuel Equipment'!$D$55,IF('Scissor Lifts'!$J57&gt;0,'Scissor Lifts'!$J57," "),"NOT REQUIRED"))))),"NOT REQUIRED")</f>
        <v>NOT REQUIRED</v>
      </c>
      <c r="G19" s="474" t="str">
        <f>IF('Fuel Equipment'!G$14&gt;0,IF('Fuel Equipment'!G$14='Fuel Equipment'!$D$51,IF(Cranes!$G36&gt;0,Cranes!$G36," "),IF('Fuel Equipment'!G$14='Fuel Equipment'!$D$52,IF(Dumpers!$V45&gt;0,Dumpers!$V45," "),IF('Fuel Equipment'!G$14='Fuel Equipment'!$D$53,IF(Excavators!$W73&gt;0,Excavators!$W73," "),IF('Fuel Equipment'!G$14='Fuel Equipment'!$D$54,IF(Generators!$O133&gt;0,Generators!$O133," "),IF('Fuel Equipment'!G$14='Fuel Equipment'!$D$55,IF('Scissor Lifts'!$J57&gt;0,'Scissor Lifts'!$J57," "),"NOT REQUIRED"))))),"NOT REQUIRED")</f>
        <v>NOT REQUIRED</v>
      </c>
      <c r="H19" s="474" t="str">
        <f>IF('Fuel Equipment'!H$14&gt;0,IF('Fuel Equipment'!H$14='Fuel Equipment'!$D$51,IF(Cranes!$G36&gt;0,Cranes!$G36," "),IF('Fuel Equipment'!H$14='Fuel Equipment'!$D$52,IF(Dumpers!$V45&gt;0,Dumpers!$V45," "),IF('Fuel Equipment'!H$14='Fuel Equipment'!$D$53,IF(Excavators!$W73&gt;0,Excavators!$W73," "),IF('Fuel Equipment'!H$14='Fuel Equipment'!$D$54,IF(Generators!$O133&gt;0,Generators!$O133," "),IF('Fuel Equipment'!H$14='Fuel Equipment'!$D$55,IF('Scissor Lifts'!$J57&gt;0,'Scissor Lifts'!$J57," "),"NOT REQUIRED"))))),"NOT REQUIRED")</f>
        <v>NOT REQUIRED</v>
      </c>
      <c r="I19" s="474" t="str">
        <f>IF('Fuel Equipment'!I$14&gt;0,IF('Fuel Equipment'!I$14='Fuel Equipment'!$D$51,IF(Cranes!$G36&gt;0,Cranes!$G36," "),IF('Fuel Equipment'!I$14='Fuel Equipment'!$D$52,IF(Dumpers!$V45&gt;0,Dumpers!$V45," "),IF('Fuel Equipment'!I$14='Fuel Equipment'!$D$53,IF(Excavators!$W73&gt;0,Excavators!$W73," "),IF('Fuel Equipment'!I$14='Fuel Equipment'!$D$54,IF(Generators!$O133&gt;0,Generators!$O133," "),IF('Fuel Equipment'!I$14='Fuel Equipment'!$D$55,IF('Scissor Lifts'!$J57&gt;0,'Scissor Lifts'!$J57," "),"NOT REQUIRED"))))),"NOT REQUIRED")</f>
        <v>NOT REQUIRED</v>
      </c>
      <c r="J19" s="474" t="str">
        <f>IF('Fuel Equipment'!J$14&gt;0,IF('Fuel Equipment'!J$14='Fuel Equipment'!$D$51,IF(Cranes!$G36&gt;0,Cranes!$G36," "),IF('Fuel Equipment'!J$14='Fuel Equipment'!$D$52,IF(Dumpers!$V45&gt;0,Dumpers!$V45," "),IF('Fuel Equipment'!J$14='Fuel Equipment'!$D$53,IF(Excavators!$W73&gt;0,Excavators!$W73," "),IF('Fuel Equipment'!J$14='Fuel Equipment'!$D$54,IF(Generators!$O133&gt;0,Generators!$O133," "),IF('Fuel Equipment'!J$14='Fuel Equipment'!$D$55,IF('Scissor Lifts'!$J57&gt;0,'Scissor Lifts'!$J57," "),"NOT REQUIRED"))))),"NOT REQUIRED")</f>
        <v>NOT REQUIRED</v>
      </c>
      <c r="K19" s="474" t="str">
        <f>IF('Fuel Equipment'!K$14&gt;0,IF('Fuel Equipment'!K$14='Fuel Equipment'!$D$51,IF(Cranes!$G36&gt;0,Cranes!$G36," "),IF('Fuel Equipment'!K$14='Fuel Equipment'!$D$52,IF(Dumpers!$V45&gt;0,Dumpers!$V45," "),IF('Fuel Equipment'!K$14='Fuel Equipment'!$D$53,IF(Excavators!$W73&gt;0,Excavators!$W73," "),IF('Fuel Equipment'!K$14='Fuel Equipment'!$D$54,IF(Generators!$O133&gt;0,Generators!$O133," "),IF('Fuel Equipment'!K$14='Fuel Equipment'!$D$55,IF('Scissor Lifts'!$J57&gt;0,'Scissor Lifts'!$J57," "),"NOT REQUIRED"))))),"NOT REQUIRED")</f>
        <v>NOT REQUIRED</v>
      </c>
      <c r="L19" s="474" t="str">
        <f>IF('Fuel Equipment'!L$14&gt;0,IF('Fuel Equipment'!L$14='Fuel Equipment'!$D$51,IF(Cranes!$G36&gt;0,Cranes!$G36," "),IF('Fuel Equipment'!L$14='Fuel Equipment'!$D$52,IF(Dumpers!$V45&gt;0,Dumpers!$V45," "),IF('Fuel Equipment'!L$14='Fuel Equipment'!$D$53,IF(Excavators!$W73&gt;0,Excavators!$W73," "),IF('Fuel Equipment'!L$14='Fuel Equipment'!$D$54,IF(Generators!$O133&gt;0,Generators!$O133," "),IF('Fuel Equipment'!L$14='Fuel Equipment'!$D$55,IF('Scissor Lifts'!$J57&gt;0,'Scissor Lifts'!$J57," "),"NOT REQUIRED"))))),"NOT REQUIRED")</f>
        <v>NOT REQUIRED</v>
      </c>
      <c r="M19" s="474" t="str">
        <f>IF('Fuel Equipment'!M$14&gt;0,IF('Fuel Equipment'!M$14='Fuel Equipment'!$D$51,IF(Cranes!$G36&gt;0,Cranes!$G36," "),IF('Fuel Equipment'!M$14='Fuel Equipment'!$D$52,IF(Dumpers!$V45&gt;0,Dumpers!$V45," "),IF('Fuel Equipment'!M$14='Fuel Equipment'!$D$53,IF(Excavators!$W73&gt;0,Excavators!$W73," "),IF('Fuel Equipment'!M$14='Fuel Equipment'!$D$54,IF(Generators!$O133&gt;0,Generators!$O133," "),IF('Fuel Equipment'!M$14='Fuel Equipment'!$D$55,IF('Scissor Lifts'!$J57&gt;0,'Scissor Lifts'!$J57," "),"NOT REQUIRED"))))),"NOT REQUIRED")</f>
        <v>NOT REQUIRED</v>
      </c>
      <c r="N19" s="474" t="str">
        <f>IF('Fuel Equipment'!N$14&gt;0,IF('Fuel Equipment'!N$14='Fuel Equipment'!$D$51,IF(Cranes!$G36&gt;0,Cranes!$G36," "),IF('Fuel Equipment'!N$14='Fuel Equipment'!$D$52,IF(Dumpers!$V45&gt;0,Dumpers!$V45," "),IF('Fuel Equipment'!N$14='Fuel Equipment'!$D$53,IF(Excavators!$W73&gt;0,Excavators!$W73," "),IF('Fuel Equipment'!N$14='Fuel Equipment'!$D$54,IF(Generators!$O133&gt;0,Generators!$O133," "),IF('Fuel Equipment'!N$14='Fuel Equipment'!$D$55,IF('Scissor Lifts'!$J57&gt;0,'Scissor Lifts'!$J57," "),"NOT REQUIRED"))))),"NOT REQUIRED")</f>
        <v>NOT REQUIRED</v>
      </c>
      <c r="O19" s="474" t="str">
        <f>IF('Fuel Equipment'!O$14&gt;0,IF('Fuel Equipment'!O$14='Fuel Equipment'!$D$51,IF(Cranes!$G36&gt;0,Cranes!$G36," "),IF('Fuel Equipment'!O$14='Fuel Equipment'!$D$52,IF(Dumpers!$V45&gt;0,Dumpers!$V45," "),IF('Fuel Equipment'!O$14='Fuel Equipment'!$D$53,IF(Excavators!$W73&gt;0,Excavators!$W73," "),IF('Fuel Equipment'!O$14='Fuel Equipment'!$D$54,IF(Generators!$O133&gt;0,Generators!$O133," "),IF('Fuel Equipment'!O$14='Fuel Equipment'!$D$55,IF('Scissor Lifts'!$J57&gt;0,'Scissor Lifts'!$J57," "),"NOT REQUIRED"))))),"NOT REQUIRED")</f>
        <v>NOT REQUIRED</v>
      </c>
      <c r="P19" s="474" t="str">
        <f>IF('Fuel Equipment'!P$14&gt;0,IF('Fuel Equipment'!P$14='Fuel Equipment'!$D$51,IF(Cranes!$G36&gt;0,Cranes!$G36," "),IF('Fuel Equipment'!P$14='Fuel Equipment'!$D$52,IF(Dumpers!$V45&gt;0,Dumpers!$V45," "),IF('Fuel Equipment'!P$14='Fuel Equipment'!$D$53,IF(Excavators!$W73&gt;0,Excavators!$W73," "),IF('Fuel Equipment'!P$14='Fuel Equipment'!$D$54,IF(Generators!$O133&gt;0,Generators!$O133," "),IF('Fuel Equipment'!P$14='Fuel Equipment'!$D$55,IF('Scissor Lifts'!$J57&gt;0,'Scissor Lifts'!$J57," "),"NOT REQUIRED"))))),"NOT REQUIRED")</f>
        <v>NOT REQUIRED</v>
      </c>
      <c r="Q19" s="474" t="str">
        <f>IF('Fuel Equipment'!Q$14&gt;0,IF('Fuel Equipment'!Q$14='Fuel Equipment'!$D$51,IF(Cranes!$G36&gt;0,Cranes!$G36," "),IF('Fuel Equipment'!Q$14='Fuel Equipment'!$D$52,IF(Dumpers!$V45&gt;0,Dumpers!$V45," "),IF('Fuel Equipment'!Q$14='Fuel Equipment'!$D$53,IF(Excavators!$W73&gt;0,Excavators!$W73," "),IF('Fuel Equipment'!Q$14='Fuel Equipment'!$D$54,IF(Generators!$O133&gt;0,Generators!$O133," "),IF('Fuel Equipment'!Q$14='Fuel Equipment'!$D$55,IF('Scissor Lifts'!$J57&gt;0,'Scissor Lifts'!$J57," "),"NOT REQUIRED"))))),"NOT REQUIRED")</f>
        <v>NOT REQUIRED</v>
      </c>
      <c r="R19" s="474" t="str">
        <f>IF('Fuel Equipment'!R$14&gt;0,IF('Fuel Equipment'!R$14='Fuel Equipment'!$D$51,IF(Cranes!$G36&gt;0,Cranes!$G36," "),IF('Fuel Equipment'!R$14='Fuel Equipment'!$D$52,IF(Dumpers!$V45&gt;0,Dumpers!$V45," "),IF('Fuel Equipment'!R$14='Fuel Equipment'!$D$53,IF(Excavators!$W73&gt;0,Excavators!$W73," "),IF('Fuel Equipment'!R$14='Fuel Equipment'!$D$54,IF(Generators!$O133&gt;0,Generators!$O133," "),IF('Fuel Equipment'!R$14='Fuel Equipment'!$D$55,IF('Scissor Lifts'!$J57&gt;0,'Scissor Lifts'!$J57," "),"NOT REQUIRED"))))),"NOT REQUIRED")</f>
        <v>NOT REQUIRED</v>
      </c>
      <c r="S19" s="474" t="str">
        <f>IF('Fuel Equipment'!S$14&gt;0,IF('Fuel Equipment'!S$14='Fuel Equipment'!$D$51,IF(Cranes!$G36&gt;0,Cranes!$G36," "),IF('Fuel Equipment'!S$14='Fuel Equipment'!$D$52,IF(Dumpers!$V45&gt;0,Dumpers!$V45," "),IF('Fuel Equipment'!S$14='Fuel Equipment'!$D$53,IF(Excavators!$W73&gt;0,Excavators!$W73," "),IF('Fuel Equipment'!S$14='Fuel Equipment'!$D$54,IF(Generators!$O133&gt;0,Generators!$O133," "),IF('Fuel Equipment'!S$14='Fuel Equipment'!$D$55,IF('Scissor Lifts'!$J57&gt;0,'Scissor Lifts'!$J57," "),"NOT REQUIRED"))))),"NOT REQUIRED")</f>
        <v>NOT REQUIRED</v>
      </c>
      <c r="U19" s="927"/>
      <c r="V19" s="927"/>
      <c r="W19" s="927"/>
      <c r="X19" s="927"/>
      <c r="Y19" s="927"/>
      <c r="Z19" s="927"/>
    </row>
    <row r="20" spans="1:27" s="179" customFormat="1">
      <c r="B20" s="474" t="str">
        <f>IF('Fuel Equipment'!B$14&gt;0,IF('Fuel Equipment'!B$14='Fuel Equipment'!$D$51,IF(Cranes!$G37&gt;0,Cranes!$G37," "),IF('Fuel Equipment'!B$14='Fuel Equipment'!$D$52,IF(Dumpers!$V46&gt;0,Dumpers!$V46," "),IF('Fuel Equipment'!B$14='Fuel Equipment'!$D$53,IF(Excavators!$W74&gt;0,Excavators!$W74," "),IF('Fuel Equipment'!B$14='Fuel Equipment'!$D$54,IF(Generators!$O134&gt;0,Generators!$O134," "),IF('Fuel Equipment'!B$14='Fuel Equipment'!$D$55,IF('Scissor Lifts'!$J58&gt;0,'Scissor Lifts'!$J58," "),"NOT REQUIRED"))))),"NOT REQUIRED")</f>
        <v xml:space="preserve"> </v>
      </c>
      <c r="C20" s="474" t="str">
        <f>IF('Fuel Equipment'!C$14&gt;0,IF('Fuel Equipment'!C$14='Fuel Equipment'!$D$51,IF(Cranes!$G37&gt;0,Cranes!$G37," "),IF('Fuel Equipment'!C$14='Fuel Equipment'!$D$52,IF(Dumpers!$V46&gt;0,Dumpers!$V46," "),IF('Fuel Equipment'!C$14='Fuel Equipment'!$D$53,IF(Excavators!$W74&gt;0,Excavators!$W74," "),IF('Fuel Equipment'!C$14='Fuel Equipment'!$D$54,IF(Generators!$O134&gt;0,Generators!$O134," "),IF('Fuel Equipment'!C$14='Fuel Equipment'!$D$55,IF('Scissor Lifts'!$J58&gt;0,'Scissor Lifts'!$J58," "),"NOT REQUIRED"))))),"NOT REQUIRED")</f>
        <v xml:space="preserve"> </v>
      </c>
      <c r="D20" s="474" t="str">
        <f>IF('Fuel Equipment'!D$14&gt;0,IF('Fuel Equipment'!D$14='Fuel Equipment'!$D$51,IF(Cranes!$G37&gt;0,Cranes!$G37," "),IF('Fuel Equipment'!D$14='Fuel Equipment'!$D$52,IF(Dumpers!$V46&gt;0,Dumpers!$V46," "),IF('Fuel Equipment'!D$14='Fuel Equipment'!$D$53,IF(Excavators!$W74&gt;0,Excavators!$W74," "),IF('Fuel Equipment'!D$14='Fuel Equipment'!$D$54,IF(Generators!$O134&gt;0,Generators!$O134," "),IF('Fuel Equipment'!D$14='Fuel Equipment'!$D$55,IF('Scissor Lifts'!$J58&gt;0,'Scissor Lifts'!$J58," "),"NOT REQUIRED"))))),"NOT REQUIRED")</f>
        <v>2100kVA</v>
      </c>
      <c r="E20" s="474" t="str">
        <f>IF('Fuel Equipment'!E$14&gt;0,IF('Fuel Equipment'!E$14='Fuel Equipment'!$D$51,IF(Cranes!$G37&gt;0,Cranes!$G37," "),IF('Fuel Equipment'!E$14='Fuel Equipment'!$D$52,IF(Dumpers!$V46&gt;0,Dumpers!$V46," "),IF('Fuel Equipment'!E$14='Fuel Equipment'!$D$53,IF(Excavators!$W74&gt;0,Excavators!$W74," "),IF('Fuel Equipment'!E$14='Fuel Equipment'!$D$54,IF(Generators!$O134&gt;0,Generators!$O134," "),IF('Fuel Equipment'!E$14='Fuel Equipment'!$D$55,IF('Scissor Lifts'!$J58&gt;0,'Scissor Lifts'!$J58," "),"NOT REQUIRED"))))),"NOT REQUIRED")</f>
        <v xml:space="preserve"> </v>
      </c>
      <c r="F20" s="474" t="str">
        <f>IF('Fuel Equipment'!F$14&gt;0,IF('Fuel Equipment'!F$14='Fuel Equipment'!$D$51,IF(Cranes!$G37&gt;0,Cranes!$G37," "),IF('Fuel Equipment'!F$14='Fuel Equipment'!$D$52,IF(Dumpers!$V46&gt;0,Dumpers!$V46," "),IF('Fuel Equipment'!F$14='Fuel Equipment'!$D$53,IF(Excavators!$W74&gt;0,Excavators!$W74," "),IF('Fuel Equipment'!F$14='Fuel Equipment'!$D$54,IF(Generators!$O134&gt;0,Generators!$O134," "),IF('Fuel Equipment'!F$14='Fuel Equipment'!$D$55,IF('Scissor Lifts'!$J58&gt;0,'Scissor Lifts'!$J58," "),"NOT REQUIRED"))))),"NOT REQUIRED")</f>
        <v>NOT REQUIRED</v>
      </c>
      <c r="G20" s="474" t="str">
        <f>IF('Fuel Equipment'!G$14&gt;0,IF('Fuel Equipment'!G$14='Fuel Equipment'!$D$51,IF(Cranes!$G37&gt;0,Cranes!$G37," "),IF('Fuel Equipment'!G$14='Fuel Equipment'!$D$52,IF(Dumpers!$V46&gt;0,Dumpers!$V46," "),IF('Fuel Equipment'!G$14='Fuel Equipment'!$D$53,IF(Excavators!$W74&gt;0,Excavators!$W74," "),IF('Fuel Equipment'!G$14='Fuel Equipment'!$D$54,IF(Generators!$O134&gt;0,Generators!$O134," "),IF('Fuel Equipment'!G$14='Fuel Equipment'!$D$55,IF('Scissor Lifts'!$J58&gt;0,'Scissor Lifts'!$J58," "),"NOT REQUIRED"))))),"NOT REQUIRED")</f>
        <v>NOT REQUIRED</v>
      </c>
      <c r="H20" s="474" t="str">
        <f>IF('Fuel Equipment'!H$14&gt;0,IF('Fuel Equipment'!H$14='Fuel Equipment'!$D$51,IF(Cranes!$G37&gt;0,Cranes!$G37," "),IF('Fuel Equipment'!H$14='Fuel Equipment'!$D$52,IF(Dumpers!$V46&gt;0,Dumpers!$V46," "),IF('Fuel Equipment'!H$14='Fuel Equipment'!$D$53,IF(Excavators!$W74&gt;0,Excavators!$W74," "),IF('Fuel Equipment'!H$14='Fuel Equipment'!$D$54,IF(Generators!$O134&gt;0,Generators!$O134," "),IF('Fuel Equipment'!H$14='Fuel Equipment'!$D$55,IF('Scissor Lifts'!$J58&gt;0,'Scissor Lifts'!$J58," "),"NOT REQUIRED"))))),"NOT REQUIRED")</f>
        <v>NOT REQUIRED</v>
      </c>
      <c r="I20" s="474" t="str">
        <f>IF('Fuel Equipment'!I$14&gt;0,IF('Fuel Equipment'!I$14='Fuel Equipment'!$D$51,IF(Cranes!$G37&gt;0,Cranes!$G37," "),IF('Fuel Equipment'!I$14='Fuel Equipment'!$D$52,IF(Dumpers!$V46&gt;0,Dumpers!$V46," "),IF('Fuel Equipment'!I$14='Fuel Equipment'!$D$53,IF(Excavators!$W74&gt;0,Excavators!$W74," "),IF('Fuel Equipment'!I$14='Fuel Equipment'!$D$54,IF(Generators!$O134&gt;0,Generators!$O134," "),IF('Fuel Equipment'!I$14='Fuel Equipment'!$D$55,IF('Scissor Lifts'!$J58&gt;0,'Scissor Lifts'!$J58," "),"NOT REQUIRED"))))),"NOT REQUIRED")</f>
        <v>NOT REQUIRED</v>
      </c>
      <c r="J20" s="474" t="str">
        <f>IF('Fuel Equipment'!J$14&gt;0,IF('Fuel Equipment'!J$14='Fuel Equipment'!$D$51,IF(Cranes!$G37&gt;0,Cranes!$G37," "),IF('Fuel Equipment'!J$14='Fuel Equipment'!$D$52,IF(Dumpers!$V46&gt;0,Dumpers!$V46," "),IF('Fuel Equipment'!J$14='Fuel Equipment'!$D$53,IF(Excavators!$W74&gt;0,Excavators!$W74," "),IF('Fuel Equipment'!J$14='Fuel Equipment'!$D$54,IF(Generators!$O134&gt;0,Generators!$O134," "),IF('Fuel Equipment'!J$14='Fuel Equipment'!$D$55,IF('Scissor Lifts'!$J58&gt;0,'Scissor Lifts'!$J58," "),"NOT REQUIRED"))))),"NOT REQUIRED")</f>
        <v>NOT REQUIRED</v>
      </c>
      <c r="K20" s="474" t="str">
        <f>IF('Fuel Equipment'!K$14&gt;0,IF('Fuel Equipment'!K$14='Fuel Equipment'!$D$51,IF(Cranes!$G37&gt;0,Cranes!$G37," "),IF('Fuel Equipment'!K$14='Fuel Equipment'!$D$52,IF(Dumpers!$V46&gt;0,Dumpers!$V46," "),IF('Fuel Equipment'!K$14='Fuel Equipment'!$D$53,IF(Excavators!$W74&gt;0,Excavators!$W74," "),IF('Fuel Equipment'!K$14='Fuel Equipment'!$D$54,IF(Generators!$O134&gt;0,Generators!$O134," "),IF('Fuel Equipment'!K$14='Fuel Equipment'!$D$55,IF('Scissor Lifts'!$J58&gt;0,'Scissor Lifts'!$J58," "),"NOT REQUIRED"))))),"NOT REQUIRED")</f>
        <v>NOT REQUIRED</v>
      </c>
      <c r="L20" s="474" t="str">
        <f>IF('Fuel Equipment'!L$14&gt;0,IF('Fuel Equipment'!L$14='Fuel Equipment'!$D$51,IF(Cranes!$G37&gt;0,Cranes!$G37," "),IF('Fuel Equipment'!L$14='Fuel Equipment'!$D$52,IF(Dumpers!$V46&gt;0,Dumpers!$V46," "),IF('Fuel Equipment'!L$14='Fuel Equipment'!$D$53,IF(Excavators!$W74&gt;0,Excavators!$W74," "),IF('Fuel Equipment'!L$14='Fuel Equipment'!$D$54,IF(Generators!$O134&gt;0,Generators!$O134," "),IF('Fuel Equipment'!L$14='Fuel Equipment'!$D$55,IF('Scissor Lifts'!$J58&gt;0,'Scissor Lifts'!$J58," "),"NOT REQUIRED"))))),"NOT REQUIRED")</f>
        <v>NOT REQUIRED</v>
      </c>
      <c r="M20" s="474" t="str">
        <f>IF('Fuel Equipment'!M$14&gt;0,IF('Fuel Equipment'!M$14='Fuel Equipment'!$D$51,IF(Cranes!$G37&gt;0,Cranes!$G37," "),IF('Fuel Equipment'!M$14='Fuel Equipment'!$D$52,IF(Dumpers!$V46&gt;0,Dumpers!$V46," "),IF('Fuel Equipment'!M$14='Fuel Equipment'!$D$53,IF(Excavators!$W74&gt;0,Excavators!$W74," "),IF('Fuel Equipment'!M$14='Fuel Equipment'!$D$54,IF(Generators!$O134&gt;0,Generators!$O134," "),IF('Fuel Equipment'!M$14='Fuel Equipment'!$D$55,IF('Scissor Lifts'!$J58&gt;0,'Scissor Lifts'!$J58," "),"NOT REQUIRED"))))),"NOT REQUIRED")</f>
        <v>NOT REQUIRED</v>
      </c>
      <c r="N20" s="474" t="str">
        <f>IF('Fuel Equipment'!N$14&gt;0,IF('Fuel Equipment'!N$14='Fuel Equipment'!$D$51,IF(Cranes!$G37&gt;0,Cranes!$G37," "),IF('Fuel Equipment'!N$14='Fuel Equipment'!$D$52,IF(Dumpers!$V46&gt;0,Dumpers!$V46," "),IF('Fuel Equipment'!N$14='Fuel Equipment'!$D$53,IF(Excavators!$W74&gt;0,Excavators!$W74," "),IF('Fuel Equipment'!N$14='Fuel Equipment'!$D$54,IF(Generators!$O134&gt;0,Generators!$O134," "),IF('Fuel Equipment'!N$14='Fuel Equipment'!$D$55,IF('Scissor Lifts'!$J58&gt;0,'Scissor Lifts'!$J58," "),"NOT REQUIRED"))))),"NOT REQUIRED")</f>
        <v>NOT REQUIRED</v>
      </c>
      <c r="O20" s="474" t="str">
        <f>IF('Fuel Equipment'!O$14&gt;0,IF('Fuel Equipment'!O$14='Fuel Equipment'!$D$51,IF(Cranes!$G37&gt;0,Cranes!$G37," "),IF('Fuel Equipment'!O$14='Fuel Equipment'!$D$52,IF(Dumpers!$V46&gt;0,Dumpers!$V46," "),IF('Fuel Equipment'!O$14='Fuel Equipment'!$D$53,IF(Excavators!$W74&gt;0,Excavators!$W74," "),IF('Fuel Equipment'!O$14='Fuel Equipment'!$D$54,IF(Generators!$O134&gt;0,Generators!$O134," "),IF('Fuel Equipment'!O$14='Fuel Equipment'!$D$55,IF('Scissor Lifts'!$J58&gt;0,'Scissor Lifts'!$J58," "),"NOT REQUIRED"))))),"NOT REQUIRED")</f>
        <v>NOT REQUIRED</v>
      </c>
      <c r="P20" s="474" t="str">
        <f>IF('Fuel Equipment'!P$14&gt;0,IF('Fuel Equipment'!P$14='Fuel Equipment'!$D$51,IF(Cranes!$G37&gt;0,Cranes!$G37," "),IF('Fuel Equipment'!P$14='Fuel Equipment'!$D$52,IF(Dumpers!$V46&gt;0,Dumpers!$V46," "),IF('Fuel Equipment'!P$14='Fuel Equipment'!$D$53,IF(Excavators!$W74&gt;0,Excavators!$W74," "),IF('Fuel Equipment'!P$14='Fuel Equipment'!$D$54,IF(Generators!$O134&gt;0,Generators!$O134," "),IF('Fuel Equipment'!P$14='Fuel Equipment'!$D$55,IF('Scissor Lifts'!$J58&gt;0,'Scissor Lifts'!$J58," "),"NOT REQUIRED"))))),"NOT REQUIRED")</f>
        <v>NOT REQUIRED</v>
      </c>
      <c r="Q20" s="474" t="str">
        <f>IF('Fuel Equipment'!Q$14&gt;0,IF('Fuel Equipment'!Q$14='Fuel Equipment'!$D$51,IF(Cranes!$G37&gt;0,Cranes!$G37," "),IF('Fuel Equipment'!Q$14='Fuel Equipment'!$D$52,IF(Dumpers!$V46&gt;0,Dumpers!$V46," "),IF('Fuel Equipment'!Q$14='Fuel Equipment'!$D$53,IF(Excavators!$W74&gt;0,Excavators!$W74," "),IF('Fuel Equipment'!Q$14='Fuel Equipment'!$D$54,IF(Generators!$O134&gt;0,Generators!$O134," "),IF('Fuel Equipment'!Q$14='Fuel Equipment'!$D$55,IF('Scissor Lifts'!$J58&gt;0,'Scissor Lifts'!$J58," "),"NOT REQUIRED"))))),"NOT REQUIRED")</f>
        <v>NOT REQUIRED</v>
      </c>
      <c r="R20" s="474" t="str">
        <f>IF('Fuel Equipment'!R$14&gt;0,IF('Fuel Equipment'!R$14='Fuel Equipment'!$D$51,IF(Cranes!$G37&gt;0,Cranes!$G37," "),IF('Fuel Equipment'!R$14='Fuel Equipment'!$D$52,IF(Dumpers!$V46&gt;0,Dumpers!$V46," "),IF('Fuel Equipment'!R$14='Fuel Equipment'!$D$53,IF(Excavators!$W74&gt;0,Excavators!$W74," "),IF('Fuel Equipment'!R$14='Fuel Equipment'!$D$54,IF(Generators!$O134&gt;0,Generators!$O134," "),IF('Fuel Equipment'!R$14='Fuel Equipment'!$D$55,IF('Scissor Lifts'!$J58&gt;0,'Scissor Lifts'!$J58," "),"NOT REQUIRED"))))),"NOT REQUIRED")</f>
        <v>NOT REQUIRED</v>
      </c>
      <c r="S20" s="474" t="str">
        <f>IF('Fuel Equipment'!S$14&gt;0,IF('Fuel Equipment'!S$14='Fuel Equipment'!$D$51,IF(Cranes!$G37&gt;0,Cranes!$G37," "),IF('Fuel Equipment'!S$14='Fuel Equipment'!$D$52,IF(Dumpers!$V46&gt;0,Dumpers!$V46," "),IF('Fuel Equipment'!S$14='Fuel Equipment'!$D$53,IF(Excavators!$W74&gt;0,Excavators!$W74," "),IF('Fuel Equipment'!S$14='Fuel Equipment'!$D$54,IF(Generators!$O134&gt;0,Generators!$O134," "),IF('Fuel Equipment'!S$14='Fuel Equipment'!$D$55,IF('Scissor Lifts'!$J58&gt;0,'Scissor Lifts'!$J58," "),"NOT REQUIRED"))))),"NOT REQUIRED")</f>
        <v>NOT REQUIRED</v>
      </c>
      <c r="U20" s="927"/>
      <c r="V20" s="927"/>
      <c r="W20" s="927"/>
      <c r="X20" s="927"/>
      <c r="Y20" s="927"/>
      <c r="Z20" s="927"/>
    </row>
    <row r="21" spans="1:27" s="179" customFormat="1" ht="15.75" thickBot="1"/>
    <row r="22" spans="1:27" s="179" customFormat="1" ht="15.75" customHeight="1" thickBot="1">
      <c r="A22" s="179" t="s">
        <v>810</v>
      </c>
      <c r="B22" s="549">
        <f>IF(OR('Fuel Equipment'!B$14&gt;0,'Fuel Equipment'!B$16&gt;0),IF(OR('Fuel Equipment'!B14='Fuel Equipment'!$D$56,OR('Fuel Equipment'!B16="NOT REQUIRED",OR('Fuel Equipment'!B16="Not Listed",'Fuel Equipment'!B16=0))),"",IF('Fuel Equipment'!B$14='Fuel Equipment'!$D$51,VLOOKUP('Fuel Equipment'!B$16,Cranes!$G$20:$H$24,2,FALSE),IF('Fuel Equipment'!B$14='Fuel Equipment'!$D$52,VLOOKUP('Fuel Equipment'!B$16,Dumpers!$V$30:$W$34,2,FALSE),IF('Fuel Equipment'!B$14='Fuel Equipment'!$D$53,VLOOKUP('Fuel Equipment'!B$16,Excavators!$W$58:$X$71,2,FALSE),IF('Fuel Equipment'!B$14='Fuel Equipment'!$D$54,VLOOKUP('Fuel Equipment'!B$16,Generators!$O$118:$P$134,2,FALSE),IF('Fuel Equipment'!B$14='Fuel Equipment'!$D$55,VLOOKUP('Fuel Equipment'!B$16,'Scissor Lifts'!$J$42:$K$44,2,FALSE),"ERROR")))))),"")</f>
        <v>24</v>
      </c>
      <c r="C22" s="550">
        <f>IF(OR('Fuel Equipment'!C$14&gt;0,'Fuel Equipment'!C$16&gt;0),IF(OR('Fuel Equipment'!C14='Fuel Equipment'!$D$56,OR('Fuel Equipment'!C16="NOT REQUIRED",OR('Fuel Equipment'!C16="Not Listed",'Fuel Equipment'!C16=0))),"",IF('Fuel Equipment'!C$14='Fuel Equipment'!$D$51,VLOOKUP('Fuel Equipment'!C$16,Cranes!$G$20:$H$24,2,FALSE),IF('Fuel Equipment'!C$14='Fuel Equipment'!$D$52,VLOOKUP('Fuel Equipment'!C$16,Dumpers!$V$30:$W$34,2,FALSE),IF('Fuel Equipment'!C$14='Fuel Equipment'!$D$53,VLOOKUP('Fuel Equipment'!C$16,Excavators!$W$58:$X$71,2,FALSE),IF('Fuel Equipment'!C$14='Fuel Equipment'!$D$54,VLOOKUP('Fuel Equipment'!C$16,Generators!$O$118:$P$134,2,FALSE),IF('Fuel Equipment'!C$14='Fuel Equipment'!$D$55,VLOOKUP('Fuel Equipment'!C$16,'Scissor Lifts'!$J$42:$K$44,2,FALSE),"ERROR")))))),"")</f>
        <v>24</v>
      </c>
      <c r="D22" s="550">
        <f>IF(OR('Fuel Equipment'!D$14&gt;0,'Fuel Equipment'!D$16&gt;0),IF(OR('Fuel Equipment'!D14='Fuel Equipment'!$D$56,OR('Fuel Equipment'!D16="NOT REQUIRED",OR('Fuel Equipment'!D16="Not Listed",'Fuel Equipment'!D16=0))),"",IF('Fuel Equipment'!D$14='Fuel Equipment'!$D$51,VLOOKUP('Fuel Equipment'!D$16,Cranes!$G$20:$H$24,2,FALSE),IF('Fuel Equipment'!D$14='Fuel Equipment'!$D$52,VLOOKUP('Fuel Equipment'!D$16,Dumpers!$V$30:$W$34,2,FALSE),IF('Fuel Equipment'!D$14='Fuel Equipment'!$D$53,VLOOKUP('Fuel Equipment'!D$16,Excavators!$W$58:$X$71,2,FALSE),IF('Fuel Equipment'!D$14='Fuel Equipment'!$D$54,VLOOKUP('Fuel Equipment'!D$16,Generators!$O$118:$P$134,2,FALSE),IF('Fuel Equipment'!D$14='Fuel Equipment'!$D$55,VLOOKUP('Fuel Equipment'!D$16,'Scissor Lifts'!$J$42:$K$44,2,FALSE),"ERROR")))))),"")</f>
        <v>29</v>
      </c>
      <c r="E22" s="550" t="str">
        <f>IF(OR('Fuel Equipment'!E$14&gt;0,'Fuel Equipment'!E$16&gt;0),IF(OR('Fuel Equipment'!E14='Fuel Equipment'!$D$56,OR('Fuel Equipment'!E16="NOT REQUIRED",OR('Fuel Equipment'!E16="Not Listed",'Fuel Equipment'!E16=0))),"",IF('Fuel Equipment'!E$14='Fuel Equipment'!$D$51,VLOOKUP('Fuel Equipment'!E$16,Cranes!$G$20:$H$24,2,FALSE),IF('Fuel Equipment'!E$14='Fuel Equipment'!$D$52,VLOOKUP('Fuel Equipment'!E$16,Dumpers!$V$30:$W$34,2,FALSE),IF('Fuel Equipment'!E$14='Fuel Equipment'!$D$53,VLOOKUP('Fuel Equipment'!E$16,Excavators!$W$58:$X$71,2,FALSE),IF('Fuel Equipment'!E$14='Fuel Equipment'!$D$54,VLOOKUP('Fuel Equipment'!E$16,Generators!$O$118:$P$134,2,FALSE),IF('Fuel Equipment'!E$14='Fuel Equipment'!$D$55,VLOOKUP('Fuel Equipment'!E$16,'Scissor Lifts'!$J$42:$K$44,2,FALSE),"ERROR")))))),"")</f>
        <v/>
      </c>
      <c r="F22" s="550" t="str">
        <f>IF(OR('Fuel Equipment'!F$14&gt;0,'Fuel Equipment'!F$16&gt;0),IF(OR('Fuel Equipment'!F14='Fuel Equipment'!$D$56,OR('Fuel Equipment'!F16="NOT REQUIRED",OR('Fuel Equipment'!F16="Not Listed",'Fuel Equipment'!F16=0))),"",IF('Fuel Equipment'!F$14='Fuel Equipment'!$D$51,VLOOKUP('Fuel Equipment'!F$16,Cranes!$G$20:$H$24,2,FALSE),IF('Fuel Equipment'!F$14='Fuel Equipment'!$D$52,VLOOKUP('Fuel Equipment'!F$16,Dumpers!$V$30:$W$34,2,FALSE),IF('Fuel Equipment'!F$14='Fuel Equipment'!$D$53,VLOOKUP('Fuel Equipment'!F$16,Excavators!$W$58:$X$71,2,FALSE),IF('Fuel Equipment'!F$14='Fuel Equipment'!$D$54,VLOOKUP('Fuel Equipment'!F$16,Generators!$O$118:$P$134,2,FALSE),IF('Fuel Equipment'!F$14='Fuel Equipment'!$D$55,VLOOKUP('Fuel Equipment'!F$16,'Scissor Lifts'!$J$42:$K$44,2,FALSE),"ERROR")))))),"")</f>
        <v/>
      </c>
      <c r="G22" s="550" t="str">
        <f>IF(OR('Fuel Equipment'!G$14&gt;0,'Fuel Equipment'!G$16&gt;0),IF(OR('Fuel Equipment'!G14='Fuel Equipment'!$D$56,OR('Fuel Equipment'!G16="NOT REQUIRED",OR('Fuel Equipment'!G16="Not Listed",'Fuel Equipment'!G16=0))),"",IF('Fuel Equipment'!G$14='Fuel Equipment'!$D$51,VLOOKUP('Fuel Equipment'!G$16,Cranes!$G$20:$H$24,2,FALSE),IF('Fuel Equipment'!G$14='Fuel Equipment'!$D$52,VLOOKUP('Fuel Equipment'!G$16,Dumpers!$V$30:$W$34,2,FALSE),IF('Fuel Equipment'!G$14='Fuel Equipment'!$D$53,VLOOKUP('Fuel Equipment'!G$16,Excavators!$W$58:$X$71,2,FALSE),IF('Fuel Equipment'!G$14='Fuel Equipment'!$D$54,VLOOKUP('Fuel Equipment'!G$16,Generators!$O$118:$P$134,2,FALSE),IF('Fuel Equipment'!G$14='Fuel Equipment'!$D$55,VLOOKUP('Fuel Equipment'!G$16,'Scissor Lifts'!$J$42:$K$44,2,FALSE),"ERROR")))))),"")</f>
        <v/>
      </c>
      <c r="H22" s="550" t="str">
        <f>IF(OR('Fuel Equipment'!H$14&gt;0,'Fuel Equipment'!H$16&gt;0),IF(OR('Fuel Equipment'!H14='Fuel Equipment'!$D$56,OR('Fuel Equipment'!H16="NOT REQUIRED",OR('Fuel Equipment'!H16="Not Listed",'Fuel Equipment'!H16=0))),"",IF('Fuel Equipment'!H$14='Fuel Equipment'!$D$51,VLOOKUP('Fuel Equipment'!H$16,Cranes!$G$20:$H$24,2,FALSE),IF('Fuel Equipment'!H$14='Fuel Equipment'!$D$52,VLOOKUP('Fuel Equipment'!H$16,Dumpers!$V$30:$W$34,2,FALSE),IF('Fuel Equipment'!H$14='Fuel Equipment'!$D$53,VLOOKUP('Fuel Equipment'!H$16,Excavators!$W$58:$X$71,2,FALSE),IF('Fuel Equipment'!H$14='Fuel Equipment'!$D$54,VLOOKUP('Fuel Equipment'!H$16,Generators!$O$118:$P$134,2,FALSE),IF('Fuel Equipment'!H$14='Fuel Equipment'!$D$55,VLOOKUP('Fuel Equipment'!H$16,'Scissor Lifts'!$J$42:$K$44,2,FALSE),"ERROR")))))),"")</f>
        <v/>
      </c>
      <c r="I22" s="550" t="str">
        <f>IF(OR('Fuel Equipment'!I$14&gt;0,'Fuel Equipment'!I$16&gt;0),IF(OR('Fuel Equipment'!I14='Fuel Equipment'!$D$56,OR('Fuel Equipment'!I16="NOT REQUIRED",OR('Fuel Equipment'!I16="Not Listed",'Fuel Equipment'!I16=0))),"",IF('Fuel Equipment'!I$14='Fuel Equipment'!$D$51,VLOOKUP('Fuel Equipment'!I$16,Cranes!$G$20:$H$24,2,FALSE),IF('Fuel Equipment'!I$14='Fuel Equipment'!$D$52,VLOOKUP('Fuel Equipment'!I$16,Dumpers!$V$30:$W$34,2,FALSE),IF('Fuel Equipment'!I$14='Fuel Equipment'!$D$53,VLOOKUP('Fuel Equipment'!I$16,Excavators!$W$58:$X$71,2,FALSE),IF('Fuel Equipment'!I$14='Fuel Equipment'!$D$54,VLOOKUP('Fuel Equipment'!I$16,Generators!$O$118:$P$134,2,FALSE),IF('Fuel Equipment'!I$14='Fuel Equipment'!$D$55,VLOOKUP('Fuel Equipment'!I$16,'Scissor Lifts'!$J$42:$K$44,2,FALSE),"ERROR")))))),"")</f>
        <v/>
      </c>
      <c r="J22" s="550" t="str">
        <f>IF(OR('Fuel Equipment'!J$14&gt;0,'Fuel Equipment'!J$16&gt;0),IF(OR('Fuel Equipment'!J14='Fuel Equipment'!$D$56,OR('Fuel Equipment'!J16="NOT REQUIRED",OR('Fuel Equipment'!J16="Not Listed",'Fuel Equipment'!J16=0))),"",IF('Fuel Equipment'!J$14='Fuel Equipment'!$D$51,VLOOKUP('Fuel Equipment'!J$16,Cranes!$G$20:$H$24,2,FALSE),IF('Fuel Equipment'!J$14='Fuel Equipment'!$D$52,VLOOKUP('Fuel Equipment'!J$16,Dumpers!$V$30:$W$34,2,FALSE),IF('Fuel Equipment'!J$14='Fuel Equipment'!$D$53,VLOOKUP('Fuel Equipment'!J$16,Excavators!$W$58:$X$71,2,FALSE),IF('Fuel Equipment'!J$14='Fuel Equipment'!$D$54,VLOOKUP('Fuel Equipment'!J$16,Generators!$O$118:$P$134,2,FALSE),IF('Fuel Equipment'!J$14='Fuel Equipment'!$D$55,VLOOKUP('Fuel Equipment'!J$16,'Scissor Lifts'!$J$42:$K$44,2,FALSE),"ERROR")))))),"")</f>
        <v/>
      </c>
      <c r="K22" s="550" t="str">
        <f>IF(OR('Fuel Equipment'!K$14&gt;0,'Fuel Equipment'!K$16&gt;0),IF(OR('Fuel Equipment'!K14='Fuel Equipment'!$D$56,OR('Fuel Equipment'!K16="NOT REQUIRED",OR('Fuel Equipment'!K16="Not Listed",'Fuel Equipment'!K16=0))),"",IF('Fuel Equipment'!K$14='Fuel Equipment'!$D$51,VLOOKUP('Fuel Equipment'!K$16,Cranes!$G$20:$H$24,2,FALSE),IF('Fuel Equipment'!K$14='Fuel Equipment'!$D$52,VLOOKUP('Fuel Equipment'!K$16,Dumpers!$V$30:$W$34,2,FALSE),IF('Fuel Equipment'!K$14='Fuel Equipment'!$D$53,VLOOKUP('Fuel Equipment'!K$16,Excavators!$W$58:$X$71,2,FALSE),IF('Fuel Equipment'!K$14='Fuel Equipment'!$D$54,VLOOKUP('Fuel Equipment'!K$16,Generators!$O$118:$P$134,2,FALSE),IF('Fuel Equipment'!K$14='Fuel Equipment'!$D$55,VLOOKUP('Fuel Equipment'!K$16,'Scissor Lifts'!$J$42:$K$44,2,FALSE),"ERROR")))))),"")</f>
        <v/>
      </c>
      <c r="L22" s="550" t="str">
        <f>IF(OR('Fuel Equipment'!L$14&gt;0,'Fuel Equipment'!L$16&gt;0),IF(OR('Fuel Equipment'!L14='Fuel Equipment'!$D$56,OR('Fuel Equipment'!L16="NOT REQUIRED",OR('Fuel Equipment'!L16="Not Listed",'Fuel Equipment'!L16=0))),"",IF('Fuel Equipment'!L$14='Fuel Equipment'!$D$51,VLOOKUP('Fuel Equipment'!L$16,Cranes!$G$20:$H$24,2,FALSE),IF('Fuel Equipment'!L$14='Fuel Equipment'!$D$52,VLOOKUP('Fuel Equipment'!L$16,Dumpers!$V$30:$W$34,2,FALSE),IF('Fuel Equipment'!L$14='Fuel Equipment'!$D$53,VLOOKUP('Fuel Equipment'!L$16,Excavators!$W$58:$X$71,2,FALSE),IF('Fuel Equipment'!L$14='Fuel Equipment'!$D$54,VLOOKUP('Fuel Equipment'!L$16,Generators!$O$118:$P$134,2,FALSE),IF('Fuel Equipment'!L$14='Fuel Equipment'!$D$55,VLOOKUP('Fuel Equipment'!L$16,'Scissor Lifts'!$J$42:$K$44,2,FALSE),"ERROR")))))),"")</f>
        <v/>
      </c>
      <c r="M22" s="550" t="str">
        <f>IF(OR('Fuel Equipment'!M$14&gt;0,'Fuel Equipment'!M$16&gt;0),IF(OR('Fuel Equipment'!M14='Fuel Equipment'!$D$56,OR('Fuel Equipment'!M16="NOT REQUIRED",OR('Fuel Equipment'!M16="Not Listed",'Fuel Equipment'!M16=0))),"",IF('Fuel Equipment'!M$14='Fuel Equipment'!$D$51,VLOOKUP('Fuel Equipment'!M$16,Cranes!$G$20:$H$24,2,FALSE),IF('Fuel Equipment'!M$14='Fuel Equipment'!$D$52,VLOOKUP('Fuel Equipment'!M$16,Dumpers!$V$30:$W$34,2,FALSE),IF('Fuel Equipment'!M$14='Fuel Equipment'!$D$53,VLOOKUP('Fuel Equipment'!M$16,Excavators!$W$58:$X$71,2,FALSE),IF('Fuel Equipment'!M$14='Fuel Equipment'!$D$54,VLOOKUP('Fuel Equipment'!M$16,Generators!$O$118:$P$134,2,FALSE),IF('Fuel Equipment'!M$14='Fuel Equipment'!$D$55,VLOOKUP('Fuel Equipment'!M$16,'Scissor Lifts'!$J$42:$K$44,2,FALSE),"ERROR")))))),"")</f>
        <v/>
      </c>
      <c r="N22" s="550" t="str">
        <f>IF(OR('Fuel Equipment'!N$14&gt;0,'Fuel Equipment'!N$16&gt;0),IF(OR('Fuel Equipment'!N14='Fuel Equipment'!$D$56,OR('Fuel Equipment'!N16="NOT REQUIRED",OR('Fuel Equipment'!N16="Not Listed",'Fuel Equipment'!N16=0))),"",IF('Fuel Equipment'!N$14='Fuel Equipment'!$D$51,VLOOKUP('Fuel Equipment'!N$16,Cranes!$G$20:$H$24,2,FALSE),IF('Fuel Equipment'!N$14='Fuel Equipment'!$D$52,VLOOKUP('Fuel Equipment'!N$16,Dumpers!$V$30:$W$34,2,FALSE),IF('Fuel Equipment'!N$14='Fuel Equipment'!$D$53,VLOOKUP('Fuel Equipment'!N$16,Excavators!$W$58:$X$71,2,FALSE),IF('Fuel Equipment'!N$14='Fuel Equipment'!$D$54,VLOOKUP('Fuel Equipment'!N$16,Generators!$O$118:$P$134,2,FALSE),IF('Fuel Equipment'!N$14='Fuel Equipment'!$D$55,VLOOKUP('Fuel Equipment'!N$16,'Scissor Lifts'!$J$42:$K$44,2,FALSE),"ERROR")))))),"")</f>
        <v/>
      </c>
      <c r="O22" s="550" t="str">
        <f>IF(OR('Fuel Equipment'!O$14&gt;0,'Fuel Equipment'!O$16&gt;0),IF(OR('Fuel Equipment'!O14='Fuel Equipment'!$D$56,OR('Fuel Equipment'!O16="NOT REQUIRED",OR('Fuel Equipment'!O16="Not Listed",'Fuel Equipment'!O16=0))),"",IF('Fuel Equipment'!O$14='Fuel Equipment'!$D$51,VLOOKUP('Fuel Equipment'!O$16,Cranes!$G$20:$H$24,2,FALSE),IF('Fuel Equipment'!O$14='Fuel Equipment'!$D$52,VLOOKUP('Fuel Equipment'!O$16,Dumpers!$V$30:$W$34,2,FALSE),IF('Fuel Equipment'!O$14='Fuel Equipment'!$D$53,VLOOKUP('Fuel Equipment'!O$16,Excavators!$W$58:$X$71,2,FALSE),IF('Fuel Equipment'!O$14='Fuel Equipment'!$D$54,VLOOKUP('Fuel Equipment'!O$16,Generators!$O$118:$P$134,2,FALSE),IF('Fuel Equipment'!O$14='Fuel Equipment'!$D$55,VLOOKUP('Fuel Equipment'!O$16,'Scissor Lifts'!$J$42:$K$44,2,FALSE),"ERROR")))))),"")</f>
        <v/>
      </c>
      <c r="P22" s="550" t="str">
        <f>IF(OR('Fuel Equipment'!P$14&gt;0,'Fuel Equipment'!P$16&gt;0),IF(OR('Fuel Equipment'!P14='Fuel Equipment'!$D$56,OR('Fuel Equipment'!P16="NOT REQUIRED",OR('Fuel Equipment'!P16="Not Listed",'Fuel Equipment'!P16=0))),"",IF('Fuel Equipment'!P$14='Fuel Equipment'!$D$51,VLOOKUP('Fuel Equipment'!P$16,Cranes!$G$20:$H$24,2,FALSE),IF('Fuel Equipment'!P$14='Fuel Equipment'!$D$52,VLOOKUP('Fuel Equipment'!P$16,Dumpers!$V$30:$W$34,2,FALSE),IF('Fuel Equipment'!P$14='Fuel Equipment'!$D$53,VLOOKUP('Fuel Equipment'!P$16,Excavators!$W$58:$X$71,2,FALSE),IF('Fuel Equipment'!P$14='Fuel Equipment'!$D$54,VLOOKUP('Fuel Equipment'!P$16,Generators!$O$118:$P$134,2,FALSE),IF('Fuel Equipment'!P$14='Fuel Equipment'!$D$55,VLOOKUP('Fuel Equipment'!P$16,'Scissor Lifts'!$J$42:$K$44,2,FALSE),"ERROR")))))),"")</f>
        <v/>
      </c>
      <c r="Q22" s="550" t="str">
        <f>IF(OR('Fuel Equipment'!Q$14&gt;0,'Fuel Equipment'!Q$16&gt;0),IF(OR('Fuel Equipment'!Q14='Fuel Equipment'!$D$56,OR('Fuel Equipment'!Q16="NOT REQUIRED",OR('Fuel Equipment'!Q16="Not Listed",'Fuel Equipment'!Q16=0))),"",IF('Fuel Equipment'!Q$14='Fuel Equipment'!$D$51,VLOOKUP('Fuel Equipment'!Q$16,Cranes!$G$20:$H$24,2,FALSE),IF('Fuel Equipment'!Q$14='Fuel Equipment'!$D$52,VLOOKUP('Fuel Equipment'!Q$16,Dumpers!$V$30:$W$34,2,FALSE),IF('Fuel Equipment'!Q$14='Fuel Equipment'!$D$53,VLOOKUP('Fuel Equipment'!Q$16,Excavators!$W$58:$X$71,2,FALSE),IF('Fuel Equipment'!Q$14='Fuel Equipment'!$D$54,VLOOKUP('Fuel Equipment'!Q$16,Generators!$O$118:$P$134,2,FALSE),IF('Fuel Equipment'!Q$14='Fuel Equipment'!$D$55,VLOOKUP('Fuel Equipment'!Q$16,'Scissor Lifts'!$J$42:$K$44,2,FALSE),"ERROR")))))),"")</f>
        <v/>
      </c>
      <c r="R22" s="550" t="str">
        <f>IF(OR('Fuel Equipment'!R$14&gt;0,'Fuel Equipment'!R$16&gt;0),IF(OR('Fuel Equipment'!R14='Fuel Equipment'!$D$56,OR('Fuel Equipment'!R16="NOT REQUIRED",OR('Fuel Equipment'!R16="Not Listed",'Fuel Equipment'!R16=0))),"",IF('Fuel Equipment'!R$14='Fuel Equipment'!$D$51,VLOOKUP('Fuel Equipment'!R$16,Cranes!$G$20:$H$24,2,FALSE),IF('Fuel Equipment'!R$14='Fuel Equipment'!$D$52,VLOOKUP('Fuel Equipment'!R$16,Dumpers!$V$30:$W$34,2,FALSE),IF('Fuel Equipment'!R$14='Fuel Equipment'!$D$53,VLOOKUP('Fuel Equipment'!R$16,Excavators!$W$58:$X$71,2,FALSE),IF('Fuel Equipment'!R$14='Fuel Equipment'!$D$54,VLOOKUP('Fuel Equipment'!R$16,Generators!$O$118:$P$134,2,FALSE),IF('Fuel Equipment'!R$14='Fuel Equipment'!$D$55,VLOOKUP('Fuel Equipment'!R$16,'Scissor Lifts'!$J$42:$K$44,2,FALSE),"ERROR")))))),"")</f>
        <v/>
      </c>
      <c r="S22" s="551" t="str">
        <f>IF(OR('Fuel Equipment'!S$14&gt;0,'Fuel Equipment'!S$16&gt;0),IF(OR('Fuel Equipment'!S14='Fuel Equipment'!$D$56,OR('Fuel Equipment'!S16="NOT REQUIRED",OR('Fuel Equipment'!S16="Not Listed",'Fuel Equipment'!S16=0))),"",IF('Fuel Equipment'!S$14='Fuel Equipment'!$D$51,VLOOKUP('Fuel Equipment'!S$16,Cranes!$G$20:$H$24,2,FALSE),IF('Fuel Equipment'!S$14='Fuel Equipment'!$D$52,VLOOKUP('Fuel Equipment'!S$16,Dumpers!$V$30:$W$34,2,FALSE),IF('Fuel Equipment'!S$14='Fuel Equipment'!$D$53,VLOOKUP('Fuel Equipment'!S$16,Excavators!$W$58:$X$71,2,FALSE),IF('Fuel Equipment'!S$14='Fuel Equipment'!$D$54,VLOOKUP('Fuel Equipment'!S$16,Generators!$O$118:$P$134,2,FALSE),IF('Fuel Equipment'!S$14='Fuel Equipment'!$D$55,VLOOKUP('Fuel Equipment'!S$16,'Scissor Lifts'!$J$42:$K$44,2,FALSE),"ERROR")))))),"")</f>
        <v/>
      </c>
      <c r="U22" s="927" t="s">
        <v>898</v>
      </c>
      <c r="V22" s="927"/>
      <c r="W22" s="927"/>
      <c r="X22" s="928" t="s">
        <v>897</v>
      </c>
      <c r="Y22" s="928"/>
      <c r="Z22" s="928"/>
      <c r="AA22" s="928"/>
    </row>
    <row r="23" spans="1:27" s="179" customFormat="1" ht="15.75" thickTop="1">
      <c r="A23" s="179">
        <v>1</v>
      </c>
      <c r="B23" s="552">
        <f>IF(B22="","",IF('Fuel Equipment'!B$14='Fuel Equipment'!$D$51,IF($A23&lt;(VLOOKUP('Fuel Equipment'!B$16,Cranes!$G$21:$I$24,3,FALSE)),(B22+1),""),IF('Fuel Equipment'!B$14='Fuel Equipment'!$D$52,IF($A23&lt;(VLOOKUP('Fuel Equipment'!B$16,Dumpers!$V$30:$X$34,3,FALSE)),(B22+1),""),IF('Fuel Equipment'!B$14='Fuel Equipment'!$D$53,IF($A23&lt;(VLOOKUP('Fuel Equipment'!B$16,Excavators!$W$58:$Y$71,3,FALSE)),(B22+1),""),IF('Fuel Equipment'!B$14='Fuel Equipment'!$D$54,IF($A23&lt;(VLOOKUP('Fuel Equipment'!B$16,Generators!$O$118:$Q$134,3,FALSE)),(B22+1),""),IF('Fuel Equipment'!B$14='Fuel Equipment'!$D$55,IF($A23&lt;(VLOOKUP('Fuel Equipment'!B$16,'Scissor Lifts'!$J$42:$L$44,3,FALSE)),(B22+1),""),"ERROR"))))))</f>
        <v>25</v>
      </c>
      <c r="C23" s="474">
        <f>IF(C22="","",IF('Fuel Equipment'!C$14='Fuel Equipment'!$D$51,IF($A23&lt;(VLOOKUP('Fuel Equipment'!C$16,Cranes!$G$21:$I$24,3,FALSE)),(C22+1),""),IF('Fuel Equipment'!C$14='Fuel Equipment'!$D$52,IF($A23&lt;(VLOOKUP('Fuel Equipment'!C$16,Dumpers!$V$30:$X$34,3,FALSE)),(C22+1),""),IF('Fuel Equipment'!C$14='Fuel Equipment'!$D$53,IF($A23&lt;(VLOOKUP('Fuel Equipment'!C$16,Excavators!$W$58:$Y$71,3,FALSE)),(C22+1),""),IF('Fuel Equipment'!C$14='Fuel Equipment'!$D$54,IF($A23&lt;(VLOOKUP('Fuel Equipment'!C$16,Generators!$O$118:$Q$134,3,FALSE)),(C22+1),""),IF('Fuel Equipment'!C$14='Fuel Equipment'!$D$55,IF($A23&lt;(VLOOKUP('Fuel Equipment'!C$16,'Scissor Lifts'!$J$42:$L$44,3,FALSE)),(C22+1),""),"ERROR"))))))</f>
        <v>25</v>
      </c>
      <c r="D23" s="474">
        <f>IF(D22="","",IF('Fuel Equipment'!D$14='Fuel Equipment'!$D$51,IF($A23&lt;(VLOOKUP('Fuel Equipment'!D$16,Cranes!$G$21:$I$24,3,FALSE)),(D22+1),""),IF('Fuel Equipment'!D$14='Fuel Equipment'!$D$52,IF($A23&lt;(VLOOKUP('Fuel Equipment'!D$16,Dumpers!$V$30:$X$34,3,FALSE)),(D22+1),""),IF('Fuel Equipment'!D$14='Fuel Equipment'!$D$53,IF($A23&lt;(VLOOKUP('Fuel Equipment'!D$16,Excavators!$W$58:$Y$71,3,FALSE)),(D22+1),""),IF('Fuel Equipment'!D$14='Fuel Equipment'!$D$54,IF($A23&lt;(VLOOKUP('Fuel Equipment'!D$16,Generators!$O$118:$Q$134,3,FALSE)),(D22+1),""),IF('Fuel Equipment'!D$14='Fuel Equipment'!$D$55,IF($A23&lt;(VLOOKUP('Fuel Equipment'!D$16,'Scissor Lifts'!$J$42:$L$44,3,FALSE)),(D22+1),""),"ERROR"))))))</f>
        <v>30</v>
      </c>
      <c r="E23" s="474" t="str">
        <f>IF(E22="","",IF('Fuel Equipment'!E$14='Fuel Equipment'!$D$51,IF($A23&lt;(VLOOKUP('Fuel Equipment'!E$16,Cranes!$G$21:$I$24,3,FALSE)),(E22+1),""),IF('Fuel Equipment'!E$14='Fuel Equipment'!$D$52,IF($A23&lt;(VLOOKUP('Fuel Equipment'!E$16,Dumpers!$V$30:$X$34,3,FALSE)),(E22+1),""),IF('Fuel Equipment'!E$14='Fuel Equipment'!$D$53,IF($A23&lt;(VLOOKUP('Fuel Equipment'!E$16,Excavators!$W$58:$Y$71,3,FALSE)),(E22+1),""),IF('Fuel Equipment'!E$14='Fuel Equipment'!$D$54,IF($A23&lt;(VLOOKUP('Fuel Equipment'!E$16,Generators!$O$118:$Q$134,3,FALSE)),(E22+1),""),IF('Fuel Equipment'!E$14='Fuel Equipment'!$D$55,IF($A23&lt;(VLOOKUP('Fuel Equipment'!E$16,'Scissor Lifts'!$J$42:$L$44,3,FALSE)),(E22+1),""),"ERROR"))))))</f>
        <v/>
      </c>
      <c r="F23" s="474" t="str">
        <f>IF(F22="","",IF('Fuel Equipment'!F$14='Fuel Equipment'!$D$51,IF($A23&lt;(VLOOKUP('Fuel Equipment'!F$16,Cranes!$G$21:$I$24,3,FALSE)),(F22+1),""),IF('Fuel Equipment'!F$14='Fuel Equipment'!$D$52,IF($A23&lt;(VLOOKUP('Fuel Equipment'!F$16,Dumpers!$V$30:$X$34,3,FALSE)),(F22+1),""),IF('Fuel Equipment'!F$14='Fuel Equipment'!$D$53,IF($A23&lt;(VLOOKUP('Fuel Equipment'!F$16,Excavators!$W$58:$Y$71,3,FALSE)),(F22+1),""),IF('Fuel Equipment'!F$14='Fuel Equipment'!$D$54,IF($A23&lt;(VLOOKUP('Fuel Equipment'!F$16,Generators!$O$118:$Q$134,3,FALSE)),(F22+1),""),IF('Fuel Equipment'!F$14='Fuel Equipment'!$D$55,IF($A23&lt;(VLOOKUP('Fuel Equipment'!F$16,'Scissor Lifts'!$J$42:$L$44,3,FALSE)),(F22+1),""),"ERROR"))))))</f>
        <v/>
      </c>
      <c r="G23" s="474" t="str">
        <f>IF(G22="","",IF('Fuel Equipment'!G$14='Fuel Equipment'!$D$51,IF($A23&lt;(VLOOKUP('Fuel Equipment'!G$16,Cranes!$G$21:$I$24,3,FALSE)),(G22+1),""),IF('Fuel Equipment'!G$14='Fuel Equipment'!$D$52,IF($A23&lt;(VLOOKUP('Fuel Equipment'!G$16,Dumpers!$V$30:$X$34,3,FALSE)),(G22+1),""),IF('Fuel Equipment'!G$14='Fuel Equipment'!$D$53,IF($A23&lt;(VLOOKUP('Fuel Equipment'!G$16,Excavators!$W$58:$Y$71,3,FALSE)),(G22+1),""),IF('Fuel Equipment'!G$14='Fuel Equipment'!$D$54,IF($A23&lt;(VLOOKUP('Fuel Equipment'!G$16,Generators!$O$118:$Q$134,3,FALSE)),(G22+1),""),IF('Fuel Equipment'!G$14='Fuel Equipment'!$D$55,IF($A23&lt;(VLOOKUP('Fuel Equipment'!G$16,'Scissor Lifts'!$J$42:$L$44,3,FALSE)),(G22+1),""),"ERROR"))))))</f>
        <v/>
      </c>
      <c r="H23" s="474" t="str">
        <f>IF(H22="","",IF('Fuel Equipment'!H$14='Fuel Equipment'!$D$51,IF($A23&lt;(VLOOKUP('Fuel Equipment'!H$16,Cranes!$G$21:$I$24,3,FALSE)),(H22+1),""),IF('Fuel Equipment'!H$14='Fuel Equipment'!$D$52,IF($A23&lt;(VLOOKUP('Fuel Equipment'!H$16,Dumpers!$V$30:$X$34,3,FALSE)),(H22+1),""),IF('Fuel Equipment'!H$14='Fuel Equipment'!$D$53,IF($A23&lt;(VLOOKUP('Fuel Equipment'!H$16,Excavators!$W$58:$Y$71,3,FALSE)),(H22+1),""),IF('Fuel Equipment'!H$14='Fuel Equipment'!$D$54,IF($A23&lt;(VLOOKUP('Fuel Equipment'!H$16,Generators!$O$118:$Q$134,3,FALSE)),(H22+1),""),IF('Fuel Equipment'!H$14='Fuel Equipment'!$D$55,IF($A23&lt;(VLOOKUP('Fuel Equipment'!H$16,'Scissor Lifts'!$J$42:$L$44,3,FALSE)),(H22+1),""),"ERROR"))))))</f>
        <v/>
      </c>
      <c r="I23" s="474" t="str">
        <f>IF(I22="","",IF('Fuel Equipment'!I$14='Fuel Equipment'!$D$51,IF($A23&lt;(VLOOKUP('Fuel Equipment'!I$16,Cranes!$G$21:$I$24,3,FALSE)),(I22+1),""),IF('Fuel Equipment'!I$14='Fuel Equipment'!$D$52,IF($A23&lt;(VLOOKUP('Fuel Equipment'!I$16,Dumpers!$V$30:$X$34,3,FALSE)),(I22+1),""),IF('Fuel Equipment'!I$14='Fuel Equipment'!$D$53,IF($A23&lt;(VLOOKUP('Fuel Equipment'!I$16,Excavators!$W$58:$Y$71,3,FALSE)),(I22+1),""),IF('Fuel Equipment'!I$14='Fuel Equipment'!$D$54,IF($A23&lt;(VLOOKUP('Fuel Equipment'!I$16,Generators!$O$118:$Q$134,3,FALSE)),(I22+1),""),IF('Fuel Equipment'!I$14='Fuel Equipment'!$D$55,IF($A23&lt;(VLOOKUP('Fuel Equipment'!I$16,'Scissor Lifts'!$J$42:$L$44,3,FALSE)),(I22+1),""),"ERROR"))))))</f>
        <v/>
      </c>
      <c r="J23" s="474" t="str">
        <f>IF(J22="","",IF('Fuel Equipment'!J$14='Fuel Equipment'!$D$51,IF($A23&lt;(VLOOKUP('Fuel Equipment'!J$16,Cranes!$G$21:$I$24,3,FALSE)),(J22+1),""),IF('Fuel Equipment'!J$14='Fuel Equipment'!$D$52,IF($A23&lt;(VLOOKUP('Fuel Equipment'!J$16,Dumpers!$V$30:$X$34,3,FALSE)),(J22+1),""),IF('Fuel Equipment'!J$14='Fuel Equipment'!$D$53,IF($A23&lt;(VLOOKUP('Fuel Equipment'!J$16,Excavators!$W$58:$Y$71,3,FALSE)),(J22+1),""),IF('Fuel Equipment'!J$14='Fuel Equipment'!$D$54,IF($A23&lt;(VLOOKUP('Fuel Equipment'!J$16,Generators!$O$118:$Q$134,3,FALSE)),(J22+1),""),IF('Fuel Equipment'!J$14='Fuel Equipment'!$D$55,IF($A23&lt;(VLOOKUP('Fuel Equipment'!J$16,'Scissor Lifts'!$J$42:$L$44,3,FALSE)),(J22+1),""),"ERROR"))))))</f>
        <v/>
      </c>
      <c r="K23" s="474" t="str">
        <f>IF(K22="","",IF('Fuel Equipment'!K$14='Fuel Equipment'!$D$51,IF($A23&lt;(VLOOKUP('Fuel Equipment'!K$16,Cranes!$G$21:$I$24,3,FALSE)),(K22+1),""),IF('Fuel Equipment'!K$14='Fuel Equipment'!$D$52,IF($A23&lt;(VLOOKUP('Fuel Equipment'!K$16,Dumpers!$V$30:$X$34,3,FALSE)),(K22+1),""),IF('Fuel Equipment'!K$14='Fuel Equipment'!$D$53,IF($A23&lt;(VLOOKUP('Fuel Equipment'!K$16,Excavators!$W$58:$Y$71,3,FALSE)),(K22+1),""),IF('Fuel Equipment'!K$14='Fuel Equipment'!$D$54,IF($A23&lt;(VLOOKUP('Fuel Equipment'!K$16,Generators!$O$118:$Q$134,3,FALSE)),(K22+1),""),IF('Fuel Equipment'!K$14='Fuel Equipment'!$D$55,IF($A23&lt;(VLOOKUP('Fuel Equipment'!K$16,'Scissor Lifts'!$J$42:$L$44,3,FALSE)),(K22+1),""),"ERROR"))))))</f>
        <v/>
      </c>
      <c r="L23" s="474" t="str">
        <f>IF(L22="","",IF('Fuel Equipment'!L$14='Fuel Equipment'!$D$51,IF($A23&lt;(VLOOKUP('Fuel Equipment'!L$16,Cranes!$G$21:$I$24,3,FALSE)),(L22+1),""),IF('Fuel Equipment'!L$14='Fuel Equipment'!$D$52,IF($A23&lt;(VLOOKUP('Fuel Equipment'!L$16,Dumpers!$V$30:$X$34,3,FALSE)),(L22+1),""),IF('Fuel Equipment'!L$14='Fuel Equipment'!$D$53,IF($A23&lt;(VLOOKUP('Fuel Equipment'!L$16,Excavators!$W$58:$Y$71,3,FALSE)),(L22+1),""),IF('Fuel Equipment'!L$14='Fuel Equipment'!$D$54,IF($A23&lt;(VLOOKUP('Fuel Equipment'!L$16,Generators!$O$118:$Q$134,3,FALSE)),(L22+1),""),IF('Fuel Equipment'!L$14='Fuel Equipment'!$D$55,IF($A23&lt;(VLOOKUP('Fuel Equipment'!L$16,'Scissor Lifts'!$J$42:$L$44,3,FALSE)),(L22+1),""),"ERROR"))))))</f>
        <v/>
      </c>
      <c r="M23" s="474" t="str">
        <f>IF(M22="","",IF('Fuel Equipment'!M$14='Fuel Equipment'!$D$51,IF($A23&lt;(VLOOKUP('Fuel Equipment'!M$16,Cranes!$G$21:$I$24,3,FALSE)),(M22+1),""),IF('Fuel Equipment'!M$14='Fuel Equipment'!$D$52,IF($A23&lt;(VLOOKUP('Fuel Equipment'!M$16,Dumpers!$V$30:$X$34,3,FALSE)),(M22+1),""),IF('Fuel Equipment'!M$14='Fuel Equipment'!$D$53,IF($A23&lt;(VLOOKUP('Fuel Equipment'!M$16,Excavators!$W$58:$Y$71,3,FALSE)),(M22+1),""),IF('Fuel Equipment'!M$14='Fuel Equipment'!$D$54,IF($A23&lt;(VLOOKUP('Fuel Equipment'!M$16,Generators!$O$118:$Q$134,3,FALSE)),(M22+1),""),IF('Fuel Equipment'!M$14='Fuel Equipment'!$D$55,IF($A23&lt;(VLOOKUP('Fuel Equipment'!M$16,'Scissor Lifts'!$J$42:$L$44,3,FALSE)),(M22+1),""),"ERROR"))))))</f>
        <v/>
      </c>
      <c r="N23" s="474" t="str">
        <f>IF(N22="","",IF('Fuel Equipment'!N$14='Fuel Equipment'!$D$51,IF($A23&lt;(VLOOKUP('Fuel Equipment'!N$16,Cranes!$G$21:$I$24,3,FALSE)),(N22+1),""),IF('Fuel Equipment'!N$14='Fuel Equipment'!$D$52,IF($A23&lt;(VLOOKUP('Fuel Equipment'!N$16,Dumpers!$V$30:$X$34,3,FALSE)),(N22+1),""),IF('Fuel Equipment'!N$14='Fuel Equipment'!$D$53,IF($A23&lt;(VLOOKUP('Fuel Equipment'!N$16,Excavators!$W$58:$Y$71,3,FALSE)),(N22+1),""),IF('Fuel Equipment'!N$14='Fuel Equipment'!$D$54,IF($A23&lt;(VLOOKUP('Fuel Equipment'!N$16,Generators!$O$118:$Q$134,3,FALSE)),(N22+1),""),IF('Fuel Equipment'!N$14='Fuel Equipment'!$D$55,IF($A23&lt;(VLOOKUP('Fuel Equipment'!N$16,'Scissor Lifts'!$J$42:$L$44,3,FALSE)),(N22+1),""),"ERROR"))))))</f>
        <v/>
      </c>
      <c r="O23" s="474" t="str">
        <f>IF(O22="","",IF('Fuel Equipment'!O$14='Fuel Equipment'!$D$51,IF($A23&lt;(VLOOKUP('Fuel Equipment'!O$16,Cranes!$G$21:$I$24,3,FALSE)),(O22+1),""),IF('Fuel Equipment'!O$14='Fuel Equipment'!$D$52,IF($A23&lt;(VLOOKUP('Fuel Equipment'!O$16,Dumpers!$V$30:$X$34,3,FALSE)),(O22+1),""),IF('Fuel Equipment'!O$14='Fuel Equipment'!$D$53,IF($A23&lt;(VLOOKUP('Fuel Equipment'!O$16,Excavators!$W$58:$Y$71,3,FALSE)),(O22+1),""),IF('Fuel Equipment'!O$14='Fuel Equipment'!$D$54,IF($A23&lt;(VLOOKUP('Fuel Equipment'!O$16,Generators!$O$118:$Q$134,3,FALSE)),(O22+1),""),IF('Fuel Equipment'!O$14='Fuel Equipment'!$D$55,IF($A23&lt;(VLOOKUP('Fuel Equipment'!O$16,'Scissor Lifts'!$J$42:$L$44,3,FALSE)),(O22+1),""),"ERROR"))))))</f>
        <v/>
      </c>
      <c r="P23" s="474" t="str">
        <f>IF(P22="","",IF('Fuel Equipment'!P$14='Fuel Equipment'!$D$51,IF($A23&lt;(VLOOKUP('Fuel Equipment'!P$16,Cranes!$G$21:$I$24,3,FALSE)),(P22+1),""),IF('Fuel Equipment'!P$14='Fuel Equipment'!$D$52,IF($A23&lt;(VLOOKUP('Fuel Equipment'!P$16,Dumpers!$V$30:$X$34,3,FALSE)),(P22+1),""),IF('Fuel Equipment'!P$14='Fuel Equipment'!$D$53,IF($A23&lt;(VLOOKUP('Fuel Equipment'!P$16,Excavators!$W$58:$Y$71,3,FALSE)),(P22+1),""),IF('Fuel Equipment'!P$14='Fuel Equipment'!$D$54,IF($A23&lt;(VLOOKUP('Fuel Equipment'!P$16,Generators!$O$118:$Q$134,3,FALSE)),(P22+1),""),IF('Fuel Equipment'!P$14='Fuel Equipment'!$D$55,IF($A23&lt;(VLOOKUP('Fuel Equipment'!P$16,'Scissor Lifts'!$J$42:$L$44,3,FALSE)),(P22+1),""),"ERROR"))))))</f>
        <v/>
      </c>
      <c r="Q23" s="474" t="str">
        <f>IF(Q22="","",IF('Fuel Equipment'!Q$14='Fuel Equipment'!$D$51,IF($A23&lt;(VLOOKUP('Fuel Equipment'!Q$16,Cranes!$G$21:$I$24,3,FALSE)),(Q22+1),""),IF('Fuel Equipment'!Q$14='Fuel Equipment'!$D$52,IF($A23&lt;(VLOOKUP('Fuel Equipment'!Q$16,Dumpers!$V$30:$X$34,3,FALSE)),(Q22+1),""),IF('Fuel Equipment'!Q$14='Fuel Equipment'!$D$53,IF($A23&lt;(VLOOKUP('Fuel Equipment'!Q$16,Excavators!$W$58:$Y$71,3,FALSE)),(Q22+1),""),IF('Fuel Equipment'!Q$14='Fuel Equipment'!$D$54,IF($A23&lt;(VLOOKUP('Fuel Equipment'!Q$16,Generators!$O$118:$Q$134,3,FALSE)),(Q22+1),""),IF('Fuel Equipment'!Q$14='Fuel Equipment'!$D$55,IF($A23&lt;(VLOOKUP('Fuel Equipment'!Q$16,'Scissor Lifts'!$J$42:$L$44,3,FALSE)),(Q22+1),""),"ERROR"))))))</f>
        <v/>
      </c>
      <c r="R23" s="474" t="str">
        <f>IF(R22="","",IF('Fuel Equipment'!R$14='Fuel Equipment'!$D$51,IF($A23&lt;(VLOOKUP('Fuel Equipment'!R$16,Cranes!$G$21:$I$24,3,FALSE)),(R22+1),""),IF('Fuel Equipment'!R$14='Fuel Equipment'!$D$52,IF($A23&lt;(VLOOKUP('Fuel Equipment'!R$16,Dumpers!$V$30:$X$34,3,FALSE)),(R22+1),""),IF('Fuel Equipment'!R$14='Fuel Equipment'!$D$53,IF($A23&lt;(VLOOKUP('Fuel Equipment'!R$16,Excavators!$W$58:$Y$71,3,FALSE)),(R22+1),""),IF('Fuel Equipment'!R$14='Fuel Equipment'!$D$54,IF($A23&lt;(VLOOKUP('Fuel Equipment'!R$16,Generators!$O$118:$Q$134,3,FALSE)),(R22+1),""),IF('Fuel Equipment'!R$14='Fuel Equipment'!$D$55,IF($A23&lt;(VLOOKUP('Fuel Equipment'!R$16,'Scissor Lifts'!$J$42:$L$44,3,FALSE)),(R22+1),""),"ERROR"))))))</f>
        <v/>
      </c>
      <c r="S23" s="553" t="str">
        <f>IF(S22="","",IF('Fuel Equipment'!S$14='Fuel Equipment'!$D$51,IF($A23&lt;(VLOOKUP('Fuel Equipment'!S$16,Cranes!$G$21:$I$24,3,FALSE)),(S22+1),""),IF('Fuel Equipment'!S$14='Fuel Equipment'!$D$52,IF($A23&lt;(VLOOKUP('Fuel Equipment'!S$16,Dumpers!$V$30:$X$34,3,FALSE)),(S22+1),""),IF('Fuel Equipment'!S$14='Fuel Equipment'!$D$53,IF($A23&lt;(VLOOKUP('Fuel Equipment'!S$16,Excavators!$W$58:$Y$71,3,FALSE)),(S22+1),""),IF('Fuel Equipment'!S$14='Fuel Equipment'!$D$54,IF($A23&lt;(VLOOKUP('Fuel Equipment'!S$16,Generators!$O$118:$Q$134,3,FALSE)),(S22+1),""),IF('Fuel Equipment'!S$14='Fuel Equipment'!$D$55,IF($A23&lt;(VLOOKUP('Fuel Equipment'!S$16,'Scissor Lifts'!$J$42:$L$44,3,FALSE)),(S22+1),""),"ERROR"))))))</f>
        <v/>
      </c>
      <c r="U23" s="927"/>
      <c r="V23" s="927"/>
      <c r="W23" s="927"/>
      <c r="X23" s="928"/>
      <c r="Y23" s="928"/>
      <c r="Z23" s="928"/>
      <c r="AA23" s="928"/>
    </row>
    <row r="24" spans="1:27" s="179" customFormat="1">
      <c r="A24" s="179">
        <v>2</v>
      </c>
      <c r="B24" s="552" t="str">
        <f>IF(B23="","",IF('Fuel Equipment'!B$14='Fuel Equipment'!$D$51,IF($A24&lt;(VLOOKUP('Fuel Equipment'!B$16,Cranes!$G$21:$I$24,3,FALSE)),(B23+1),""),IF('Fuel Equipment'!B$14='Fuel Equipment'!$D$52,IF($A24&lt;(VLOOKUP('Fuel Equipment'!B$16,Dumpers!$V$30:$X$34,3,FALSE)),(B23+1),""),IF('Fuel Equipment'!B$14='Fuel Equipment'!$D$53,IF($A24&lt;(VLOOKUP('Fuel Equipment'!B$16,Excavators!$W$58:$Y$71,3,FALSE)),(B23+1),""),IF('Fuel Equipment'!B$14='Fuel Equipment'!$D$54,IF($A24&lt;(VLOOKUP('Fuel Equipment'!B$16,Generators!$O$118:$Q$134,3,FALSE)),(B23+1),""),IF('Fuel Equipment'!B$14='Fuel Equipment'!$D$55,IF($A24&lt;(VLOOKUP('Fuel Equipment'!B$16,'Scissor Lifts'!$J$42:$L$44,3,FALSE)),(B23+1),""),"ERROR"))))))</f>
        <v/>
      </c>
      <c r="C24" s="474" t="str">
        <f>IF(C23="","",IF('Fuel Equipment'!C$14='Fuel Equipment'!$D$51,IF($A24&lt;(VLOOKUP('Fuel Equipment'!C$16,Cranes!$G$21:$I$24,3,FALSE)),(C23+1),""),IF('Fuel Equipment'!C$14='Fuel Equipment'!$D$52,IF($A24&lt;(VLOOKUP('Fuel Equipment'!C$16,Dumpers!$V$30:$X$34,3,FALSE)),(C23+1),""),IF('Fuel Equipment'!C$14='Fuel Equipment'!$D$53,IF($A24&lt;(VLOOKUP('Fuel Equipment'!C$16,Excavators!$W$58:$Y$71,3,FALSE)),(C23+1),""),IF('Fuel Equipment'!C$14='Fuel Equipment'!$D$54,IF($A24&lt;(VLOOKUP('Fuel Equipment'!C$16,Generators!$O$118:$Q$134,3,FALSE)),(C23+1),""),IF('Fuel Equipment'!C$14='Fuel Equipment'!$D$55,IF($A24&lt;(VLOOKUP('Fuel Equipment'!C$16,'Scissor Lifts'!$J$42:$L$44,3,FALSE)),(C23+1),""),"ERROR"))))))</f>
        <v/>
      </c>
      <c r="D24" s="474">
        <f>IF(D23="","",IF('Fuel Equipment'!D$14='Fuel Equipment'!$D$51,IF($A24&lt;(VLOOKUP('Fuel Equipment'!D$16,Cranes!$G$21:$I$24,3,FALSE)),(D23+1),""),IF('Fuel Equipment'!D$14='Fuel Equipment'!$D$52,IF($A24&lt;(VLOOKUP('Fuel Equipment'!D$16,Dumpers!$V$30:$X$34,3,FALSE)),(D23+1),""),IF('Fuel Equipment'!D$14='Fuel Equipment'!$D$53,IF($A24&lt;(VLOOKUP('Fuel Equipment'!D$16,Excavators!$W$58:$Y$71,3,FALSE)),(D23+1),""),IF('Fuel Equipment'!D$14='Fuel Equipment'!$D$54,IF($A24&lt;(VLOOKUP('Fuel Equipment'!D$16,Generators!$O$118:$Q$134,3,FALSE)),(D23+1),""),IF('Fuel Equipment'!D$14='Fuel Equipment'!$D$55,IF($A24&lt;(VLOOKUP('Fuel Equipment'!D$16,'Scissor Lifts'!$J$42:$L$44,3,FALSE)),(D23+1),""),"ERROR"))))))</f>
        <v>31</v>
      </c>
      <c r="E24" s="474" t="str">
        <f>IF(E23="","",IF('Fuel Equipment'!E$14='Fuel Equipment'!$D$51,IF($A24&lt;(VLOOKUP('Fuel Equipment'!E$16,Cranes!$G$21:$I$24,3,FALSE)),(E23+1),""),IF('Fuel Equipment'!E$14='Fuel Equipment'!$D$52,IF($A24&lt;(VLOOKUP('Fuel Equipment'!E$16,Dumpers!$V$30:$X$34,3,FALSE)),(E23+1),""),IF('Fuel Equipment'!E$14='Fuel Equipment'!$D$53,IF($A24&lt;(VLOOKUP('Fuel Equipment'!E$16,Excavators!$W$58:$Y$71,3,FALSE)),(E23+1),""),IF('Fuel Equipment'!E$14='Fuel Equipment'!$D$54,IF($A24&lt;(VLOOKUP('Fuel Equipment'!E$16,Generators!$O$118:$Q$134,3,FALSE)),(E23+1),""),IF('Fuel Equipment'!E$14='Fuel Equipment'!$D$55,IF($A24&lt;(VLOOKUP('Fuel Equipment'!E$16,'Scissor Lifts'!$J$42:$L$44,3,FALSE)),(E23+1),""),"ERROR"))))))</f>
        <v/>
      </c>
      <c r="F24" s="474" t="str">
        <f>IF(F23="","",IF('Fuel Equipment'!F$14='Fuel Equipment'!$D$51,IF($A24&lt;(VLOOKUP('Fuel Equipment'!F$16,Cranes!$G$21:$I$24,3,FALSE)),(F23+1),""),IF('Fuel Equipment'!F$14='Fuel Equipment'!$D$52,IF($A24&lt;(VLOOKUP('Fuel Equipment'!F$16,Dumpers!$V$30:$X$34,3,FALSE)),(F23+1),""),IF('Fuel Equipment'!F$14='Fuel Equipment'!$D$53,IF($A24&lt;(VLOOKUP('Fuel Equipment'!F$16,Excavators!$W$58:$Y$71,3,FALSE)),(F23+1),""),IF('Fuel Equipment'!F$14='Fuel Equipment'!$D$54,IF($A24&lt;(VLOOKUP('Fuel Equipment'!F$16,Generators!$O$118:$Q$134,3,FALSE)),(F23+1),""),IF('Fuel Equipment'!F$14='Fuel Equipment'!$D$55,IF($A24&lt;(VLOOKUP('Fuel Equipment'!F$16,'Scissor Lifts'!$J$42:$L$44,3,FALSE)),(F23+1),""),"ERROR"))))))</f>
        <v/>
      </c>
      <c r="G24" s="474" t="str">
        <f>IF(G23="","",IF('Fuel Equipment'!G$14='Fuel Equipment'!$D$51,IF($A24&lt;(VLOOKUP('Fuel Equipment'!G$16,Cranes!$G$21:$I$24,3,FALSE)),(G23+1),""),IF('Fuel Equipment'!G$14='Fuel Equipment'!$D$52,IF($A24&lt;(VLOOKUP('Fuel Equipment'!G$16,Dumpers!$V$30:$X$34,3,FALSE)),(G23+1),""),IF('Fuel Equipment'!G$14='Fuel Equipment'!$D$53,IF($A24&lt;(VLOOKUP('Fuel Equipment'!G$16,Excavators!$W$58:$Y$71,3,FALSE)),(G23+1),""),IF('Fuel Equipment'!G$14='Fuel Equipment'!$D$54,IF($A24&lt;(VLOOKUP('Fuel Equipment'!G$16,Generators!$O$118:$Q$134,3,FALSE)),(G23+1),""),IF('Fuel Equipment'!G$14='Fuel Equipment'!$D$55,IF($A24&lt;(VLOOKUP('Fuel Equipment'!G$16,'Scissor Lifts'!$J$42:$L$44,3,FALSE)),(G23+1),""),"ERROR"))))))</f>
        <v/>
      </c>
      <c r="H24" s="474" t="str">
        <f>IF(H23="","",IF('Fuel Equipment'!H$14='Fuel Equipment'!$D$51,IF($A24&lt;(VLOOKUP('Fuel Equipment'!H$16,Cranes!$G$21:$I$24,3,FALSE)),(H23+1),""),IF('Fuel Equipment'!H$14='Fuel Equipment'!$D$52,IF($A24&lt;(VLOOKUP('Fuel Equipment'!H$16,Dumpers!$V$30:$X$34,3,FALSE)),(H23+1),""),IF('Fuel Equipment'!H$14='Fuel Equipment'!$D$53,IF($A24&lt;(VLOOKUP('Fuel Equipment'!H$16,Excavators!$W$58:$Y$71,3,FALSE)),(H23+1),""),IF('Fuel Equipment'!H$14='Fuel Equipment'!$D$54,IF($A24&lt;(VLOOKUP('Fuel Equipment'!H$16,Generators!$O$118:$Q$134,3,FALSE)),(H23+1),""),IF('Fuel Equipment'!H$14='Fuel Equipment'!$D$55,IF($A24&lt;(VLOOKUP('Fuel Equipment'!H$16,'Scissor Lifts'!$J$42:$L$44,3,FALSE)),(H23+1),""),"ERROR"))))))</f>
        <v/>
      </c>
      <c r="I24" s="474" t="str">
        <f>IF(I23="","",IF('Fuel Equipment'!I$14='Fuel Equipment'!$D$51,IF($A24&lt;(VLOOKUP('Fuel Equipment'!I$16,Cranes!$G$21:$I$24,3,FALSE)),(I23+1),""),IF('Fuel Equipment'!I$14='Fuel Equipment'!$D$52,IF($A24&lt;(VLOOKUP('Fuel Equipment'!I$16,Dumpers!$V$30:$X$34,3,FALSE)),(I23+1),""),IF('Fuel Equipment'!I$14='Fuel Equipment'!$D$53,IF($A24&lt;(VLOOKUP('Fuel Equipment'!I$16,Excavators!$W$58:$Y$71,3,FALSE)),(I23+1),""),IF('Fuel Equipment'!I$14='Fuel Equipment'!$D$54,IF($A24&lt;(VLOOKUP('Fuel Equipment'!I$16,Generators!$O$118:$Q$134,3,FALSE)),(I23+1),""),IF('Fuel Equipment'!I$14='Fuel Equipment'!$D$55,IF($A24&lt;(VLOOKUP('Fuel Equipment'!I$16,'Scissor Lifts'!$J$42:$L$44,3,FALSE)),(I23+1),""),"ERROR"))))))</f>
        <v/>
      </c>
      <c r="J24" s="474" t="str">
        <f>IF(J23="","",IF('Fuel Equipment'!J$14='Fuel Equipment'!$D$51,IF($A24&lt;(VLOOKUP('Fuel Equipment'!J$16,Cranes!$G$21:$I$24,3,FALSE)),(J23+1),""),IF('Fuel Equipment'!J$14='Fuel Equipment'!$D$52,IF($A24&lt;(VLOOKUP('Fuel Equipment'!J$16,Dumpers!$V$30:$X$34,3,FALSE)),(J23+1),""),IF('Fuel Equipment'!J$14='Fuel Equipment'!$D$53,IF($A24&lt;(VLOOKUP('Fuel Equipment'!J$16,Excavators!$W$58:$Y$71,3,FALSE)),(J23+1),""),IF('Fuel Equipment'!J$14='Fuel Equipment'!$D$54,IF($A24&lt;(VLOOKUP('Fuel Equipment'!J$16,Generators!$O$118:$Q$134,3,FALSE)),(J23+1),""),IF('Fuel Equipment'!J$14='Fuel Equipment'!$D$55,IF($A24&lt;(VLOOKUP('Fuel Equipment'!J$16,'Scissor Lifts'!$J$42:$L$44,3,FALSE)),(J23+1),""),"ERROR"))))))</f>
        <v/>
      </c>
      <c r="K24" s="474" t="str">
        <f>IF(K23="","",IF('Fuel Equipment'!K$14='Fuel Equipment'!$D$51,IF($A24&lt;(VLOOKUP('Fuel Equipment'!K$16,Cranes!$G$21:$I$24,3,FALSE)),(K23+1),""),IF('Fuel Equipment'!K$14='Fuel Equipment'!$D$52,IF($A24&lt;(VLOOKUP('Fuel Equipment'!K$16,Dumpers!$V$30:$X$34,3,FALSE)),(K23+1),""),IF('Fuel Equipment'!K$14='Fuel Equipment'!$D$53,IF($A24&lt;(VLOOKUP('Fuel Equipment'!K$16,Excavators!$W$58:$Y$71,3,FALSE)),(K23+1),""),IF('Fuel Equipment'!K$14='Fuel Equipment'!$D$54,IF($A24&lt;(VLOOKUP('Fuel Equipment'!K$16,Generators!$O$118:$Q$134,3,FALSE)),(K23+1),""),IF('Fuel Equipment'!K$14='Fuel Equipment'!$D$55,IF($A24&lt;(VLOOKUP('Fuel Equipment'!K$16,'Scissor Lifts'!$J$42:$L$44,3,FALSE)),(K23+1),""),"ERROR"))))))</f>
        <v/>
      </c>
      <c r="L24" s="474" t="str">
        <f>IF(L23="","",IF('Fuel Equipment'!L$14='Fuel Equipment'!$D$51,IF($A24&lt;(VLOOKUP('Fuel Equipment'!L$16,Cranes!$G$21:$I$24,3,FALSE)),(L23+1),""),IF('Fuel Equipment'!L$14='Fuel Equipment'!$D$52,IF($A24&lt;(VLOOKUP('Fuel Equipment'!L$16,Dumpers!$V$30:$X$34,3,FALSE)),(L23+1),""),IF('Fuel Equipment'!L$14='Fuel Equipment'!$D$53,IF($A24&lt;(VLOOKUP('Fuel Equipment'!L$16,Excavators!$W$58:$Y$71,3,FALSE)),(L23+1),""),IF('Fuel Equipment'!L$14='Fuel Equipment'!$D$54,IF($A24&lt;(VLOOKUP('Fuel Equipment'!L$16,Generators!$O$118:$Q$134,3,FALSE)),(L23+1),""),IF('Fuel Equipment'!L$14='Fuel Equipment'!$D$55,IF($A24&lt;(VLOOKUP('Fuel Equipment'!L$16,'Scissor Lifts'!$J$42:$L$44,3,FALSE)),(L23+1),""),"ERROR"))))))</f>
        <v/>
      </c>
      <c r="M24" s="474" t="str">
        <f>IF(M23="","",IF('Fuel Equipment'!M$14='Fuel Equipment'!$D$51,IF($A24&lt;(VLOOKUP('Fuel Equipment'!M$16,Cranes!$G$21:$I$24,3,FALSE)),(M23+1),""),IF('Fuel Equipment'!M$14='Fuel Equipment'!$D$52,IF($A24&lt;(VLOOKUP('Fuel Equipment'!M$16,Dumpers!$V$30:$X$34,3,FALSE)),(M23+1),""),IF('Fuel Equipment'!M$14='Fuel Equipment'!$D$53,IF($A24&lt;(VLOOKUP('Fuel Equipment'!M$16,Excavators!$W$58:$Y$71,3,FALSE)),(M23+1),""),IF('Fuel Equipment'!M$14='Fuel Equipment'!$D$54,IF($A24&lt;(VLOOKUP('Fuel Equipment'!M$16,Generators!$O$118:$Q$134,3,FALSE)),(M23+1),""),IF('Fuel Equipment'!M$14='Fuel Equipment'!$D$55,IF($A24&lt;(VLOOKUP('Fuel Equipment'!M$16,'Scissor Lifts'!$J$42:$L$44,3,FALSE)),(M23+1),""),"ERROR"))))))</f>
        <v/>
      </c>
      <c r="N24" s="474" t="str">
        <f>IF(N23="","",IF('Fuel Equipment'!N$14='Fuel Equipment'!$D$51,IF($A24&lt;(VLOOKUP('Fuel Equipment'!N$16,Cranes!$G$21:$I$24,3,FALSE)),(N23+1),""),IF('Fuel Equipment'!N$14='Fuel Equipment'!$D$52,IF($A24&lt;(VLOOKUP('Fuel Equipment'!N$16,Dumpers!$V$30:$X$34,3,FALSE)),(N23+1),""),IF('Fuel Equipment'!N$14='Fuel Equipment'!$D$53,IF($A24&lt;(VLOOKUP('Fuel Equipment'!N$16,Excavators!$W$58:$Y$71,3,FALSE)),(N23+1),""),IF('Fuel Equipment'!N$14='Fuel Equipment'!$D$54,IF($A24&lt;(VLOOKUP('Fuel Equipment'!N$16,Generators!$O$118:$Q$134,3,FALSE)),(N23+1),""),IF('Fuel Equipment'!N$14='Fuel Equipment'!$D$55,IF($A24&lt;(VLOOKUP('Fuel Equipment'!N$16,'Scissor Lifts'!$J$42:$L$44,3,FALSE)),(N23+1),""),"ERROR"))))))</f>
        <v/>
      </c>
      <c r="O24" s="474" t="str">
        <f>IF(O23="","",IF('Fuel Equipment'!O$14='Fuel Equipment'!$D$51,IF($A24&lt;(VLOOKUP('Fuel Equipment'!O$16,Cranes!$G$21:$I$24,3,FALSE)),(O23+1),""),IF('Fuel Equipment'!O$14='Fuel Equipment'!$D$52,IF($A24&lt;(VLOOKUP('Fuel Equipment'!O$16,Dumpers!$V$30:$X$34,3,FALSE)),(O23+1),""),IF('Fuel Equipment'!O$14='Fuel Equipment'!$D$53,IF($A24&lt;(VLOOKUP('Fuel Equipment'!O$16,Excavators!$W$58:$Y$71,3,FALSE)),(O23+1),""),IF('Fuel Equipment'!O$14='Fuel Equipment'!$D$54,IF($A24&lt;(VLOOKUP('Fuel Equipment'!O$16,Generators!$O$118:$Q$134,3,FALSE)),(O23+1),""),IF('Fuel Equipment'!O$14='Fuel Equipment'!$D$55,IF($A24&lt;(VLOOKUP('Fuel Equipment'!O$16,'Scissor Lifts'!$J$42:$L$44,3,FALSE)),(O23+1),""),"ERROR"))))))</f>
        <v/>
      </c>
      <c r="P24" s="474" t="str">
        <f>IF(P23="","",IF('Fuel Equipment'!P$14='Fuel Equipment'!$D$51,IF($A24&lt;(VLOOKUP('Fuel Equipment'!P$16,Cranes!$G$21:$I$24,3,FALSE)),(P23+1),""),IF('Fuel Equipment'!P$14='Fuel Equipment'!$D$52,IF($A24&lt;(VLOOKUP('Fuel Equipment'!P$16,Dumpers!$V$30:$X$34,3,FALSE)),(P23+1),""),IF('Fuel Equipment'!P$14='Fuel Equipment'!$D$53,IF($A24&lt;(VLOOKUP('Fuel Equipment'!P$16,Excavators!$W$58:$Y$71,3,FALSE)),(P23+1),""),IF('Fuel Equipment'!P$14='Fuel Equipment'!$D$54,IF($A24&lt;(VLOOKUP('Fuel Equipment'!P$16,Generators!$O$118:$Q$134,3,FALSE)),(P23+1),""),IF('Fuel Equipment'!P$14='Fuel Equipment'!$D$55,IF($A24&lt;(VLOOKUP('Fuel Equipment'!P$16,'Scissor Lifts'!$J$42:$L$44,3,FALSE)),(P23+1),""),"ERROR"))))))</f>
        <v/>
      </c>
      <c r="Q24" s="474" t="str">
        <f>IF(Q23="","",IF('Fuel Equipment'!Q$14='Fuel Equipment'!$D$51,IF($A24&lt;(VLOOKUP('Fuel Equipment'!Q$16,Cranes!$G$21:$I$24,3,FALSE)),(Q23+1),""),IF('Fuel Equipment'!Q$14='Fuel Equipment'!$D$52,IF($A24&lt;(VLOOKUP('Fuel Equipment'!Q$16,Dumpers!$V$30:$X$34,3,FALSE)),(Q23+1),""),IF('Fuel Equipment'!Q$14='Fuel Equipment'!$D$53,IF($A24&lt;(VLOOKUP('Fuel Equipment'!Q$16,Excavators!$W$58:$Y$71,3,FALSE)),(Q23+1),""),IF('Fuel Equipment'!Q$14='Fuel Equipment'!$D$54,IF($A24&lt;(VLOOKUP('Fuel Equipment'!Q$16,Generators!$O$118:$Q$134,3,FALSE)),(Q23+1),""),IF('Fuel Equipment'!Q$14='Fuel Equipment'!$D$55,IF($A24&lt;(VLOOKUP('Fuel Equipment'!Q$16,'Scissor Lifts'!$J$42:$L$44,3,FALSE)),(Q23+1),""),"ERROR"))))))</f>
        <v/>
      </c>
      <c r="R24" s="474" t="str">
        <f>IF(R23="","",IF('Fuel Equipment'!R$14='Fuel Equipment'!$D$51,IF($A24&lt;(VLOOKUP('Fuel Equipment'!R$16,Cranes!$G$21:$I$24,3,FALSE)),(R23+1),""),IF('Fuel Equipment'!R$14='Fuel Equipment'!$D$52,IF($A24&lt;(VLOOKUP('Fuel Equipment'!R$16,Dumpers!$V$30:$X$34,3,FALSE)),(R23+1),""),IF('Fuel Equipment'!R$14='Fuel Equipment'!$D$53,IF($A24&lt;(VLOOKUP('Fuel Equipment'!R$16,Excavators!$W$58:$Y$71,3,FALSE)),(R23+1),""),IF('Fuel Equipment'!R$14='Fuel Equipment'!$D$54,IF($A24&lt;(VLOOKUP('Fuel Equipment'!R$16,Generators!$O$118:$Q$134,3,FALSE)),(R23+1),""),IF('Fuel Equipment'!R$14='Fuel Equipment'!$D$55,IF($A24&lt;(VLOOKUP('Fuel Equipment'!R$16,'Scissor Lifts'!$J$42:$L$44,3,FALSE)),(R23+1),""),"ERROR"))))))</f>
        <v/>
      </c>
      <c r="S24" s="553" t="str">
        <f>IF(S23="","",IF('Fuel Equipment'!S$14='Fuel Equipment'!$D$51,IF($A24&lt;(VLOOKUP('Fuel Equipment'!S$16,Cranes!$G$21:$I$24,3,FALSE)),(S23+1),""),IF('Fuel Equipment'!S$14='Fuel Equipment'!$D$52,IF($A24&lt;(VLOOKUP('Fuel Equipment'!S$16,Dumpers!$V$30:$X$34,3,FALSE)),(S23+1),""),IF('Fuel Equipment'!S$14='Fuel Equipment'!$D$53,IF($A24&lt;(VLOOKUP('Fuel Equipment'!S$16,Excavators!$W$58:$Y$71,3,FALSE)),(S23+1),""),IF('Fuel Equipment'!S$14='Fuel Equipment'!$D$54,IF($A24&lt;(VLOOKUP('Fuel Equipment'!S$16,Generators!$O$118:$Q$134,3,FALSE)),(S23+1),""),IF('Fuel Equipment'!S$14='Fuel Equipment'!$D$55,IF($A24&lt;(VLOOKUP('Fuel Equipment'!S$16,'Scissor Lifts'!$J$42:$L$44,3,FALSE)),(S23+1),""),"ERROR"))))))</f>
        <v/>
      </c>
      <c r="U24" s="927"/>
      <c r="V24" s="927"/>
      <c r="W24" s="927"/>
      <c r="X24" s="928"/>
      <c r="Y24" s="928"/>
      <c r="Z24" s="928"/>
      <c r="AA24" s="928"/>
    </row>
    <row r="25" spans="1:27" s="179" customFormat="1">
      <c r="A25" s="179">
        <v>3</v>
      </c>
      <c r="B25" s="552" t="str">
        <f>IF(B24="","",IF('Fuel Equipment'!B$14='Fuel Equipment'!$D$51,IF($A25&lt;(VLOOKUP('Fuel Equipment'!B$16,Cranes!$G$21:$I$24,3,FALSE)),(B24+1),""),IF('Fuel Equipment'!B$14='Fuel Equipment'!$D$52,IF($A25&lt;(VLOOKUP('Fuel Equipment'!B$16,Dumpers!$V$30:$X$34,3,FALSE)),(B24+1),""),IF('Fuel Equipment'!B$14='Fuel Equipment'!$D$53,IF($A25&lt;(VLOOKUP('Fuel Equipment'!B$16,Excavators!$W$58:$Y$71,3,FALSE)),(B24+1),""),IF('Fuel Equipment'!B$14='Fuel Equipment'!$D$54,IF($A25&lt;(VLOOKUP('Fuel Equipment'!B$16,Generators!$O$118:$Q$134,3,FALSE)),(B24+1),""),IF('Fuel Equipment'!B$14='Fuel Equipment'!$D$55,IF($A25&lt;(VLOOKUP('Fuel Equipment'!B$16,'Scissor Lifts'!$J$42:$L$44,3,FALSE)),(B24+1),""),"ERROR"))))))</f>
        <v/>
      </c>
      <c r="C25" s="474" t="str">
        <f>IF(C24="","",IF('Fuel Equipment'!C$14='Fuel Equipment'!$D$51,IF($A25&lt;(VLOOKUP('Fuel Equipment'!C$16,Cranes!$G$21:$I$24,3,FALSE)),(C24+1),""),IF('Fuel Equipment'!C$14='Fuel Equipment'!$D$52,IF($A25&lt;(VLOOKUP('Fuel Equipment'!C$16,Dumpers!$V$30:$X$34,3,FALSE)),(C24+1),""),IF('Fuel Equipment'!C$14='Fuel Equipment'!$D$53,IF($A25&lt;(VLOOKUP('Fuel Equipment'!C$16,Excavators!$W$58:$Y$71,3,FALSE)),(C24+1),""),IF('Fuel Equipment'!C$14='Fuel Equipment'!$D$54,IF($A25&lt;(VLOOKUP('Fuel Equipment'!C$16,Generators!$O$118:$Q$134,3,FALSE)),(C24+1),""),IF('Fuel Equipment'!C$14='Fuel Equipment'!$D$55,IF($A25&lt;(VLOOKUP('Fuel Equipment'!C$16,'Scissor Lifts'!$J$42:$L$44,3,FALSE)),(C24+1),""),"ERROR"))))))</f>
        <v/>
      </c>
      <c r="D25" s="474" t="str">
        <f>IF(D24="","",IF('Fuel Equipment'!D$14='Fuel Equipment'!$D$51,IF($A25&lt;(VLOOKUP('Fuel Equipment'!D$16,Cranes!$G$21:$I$24,3,FALSE)),(D24+1),""),IF('Fuel Equipment'!D$14='Fuel Equipment'!$D$52,IF($A25&lt;(VLOOKUP('Fuel Equipment'!D$16,Dumpers!$V$30:$X$34,3,FALSE)),(D24+1),""),IF('Fuel Equipment'!D$14='Fuel Equipment'!$D$53,IF($A25&lt;(VLOOKUP('Fuel Equipment'!D$16,Excavators!$W$58:$Y$71,3,FALSE)),(D24+1),""),IF('Fuel Equipment'!D$14='Fuel Equipment'!$D$54,IF($A25&lt;(VLOOKUP('Fuel Equipment'!D$16,Generators!$O$118:$Q$134,3,FALSE)),(D24+1),""),IF('Fuel Equipment'!D$14='Fuel Equipment'!$D$55,IF($A25&lt;(VLOOKUP('Fuel Equipment'!D$16,'Scissor Lifts'!$J$42:$L$44,3,FALSE)),(D24+1),""),"ERROR"))))))</f>
        <v/>
      </c>
      <c r="E25" s="474" t="str">
        <f>IF(E24="","",IF('Fuel Equipment'!E$14='Fuel Equipment'!$D$51,IF($A25&lt;(VLOOKUP('Fuel Equipment'!E$16,Cranes!$G$21:$I$24,3,FALSE)),(E24+1),""),IF('Fuel Equipment'!E$14='Fuel Equipment'!$D$52,IF($A25&lt;(VLOOKUP('Fuel Equipment'!E$16,Dumpers!$V$30:$X$34,3,FALSE)),(E24+1),""),IF('Fuel Equipment'!E$14='Fuel Equipment'!$D$53,IF($A25&lt;(VLOOKUP('Fuel Equipment'!E$16,Excavators!$W$58:$Y$71,3,FALSE)),(E24+1),""),IF('Fuel Equipment'!E$14='Fuel Equipment'!$D$54,IF($A25&lt;(VLOOKUP('Fuel Equipment'!E$16,Generators!$O$118:$Q$134,3,FALSE)),(E24+1),""),IF('Fuel Equipment'!E$14='Fuel Equipment'!$D$55,IF($A25&lt;(VLOOKUP('Fuel Equipment'!E$16,'Scissor Lifts'!$J$42:$L$44,3,FALSE)),(E24+1),""),"ERROR"))))))</f>
        <v/>
      </c>
      <c r="F25" s="474" t="str">
        <f>IF(F24="","",IF('Fuel Equipment'!F$14='Fuel Equipment'!$D$51,IF($A25&lt;(VLOOKUP('Fuel Equipment'!F$16,Cranes!$G$21:$I$24,3,FALSE)),(F24+1),""),IF('Fuel Equipment'!F$14='Fuel Equipment'!$D$52,IF($A25&lt;(VLOOKUP('Fuel Equipment'!F$16,Dumpers!$V$30:$X$34,3,FALSE)),(F24+1),""),IF('Fuel Equipment'!F$14='Fuel Equipment'!$D$53,IF($A25&lt;(VLOOKUP('Fuel Equipment'!F$16,Excavators!$W$58:$Y$71,3,FALSE)),(F24+1),""),IF('Fuel Equipment'!F$14='Fuel Equipment'!$D$54,IF($A25&lt;(VLOOKUP('Fuel Equipment'!F$16,Generators!$O$118:$Q$134,3,FALSE)),(F24+1),""),IF('Fuel Equipment'!F$14='Fuel Equipment'!$D$55,IF($A25&lt;(VLOOKUP('Fuel Equipment'!F$16,'Scissor Lifts'!$J$42:$L$44,3,FALSE)),(F24+1),""),"ERROR"))))))</f>
        <v/>
      </c>
      <c r="G25" s="474" t="str">
        <f>IF(G24="","",IF('Fuel Equipment'!G$14='Fuel Equipment'!$D$51,IF($A25&lt;(VLOOKUP('Fuel Equipment'!G$16,Cranes!$G$21:$I$24,3,FALSE)),(G24+1),""),IF('Fuel Equipment'!G$14='Fuel Equipment'!$D$52,IF($A25&lt;(VLOOKUP('Fuel Equipment'!G$16,Dumpers!$V$30:$X$34,3,FALSE)),(G24+1),""),IF('Fuel Equipment'!G$14='Fuel Equipment'!$D$53,IF($A25&lt;(VLOOKUP('Fuel Equipment'!G$16,Excavators!$W$58:$Y$71,3,FALSE)),(G24+1),""),IF('Fuel Equipment'!G$14='Fuel Equipment'!$D$54,IF($A25&lt;(VLOOKUP('Fuel Equipment'!G$16,Generators!$O$118:$Q$134,3,FALSE)),(G24+1),""),IF('Fuel Equipment'!G$14='Fuel Equipment'!$D$55,IF($A25&lt;(VLOOKUP('Fuel Equipment'!G$16,'Scissor Lifts'!$J$42:$L$44,3,FALSE)),(G24+1),""),"ERROR"))))))</f>
        <v/>
      </c>
      <c r="H25" s="474" t="str">
        <f>IF(H24="","",IF('Fuel Equipment'!H$14='Fuel Equipment'!$D$51,IF($A25&lt;(VLOOKUP('Fuel Equipment'!H$16,Cranes!$G$21:$I$24,3,FALSE)),(H24+1),""),IF('Fuel Equipment'!H$14='Fuel Equipment'!$D$52,IF($A25&lt;(VLOOKUP('Fuel Equipment'!H$16,Dumpers!$V$30:$X$34,3,FALSE)),(H24+1),""),IF('Fuel Equipment'!H$14='Fuel Equipment'!$D$53,IF($A25&lt;(VLOOKUP('Fuel Equipment'!H$16,Excavators!$W$58:$Y$71,3,FALSE)),(H24+1),""),IF('Fuel Equipment'!H$14='Fuel Equipment'!$D$54,IF($A25&lt;(VLOOKUP('Fuel Equipment'!H$16,Generators!$O$118:$Q$134,3,FALSE)),(H24+1),""),IF('Fuel Equipment'!H$14='Fuel Equipment'!$D$55,IF($A25&lt;(VLOOKUP('Fuel Equipment'!H$16,'Scissor Lifts'!$J$42:$L$44,3,FALSE)),(H24+1),""),"ERROR"))))))</f>
        <v/>
      </c>
      <c r="I25" s="474" t="str">
        <f>IF(I24="","",IF('Fuel Equipment'!I$14='Fuel Equipment'!$D$51,IF($A25&lt;(VLOOKUP('Fuel Equipment'!I$16,Cranes!$G$21:$I$24,3,FALSE)),(I24+1),""),IF('Fuel Equipment'!I$14='Fuel Equipment'!$D$52,IF($A25&lt;(VLOOKUP('Fuel Equipment'!I$16,Dumpers!$V$30:$X$34,3,FALSE)),(I24+1),""),IF('Fuel Equipment'!I$14='Fuel Equipment'!$D$53,IF($A25&lt;(VLOOKUP('Fuel Equipment'!I$16,Excavators!$W$58:$Y$71,3,FALSE)),(I24+1),""),IF('Fuel Equipment'!I$14='Fuel Equipment'!$D$54,IF($A25&lt;(VLOOKUP('Fuel Equipment'!I$16,Generators!$O$118:$Q$134,3,FALSE)),(I24+1),""),IF('Fuel Equipment'!I$14='Fuel Equipment'!$D$55,IF($A25&lt;(VLOOKUP('Fuel Equipment'!I$16,'Scissor Lifts'!$J$42:$L$44,3,FALSE)),(I24+1),""),"ERROR"))))))</f>
        <v/>
      </c>
      <c r="J25" s="474" t="str">
        <f>IF(J24="","",IF('Fuel Equipment'!J$14='Fuel Equipment'!$D$51,IF($A25&lt;(VLOOKUP('Fuel Equipment'!J$16,Cranes!$G$21:$I$24,3,FALSE)),(J24+1),""),IF('Fuel Equipment'!J$14='Fuel Equipment'!$D$52,IF($A25&lt;(VLOOKUP('Fuel Equipment'!J$16,Dumpers!$V$30:$X$34,3,FALSE)),(J24+1),""),IF('Fuel Equipment'!J$14='Fuel Equipment'!$D$53,IF($A25&lt;(VLOOKUP('Fuel Equipment'!J$16,Excavators!$W$58:$Y$71,3,FALSE)),(J24+1),""),IF('Fuel Equipment'!J$14='Fuel Equipment'!$D$54,IF($A25&lt;(VLOOKUP('Fuel Equipment'!J$16,Generators!$O$118:$Q$134,3,FALSE)),(J24+1),""),IF('Fuel Equipment'!J$14='Fuel Equipment'!$D$55,IF($A25&lt;(VLOOKUP('Fuel Equipment'!J$16,'Scissor Lifts'!$J$42:$L$44,3,FALSE)),(J24+1),""),"ERROR"))))))</f>
        <v/>
      </c>
      <c r="K25" s="474" t="str">
        <f>IF(K24="","",IF('Fuel Equipment'!K$14='Fuel Equipment'!$D$51,IF($A25&lt;(VLOOKUP('Fuel Equipment'!K$16,Cranes!$G$21:$I$24,3,FALSE)),(K24+1),""),IF('Fuel Equipment'!K$14='Fuel Equipment'!$D$52,IF($A25&lt;(VLOOKUP('Fuel Equipment'!K$16,Dumpers!$V$30:$X$34,3,FALSE)),(K24+1),""),IF('Fuel Equipment'!K$14='Fuel Equipment'!$D$53,IF($A25&lt;(VLOOKUP('Fuel Equipment'!K$16,Excavators!$W$58:$Y$71,3,FALSE)),(K24+1),""),IF('Fuel Equipment'!K$14='Fuel Equipment'!$D$54,IF($A25&lt;(VLOOKUP('Fuel Equipment'!K$16,Generators!$O$118:$Q$134,3,FALSE)),(K24+1),""),IF('Fuel Equipment'!K$14='Fuel Equipment'!$D$55,IF($A25&lt;(VLOOKUP('Fuel Equipment'!K$16,'Scissor Lifts'!$J$42:$L$44,3,FALSE)),(K24+1),""),"ERROR"))))))</f>
        <v/>
      </c>
      <c r="L25" s="474" t="str">
        <f>IF(L24="","",IF('Fuel Equipment'!L$14='Fuel Equipment'!$D$51,IF($A25&lt;(VLOOKUP('Fuel Equipment'!L$16,Cranes!$G$21:$I$24,3,FALSE)),(L24+1),""),IF('Fuel Equipment'!L$14='Fuel Equipment'!$D$52,IF($A25&lt;(VLOOKUP('Fuel Equipment'!L$16,Dumpers!$V$30:$X$34,3,FALSE)),(L24+1),""),IF('Fuel Equipment'!L$14='Fuel Equipment'!$D$53,IF($A25&lt;(VLOOKUP('Fuel Equipment'!L$16,Excavators!$W$58:$Y$71,3,FALSE)),(L24+1),""),IF('Fuel Equipment'!L$14='Fuel Equipment'!$D$54,IF($A25&lt;(VLOOKUP('Fuel Equipment'!L$16,Generators!$O$118:$Q$134,3,FALSE)),(L24+1),""),IF('Fuel Equipment'!L$14='Fuel Equipment'!$D$55,IF($A25&lt;(VLOOKUP('Fuel Equipment'!L$16,'Scissor Lifts'!$J$42:$L$44,3,FALSE)),(L24+1),""),"ERROR"))))))</f>
        <v/>
      </c>
      <c r="M25" s="474" t="str">
        <f>IF(M24="","",IF('Fuel Equipment'!M$14='Fuel Equipment'!$D$51,IF($A25&lt;(VLOOKUP('Fuel Equipment'!M$16,Cranes!$G$21:$I$24,3,FALSE)),(M24+1),""),IF('Fuel Equipment'!M$14='Fuel Equipment'!$D$52,IF($A25&lt;(VLOOKUP('Fuel Equipment'!M$16,Dumpers!$V$30:$X$34,3,FALSE)),(M24+1),""),IF('Fuel Equipment'!M$14='Fuel Equipment'!$D$53,IF($A25&lt;(VLOOKUP('Fuel Equipment'!M$16,Excavators!$W$58:$Y$71,3,FALSE)),(M24+1),""),IF('Fuel Equipment'!M$14='Fuel Equipment'!$D$54,IF($A25&lt;(VLOOKUP('Fuel Equipment'!M$16,Generators!$O$118:$Q$134,3,FALSE)),(M24+1),""),IF('Fuel Equipment'!M$14='Fuel Equipment'!$D$55,IF($A25&lt;(VLOOKUP('Fuel Equipment'!M$16,'Scissor Lifts'!$J$42:$L$44,3,FALSE)),(M24+1),""),"ERROR"))))))</f>
        <v/>
      </c>
      <c r="N25" s="474" t="str">
        <f>IF(N24="","",IF('Fuel Equipment'!N$14='Fuel Equipment'!$D$51,IF($A25&lt;(VLOOKUP('Fuel Equipment'!N$16,Cranes!$G$21:$I$24,3,FALSE)),(N24+1),""),IF('Fuel Equipment'!N$14='Fuel Equipment'!$D$52,IF($A25&lt;(VLOOKUP('Fuel Equipment'!N$16,Dumpers!$V$30:$X$34,3,FALSE)),(N24+1),""),IF('Fuel Equipment'!N$14='Fuel Equipment'!$D$53,IF($A25&lt;(VLOOKUP('Fuel Equipment'!N$16,Excavators!$W$58:$Y$71,3,FALSE)),(N24+1),""),IF('Fuel Equipment'!N$14='Fuel Equipment'!$D$54,IF($A25&lt;(VLOOKUP('Fuel Equipment'!N$16,Generators!$O$118:$Q$134,3,FALSE)),(N24+1),""),IF('Fuel Equipment'!N$14='Fuel Equipment'!$D$55,IF($A25&lt;(VLOOKUP('Fuel Equipment'!N$16,'Scissor Lifts'!$J$42:$L$44,3,FALSE)),(N24+1),""),"ERROR"))))))</f>
        <v/>
      </c>
      <c r="O25" s="474" t="str">
        <f>IF(O24="","",IF('Fuel Equipment'!O$14='Fuel Equipment'!$D$51,IF($A25&lt;(VLOOKUP('Fuel Equipment'!O$16,Cranes!$G$21:$I$24,3,FALSE)),(O24+1),""),IF('Fuel Equipment'!O$14='Fuel Equipment'!$D$52,IF($A25&lt;(VLOOKUP('Fuel Equipment'!O$16,Dumpers!$V$30:$X$34,3,FALSE)),(O24+1),""),IF('Fuel Equipment'!O$14='Fuel Equipment'!$D$53,IF($A25&lt;(VLOOKUP('Fuel Equipment'!O$16,Excavators!$W$58:$Y$71,3,FALSE)),(O24+1),""),IF('Fuel Equipment'!O$14='Fuel Equipment'!$D$54,IF($A25&lt;(VLOOKUP('Fuel Equipment'!O$16,Generators!$O$118:$Q$134,3,FALSE)),(O24+1),""),IF('Fuel Equipment'!O$14='Fuel Equipment'!$D$55,IF($A25&lt;(VLOOKUP('Fuel Equipment'!O$16,'Scissor Lifts'!$J$42:$L$44,3,FALSE)),(O24+1),""),"ERROR"))))))</f>
        <v/>
      </c>
      <c r="P25" s="474" t="str">
        <f>IF(P24="","",IF('Fuel Equipment'!P$14='Fuel Equipment'!$D$51,IF($A25&lt;(VLOOKUP('Fuel Equipment'!P$16,Cranes!$G$21:$I$24,3,FALSE)),(P24+1),""),IF('Fuel Equipment'!P$14='Fuel Equipment'!$D$52,IF($A25&lt;(VLOOKUP('Fuel Equipment'!P$16,Dumpers!$V$30:$X$34,3,FALSE)),(P24+1),""),IF('Fuel Equipment'!P$14='Fuel Equipment'!$D$53,IF($A25&lt;(VLOOKUP('Fuel Equipment'!P$16,Excavators!$W$58:$Y$71,3,FALSE)),(P24+1),""),IF('Fuel Equipment'!P$14='Fuel Equipment'!$D$54,IF($A25&lt;(VLOOKUP('Fuel Equipment'!P$16,Generators!$O$118:$Q$134,3,FALSE)),(P24+1),""),IF('Fuel Equipment'!P$14='Fuel Equipment'!$D$55,IF($A25&lt;(VLOOKUP('Fuel Equipment'!P$16,'Scissor Lifts'!$J$42:$L$44,3,FALSE)),(P24+1),""),"ERROR"))))))</f>
        <v/>
      </c>
      <c r="Q25" s="474" t="str">
        <f>IF(Q24="","",IF('Fuel Equipment'!Q$14='Fuel Equipment'!$D$51,IF($A25&lt;(VLOOKUP('Fuel Equipment'!Q$16,Cranes!$G$21:$I$24,3,FALSE)),(Q24+1),""),IF('Fuel Equipment'!Q$14='Fuel Equipment'!$D$52,IF($A25&lt;(VLOOKUP('Fuel Equipment'!Q$16,Dumpers!$V$30:$X$34,3,FALSE)),(Q24+1),""),IF('Fuel Equipment'!Q$14='Fuel Equipment'!$D$53,IF($A25&lt;(VLOOKUP('Fuel Equipment'!Q$16,Excavators!$W$58:$Y$71,3,FALSE)),(Q24+1),""),IF('Fuel Equipment'!Q$14='Fuel Equipment'!$D$54,IF($A25&lt;(VLOOKUP('Fuel Equipment'!Q$16,Generators!$O$118:$Q$134,3,FALSE)),(Q24+1),""),IF('Fuel Equipment'!Q$14='Fuel Equipment'!$D$55,IF($A25&lt;(VLOOKUP('Fuel Equipment'!Q$16,'Scissor Lifts'!$J$42:$L$44,3,FALSE)),(Q24+1),""),"ERROR"))))))</f>
        <v/>
      </c>
      <c r="R25" s="474" t="str">
        <f>IF(R24="","",IF('Fuel Equipment'!R$14='Fuel Equipment'!$D$51,IF($A25&lt;(VLOOKUP('Fuel Equipment'!R$16,Cranes!$G$21:$I$24,3,FALSE)),(R24+1),""),IF('Fuel Equipment'!R$14='Fuel Equipment'!$D$52,IF($A25&lt;(VLOOKUP('Fuel Equipment'!R$16,Dumpers!$V$30:$X$34,3,FALSE)),(R24+1),""),IF('Fuel Equipment'!R$14='Fuel Equipment'!$D$53,IF($A25&lt;(VLOOKUP('Fuel Equipment'!R$16,Excavators!$W$58:$Y$71,3,FALSE)),(R24+1),""),IF('Fuel Equipment'!R$14='Fuel Equipment'!$D$54,IF($A25&lt;(VLOOKUP('Fuel Equipment'!R$16,Generators!$O$118:$Q$134,3,FALSE)),(R24+1),""),IF('Fuel Equipment'!R$14='Fuel Equipment'!$D$55,IF($A25&lt;(VLOOKUP('Fuel Equipment'!R$16,'Scissor Lifts'!$J$42:$L$44,3,FALSE)),(R24+1),""),"ERROR"))))))</f>
        <v/>
      </c>
      <c r="S25" s="553" t="str">
        <f>IF(S24="","",IF('Fuel Equipment'!S$14='Fuel Equipment'!$D$51,IF($A25&lt;(VLOOKUP('Fuel Equipment'!S$16,Cranes!$G$21:$I$24,3,FALSE)),(S24+1),""),IF('Fuel Equipment'!S$14='Fuel Equipment'!$D$52,IF($A25&lt;(VLOOKUP('Fuel Equipment'!S$16,Dumpers!$V$30:$X$34,3,FALSE)),(S24+1),""),IF('Fuel Equipment'!S$14='Fuel Equipment'!$D$53,IF($A25&lt;(VLOOKUP('Fuel Equipment'!S$16,Excavators!$W$58:$Y$71,3,FALSE)),(S24+1),""),IF('Fuel Equipment'!S$14='Fuel Equipment'!$D$54,IF($A25&lt;(VLOOKUP('Fuel Equipment'!S$16,Generators!$O$118:$Q$134,3,FALSE)),(S24+1),""),IF('Fuel Equipment'!S$14='Fuel Equipment'!$D$55,IF($A25&lt;(VLOOKUP('Fuel Equipment'!S$16,'Scissor Lifts'!$J$42:$L$44,3,FALSE)),(S24+1),""),"ERROR"))))))</f>
        <v/>
      </c>
      <c r="U25" s="927"/>
      <c r="V25" s="927"/>
      <c r="W25" s="927"/>
      <c r="X25" s="928"/>
      <c r="Y25" s="928"/>
      <c r="Z25" s="928"/>
      <c r="AA25" s="928"/>
    </row>
    <row r="26" spans="1:27" s="179" customFormat="1">
      <c r="A26" s="106">
        <v>4</v>
      </c>
      <c r="B26" s="552" t="str">
        <f>IF(B25="","",IF('Fuel Equipment'!B$14='Fuel Equipment'!$D$51,IF($A26&lt;(VLOOKUP('Fuel Equipment'!B$16,Cranes!$G$21:$I$24,3,FALSE)),(B25+1),""),IF('Fuel Equipment'!B$14='Fuel Equipment'!$D$52,IF($A26&lt;(VLOOKUP('Fuel Equipment'!B$16,Dumpers!$V$30:$X$34,3,FALSE)),(B25+1),""),IF('Fuel Equipment'!B$14='Fuel Equipment'!$D$53,IF($A26&lt;(VLOOKUP('Fuel Equipment'!B$16,Excavators!$W$58:$Y$71,3,FALSE)),(B25+1),""),IF('Fuel Equipment'!B$14='Fuel Equipment'!$D$54,IF($A26&lt;(VLOOKUP('Fuel Equipment'!B$16,Generators!$O$118:$Q$134,3,FALSE)),(B25+1),""),IF('Fuel Equipment'!B$14='Fuel Equipment'!$D$55,IF($A26&lt;(VLOOKUP('Fuel Equipment'!B$16,'Scissor Lifts'!$J$42:$L$44,3,FALSE)),(B25+1),""),"ERROR"))))))</f>
        <v/>
      </c>
      <c r="C26" s="474" t="str">
        <f>IF(C25="","",IF('Fuel Equipment'!C$14='Fuel Equipment'!$D$51,IF($A26&lt;(VLOOKUP('Fuel Equipment'!C$16,Cranes!$G$21:$I$24,3,FALSE)),(C25+1),""),IF('Fuel Equipment'!C$14='Fuel Equipment'!$D$52,IF($A26&lt;(VLOOKUP('Fuel Equipment'!C$16,Dumpers!$V$30:$X$34,3,FALSE)),(C25+1),""),IF('Fuel Equipment'!C$14='Fuel Equipment'!$D$53,IF($A26&lt;(VLOOKUP('Fuel Equipment'!C$16,Excavators!$W$58:$Y$71,3,FALSE)),(C25+1),""),IF('Fuel Equipment'!C$14='Fuel Equipment'!$D$54,IF($A26&lt;(VLOOKUP('Fuel Equipment'!C$16,Generators!$O$118:$Q$134,3,FALSE)),(C25+1),""),IF('Fuel Equipment'!C$14='Fuel Equipment'!$D$55,IF($A26&lt;(VLOOKUP('Fuel Equipment'!C$16,'Scissor Lifts'!$J$42:$L$44,3,FALSE)),(C25+1),""),"ERROR"))))))</f>
        <v/>
      </c>
      <c r="D26" s="474" t="str">
        <f>IF(D25="","",IF('Fuel Equipment'!D$14='Fuel Equipment'!$D$51,IF($A26&lt;(VLOOKUP('Fuel Equipment'!D$16,Cranes!$G$21:$I$24,3,FALSE)),(D25+1),""),IF('Fuel Equipment'!D$14='Fuel Equipment'!$D$52,IF($A26&lt;(VLOOKUP('Fuel Equipment'!D$16,Dumpers!$V$30:$X$34,3,FALSE)),(D25+1),""),IF('Fuel Equipment'!D$14='Fuel Equipment'!$D$53,IF($A26&lt;(VLOOKUP('Fuel Equipment'!D$16,Excavators!$W$58:$Y$71,3,FALSE)),(D25+1),""),IF('Fuel Equipment'!D$14='Fuel Equipment'!$D$54,IF($A26&lt;(VLOOKUP('Fuel Equipment'!D$16,Generators!$O$118:$Q$134,3,FALSE)),(D25+1),""),IF('Fuel Equipment'!D$14='Fuel Equipment'!$D$55,IF($A26&lt;(VLOOKUP('Fuel Equipment'!D$16,'Scissor Lifts'!$J$42:$L$44,3,FALSE)),(D25+1),""),"ERROR"))))))</f>
        <v/>
      </c>
      <c r="E26" s="474" t="str">
        <f>IF(E25="","",IF('Fuel Equipment'!E$14='Fuel Equipment'!$D$51,IF($A26&lt;(VLOOKUP('Fuel Equipment'!E$16,Cranes!$G$21:$I$24,3,FALSE)),(E25+1),""),IF('Fuel Equipment'!E$14='Fuel Equipment'!$D$52,IF($A26&lt;(VLOOKUP('Fuel Equipment'!E$16,Dumpers!$V$30:$X$34,3,FALSE)),(E25+1),""),IF('Fuel Equipment'!E$14='Fuel Equipment'!$D$53,IF($A26&lt;(VLOOKUP('Fuel Equipment'!E$16,Excavators!$W$58:$Y$71,3,FALSE)),(E25+1),""),IF('Fuel Equipment'!E$14='Fuel Equipment'!$D$54,IF($A26&lt;(VLOOKUP('Fuel Equipment'!E$16,Generators!$O$118:$Q$134,3,FALSE)),(E25+1),""),IF('Fuel Equipment'!E$14='Fuel Equipment'!$D$55,IF($A26&lt;(VLOOKUP('Fuel Equipment'!E$16,'Scissor Lifts'!$J$42:$L$44,3,FALSE)),(E25+1),""),"ERROR"))))))</f>
        <v/>
      </c>
      <c r="F26" s="474" t="str">
        <f>IF(F25="","",IF('Fuel Equipment'!F$14='Fuel Equipment'!$D$51,IF($A26&lt;(VLOOKUP('Fuel Equipment'!F$16,Cranes!$G$21:$I$24,3,FALSE)),(F25+1),""),IF('Fuel Equipment'!F$14='Fuel Equipment'!$D$52,IF($A26&lt;(VLOOKUP('Fuel Equipment'!F$16,Dumpers!$V$30:$X$34,3,FALSE)),(F25+1),""),IF('Fuel Equipment'!F$14='Fuel Equipment'!$D$53,IF($A26&lt;(VLOOKUP('Fuel Equipment'!F$16,Excavators!$W$58:$Y$71,3,FALSE)),(F25+1),""),IF('Fuel Equipment'!F$14='Fuel Equipment'!$D$54,IF($A26&lt;(VLOOKUP('Fuel Equipment'!F$16,Generators!$O$118:$Q$134,3,FALSE)),(F25+1),""),IF('Fuel Equipment'!F$14='Fuel Equipment'!$D$55,IF($A26&lt;(VLOOKUP('Fuel Equipment'!F$16,'Scissor Lifts'!$J$42:$L$44,3,FALSE)),(F25+1),""),"ERROR"))))))</f>
        <v/>
      </c>
      <c r="G26" s="474" t="str">
        <f>IF(G25="","",IF('Fuel Equipment'!G$14='Fuel Equipment'!$D$51,IF($A26&lt;(VLOOKUP('Fuel Equipment'!G$16,Cranes!$G$21:$I$24,3,FALSE)),(G25+1),""),IF('Fuel Equipment'!G$14='Fuel Equipment'!$D$52,IF($A26&lt;(VLOOKUP('Fuel Equipment'!G$16,Dumpers!$V$30:$X$34,3,FALSE)),(G25+1),""),IF('Fuel Equipment'!G$14='Fuel Equipment'!$D$53,IF($A26&lt;(VLOOKUP('Fuel Equipment'!G$16,Excavators!$W$58:$Y$71,3,FALSE)),(G25+1),""),IF('Fuel Equipment'!G$14='Fuel Equipment'!$D$54,IF($A26&lt;(VLOOKUP('Fuel Equipment'!G$16,Generators!$O$118:$Q$134,3,FALSE)),(G25+1),""),IF('Fuel Equipment'!G$14='Fuel Equipment'!$D$55,IF($A26&lt;(VLOOKUP('Fuel Equipment'!G$16,'Scissor Lifts'!$J$42:$L$44,3,FALSE)),(G25+1),""),"ERROR"))))))</f>
        <v/>
      </c>
      <c r="H26" s="474" t="str">
        <f>IF(H25="","",IF('Fuel Equipment'!H$14='Fuel Equipment'!$D$51,IF($A26&lt;(VLOOKUP('Fuel Equipment'!H$16,Cranes!$G$21:$I$24,3,FALSE)),(H25+1),""),IF('Fuel Equipment'!H$14='Fuel Equipment'!$D$52,IF($A26&lt;(VLOOKUP('Fuel Equipment'!H$16,Dumpers!$V$30:$X$34,3,FALSE)),(H25+1),""),IF('Fuel Equipment'!H$14='Fuel Equipment'!$D$53,IF($A26&lt;(VLOOKUP('Fuel Equipment'!H$16,Excavators!$W$58:$Y$71,3,FALSE)),(H25+1),""),IF('Fuel Equipment'!H$14='Fuel Equipment'!$D$54,IF($A26&lt;(VLOOKUP('Fuel Equipment'!H$16,Generators!$O$118:$Q$134,3,FALSE)),(H25+1),""),IF('Fuel Equipment'!H$14='Fuel Equipment'!$D$55,IF($A26&lt;(VLOOKUP('Fuel Equipment'!H$16,'Scissor Lifts'!$J$42:$L$44,3,FALSE)),(H25+1),""),"ERROR"))))))</f>
        <v/>
      </c>
      <c r="I26" s="474" t="str">
        <f>IF(I25="","",IF('Fuel Equipment'!I$14='Fuel Equipment'!$D$51,IF($A26&lt;(VLOOKUP('Fuel Equipment'!I$16,Cranes!$G$21:$I$24,3,FALSE)),(I25+1),""),IF('Fuel Equipment'!I$14='Fuel Equipment'!$D$52,IF($A26&lt;(VLOOKUP('Fuel Equipment'!I$16,Dumpers!$V$30:$X$34,3,FALSE)),(I25+1),""),IF('Fuel Equipment'!I$14='Fuel Equipment'!$D$53,IF($A26&lt;(VLOOKUP('Fuel Equipment'!I$16,Excavators!$W$58:$Y$71,3,FALSE)),(I25+1),""),IF('Fuel Equipment'!I$14='Fuel Equipment'!$D$54,IF($A26&lt;(VLOOKUP('Fuel Equipment'!I$16,Generators!$O$118:$Q$134,3,FALSE)),(I25+1),""),IF('Fuel Equipment'!I$14='Fuel Equipment'!$D$55,IF($A26&lt;(VLOOKUP('Fuel Equipment'!I$16,'Scissor Lifts'!$J$42:$L$44,3,FALSE)),(I25+1),""),"ERROR"))))))</f>
        <v/>
      </c>
      <c r="J26" s="474" t="str">
        <f>IF(J25="","",IF('Fuel Equipment'!J$14='Fuel Equipment'!$D$51,IF($A26&lt;(VLOOKUP('Fuel Equipment'!J$16,Cranes!$G$21:$I$24,3,FALSE)),(J25+1),""),IF('Fuel Equipment'!J$14='Fuel Equipment'!$D$52,IF($A26&lt;(VLOOKUP('Fuel Equipment'!J$16,Dumpers!$V$30:$X$34,3,FALSE)),(J25+1),""),IF('Fuel Equipment'!J$14='Fuel Equipment'!$D$53,IF($A26&lt;(VLOOKUP('Fuel Equipment'!J$16,Excavators!$W$58:$Y$71,3,FALSE)),(J25+1),""),IF('Fuel Equipment'!J$14='Fuel Equipment'!$D$54,IF($A26&lt;(VLOOKUP('Fuel Equipment'!J$16,Generators!$O$118:$Q$134,3,FALSE)),(J25+1),""),IF('Fuel Equipment'!J$14='Fuel Equipment'!$D$55,IF($A26&lt;(VLOOKUP('Fuel Equipment'!J$16,'Scissor Lifts'!$J$42:$L$44,3,FALSE)),(J25+1),""),"ERROR"))))))</f>
        <v/>
      </c>
      <c r="K26" s="474" t="str">
        <f>IF(K25="","",IF('Fuel Equipment'!K$14='Fuel Equipment'!$D$51,IF($A26&lt;(VLOOKUP('Fuel Equipment'!K$16,Cranes!$G$21:$I$24,3,FALSE)),(K25+1),""),IF('Fuel Equipment'!K$14='Fuel Equipment'!$D$52,IF($A26&lt;(VLOOKUP('Fuel Equipment'!K$16,Dumpers!$V$30:$X$34,3,FALSE)),(K25+1),""),IF('Fuel Equipment'!K$14='Fuel Equipment'!$D$53,IF($A26&lt;(VLOOKUP('Fuel Equipment'!K$16,Excavators!$W$58:$Y$71,3,FALSE)),(K25+1),""),IF('Fuel Equipment'!K$14='Fuel Equipment'!$D$54,IF($A26&lt;(VLOOKUP('Fuel Equipment'!K$16,Generators!$O$118:$Q$134,3,FALSE)),(K25+1),""),IF('Fuel Equipment'!K$14='Fuel Equipment'!$D$55,IF($A26&lt;(VLOOKUP('Fuel Equipment'!K$16,'Scissor Lifts'!$J$42:$L$44,3,FALSE)),(K25+1),""),"ERROR"))))))</f>
        <v/>
      </c>
      <c r="L26" s="474" t="str">
        <f>IF(L25="","",IF('Fuel Equipment'!L$14='Fuel Equipment'!$D$51,IF($A26&lt;(VLOOKUP('Fuel Equipment'!L$16,Cranes!$G$21:$I$24,3,FALSE)),(L25+1),""),IF('Fuel Equipment'!L$14='Fuel Equipment'!$D$52,IF($A26&lt;(VLOOKUP('Fuel Equipment'!L$16,Dumpers!$V$30:$X$34,3,FALSE)),(L25+1),""),IF('Fuel Equipment'!L$14='Fuel Equipment'!$D$53,IF($A26&lt;(VLOOKUP('Fuel Equipment'!L$16,Excavators!$W$58:$Y$71,3,FALSE)),(L25+1),""),IF('Fuel Equipment'!L$14='Fuel Equipment'!$D$54,IF($A26&lt;(VLOOKUP('Fuel Equipment'!L$16,Generators!$O$118:$Q$134,3,FALSE)),(L25+1),""),IF('Fuel Equipment'!L$14='Fuel Equipment'!$D$55,IF($A26&lt;(VLOOKUP('Fuel Equipment'!L$16,'Scissor Lifts'!$J$42:$L$44,3,FALSE)),(L25+1),""),"ERROR"))))))</f>
        <v/>
      </c>
      <c r="M26" s="474" t="str">
        <f>IF(M25="","",IF('Fuel Equipment'!M$14='Fuel Equipment'!$D$51,IF($A26&lt;(VLOOKUP('Fuel Equipment'!M$16,Cranes!$G$21:$I$24,3,FALSE)),(M25+1),""),IF('Fuel Equipment'!M$14='Fuel Equipment'!$D$52,IF($A26&lt;(VLOOKUP('Fuel Equipment'!M$16,Dumpers!$V$30:$X$34,3,FALSE)),(M25+1),""),IF('Fuel Equipment'!M$14='Fuel Equipment'!$D$53,IF($A26&lt;(VLOOKUP('Fuel Equipment'!M$16,Excavators!$W$58:$Y$71,3,FALSE)),(M25+1),""),IF('Fuel Equipment'!M$14='Fuel Equipment'!$D$54,IF($A26&lt;(VLOOKUP('Fuel Equipment'!M$16,Generators!$O$118:$Q$134,3,FALSE)),(M25+1),""),IF('Fuel Equipment'!M$14='Fuel Equipment'!$D$55,IF($A26&lt;(VLOOKUP('Fuel Equipment'!M$16,'Scissor Lifts'!$J$42:$L$44,3,FALSE)),(M25+1),""),"ERROR"))))))</f>
        <v/>
      </c>
      <c r="N26" s="474" t="str">
        <f>IF(N25="","",IF('Fuel Equipment'!N$14='Fuel Equipment'!$D$51,IF($A26&lt;(VLOOKUP('Fuel Equipment'!N$16,Cranes!$G$21:$I$24,3,FALSE)),(N25+1),""),IF('Fuel Equipment'!N$14='Fuel Equipment'!$D$52,IF($A26&lt;(VLOOKUP('Fuel Equipment'!N$16,Dumpers!$V$30:$X$34,3,FALSE)),(N25+1),""),IF('Fuel Equipment'!N$14='Fuel Equipment'!$D$53,IF($A26&lt;(VLOOKUP('Fuel Equipment'!N$16,Excavators!$W$58:$Y$71,3,FALSE)),(N25+1),""),IF('Fuel Equipment'!N$14='Fuel Equipment'!$D$54,IF($A26&lt;(VLOOKUP('Fuel Equipment'!N$16,Generators!$O$118:$Q$134,3,FALSE)),(N25+1),""),IF('Fuel Equipment'!N$14='Fuel Equipment'!$D$55,IF($A26&lt;(VLOOKUP('Fuel Equipment'!N$16,'Scissor Lifts'!$J$42:$L$44,3,FALSE)),(N25+1),""),"ERROR"))))))</f>
        <v/>
      </c>
      <c r="O26" s="474" t="str">
        <f>IF(O25="","",IF('Fuel Equipment'!O$14='Fuel Equipment'!$D$51,IF($A26&lt;(VLOOKUP('Fuel Equipment'!O$16,Cranes!$G$21:$I$24,3,FALSE)),(O25+1),""),IF('Fuel Equipment'!O$14='Fuel Equipment'!$D$52,IF($A26&lt;(VLOOKUP('Fuel Equipment'!O$16,Dumpers!$V$30:$X$34,3,FALSE)),(O25+1),""),IF('Fuel Equipment'!O$14='Fuel Equipment'!$D$53,IF($A26&lt;(VLOOKUP('Fuel Equipment'!O$16,Excavators!$W$58:$Y$71,3,FALSE)),(O25+1),""),IF('Fuel Equipment'!O$14='Fuel Equipment'!$D$54,IF($A26&lt;(VLOOKUP('Fuel Equipment'!O$16,Generators!$O$118:$Q$134,3,FALSE)),(O25+1),""),IF('Fuel Equipment'!O$14='Fuel Equipment'!$D$55,IF($A26&lt;(VLOOKUP('Fuel Equipment'!O$16,'Scissor Lifts'!$J$42:$L$44,3,FALSE)),(O25+1),""),"ERROR"))))))</f>
        <v/>
      </c>
      <c r="P26" s="474" t="str">
        <f>IF(P25="","",IF('Fuel Equipment'!P$14='Fuel Equipment'!$D$51,IF($A26&lt;(VLOOKUP('Fuel Equipment'!P$16,Cranes!$G$21:$I$24,3,FALSE)),(P25+1),""),IF('Fuel Equipment'!P$14='Fuel Equipment'!$D$52,IF($A26&lt;(VLOOKUP('Fuel Equipment'!P$16,Dumpers!$V$30:$X$34,3,FALSE)),(P25+1),""),IF('Fuel Equipment'!P$14='Fuel Equipment'!$D$53,IF($A26&lt;(VLOOKUP('Fuel Equipment'!P$16,Excavators!$W$58:$Y$71,3,FALSE)),(P25+1),""),IF('Fuel Equipment'!P$14='Fuel Equipment'!$D$54,IF($A26&lt;(VLOOKUP('Fuel Equipment'!P$16,Generators!$O$118:$Q$134,3,FALSE)),(P25+1),""),IF('Fuel Equipment'!P$14='Fuel Equipment'!$D$55,IF($A26&lt;(VLOOKUP('Fuel Equipment'!P$16,'Scissor Lifts'!$J$42:$L$44,3,FALSE)),(P25+1),""),"ERROR"))))))</f>
        <v/>
      </c>
      <c r="Q26" s="474" t="str">
        <f>IF(Q25="","",IF('Fuel Equipment'!Q$14='Fuel Equipment'!$D$51,IF($A26&lt;(VLOOKUP('Fuel Equipment'!Q$16,Cranes!$G$21:$I$24,3,FALSE)),(Q25+1),""),IF('Fuel Equipment'!Q$14='Fuel Equipment'!$D$52,IF($A26&lt;(VLOOKUP('Fuel Equipment'!Q$16,Dumpers!$V$30:$X$34,3,FALSE)),(Q25+1),""),IF('Fuel Equipment'!Q$14='Fuel Equipment'!$D$53,IF($A26&lt;(VLOOKUP('Fuel Equipment'!Q$16,Excavators!$W$58:$Y$71,3,FALSE)),(Q25+1),""),IF('Fuel Equipment'!Q$14='Fuel Equipment'!$D$54,IF($A26&lt;(VLOOKUP('Fuel Equipment'!Q$16,Generators!$O$118:$Q$134,3,FALSE)),(Q25+1),""),IF('Fuel Equipment'!Q$14='Fuel Equipment'!$D$55,IF($A26&lt;(VLOOKUP('Fuel Equipment'!Q$16,'Scissor Lifts'!$J$42:$L$44,3,FALSE)),(Q25+1),""),"ERROR"))))))</f>
        <v/>
      </c>
      <c r="R26" s="474" t="str">
        <f>IF(R25="","",IF('Fuel Equipment'!R$14='Fuel Equipment'!$D$51,IF($A26&lt;(VLOOKUP('Fuel Equipment'!R$16,Cranes!$G$21:$I$24,3,FALSE)),(R25+1),""),IF('Fuel Equipment'!R$14='Fuel Equipment'!$D$52,IF($A26&lt;(VLOOKUP('Fuel Equipment'!R$16,Dumpers!$V$30:$X$34,3,FALSE)),(R25+1),""),IF('Fuel Equipment'!R$14='Fuel Equipment'!$D$53,IF($A26&lt;(VLOOKUP('Fuel Equipment'!R$16,Excavators!$W$58:$Y$71,3,FALSE)),(R25+1),""),IF('Fuel Equipment'!R$14='Fuel Equipment'!$D$54,IF($A26&lt;(VLOOKUP('Fuel Equipment'!R$16,Generators!$O$118:$Q$134,3,FALSE)),(R25+1),""),IF('Fuel Equipment'!R$14='Fuel Equipment'!$D$55,IF($A26&lt;(VLOOKUP('Fuel Equipment'!R$16,'Scissor Lifts'!$J$42:$L$44,3,FALSE)),(R25+1),""),"ERROR"))))))</f>
        <v/>
      </c>
      <c r="S26" s="553" t="str">
        <f>IF(S25="","",IF('Fuel Equipment'!S$14='Fuel Equipment'!$D$51,IF($A26&lt;(VLOOKUP('Fuel Equipment'!S$16,Cranes!$G$21:$I$24,3,FALSE)),(S25+1),""),IF('Fuel Equipment'!S$14='Fuel Equipment'!$D$52,IF($A26&lt;(VLOOKUP('Fuel Equipment'!S$16,Dumpers!$V$30:$X$34,3,FALSE)),(S25+1),""),IF('Fuel Equipment'!S$14='Fuel Equipment'!$D$53,IF($A26&lt;(VLOOKUP('Fuel Equipment'!S$16,Excavators!$W$58:$Y$71,3,FALSE)),(S25+1),""),IF('Fuel Equipment'!S$14='Fuel Equipment'!$D$54,IF($A26&lt;(VLOOKUP('Fuel Equipment'!S$16,Generators!$O$118:$Q$134,3,FALSE)),(S25+1),""),IF('Fuel Equipment'!S$14='Fuel Equipment'!$D$55,IF($A26&lt;(VLOOKUP('Fuel Equipment'!S$16,'Scissor Lifts'!$J$42:$L$44,3,FALSE)),(S25+1),""),"ERROR"))))))</f>
        <v/>
      </c>
      <c r="U26" s="927"/>
      <c r="V26" s="927"/>
      <c r="W26" s="927"/>
      <c r="X26" s="928"/>
      <c r="Y26" s="928"/>
      <c r="Z26" s="928"/>
      <c r="AA26" s="928"/>
    </row>
    <row r="27" spans="1:27" s="179" customFormat="1">
      <c r="A27" s="106">
        <v>5</v>
      </c>
      <c r="B27" s="552" t="str">
        <f>IF(B26="","",IF('Fuel Equipment'!B$14='Fuel Equipment'!$D$51,IF($A27&lt;(VLOOKUP('Fuel Equipment'!B$16,Cranes!$G$21:$I$24,3,FALSE)),(B26+1),""),IF('Fuel Equipment'!B$14='Fuel Equipment'!$D$52,IF($A27&lt;(VLOOKUP('Fuel Equipment'!B$16,Dumpers!$V$30:$X$34,3,FALSE)),(B26+1),""),IF('Fuel Equipment'!B$14='Fuel Equipment'!$D$53,IF($A27&lt;(VLOOKUP('Fuel Equipment'!B$16,Excavators!$W$58:$Y$71,3,FALSE)),(B26+1),""),IF('Fuel Equipment'!B$14='Fuel Equipment'!$D$54,IF($A27&lt;(VLOOKUP('Fuel Equipment'!B$16,Generators!$O$118:$Q$134,3,FALSE)),(B26+1),""),IF('Fuel Equipment'!B$14='Fuel Equipment'!$D$55,IF($A27&lt;(VLOOKUP('Fuel Equipment'!B$16,'Scissor Lifts'!$J$42:$L$44,3,FALSE)),(B26+1),""),"ERROR"))))))</f>
        <v/>
      </c>
      <c r="C27" s="474" t="str">
        <f>IF(C26="","",IF('Fuel Equipment'!C$14='Fuel Equipment'!$D$51,IF($A27&lt;(VLOOKUP('Fuel Equipment'!C$16,Cranes!$G$21:$I$24,3,FALSE)),(C26+1),""),IF('Fuel Equipment'!C$14='Fuel Equipment'!$D$52,IF($A27&lt;(VLOOKUP('Fuel Equipment'!C$16,Dumpers!$V$30:$X$34,3,FALSE)),(C26+1),""),IF('Fuel Equipment'!C$14='Fuel Equipment'!$D$53,IF($A27&lt;(VLOOKUP('Fuel Equipment'!C$16,Excavators!$W$58:$Y$71,3,FALSE)),(C26+1),""),IF('Fuel Equipment'!C$14='Fuel Equipment'!$D$54,IF($A27&lt;(VLOOKUP('Fuel Equipment'!C$16,Generators!$O$118:$Q$134,3,FALSE)),(C26+1),""),IF('Fuel Equipment'!C$14='Fuel Equipment'!$D$55,IF($A27&lt;(VLOOKUP('Fuel Equipment'!C$16,'Scissor Lifts'!$J$42:$L$44,3,FALSE)),(C26+1),""),"ERROR"))))))</f>
        <v/>
      </c>
      <c r="D27" s="474" t="str">
        <f>IF(D26="","",IF('Fuel Equipment'!D$14='Fuel Equipment'!$D$51,IF($A27&lt;(VLOOKUP('Fuel Equipment'!D$16,Cranes!$G$21:$I$24,3,FALSE)),(D26+1),""),IF('Fuel Equipment'!D$14='Fuel Equipment'!$D$52,IF($A27&lt;(VLOOKUP('Fuel Equipment'!D$16,Dumpers!$V$30:$X$34,3,FALSE)),(D26+1),""),IF('Fuel Equipment'!D$14='Fuel Equipment'!$D$53,IF($A27&lt;(VLOOKUP('Fuel Equipment'!D$16,Excavators!$W$58:$Y$71,3,FALSE)),(D26+1),""),IF('Fuel Equipment'!D$14='Fuel Equipment'!$D$54,IF($A27&lt;(VLOOKUP('Fuel Equipment'!D$16,Generators!$O$118:$Q$134,3,FALSE)),(D26+1),""),IF('Fuel Equipment'!D$14='Fuel Equipment'!$D$55,IF($A27&lt;(VLOOKUP('Fuel Equipment'!D$16,'Scissor Lifts'!$J$42:$L$44,3,FALSE)),(D26+1),""),"ERROR"))))))</f>
        <v/>
      </c>
      <c r="E27" s="474" t="str">
        <f>IF(E26="","",IF('Fuel Equipment'!E$14='Fuel Equipment'!$D$51,IF($A27&lt;(VLOOKUP('Fuel Equipment'!E$16,Cranes!$G$21:$I$24,3,FALSE)),(E26+1),""),IF('Fuel Equipment'!E$14='Fuel Equipment'!$D$52,IF($A27&lt;(VLOOKUP('Fuel Equipment'!E$16,Dumpers!$V$30:$X$34,3,FALSE)),(E26+1),""),IF('Fuel Equipment'!E$14='Fuel Equipment'!$D$53,IF($A27&lt;(VLOOKUP('Fuel Equipment'!E$16,Excavators!$W$58:$Y$71,3,FALSE)),(E26+1),""),IF('Fuel Equipment'!E$14='Fuel Equipment'!$D$54,IF($A27&lt;(VLOOKUP('Fuel Equipment'!E$16,Generators!$O$118:$Q$134,3,FALSE)),(E26+1),""),IF('Fuel Equipment'!E$14='Fuel Equipment'!$D$55,IF($A27&lt;(VLOOKUP('Fuel Equipment'!E$16,'Scissor Lifts'!$J$42:$L$44,3,FALSE)),(E26+1),""),"ERROR"))))))</f>
        <v/>
      </c>
      <c r="F27" s="474" t="str">
        <f>IF(F26="","",IF('Fuel Equipment'!F$14='Fuel Equipment'!$D$51,IF($A27&lt;(VLOOKUP('Fuel Equipment'!F$16,Cranes!$G$21:$I$24,3,FALSE)),(F26+1),""),IF('Fuel Equipment'!F$14='Fuel Equipment'!$D$52,IF($A27&lt;(VLOOKUP('Fuel Equipment'!F$16,Dumpers!$V$30:$X$34,3,FALSE)),(F26+1),""),IF('Fuel Equipment'!F$14='Fuel Equipment'!$D$53,IF($A27&lt;(VLOOKUP('Fuel Equipment'!F$16,Excavators!$W$58:$Y$71,3,FALSE)),(F26+1),""),IF('Fuel Equipment'!F$14='Fuel Equipment'!$D$54,IF($A27&lt;(VLOOKUP('Fuel Equipment'!F$16,Generators!$O$118:$Q$134,3,FALSE)),(F26+1),""),IF('Fuel Equipment'!F$14='Fuel Equipment'!$D$55,IF($A27&lt;(VLOOKUP('Fuel Equipment'!F$16,'Scissor Lifts'!$J$42:$L$44,3,FALSE)),(F26+1),""),"ERROR"))))))</f>
        <v/>
      </c>
      <c r="G27" s="474" t="str">
        <f>IF(G26="","",IF('Fuel Equipment'!G$14='Fuel Equipment'!$D$51,IF($A27&lt;(VLOOKUP('Fuel Equipment'!G$16,Cranes!$G$21:$I$24,3,FALSE)),(G26+1),""),IF('Fuel Equipment'!G$14='Fuel Equipment'!$D$52,IF($A27&lt;(VLOOKUP('Fuel Equipment'!G$16,Dumpers!$V$30:$X$34,3,FALSE)),(G26+1),""),IF('Fuel Equipment'!G$14='Fuel Equipment'!$D$53,IF($A27&lt;(VLOOKUP('Fuel Equipment'!G$16,Excavators!$W$58:$Y$71,3,FALSE)),(G26+1),""),IF('Fuel Equipment'!G$14='Fuel Equipment'!$D$54,IF($A27&lt;(VLOOKUP('Fuel Equipment'!G$16,Generators!$O$118:$Q$134,3,FALSE)),(G26+1),""),IF('Fuel Equipment'!G$14='Fuel Equipment'!$D$55,IF($A27&lt;(VLOOKUP('Fuel Equipment'!G$16,'Scissor Lifts'!$J$42:$L$44,3,FALSE)),(G26+1),""),"ERROR"))))))</f>
        <v/>
      </c>
      <c r="H27" s="474" t="str">
        <f>IF(H26="","",IF('Fuel Equipment'!H$14='Fuel Equipment'!$D$51,IF($A27&lt;(VLOOKUP('Fuel Equipment'!H$16,Cranes!$G$21:$I$24,3,FALSE)),(H26+1),""),IF('Fuel Equipment'!H$14='Fuel Equipment'!$D$52,IF($A27&lt;(VLOOKUP('Fuel Equipment'!H$16,Dumpers!$V$30:$X$34,3,FALSE)),(H26+1),""),IF('Fuel Equipment'!H$14='Fuel Equipment'!$D$53,IF($A27&lt;(VLOOKUP('Fuel Equipment'!H$16,Excavators!$W$58:$Y$71,3,FALSE)),(H26+1),""),IF('Fuel Equipment'!H$14='Fuel Equipment'!$D$54,IF($A27&lt;(VLOOKUP('Fuel Equipment'!H$16,Generators!$O$118:$Q$134,3,FALSE)),(H26+1),""),IF('Fuel Equipment'!H$14='Fuel Equipment'!$D$55,IF($A27&lt;(VLOOKUP('Fuel Equipment'!H$16,'Scissor Lifts'!$J$42:$L$44,3,FALSE)),(H26+1),""),"ERROR"))))))</f>
        <v/>
      </c>
      <c r="I27" s="474" t="str">
        <f>IF(I26="","",IF('Fuel Equipment'!I$14='Fuel Equipment'!$D$51,IF($A27&lt;(VLOOKUP('Fuel Equipment'!I$16,Cranes!$G$21:$I$24,3,FALSE)),(I26+1),""),IF('Fuel Equipment'!I$14='Fuel Equipment'!$D$52,IF($A27&lt;(VLOOKUP('Fuel Equipment'!I$16,Dumpers!$V$30:$X$34,3,FALSE)),(I26+1),""),IF('Fuel Equipment'!I$14='Fuel Equipment'!$D$53,IF($A27&lt;(VLOOKUP('Fuel Equipment'!I$16,Excavators!$W$58:$Y$71,3,FALSE)),(I26+1),""),IF('Fuel Equipment'!I$14='Fuel Equipment'!$D$54,IF($A27&lt;(VLOOKUP('Fuel Equipment'!I$16,Generators!$O$118:$Q$134,3,FALSE)),(I26+1),""),IF('Fuel Equipment'!I$14='Fuel Equipment'!$D$55,IF($A27&lt;(VLOOKUP('Fuel Equipment'!I$16,'Scissor Lifts'!$J$42:$L$44,3,FALSE)),(I26+1),""),"ERROR"))))))</f>
        <v/>
      </c>
      <c r="J27" s="474" t="str">
        <f>IF(J26="","",IF('Fuel Equipment'!J$14='Fuel Equipment'!$D$51,IF($A27&lt;(VLOOKUP('Fuel Equipment'!J$16,Cranes!$G$21:$I$24,3,FALSE)),(J26+1),""),IF('Fuel Equipment'!J$14='Fuel Equipment'!$D$52,IF($A27&lt;(VLOOKUP('Fuel Equipment'!J$16,Dumpers!$V$30:$X$34,3,FALSE)),(J26+1),""),IF('Fuel Equipment'!J$14='Fuel Equipment'!$D$53,IF($A27&lt;(VLOOKUP('Fuel Equipment'!J$16,Excavators!$W$58:$Y$71,3,FALSE)),(J26+1),""),IF('Fuel Equipment'!J$14='Fuel Equipment'!$D$54,IF($A27&lt;(VLOOKUP('Fuel Equipment'!J$16,Generators!$O$118:$Q$134,3,FALSE)),(J26+1),""),IF('Fuel Equipment'!J$14='Fuel Equipment'!$D$55,IF($A27&lt;(VLOOKUP('Fuel Equipment'!J$16,'Scissor Lifts'!$J$42:$L$44,3,FALSE)),(J26+1),""),"ERROR"))))))</f>
        <v/>
      </c>
      <c r="K27" s="474" t="str">
        <f>IF(K26="","",IF('Fuel Equipment'!K$14='Fuel Equipment'!$D$51,IF($A27&lt;(VLOOKUP('Fuel Equipment'!K$16,Cranes!$G$21:$I$24,3,FALSE)),(K26+1),""),IF('Fuel Equipment'!K$14='Fuel Equipment'!$D$52,IF($A27&lt;(VLOOKUP('Fuel Equipment'!K$16,Dumpers!$V$30:$X$34,3,FALSE)),(K26+1),""),IF('Fuel Equipment'!K$14='Fuel Equipment'!$D$53,IF($A27&lt;(VLOOKUP('Fuel Equipment'!K$16,Excavators!$W$58:$Y$71,3,FALSE)),(K26+1),""),IF('Fuel Equipment'!K$14='Fuel Equipment'!$D$54,IF($A27&lt;(VLOOKUP('Fuel Equipment'!K$16,Generators!$O$118:$Q$134,3,FALSE)),(K26+1),""),IF('Fuel Equipment'!K$14='Fuel Equipment'!$D$55,IF($A27&lt;(VLOOKUP('Fuel Equipment'!K$16,'Scissor Lifts'!$J$42:$L$44,3,FALSE)),(K26+1),""),"ERROR"))))))</f>
        <v/>
      </c>
      <c r="L27" s="474" t="str">
        <f>IF(L26="","",IF('Fuel Equipment'!L$14='Fuel Equipment'!$D$51,IF($A27&lt;(VLOOKUP('Fuel Equipment'!L$16,Cranes!$G$21:$I$24,3,FALSE)),(L26+1),""),IF('Fuel Equipment'!L$14='Fuel Equipment'!$D$52,IF($A27&lt;(VLOOKUP('Fuel Equipment'!L$16,Dumpers!$V$30:$X$34,3,FALSE)),(L26+1),""),IF('Fuel Equipment'!L$14='Fuel Equipment'!$D$53,IF($A27&lt;(VLOOKUP('Fuel Equipment'!L$16,Excavators!$W$58:$Y$71,3,FALSE)),(L26+1),""),IF('Fuel Equipment'!L$14='Fuel Equipment'!$D$54,IF($A27&lt;(VLOOKUP('Fuel Equipment'!L$16,Generators!$O$118:$Q$134,3,FALSE)),(L26+1),""),IF('Fuel Equipment'!L$14='Fuel Equipment'!$D$55,IF($A27&lt;(VLOOKUP('Fuel Equipment'!L$16,'Scissor Lifts'!$J$42:$L$44,3,FALSE)),(L26+1),""),"ERROR"))))))</f>
        <v/>
      </c>
      <c r="M27" s="474" t="str">
        <f>IF(M26="","",IF('Fuel Equipment'!M$14='Fuel Equipment'!$D$51,IF($A27&lt;(VLOOKUP('Fuel Equipment'!M$16,Cranes!$G$21:$I$24,3,FALSE)),(M26+1),""),IF('Fuel Equipment'!M$14='Fuel Equipment'!$D$52,IF($A27&lt;(VLOOKUP('Fuel Equipment'!M$16,Dumpers!$V$30:$X$34,3,FALSE)),(M26+1),""),IF('Fuel Equipment'!M$14='Fuel Equipment'!$D$53,IF($A27&lt;(VLOOKUP('Fuel Equipment'!M$16,Excavators!$W$58:$Y$71,3,FALSE)),(M26+1),""),IF('Fuel Equipment'!M$14='Fuel Equipment'!$D$54,IF($A27&lt;(VLOOKUP('Fuel Equipment'!M$16,Generators!$O$118:$Q$134,3,FALSE)),(M26+1),""),IF('Fuel Equipment'!M$14='Fuel Equipment'!$D$55,IF($A27&lt;(VLOOKUP('Fuel Equipment'!M$16,'Scissor Lifts'!$J$42:$L$44,3,FALSE)),(M26+1),""),"ERROR"))))))</f>
        <v/>
      </c>
      <c r="N27" s="474" t="str">
        <f>IF(N26="","",IF('Fuel Equipment'!N$14='Fuel Equipment'!$D$51,IF($A27&lt;(VLOOKUP('Fuel Equipment'!N$16,Cranes!$G$21:$I$24,3,FALSE)),(N26+1),""),IF('Fuel Equipment'!N$14='Fuel Equipment'!$D$52,IF($A27&lt;(VLOOKUP('Fuel Equipment'!N$16,Dumpers!$V$30:$X$34,3,FALSE)),(N26+1),""),IF('Fuel Equipment'!N$14='Fuel Equipment'!$D$53,IF($A27&lt;(VLOOKUP('Fuel Equipment'!N$16,Excavators!$W$58:$Y$71,3,FALSE)),(N26+1),""),IF('Fuel Equipment'!N$14='Fuel Equipment'!$D$54,IF($A27&lt;(VLOOKUP('Fuel Equipment'!N$16,Generators!$O$118:$Q$134,3,FALSE)),(N26+1),""),IF('Fuel Equipment'!N$14='Fuel Equipment'!$D$55,IF($A27&lt;(VLOOKUP('Fuel Equipment'!N$16,'Scissor Lifts'!$J$42:$L$44,3,FALSE)),(N26+1),""),"ERROR"))))))</f>
        <v/>
      </c>
      <c r="O27" s="474" t="str">
        <f>IF(O26="","",IF('Fuel Equipment'!O$14='Fuel Equipment'!$D$51,IF($A27&lt;(VLOOKUP('Fuel Equipment'!O$16,Cranes!$G$21:$I$24,3,FALSE)),(O26+1),""),IF('Fuel Equipment'!O$14='Fuel Equipment'!$D$52,IF($A27&lt;(VLOOKUP('Fuel Equipment'!O$16,Dumpers!$V$30:$X$34,3,FALSE)),(O26+1),""),IF('Fuel Equipment'!O$14='Fuel Equipment'!$D$53,IF($A27&lt;(VLOOKUP('Fuel Equipment'!O$16,Excavators!$W$58:$Y$71,3,FALSE)),(O26+1),""),IF('Fuel Equipment'!O$14='Fuel Equipment'!$D$54,IF($A27&lt;(VLOOKUP('Fuel Equipment'!O$16,Generators!$O$118:$Q$134,3,FALSE)),(O26+1),""),IF('Fuel Equipment'!O$14='Fuel Equipment'!$D$55,IF($A27&lt;(VLOOKUP('Fuel Equipment'!O$16,'Scissor Lifts'!$J$42:$L$44,3,FALSE)),(O26+1),""),"ERROR"))))))</f>
        <v/>
      </c>
      <c r="P27" s="474" t="str">
        <f>IF(P26="","",IF('Fuel Equipment'!P$14='Fuel Equipment'!$D$51,IF($A27&lt;(VLOOKUP('Fuel Equipment'!P$16,Cranes!$G$21:$I$24,3,FALSE)),(P26+1),""),IF('Fuel Equipment'!P$14='Fuel Equipment'!$D$52,IF($A27&lt;(VLOOKUP('Fuel Equipment'!P$16,Dumpers!$V$30:$X$34,3,FALSE)),(P26+1),""),IF('Fuel Equipment'!P$14='Fuel Equipment'!$D$53,IF($A27&lt;(VLOOKUP('Fuel Equipment'!P$16,Excavators!$W$58:$Y$71,3,FALSE)),(P26+1),""),IF('Fuel Equipment'!P$14='Fuel Equipment'!$D$54,IF($A27&lt;(VLOOKUP('Fuel Equipment'!P$16,Generators!$O$118:$Q$134,3,FALSE)),(P26+1),""),IF('Fuel Equipment'!P$14='Fuel Equipment'!$D$55,IF($A27&lt;(VLOOKUP('Fuel Equipment'!P$16,'Scissor Lifts'!$J$42:$L$44,3,FALSE)),(P26+1),""),"ERROR"))))))</f>
        <v/>
      </c>
      <c r="Q27" s="474" t="str">
        <f>IF(Q26="","",IF('Fuel Equipment'!Q$14='Fuel Equipment'!$D$51,IF($A27&lt;(VLOOKUP('Fuel Equipment'!Q$16,Cranes!$G$21:$I$24,3,FALSE)),(Q26+1),""),IF('Fuel Equipment'!Q$14='Fuel Equipment'!$D$52,IF($A27&lt;(VLOOKUP('Fuel Equipment'!Q$16,Dumpers!$V$30:$X$34,3,FALSE)),(Q26+1),""),IF('Fuel Equipment'!Q$14='Fuel Equipment'!$D$53,IF($A27&lt;(VLOOKUP('Fuel Equipment'!Q$16,Excavators!$W$58:$Y$71,3,FALSE)),(Q26+1),""),IF('Fuel Equipment'!Q$14='Fuel Equipment'!$D$54,IF($A27&lt;(VLOOKUP('Fuel Equipment'!Q$16,Generators!$O$118:$Q$134,3,FALSE)),(Q26+1),""),IF('Fuel Equipment'!Q$14='Fuel Equipment'!$D$55,IF($A27&lt;(VLOOKUP('Fuel Equipment'!Q$16,'Scissor Lifts'!$J$42:$L$44,3,FALSE)),(Q26+1),""),"ERROR"))))))</f>
        <v/>
      </c>
      <c r="R27" s="474" t="str">
        <f>IF(R26="","",IF('Fuel Equipment'!R$14='Fuel Equipment'!$D$51,IF($A27&lt;(VLOOKUP('Fuel Equipment'!R$16,Cranes!$G$21:$I$24,3,FALSE)),(R26+1),""),IF('Fuel Equipment'!R$14='Fuel Equipment'!$D$52,IF($A27&lt;(VLOOKUP('Fuel Equipment'!R$16,Dumpers!$V$30:$X$34,3,FALSE)),(R26+1),""),IF('Fuel Equipment'!R$14='Fuel Equipment'!$D$53,IF($A27&lt;(VLOOKUP('Fuel Equipment'!R$16,Excavators!$W$58:$Y$71,3,FALSE)),(R26+1),""),IF('Fuel Equipment'!R$14='Fuel Equipment'!$D$54,IF($A27&lt;(VLOOKUP('Fuel Equipment'!R$16,Generators!$O$118:$Q$134,3,FALSE)),(R26+1),""),IF('Fuel Equipment'!R$14='Fuel Equipment'!$D$55,IF($A27&lt;(VLOOKUP('Fuel Equipment'!R$16,'Scissor Lifts'!$J$42:$L$44,3,FALSE)),(R26+1),""),"ERROR"))))))</f>
        <v/>
      </c>
      <c r="S27" s="553" t="str">
        <f>IF(S26="","",IF('Fuel Equipment'!S$14='Fuel Equipment'!$D$51,IF($A27&lt;(VLOOKUP('Fuel Equipment'!S$16,Cranes!$G$21:$I$24,3,FALSE)),(S26+1),""),IF('Fuel Equipment'!S$14='Fuel Equipment'!$D$52,IF($A27&lt;(VLOOKUP('Fuel Equipment'!S$16,Dumpers!$V$30:$X$34,3,FALSE)),(S26+1),""),IF('Fuel Equipment'!S$14='Fuel Equipment'!$D$53,IF($A27&lt;(VLOOKUP('Fuel Equipment'!S$16,Excavators!$W$58:$Y$71,3,FALSE)),(S26+1),""),IF('Fuel Equipment'!S$14='Fuel Equipment'!$D$54,IF($A27&lt;(VLOOKUP('Fuel Equipment'!S$16,Generators!$O$118:$Q$134,3,FALSE)),(S26+1),""),IF('Fuel Equipment'!S$14='Fuel Equipment'!$D$55,IF($A27&lt;(VLOOKUP('Fuel Equipment'!S$16,'Scissor Lifts'!$J$42:$L$44,3,FALSE)),(S26+1),""),"ERROR"))))))</f>
        <v/>
      </c>
      <c r="U27" s="927"/>
      <c r="V27" s="927"/>
      <c r="W27" s="927"/>
      <c r="X27" s="928"/>
      <c r="Y27" s="928"/>
      <c r="Z27" s="928"/>
      <c r="AA27" s="928"/>
    </row>
    <row r="28" spans="1:27" s="179" customFormat="1" ht="15.75" thickBot="1">
      <c r="A28" s="106">
        <v>6</v>
      </c>
      <c r="B28" s="554" t="str">
        <f>IF(B27="","",IF('Fuel Equipment'!B$14='Fuel Equipment'!$D$51,IF($A28&lt;(VLOOKUP('Fuel Equipment'!B$16,Cranes!$G$21:$I$24,3,FALSE)),(B27+1),""),IF('Fuel Equipment'!B$14='Fuel Equipment'!$D$52,IF($A28&lt;(VLOOKUP('Fuel Equipment'!B$16,Dumpers!$V$30:$X$34,3,FALSE)),(B27+1),""),IF('Fuel Equipment'!B$14='Fuel Equipment'!$D$53,IF($A28&lt;(VLOOKUP('Fuel Equipment'!B$16,Excavators!$W$58:$Y$71,3,FALSE)),(B27+1),""),IF('Fuel Equipment'!B$14='Fuel Equipment'!$D$54,IF($A28&lt;(VLOOKUP('Fuel Equipment'!B$16,Generators!$O$118:$Q$134,3,FALSE)),(B27+1),""),IF('Fuel Equipment'!B$14='Fuel Equipment'!$D$55,IF($A28&lt;(VLOOKUP('Fuel Equipment'!B$16,'Scissor Lifts'!$J$42:$L$44,3,FALSE)),(B27+1),""),"ERROR"))))))</f>
        <v/>
      </c>
      <c r="C28" s="555" t="str">
        <f>IF(C27="","",IF('Fuel Equipment'!C$14='Fuel Equipment'!$D$51,IF($A28&lt;(VLOOKUP('Fuel Equipment'!C$16,Cranes!$G$21:$I$24,3,FALSE)),(C27+1),""),IF('Fuel Equipment'!C$14='Fuel Equipment'!$D$52,IF($A28&lt;(VLOOKUP('Fuel Equipment'!C$16,Dumpers!$V$30:$X$34,3,FALSE)),(C27+1),""),IF('Fuel Equipment'!C$14='Fuel Equipment'!$D$53,IF($A28&lt;(VLOOKUP('Fuel Equipment'!C$16,Excavators!$W$58:$Y$71,3,FALSE)),(C27+1),""),IF('Fuel Equipment'!C$14='Fuel Equipment'!$D$54,IF($A28&lt;(VLOOKUP('Fuel Equipment'!C$16,Generators!$O$118:$Q$134,3,FALSE)),(C27+1),""),IF('Fuel Equipment'!C$14='Fuel Equipment'!$D$55,IF($A28&lt;(VLOOKUP('Fuel Equipment'!C$16,'Scissor Lifts'!$J$42:$L$44,3,FALSE)),(C27+1),""),"ERROR"))))))</f>
        <v/>
      </c>
      <c r="D28" s="555" t="str">
        <f>IF(D27="","",IF('Fuel Equipment'!D$14='Fuel Equipment'!$D$51,IF($A28&lt;(VLOOKUP('Fuel Equipment'!D$16,Cranes!$G$21:$I$24,3,FALSE)),(D27+1),""),IF('Fuel Equipment'!D$14='Fuel Equipment'!$D$52,IF($A28&lt;(VLOOKUP('Fuel Equipment'!D$16,Dumpers!$V$30:$X$34,3,FALSE)),(D27+1),""),IF('Fuel Equipment'!D$14='Fuel Equipment'!$D$53,IF($A28&lt;(VLOOKUP('Fuel Equipment'!D$16,Excavators!$W$58:$Y$71,3,FALSE)),(D27+1),""),IF('Fuel Equipment'!D$14='Fuel Equipment'!$D$54,IF($A28&lt;(VLOOKUP('Fuel Equipment'!D$16,Generators!$O$118:$Q$134,3,FALSE)),(D27+1),""),IF('Fuel Equipment'!D$14='Fuel Equipment'!$D$55,IF($A28&lt;(VLOOKUP('Fuel Equipment'!D$16,'Scissor Lifts'!$J$42:$L$44,3,FALSE)),(D27+1),""),"ERROR"))))))</f>
        <v/>
      </c>
      <c r="E28" s="555" t="str">
        <f>IF(E27="","",IF('Fuel Equipment'!E$14='Fuel Equipment'!$D$51,IF($A28&lt;(VLOOKUP('Fuel Equipment'!E$16,Cranes!$G$21:$I$24,3,FALSE)),(E27+1),""),IF('Fuel Equipment'!E$14='Fuel Equipment'!$D$52,IF($A28&lt;(VLOOKUP('Fuel Equipment'!E$16,Dumpers!$V$30:$X$34,3,FALSE)),(E27+1),""),IF('Fuel Equipment'!E$14='Fuel Equipment'!$D$53,IF($A28&lt;(VLOOKUP('Fuel Equipment'!E$16,Excavators!$W$58:$Y$71,3,FALSE)),(E27+1),""),IF('Fuel Equipment'!E$14='Fuel Equipment'!$D$54,IF($A28&lt;(VLOOKUP('Fuel Equipment'!E$16,Generators!$O$118:$Q$134,3,FALSE)),(E27+1),""),IF('Fuel Equipment'!E$14='Fuel Equipment'!$D$55,IF($A28&lt;(VLOOKUP('Fuel Equipment'!E$16,'Scissor Lifts'!$J$42:$L$44,3,FALSE)),(E27+1),""),"ERROR"))))))</f>
        <v/>
      </c>
      <c r="F28" s="555" t="str">
        <f>IF(F27="","",IF('Fuel Equipment'!F$14='Fuel Equipment'!$D$51,IF($A28&lt;(VLOOKUP('Fuel Equipment'!F$16,Cranes!$G$21:$I$24,3,FALSE)),(F27+1),""),IF('Fuel Equipment'!F$14='Fuel Equipment'!$D$52,IF($A28&lt;(VLOOKUP('Fuel Equipment'!F$16,Dumpers!$V$30:$X$34,3,FALSE)),(F27+1),""),IF('Fuel Equipment'!F$14='Fuel Equipment'!$D$53,IF($A28&lt;(VLOOKUP('Fuel Equipment'!F$16,Excavators!$W$58:$Y$71,3,FALSE)),(F27+1),""),IF('Fuel Equipment'!F$14='Fuel Equipment'!$D$54,IF($A28&lt;(VLOOKUP('Fuel Equipment'!F$16,Generators!$O$118:$Q$134,3,FALSE)),(F27+1),""),IF('Fuel Equipment'!F$14='Fuel Equipment'!$D$55,IF($A28&lt;(VLOOKUP('Fuel Equipment'!F$16,'Scissor Lifts'!$J$42:$L$44,3,FALSE)),(F27+1),""),"ERROR"))))))</f>
        <v/>
      </c>
      <c r="G28" s="555" t="str">
        <f>IF(G27="","",IF('Fuel Equipment'!G$14='Fuel Equipment'!$D$51,IF($A28&lt;(VLOOKUP('Fuel Equipment'!G$16,Cranes!$G$21:$I$24,3,FALSE)),(G27+1),""),IF('Fuel Equipment'!G$14='Fuel Equipment'!$D$52,IF($A28&lt;(VLOOKUP('Fuel Equipment'!G$16,Dumpers!$V$30:$X$34,3,FALSE)),(G27+1),""),IF('Fuel Equipment'!G$14='Fuel Equipment'!$D$53,IF($A28&lt;(VLOOKUP('Fuel Equipment'!G$16,Excavators!$W$58:$Y$71,3,FALSE)),(G27+1),""),IF('Fuel Equipment'!G$14='Fuel Equipment'!$D$54,IF($A28&lt;(VLOOKUP('Fuel Equipment'!G$16,Generators!$O$118:$Q$134,3,FALSE)),(G27+1),""),IF('Fuel Equipment'!G$14='Fuel Equipment'!$D$55,IF($A28&lt;(VLOOKUP('Fuel Equipment'!G$16,'Scissor Lifts'!$J$42:$L$44,3,FALSE)),(G27+1),""),"ERROR"))))))</f>
        <v/>
      </c>
      <c r="H28" s="555" t="str">
        <f>IF(H27="","",IF('Fuel Equipment'!H$14='Fuel Equipment'!$D$51,IF($A28&lt;(VLOOKUP('Fuel Equipment'!H$16,Cranes!$G$21:$I$24,3,FALSE)),(H27+1),""),IF('Fuel Equipment'!H$14='Fuel Equipment'!$D$52,IF($A28&lt;(VLOOKUP('Fuel Equipment'!H$16,Dumpers!$V$30:$X$34,3,FALSE)),(H27+1),""),IF('Fuel Equipment'!H$14='Fuel Equipment'!$D$53,IF($A28&lt;(VLOOKUP('Fuel Equipment'!H$16,Excavators!$W$58:$Y$71,3,FALSE)),(H27+1),""),IF('Fuel Equipment'!H$14='Fuel Equipment'!$D$54,IF($A28&lt;(VLOOKUP('Fuel Equipment'!H$16,Generators!$O$118:$Q$134,3,FALSE)),(H27+1),""),IF('Fuel Equipment'!H$14='Fuel Equipment'!$D$55,IF($A28&lt;(VLOOKUP('Fuel Equipment'!H$16,'Scissor Lifts'!$J$42:$L$44,3,FALSE)),(H27+1),""),"ERROR"))))))</f>
        <v/>
      </c>
      <c r="I28" s="555" t="str">
        <f>IF(I27="","",IF('Fuel Equipment'!I$14='Fuel Equipment'!$D$51,IF($A28&lt;(VLOOKUP('Fuel Equipment'!I$16,Cranes!$G$21:$I$24,3,FALSE)),(I27+1),""),IF('Fuel Equipment'!I$14='Fuel Equipment'!$D$52,IF($A28&lt;(VLOOKUP('Fuel Equipment'!I$16,Dumpers!$V$30:$X$34,3,FALSE)),(I27+1),""),IF('Fuel Equipment'!I$14='Fuel Equipment'!$D$53,IF($A28&lt;(VLOOKUP('Fuel Equipment'!I$16,Excavators!$W$58:$Y$71,3,FALSE)),(I27+1),""),IF('Fuel Equipment'!I$14='Fuel Equipment'!$D$54,IF($A28&lt;(VLOOKUP('Fuel Equipment'!I$16,Generators!$O$118:$Q$134,3,FALSE)),(I27+1),""),IF('Fuel Equipment'!I$14='Fuel Equipment'!$D$55,IF($A28&lt;(VLOOKUP('Fuel Equipment'!I$16,'Scissor Lifts'!$J$42:$L$44,3,FALSE)),(I27+1),""),"ERROR"))))))</f>
        <v/>
      </c>
      <c r="J28" s="555" t="str">
        <f>IF(J27="","",IF('Fuel Equipment'!J$14='Fuel Equipment'!$D$51,IF($A28&lt;(VLOOKUP('Fuel Equipment'!J$16,Cranes!$G$21:$I$24,3,FALSE)),(J27+1),""),IF('Fuel Equipment'!J$14='Fuel Equipment'!$D$52,IF($A28&lt;(VLOOKUP('Fuel Equipment'!J$16,Dumpers!$V$30:$X$34,3,FALSE)),(J27+1),""),IF('Fuel Equipment'!J$14='Fuel Equipment'!$D$53,IF($A28&lt;(VLOOKUP('Fuel Equipment'!J$16,Excavators!$W$58:$Y$71,3,FALSE)),(J27+1),""),IF('Fuel Equipment'!J$14='Fuel Equipment'!$D$54,IF($A28&lt;(VLOOKUP('Fuel Equipment'!J$16,Generators!$O$118:$Q$134,3,FALSE)),(J27+1),""),IF('Fuel Equipment'!J$14='Fuel Equipment'!$D$55,IF($A28&lt;(VLOOKUP('Fuel Equipment'!J$16,'Scissor Lifts'!$J$42:$L$44,3,FALSE)),(J27+1),""),"ERROR"))))))</f>
        <v/>
      </c>
      <c r="K28" s="555" t="str">
        <f>IF(K27="","",IF('Fuel Equipment'!K$14='Fuel Equipment'!$D$51,IF($A28&lt;(VLOOKUP('Fuel Equipment'!K$16,Cranes!$G$21:$I$24,3,FALSE)),(K27+1),""),IF('Fuel Equipment'!K$14='Fuel Equipment'!$D$52,IF($A28&lt;(VLOOKUP('Fuel Equipment'!K$16,Dumpers!$V$30:$X$34,3,FALSE)),(K27+1),""),IF('Fuel Equipment'!K$14='Fuel Equipment'!$D$53,IF($A28&lt;(VLOOKUP('Fuel Equipment'!K$16,Excavators!$W$58:$Y$71,3,FALSE)),(K27+1),""),IF('Fuel Equipment'!K$14='Fuel Equipment'!$D$54,IF($A28&lt;(VLOOKUP('Fuel Equipment'!K$16,Generators!$O$118:$Q$134,3,FALSE)),(K27+1),""),IF('Fuel Equipment'!K$14='Fuel Equipment'!$D$55,IF($A28&lt;(VLOOKUP('Fuel Equipment'!K$16,'Scissor Lifts'!$J$42:$L$44,3,FALSE)),(K27+1),""),"ERROR"))))))</f>
        <v/>
      </c>
      <c r="L28" s="555" t="str">
        <f>IF(L27="","",IF('Fuel Equipment'!L$14='Fuel Equipment'!$D$51,IF($A28&lt;(VLOOKUP('Fuel Equipment'!L$16,Cranes!$G$21:$I$24,3,FALSE)),(L27+1),""),IF('Fuel Equipment'!L$14='Fuel Equipment'!$D$52,IF($A28&lt;(VLOOKUP('Fuel Equipment'!L$16,Dumpers!$V$30:$X$34,3,FALSE)),(L27+1),""),IF('Fuel Equipment'!L$14='Fuel Equipment'!$D$53,IF($A28&lt;(VLOOKUP('Fuel Equipment'!L$16,Excavators!$W$58:$Y$71,3,FALSE)),(L27+1),""),IF('Fuel Equipment'!L$14='Fuel Equipment'!$D$54,IF($A28&lt;(VLOOKUP('Fuel Equipment'!L$16,Generators!$O$118:$Q$134,3,FALSE)),(L27+1),""),IF('Fuel Equipment'!L$14='Fuel Equipment'!$D$55,IF($A28&lt;(VLOOKUP('Fuel Equipment'!L$16,'Scissor Lifts'!$J$42:$L$44,3,FALSE)),(L27+1),""),"ERROR"))))))</f>
        <v/>
      </c>
      <c r="M28" s="555" t="str">
        <f>IF(M27="","",IF('Fuel Equipment'!M$14='Fuel Equipment'!$D$51,IF($A28&lt;(VLOOKUP('Fuel Equipment'!M$16,Cranes!$G$21:$I$24,3,FALSE)),(M27+1),""),IF('Fuel Equipment'!M$14='Fuel Equipment'!$D$52,IF($A28&lt;(VLOOKUP('Fuel Equipment'!M$16,Dumpers!$V$30:$X$34,3,FALSE)),(M27+1),""),IF('Fuel Equipment'!M$14='Fuel Equipment'!$D$53,IF($A28&lt;(VLOOKUP('Fuel Equipment'!M$16,Excavators!$W$58:$Y$71,3,FALSE)),(M27+1),""),IF('Fuel Equipment'!M$14='Fuel Equipment'!$D$54,IF($A28&lt;(VLOOKUP('Fuel Equipment'!M$16,Generators!$O$118:$Q$134,3,FALSE)),(M27+1),""),IF('Fuel Equipment'!M$14='Fuel Equipment'!$D$55,IF($A28&lt;(VLOOKUP('Fuel Equipment'!M$16,'Scissor Lifts'!$J$42:$L$44,3,FALSE)),(M27+1),""),"ERROR"))))))</f>
        <v/>
      </c>
      <c r="N28" s="555" t="str">
        <f>IF(N27="","",IF('Fuel Equipment'!N$14='Fuel Equipment'!$D$51,IF($A28&lt;(VLOOKUP('Fuel Equipment'!N$16,Cranes!$G$21:$I$24,3,FALSE)),(N27+1),""),IF('Fuel Equipment'!N$14='Fuel Equipment'!$D$52,IF($A28&lt;(VLOOKUP('Fuel Equipment'!N$16,Dumpers!$V$30:$X$34,3,FALSE)),(N27+1),""),IF('Fuel Equipment'!N$14='Fuel Equipment'!$D$53,IF($A28&lt;(VLOOKUP('Fuel Equipment'!N$16,Excavators!$W$58:$Y$71,3,FALSE)),(N27+1),""),IF('Fuel Equipment'!N$14='Fuel Equipment'!$D$54,IF($A28&lt;(VLOOKUP('Fuel Equipment'!N$16,Generators!$O$118:$Q$134,3,FALSE)),(N27+1),""),IF('Fuel Equipment'!N$14='Fuel Equipment'!$D$55,IF($A28&lt;(VLOOKUP('Fuel Equipment'!N$16,'Scissor Lifts'!$J$42:$L$44,3,FALSE)),(N27+1),""),"ERROR"))))))</f>
        <v/>
      </c>
      <c r="O28" s="555" t="str">
        <f>IF(O27="","",IF('Fuel Equipment'!O$14='Fuel Equipment'!$D$51,IF($A28&lt;(VLOOKUP('Fuel Equipment'!O$16,Cranes!$G$21:$I$24,3,FALSE)),(O27+1),""),IF('Fuel Equipment'!O$14='Fuel Equipment'!$D$52,IF($A28&lt;(VLOOKUP('Fuel Equipment'!O$16,Dumpers!$V$30:$X$34,3,FALSE)),(O27+1),""),IF('Fuel Equipment'!O$14='Fuel Equipment'!$D$53,IF($A28&lt;(VLOOKUP('Fuel Equipment'!O$16,Excavators!$W$58:$Y$71,3,FALSE)),(O27+1),""),IF('Fuel Equipment'!O$14='Fuel Equipment'!$D$54,IF($A28&lt;(VLOOKUP('Fuel Equipment'!O$16,Generators!$O$118:$Q$134,3,FALSE)),(O27+1),""),IF('Fuel Equipment'!O$14='Fuel Equipment'!$D$55,IF($A28&lt;(VLOOKUP('Fuel Equipment'!O$16,'Scissor Lifts'!$J$42:$L$44,3,FALSE)),(O27+1),""),"ERROR"))))))</f>
        <v/>
      </c>
      <c r="P28" s="555" t="str">
        <f>IF(P27="","",IF('Fuel Equipment'!P$14='Fuel Equipment'!$D$51,IF($A28&lt;(VLOOKUP('Fuel Equipment'!P$16,Cranes!$G$21:$I$24,3,FALSE)),(P27+1),""),IF('Fuel Equipment'!P$14='Fuel Equipment'!$D$52,IF($A28&lt;(VLOOKUP('Fuel Equipment'!P$16,Dumpers!$V$30:$X$34,3,FALSE)),(P27+1),""),IF('Fuel Equipment'!P$14='Fuel Equipment'!$D$53,IF($A28&lt;(VLOOKUP('Fuel Equipment'!P$16,Excavators!$W$58:$Y$71,3,FALSE)),(P27+1),""),IF('Fuel Equipment'!P$14='Fuel Equipment'!$D$54,IF($A28&lt;(VLOOKUP('Fuel Equipment'!P$16,Generators!$O$118:$Q$134,3,FALSE)),(P27+1),""),IF('Fuel Equipment'!P$14='Fuel Equipment'!$D$55,IF($A28&lt;(VLOOKUP('Fuel Equipment'!P$16,'Scissor Lifts'!$J$42:$L$44,3,FALSE)),(P27+1),""),"ERROR"))))))</f>
        <v/>
      </c>
      <c r="Q28" s="555" t="str">
        <f>IF(Q27="","",IF('Fuel Equipment'!Q$14='Fuel Equipment'!$D$51,IF($A28&lt;(VLOOKUP('Fuel Equipment'!Q$16,Cranes!$G$21:$I$24,3,FALSE)),(Q27+1),""),IF('Fuel Equipment'!Q$14='Fuel Equipment'!$D$52,IF($A28&lt;(VLOOKUP('Fuel Equipment'!Q$16,Dumpers!$V$30:$X$34,3,FALSE)),(Q27+1),""),IF('Fuel Equipment'!Q$14='Fuel Equipment'!$D$53,IF($A28&lt;(VLOOKUP('Fuel Equipment'!Q$16,Excavators!$W$58:$Y$71,3,FALSE)),(Q27+1),""),IF('Fuel Equipment'!Q$14='Fuel Equipment'!$D$54,IF($A28&lt;(VLOOKUP('Fuel Equipment'!Q$16,Generators!$O$118:$Q$134,3,FALSE)),(Q27+1),""),IF('Fuel Equipment'!Q$14='Fuel Equipment'!$D$55,IF($A28&lt;(VLOOKUP('Fuel Equipment'!Q$16,'Scissor Lifts'!$J$42:$L$44,3,FALSE)),(Q27+1),""),"ERROR"))))))</f>
        <v/>
      </c>
      <c r="R28" s="555" t="str">
        <f>IF(R27="","",IF('Fuel Equipment'!R$14='Fuel Equipment'!$D$51,IF($A28&lt;(VLOOKUP('Fuel Equipment'!R$16,Cranes!$G$21:$I$24,3,FALSE)),(R27+1),""),IF('Fuel Equipment'!R$14='Fuel Equipment'!$D$52,IF($A28&lt;(VLOOKUP('Fuel Equipment'!R$16,Dumpers!$V$30:$X$34,3,FALSE)),(R27+1),""),IF('Fuel Equipment'!R$14='Fuel Equipment'!$D$53,IF($A28&lt;(VLOOKUP('Fuel Equipment'!R$16,Excavators!$W$58:$Y$71,3,FALSE)),(R27+1),""),IF('Fuel Equipment'!R$14='Fuel Equipment'!$D$54,IF($A28&lt;(VLOOKUP('Fuel Equipment'!R$16,Generators!$O$118:$Q$134,3,FALSE)),(R27+1),""),IF('Fuel Equipment'!R$14='Fuel Equipment'!$D$55,IF($A28&lt;(VLOOKUP('Fuel Equipment'!R$16,'Scissor Lifts'!$J$42:$L$44,3,FALSE)),(R27+1),""),"ERROR"))))))</f>
        <v/>
      </c>
      <c r="S28" s="556" t="str">
        <f>IF(S27="","",IF('Fuel Equipment'!S$14='Fuel Equipment'!$D$51,IF($A28&lt;(VLOOKUP('Fuel Equipment'!S$16,Cranes!$G$21:$I$24,3,FALSE)),(S27+1),""),IF('Fuel Equipment'!S$14='Fuel Equipment'!$D$52,IF($A28&lt;(VLOOKUP('Fuel Equipment'!S$16,Dumpers!$V$30:$X$34,3,FALSE)),(S27+1),""),IF('Fuel Equipment'!S$14='Fuel Equipment'!$D$53,IF($A28&lt;(VLOOKUP('Fuel Equipment'!S$16,Excavators!$W$58:$Y$71,3,FALSE)),(S27+1),""),IF('Fuel Equipment'!S$14='Fuel Equipment'!$D$54,IF($A28&lt;(VLOOKUP('Fuel Equipment'!S$16,Generators!$O$118:$Q$134,3,FALSE)),(S27+1),""),IF('Fuel Equipment'!S$14='Fuel Equipment'!$D$55,IF($A28&lt;(VLOOKUP('Fuel Equipment'!S$16,'Scissor Lifts'!$J$42:$L$44,3,FALSE)),(S27+1),""),"ERROR"))))))</f>
        <v/>
      </c>
      <c r="U28" s="927"/>
      <c r="V28" s="927"/>
      <c r="W28" s="927"/>
      <c r="X28" s="928"/>
      <c r="Y28" s="928"/>
      <c r="Z28" s="928"/>
      <c r="AA28" s="928"/>
    </row>
    <row r="29" spans="1:27" s="179" customFormat="1" ht="15.75" thickBot="1">
      <c r="B29" s="106"/>
      <c r="C29" s="73"/>
      <c r="D29" s="73"/>
      <c r="E29" s="73"/>
      <c r="F29" s="73"/>
      <c r="G29" s="73"/>
      <c r="H29" s="73"/>
      <c r="I29" s="73"/>
      <c r="J29" s="73"/>
      <c r="K29" s="73"/>
      <c r="L29" s="73"/>
      <c r="M29" s="73"/>
      <c r="N29" s="73"/>
      <c r="O29" s="73"/>
      <c r="P29" s="73"/>
      <c r="Q29" s="73"/>
      <c r="R29" s="73"/>
      <c r="S29" s="73"/>
    </row>
    <row r="30" spans="1:27" s="179" customFormat="1" ht="15.75" thickBot="1">
      <c r="A30" s="179" t="s">
        <v>811</v>
      </c>
      <c r="B30" s="541" t="str">
        <f>IFERROR(IF(B22="","NOT REQUIRED",IF('Fuel Equipment'!B$14='Fuel Equipment'!$D$51,INDEX(Cranes!$C$4:$C$16,MATCH(B22,Cranes!$A$4:$A$16,0)),IF('Fuel Equipment'!B$14='Fuel Equipment'!$D$52,INDEX(Dumpers!$C$4:$C$16,MATCH(B22,Dumpers!$A$4:$A$16,0)),IF('Fuel Equipment'!B$14='Fuel Equipment'!$D$53,INDEX(Excavators!$C$5:$C$52,MATCH(B22,Excavators!$A$5:$A$52,0)),IF('Fuel Equipment'!B$14='Fuel Equipment'!$D$54,INDEX(Generators!$C$6:$C$60,MATCH(B22,Generators!$A$6:$A$60,0)),IF('Fuel Equipment'!B$14='Fuel Equipment'!$D$55,INDEX('Scissor Lifts'!$C$31:$C$36,MATCH(B22,'Scissor Lifts'!$A$31:$A$36,0)),"ERROR1")))))),"NOT REQUIRED")</f>
        <v>Hitachi ZX225USRLC-3</v>
      </c>
      <c r="C30" s="542" t="str">
        <f>IFERROR(IF(C22="","NOT REQUIRED",IF('Fuel Equipment'!C$14='Fuel Equipment'!$D$51,INDEX(Cranes!$C$4:$C$16,MATCH(C22,Cranes!$A$4:$A$16,0)),IF('Fuel Equipment'!C$14='Fuel Equipment'!$D$52,INDEX(Dumpers!$C$4:$C$16,MATCH(C22,Dumpers!$A$4:$A$16,0)),IF('Fuel Equipment'!C$14='Fuel Equipment'!$D$53,INDEX(Excavators!$C$5:$C$52,MATCH(C22,Excavators!$A$5:$A$52,0)),IF('Fuel Equipment'!C$14='Fuel Equipment'!$D$54,INDEX(Generators!$C$6:$C$60,MATCH(C22,Generators!$A$6:$A$60,0)),IF('Fuel Equipment'!C$14='Fuel Equipment'!$D$55,INDEX('Scissor Lifts'!$C$31:$C$36,MATCH(C22,'Scissor Lifts'!$A$31:$A$36,0)),"ERROR1")))))),"NOT REQUIRED")</f>
        <v>Hitachi ZX225USRLC-3</v>
      </c>
      <c r="D30" s="542" t="str">
        <f>IFERROR(IF(D22="","NOT REQUIRED",IF('Fuel Equipment'!D$14='Fuel Equipment'!$D$51,INDEX(Cranes!$C$4:$C$16,MATCH(D22,Cranes!$A$4:$A$16,0)),IF('Fuel Equipment'!D$14='Fuel Equipment'!$D$52,INDEX(Dumpers!$C$4:$C$16,MATCH(D22,Dumpers!$A$4:$A$16,0)),IF('Fuel Equipment'!D$14='Fuel Equipment'!$D$53,INDEX(Excavators!$C$5:$C$52,MATCH(D22,Excavators!$A$5:$A$52,0)),IF('Fuel Equipment'!D$14='Fuel Equipment'!$D$54,INDEX(Generators!$C$6:$C$60,MATCH(D22,Generators!$A$6:$A$60,0)),IF('Fuel Equipment'!D$14='Fuel Equipment'!$D$55,INDEX('Scissor Lifts'!$C$31:$C$36,MATCH(D22,'Scissor Lifts'!$A$31:$A$36,0)),"ERROR1")))))),"NOT REQUIRED")</f>
        <v>Ingersol Rand G250</v>
      </c>
      <c r="E30" s="542" t="str">
        <f>IFERROR(IF(E22="","NOT REQUIRED",IF('Fuel Equipment'!E$14='Fuel Equipment'!$D$51,INDEX(Cranes!$C$4:$C$16,MATCH(E22,Cranes!$A$4:$A$16,0)),IF('Fuel Equipment'!E$14='Fuel Equipment'!$D$52,INDEX(Dumpers!$C$4:$C$16,MATCH(E22,Dumpers!$A$4:$A$16,0)),IF('Fuel Equipment'!E$14='Fuel Equipment'!$D$53,INDEX(Excavators!$C$5:$C$52,MATCH(E22,Excavators!$A$5:$A$52,0)),IF('Fuel Equipment'!E$14='Fuel Equipment'!$D$54,INDEX(Generators!$C$6:$C$60,MATCH(E22,Generators!$A$6:$A$60,0)),IF('Fuel Equipment'!E$14='Fuel Equipment'!$D$55,INDEX('Scissor Lifts'!$C$31:$C$36,MATCH(E22,'Scissor Lifts'!$A$31:$A$36,0)),"ERROR1")))))),"NOT REQUIRED")</f>
        <v>NOT REQUIRED</v>
      </c>
      <c r="F30" s="542" t="str">
        <f>IFERROR(IF(F22="","NOT REQUIRED",IF('Fuel Equipment'!F$14='Fuel Equipment'!$D$51,INDEX(Cranes!$C$4:$C$16,MATCH(F22,Cranes!$A$4:$A$16,0)),IF('Fuel Equipment'!F$14='Fuel Equipment'!$D$52,INDEX(Dumpers!$C$4:$C$16,MATCH(F22,Dumpers!$A$4:$A$16,0)),IF('Fuel Equipment'!F$14='Fuel Equipment'!$D$53,INDEX(Excavators!$C$5:$C$52,MATCH(F22,Excavators!$A$5:$A$52,0)),IF('Fuel Equipment'!F$14='Fuel Equipment'!$D$54,INDEX(Generators!$C$6:$C$60,MATCH(F22,Generators!$A$6:$A$60,0)),IF('Fuel Equipment'!F$14='Fuel Equipment'!$D$55,INDEX('Scissor Lifts'!$C$31:$C$36,MATCH(F22,'Scissor Lifts'!$A$31:$A$36,0)),"ERROR1")))))),"NOT REQUIRED")</f>
        <v>NOT REQUIRED</v>
      </c>
      <c r="G30" s="542" t="str">
        <f>IFERROR(IF(G22="","NOT REQUIRED",IF('Fuel Equipment'!G$14='Fuel Equipment'!$D$51,INDEX(Cranes!$C$4:$C$16,MATCH(G22,Cranes!$A$4:$A$16,0)),IF('Fuel Equipment'!G$14='Fuel Equipment'!$D$52,INDEX(Dumpers!$C$4:$C$16,MATCH(G22,Dumpers!$A$4:$A$16,0)),IF('Fuel Equipment'!G$14='Fuel Equipment'!$D$53,INDEX(Excavators!$C$5:$C$52,MATCH(G22,Excavators!$A$5:$A$52,0)),IF('Fuel Equipment'!G$14='Fuel Equipment'!$D$54,INDEX(Generators!$C$6:$C$60,MATCH(G22,Generators!$A$6:$A$60,0)),IF('Fuel Equipment'!G$14='Fuel Equipment'!$D$55,INDEX('Scissor Lifts'!$C$31:$C$36,MATCH(G22,'Scissor Lifts'!$A$31:$A$36,0)),"ERROR1")))))),"NOT REQUIRED")</f>
        <v>NOT REQUIRED</v>
      </c>
      <c r="H30" s="542" t="str">
        <f>IFERROR(IF(H22="","NOT REQUIRED",IF('Fuel Equipment'!H$14='Fuel Equipment'!$D$51,INDEX(Cranes!$C$4:$C$16,MATCH(H22,Cranes!$A$4:$A$16,0)),IF('Fuel Equipment'!H$14='Fuel Equipment'!$D$52,INDEX(Dumpers!$C$4:$C$16,MATCH(H22,Dumpers!$A$4:$A$16,0)),IF('Fuel Equipment'!H$14='Fuel Equipment'!$D$53,INDEX(Excavators!$C$5:$C$52,MATCH(H22,Excavators!$A$5:$A$52,0)),IF('Fuel Equipment'!H$14='Fuel Equipment'!$D$54,INDEX(Generators!$C$6:$C$60,MATCH(H22,Generators!$A$6:$A$60,0)),IF('Fuel Equipment'!H$14='Fuel Equipment'!$D$55,INDEX('Scissor Lifts'!$C$31:$C$36,MATCH(H22,'Scissor Lifts'!$A$31:$A$36,0)),"ERROR1")))))),"NOT REQUIRED")</f>
        <v>NOT REQUIRED</v>
      </c>
      <c r="I30" s="542" t="str">
        <f>IFERROR(IF(I22="","NOT REQUIRED",IF('Fuel Equipment'!I$14='Fuel Equipment'!$D$51,INDEX(Cranes!$C$4:$C$16,MATCH(I22,Cranes!$A$4:$A$16,0)),IF('Fuel Equipment'!I$14='Fuel Equipment'!$D$52,INDEX(Dumpers!$C$4:$C$16,MATCH(I22,Dumpers!$A$4:$A$16,0)),IF('Fuel Equipment'!I$14='Fuel Equipment'!$D$53,INDEX(Excavators!$C$5:$C$52,MATCH(I22,Excavators!$A$5:$A$52,0)),IF('Fuel Equipment'!I$14='Fuel Equipment'!$D$54,INDEX(Generators!$C$6:$C$60,MATCH(I22,Generators!$A$6:$A$60,0)),IF('Fuel Equipment'!I$14='Fuel Equipment'!$D$55,INDEX('Scissor Lifts'!$C$31:$C$36,MATCH(I22,'Scissor Lifts'!$A$31:$A$36,0)),"ERROR1")))))),"NOT REQUIRED")</f>
        <v>NOT REQUIRED</v>
      </c>
      <c r="J30" s="542" t="str">
        <f>IFERROR(IF(J22="","NOT REQUIRED",IF('Fuel Equipment'!J$14='Fuel Equipment'!$D$51,INDEX(Cranes!$C$4:$C$16,MATCH(J22,Cranes!$A$4:$A$16,0)),IF('Fuel Equipment'!J$14='Fuel Equipment'!$D$52,INDEX(Dumpers!$C$4:$C$16,MATCH(J22,Dumpers!$A$4:$A$16,0)),IF('Fuel Equipment'!J$14='Fuel Equipment'!$D$53,INDEX(Excavators!$C$5:$C$52,MATCH(J22,Excavators!$A$5:$A$52,0)),IF('Fuel Equipment'!J$14='Fuel Equipment'!$D$54,INDEX(Generators!$C$6:$C$60,MATCH(J22,Generators!$A$6:$A$60,0)),IF('Fuel Equipment'!J$14='Fuel Equipment'!$D$55,INDEX('Scissor Lifts'!$C$31:$C$36,MATCH(J22,'Scissor Lifts'!$A$31:$A$36,0)),"ERROR1")))))),"NOT REQUIRED")</f>
        <v>NOT REQUIRED</v>
      </c>
      <c r="K30" s="542" t="str">
        <f>IFERROR(IF(K22="","NOT REQUIRED",IF('Fuel Equipment'!K$14='Fuel Equipment'!$D$51,INDEX(Cranes!$C$4:$C$16,MATCH(K22,Cranes!$A$4:$A$16,0)),IF('Fuel Equipment'!K$14='Fuel Equipment'!$D$52,INDEX(Dumpers!$C$4:$C$16,MATCH(K22,Dumpers!$A$4:$A$16,0)),IF('Fuel Equipment'!K$14='Fuel Equipment'!$D$53,INDEX(Excavators!$C$5:$C$52,MATCH(K22,Excavators!$A$5:$A$52,0)),IF('Fuel Equipment'!K$14='Fuel Equipment'!$D$54,INDEX(Generators!$C$6:$C$60,MATCH(K22,Generators!$A$6:$A$60,0)),IF('Fuel Equipment'!K$14='Fuel Equipment'!$D$55,INDEX('Scissor Lifts'!$C$31:$C$36,MATCH(K22,'Scissor Lifts'!$A$31:$A$36,0)),"ERROR1")))))),"NOT REQUIRED")</f>
        <v>NOT REQUIRED</v>
      </c>
      <c r="L30" s="542" t="str">
        <f>IFERROR(IF(L22="","NOT REQUIRED",IF('Fuel Equipment'!L$14='Fuel Equipment'!$D$51,INDEX(Cranes!$C$4:$C$16,MATCH(L22,Cranes!$A$4:$A$16,0)),IF('Fuel Equipment'!L$14='Fuel Equipment'!$D$52,INDEX(Dumpers!$C$4:$C$16,MATCH(L22,Dumpers!$A$4:$A$16,0)),IF('Fuel Equipment'!L$14='Fuel Equipment'!$D$53,INDEX(Excavators!$C$5:$C$52,MATCH(L22,Excavators!$A$5:$A$52,0)),IF('Fuel Equipment'!L$14='Fuel Equipment'!$D$54,INDEX(Generators!$C$6:$C$60,MATCH(L22,Generators!$A$6:$A$60,0)),IF('Fuel Equipment'!L$14='Fuel Equipment'!$D$55,INDEX('Scissor Lifts'!$C$31:$C$36,MATCH(L22,'Scissor Lifts'!$A$31:$A$36,0)),"ERROR1")))))),"NOT REQUIRED")</f>
        <v>NOT REQUIRED</v>
      </c>
      <c r="M30" s="542" t="str">
        <f>IFERROR(IF(M22="","NOT REQUIRED",IF('Fuel Equipment'!M$14='Fuel Equipment'!$D$51,INDEX(Cranes!$C$4:$C$16,MATCH(M22,Cranes!$A$4:$A$16,0)),IF('Fuel Equipment'!M$14='Fuel Equipment'!$D$52,INDEX(Dumpers!$C$4:$C$16,MATCH(M22,Dumpers!$A$4:$A$16,0)),IF('Fuel Equipment'!M$14='Fuel Equipment'!$D$53,INDEX(Excavators!$C$5:$C$52,MATCH(M22,Excavators!$A$5:$A$52,0)),IF('Fuel Equipment'!M$14='Fuel Equipment'!$D$54,INDEX(Generators!$C$6:$C$60,MATCH(M22,Generators!$A$6:$A$60,0)),IF('Fuel Equipment'!M$14='Fuel Equipment'!$D$55,INDEX('Scissor Lifts'!$C$31:$C$36,MATCH(M22,'Scissor Lifts'!$A$31:$A$36,0)),"ERROR1")))))),"NOT REQUIRED")</f>
        <v>NOT REQUIRED</v>
      </c>
      <c r="N30" s="542" t="str">
        <f>IFERROR(IF(N22="","NOT REQUIRED",IF('Fuel Equipment'!N$14='Fuel Equipment'!$D$51,INDEX(Cranes!$C$4:$C$16,MATCH(N22,Cranes!$A$4:$A$16,0)),IF('Fuel Equipment'!N$14='Fuel Equipment'!$D$52,INDEX(Dumpers!$C$4:$C$16,MATCH(N22,Dumpers!$A$4:$A$16,0)),IF('Fuel Equipment'!N$14='Fuel Equipment'!$D$53,INDEX(Excavators!$C$5:$C$52,MATCH(N22,Excavators!$A$5:$A$52,0)),IF('Fuel Equipment'!N$14='Fuel Equipment'!$D$54,INDEX(Generators!$C$6:$C$60,MATCH(N22,Generators!$A$6:$A$60,0)),IF('Fuel Equipment'!N$14='Fuel Equipment'!$D$55,INDEX('Scissor Lifts'!$C$31:$C$36,MATCH(N22,'Scissor Lifts'!$A$31:$A$36,0)),"ERROR1")))))),"NOT REQUIRED")</f>
        <v>NOT REQUIRED</v>
      </c>
      <c r="O30" s="542" t="str">
        <f>IFERROR(IF(O22="","NOT REQUIRED",IF('Fuel Equipment'!O$14='Fuel Equipment'!$D$51,INDEX(Cranes!$C$4:$C$16,MATCH(O22,Cranes!$A$4:$A$16,0)),IF('Fuel Equipment'!O$14='Fuel Equipment'!$D$52,INDEX(Dumpers!$C$4:$C$16,MATCH(O22,Dumpers!$A$4:$A$16,0)),IF('Fuel Equipment'!O$14='Fuel Equipment'!$D$53,INDEX(Excavators!$C$5:$C$52,MATCH(O22,Excavators!$A$5:$A$52,0)),IF('Fuel Equipment'!O$14='Fuel Equipment'!$D$54,INDEX(Generators!$C$6:$C$60,MATCH(O22,Generators!$A$6:$A$60,0)),IF('Fuel Equipment'!O$14='Fuel Equipment'!$D$55,INDEX('Scissor Lifts'!$C$31:$C$36,MATCH(O22,'Scissor Lifts'!$A$31:$A$36,0)),"ERROR1")))))),"NOT REQUIRED")</f>
        <v>NOT REQUIRED</v>
      </c>
      <c r="P30" s="542" t="str">
        <f>IFERROR(IF(P22="","NOT REQUIRED",IF('Fuel Equipment'!P$14='Fuel Equipment'!$D$51,INDEX(Cranes!$C$4:$C$16,MATCH(P22,Cranes!$A$4:$A$16,0)),IF('Fuel Equipment'!P$14='Fuel Equipment'!$D$52,INDEX(Dumpers!$C$4:$C$16,MATCH(P22,Dumpers!$A$4:$A$16,0)),IF('Fuel Equipment'!P$14='Fuel Equipment'!$D$53,INDEX(Excavators!$C$5:$C$52,MATCH(P22,Excavators!$A$5:$A$52,0)),IF('Fuel Equipment'!P$14='Fuel Equipment'!$D$54,INDEX(Generators!$C$6:$C$60,MATCH(P22,Generators!$A$6:$A$60,0)),IF('Fuel Equipment'!P$14='Fuel Equipment'!$D$55,INDEX('Scissor Lifts'!$C$31:$C$36,MATCH(P22,'Scissor Lifts'!$A$31:$A$36,0)),"ERROR1")))))),"NOT REQUIRED")</f>
        <v>NOT REQUIRED</v>
      </c>
      <c r="Q30" s="542" t="str">
        <f>IFERROR(IF(Q22="","NOT REQUIRED",IF('Fuel Equipment'!Q$14='Fuel Equipment'!$D$51,INDEX(Cranes!$C$4:$C$16,MATCH(Q22,Cranes!$A$4:$A$16,0)),IF('Fuel Equipment'!Q$14='Fuel Equipment'!$D$52,INDEX(Dumpers!$C$4:$C$16,MATCH(Q22,Dumpers!$A$4:$A$16,0)),IF('Fuel Equipment'!Q$14='Fuel Equipment'!$D$53,INDEX(Excavators!$C$5:$C$52,MATCH(Q22,Excavators!$A$5:$A$52,0)),IF('Fuel Equipment'!Q$14='Fuel Equipment'!$D$54,INDEX(Generators!$C$6:$C$60,MATCH(Q22,Generators!$A$6:$A$60,0)),IF('Fuel Equipment'!Q$14='Fuel Equipment'!$D$55,INDEX('Scissor Lifts'!$C$31:$C$36,MATCH(Q22,'Scissor Lifts'!$A$31:$A$36,0)),"ERROR1")))))),"NOT REQUIRED")</f>
        <v>NOT REQUIRED</v>
      </c>
      <c r="R30" s="542" t="str">
        <f>IFERROR(IF(R22="","NOT REQUIRED",IF('Fuel Equipment'!R$14='Fuel Equipment'!$D$51,INDEX(Cranes!$C$4:$C$16,MATCH(R22,Cranes!$A$4:$A$16,0)),IF('Fuel Equipment'!R$14='Fuel Equipment'!$D$52,INDEX(Dumpers!$C$4:$C$16,MATCH(R22,Dumpers!$A$4:$A$16,0)),IF('Fuel Equipment'!R$14='Fuel Equipment'!$D$53,INDEX(Excavators!$C$5:$C$52,MATCH(R22,Excavators!$A$5:$A$52,0)),IF('Fuel Equipment'!R$14='Fuel Equipment'!$D$54,INDEX(Generators!$C$6:$C$60,MATCH(R22,Generators!$A$6:$A$60,0)),IF('Fuel Equipment'!R$14='Fuel Equipment'!$D$55,INDEX('Scissor Lifts'!$C$31:$C$36,MATCH(R22,'Scissor Lifts'!$A$31:$A$36,0)),"ERROR1")))))),"NOT REQUIRED")</f>
        <v>NOT REQUIRED</v>
      </c>
      <c r="S30" s="543" t="str">
        <f>IFERROR(IF(S22="","NOT REQUIRED",IF('Fuel Equipment'!S$14='Fuel Equipment'!$D$51,INDEX(Cranes!$C$4:$C$16,MATCH(S22,Cranes!$A$4:$A$16,0)),IF('Fuel Equipment'!S$14='Fuel Equipment'!$D$52,INDEX(Dumpers!$C$4:$C$16,MATCH(S22,Dumpers!$A$4:$A$16,0)),IF('Fuel Equipment'!S$14='Fuel Equipment'!$D$53,INDEX(Excavators!$C$5:$C$52,MATCH(S22,Excavators!$A$5:$A$52,0)),IF('Fuel Equipment'!S$14='Fuel Equipment'!$D$54,INDEX(Generators!$C$6:$C$60,MATCH(S22,Generators!$A$6:$A$60,0)),IF('Fuel Equipment'!S$14='Fuel Equipment'!$D$55,INDEX('Scissor Lifts'!$C$31:$C$36,MATCH(S22,'Scissor Lifts'!$A$31:$A$36,0)),"ERROR1")))))),"NOT REQUIRED")</f>
        <v>NOT REQUIRED</v>
      </c>
      <c r="U30" s="927" t="s">
        <v>899</v>
      </c>
      <c r="V30" s="927"/>
      <c r="W30" s="927"/>
      <c r="X30" s="928" t="s">
        <v>900</v>
      </c>
      <c r="Y30" s="928"/>
      <c r="Z30" s="928"/>
      <c r="AA30" s="928"/>
    </row>
    <row r="31" spans="1:27" s="179" customFormat="1" ht="15.75" thickTop="1">
      <c r="B31" s="544" t="str">
        <f>IFERROR(IF('Fuel Equipment'!B$14&gt;0,IF('Fuel Equipment'!B$16&gt;0,IF('Fuel Equipment'!B$14='Fuel Equipment'!$D$51,INDEX(Cranes!$C$4:$C$16,MATCH(B23,Cranes!$A$4:$A$16,0)),IF('Fuel Equipment'!B$14='Fuel Equipment'!$D$52,INDEX(Dumpers!$C$4:$C$16,MATCH(B23,Dumpers!$A$4:$A$16,0)),IF('Fuel Equipment'!B$14='Fuel Equipment'!$D$53,INDEX(Excavators!$C$5:$C$52,MATCH(B23,Excavators!$A$5:$A$52,0)),IF('Fuel Equipment'!B$14='Fuel Equipment'!$D$54,INDEX(Generators!$C$6:$C$60,MATCH(B23,Generators!$A$6:$A$60,0)),IF('Fuel Equipment'!B$14='Fuel Equipment'!$D$55,INDEX('Scissor Lifts'!$C$31:$C$36,MATCH(B23,'Scissor Lifts'!$A$31:$A$36,0)),"NOT REQUIRED"))))),"NOT REQUIRED"),"NOT REQUIRED"),"")</f>
        <v>Hitachi ZX225USLC</v>
      </c>
      <c r="C31" s="477" t="str">
        <f>IFERROR(IF('Fuel Equipment'!C$14&gt;0,IF('Fuel Equipment'!C$16&gt;0,IF('Fuel Equipment'!C$14='Fuel Equipment'!$D$51,INDEX(Cranes!$C$4:$C$16,MATCH(C23,Cranes!$A$4:$A$16,0)),IF('Fuel Equipment'!C$14='Fuel Equipment'!$D$52,INDEX(Dumpers!$C$4:$C$16,MATCH(C23,Dumpers!$A$4:$A$16,0)),IF('Fuel Equipment'!C$14='Fuel Equipment'!$D$53,INDEX(Excavators!$C$5:$C$52,MATCH(C23,Excavators!$A$5:$A$52,0)),IF('Fuel Equipment'!C$14='Fuel Equipment'!$D$54,INDEX(Generators!$C$6:$C$60,MATCH(C23,Generators!$A$6:$A$60,0)),IF('Fuel Equipment'!C$14='Fuel Equipment'!$D$55,INDEX('Scissor Lifts'!$C$31:$C$36,MATCH(C23,'Scissor Lifts'!$A$31:$A$36,0)),"NOT REQUIRED"))))),"NOT REQUIRED"),"NOT REQUIRED"),"")</f>
        <v>Hitachi ZX225USLC</v>
      </c>
      <c r="D31" s="477" t="str">
        <f>IFERROR(IF('Fuel Equipment'!D$14&gt;0,IF('Fuel Equipment'!D$16&gt;0,IF('Fuel Equipment'!D$14='Fuel Equipment'!$D$51,INDEX(Cranes!$C$4:$C$16,MATCH(D23,Cranes!$A$4:$A$16,0)),IF('Fuel Equipment'!D$14='Fuel Equipment'!$D$52,INDEX(Dumpers!$C$4:$C$16,MATCH(D23,Dumpers!$A$4:$A$16,0)),IF('Fuel Equipment'!D$14='Fuel Equipment'!$D$53,INDEX(Excavators!$C$5:$C$52,MATCH(D23,Excavators!$A$5:$A$52,0)),IF('Fuel Equipment'!D$14='Fuel Equipment'!$D$54,INDEX(Generators!$C$6:$C$60,MATCH(D23,Generators!$A$6:$A$60,0)),IF('Fuel Equipment'!D$14='Fuel Equipment'!$D$55,INDEX('Scissor Lifts'!$C$31:$C$36,MATCH(D23,'Scissor Lifts'!$A$31:$A$36,0)),"NOT REQUIRED"))))),"NOT REQUIRED"),"NOT REQUIRED"),"")</f>
        <v xml:space="preserve">Speedy 41/0250-h </v>
      </c>
      <c r="E31" s="477" t="str">
        <f>IFERROR(IF('Fuel Equipment'!E$14&gt;0,IF('Fuel Equipment'!E$16&gt;0,IF('Fuel Equipment'!E$14='Fuel Equipment'!$D$51,INDEX(Cranes!$C$4:$C$16,MATCH(E23,Cranes!$A$4:$A$16,0)),IF('Fuel Equipment'!E$14='Fuel Equipment'!$D$52,INDEX(Dumpers!$C$4:$C$16,MATCH(E23,Dumpers!$A$4:$A$16,0)),IF('Fuel Equipment'!E$14='Fuel Equipment'!$D$53,INDEX(Excavators!$C$5:$C$52,MATCH(E23,Excavators!$A$5:$A$52,0)),IF('Fuel Equipment'!E$14='Fuel Equipment'!$D$54,INDEX(Generators!$C$6:$C$60,MATCH(E23,Generators!$A$6:$A$60,0)),IF('Fuel Equipment'!E$14='Fuel Equipment'!$D$55,INDEX('Scissor Lifts'!$C$31:$C$36,MATCH(E23,'Scissor Lifts'!$A$31:$A$36,0)),"NOT REQUIRED"))))),"NOT REQUIRED"),"NOT REQUIRED"),"")</f>
        <v/>
      </c>
      <c r="F31" s="477" t="str">
        <f>IFERROR(IF('Fuel Equipment'!F$14&gt;0,IF('Fuel Equipment'!F$16&gt;0,IF('Fuel Equipment'!F$14='Fuel Equipment'!$D$51,INDEX(Cranes!$C$4:$C$16,MATCH(F23,Cranes!$A$4:$A$16,0)),IF('Fuel Equipment'!F$14='Fuel Equipment'!$D$52,INDEX(Dumpers!$C$4:$C$16,MATCH(F23,Dumpers!$A$4:$A$16,0)),IF('Fuel Equipment'!F$14='Fuel Equipment'!$D$53,INDEX(Excavators!$C$5:$C$52,MATCH(F23,Excavators!$A$5:$A$52,0)),IF('Fuel Equipment'!F$14='Fuel Equipment'!$D$54,INDEX(Generators!$C$6:$C$60,MATCH(F23,Generators!$A$6:$A$60,0)),IF('Fuel Equipment'!F$14='Fuel Equipment'!$D$55,INDEX('Scissor Lifts'!$C$31:$C$36,MATCH(F23,'Scissor Lifts'!$A$31:$A$36,0)),"NOT REQUIRED"))))),"NOT REQUIRED"),"NOT REQUIRED"),"")</f>
        <v>NOT REQUIRED</v>
      </c>
      <c r="G31" s="477" t="str">
        <f>IFERROR(IF('Fuel Equipment'!G$14&gt;0,IF('Fuel Equipment'!G$16&gt;0,IF('Fuel Equipment'!G$14='Fuel Equipment'!$D$51,INDEX(Cranes!$C$4:$C$16,MATCH(G23,Cranes!$A$4:$A$16,0)),IF('Fuel Equipment'!G$14='Fuel Equipment'!$D$52,INDEX(Dumpers!$C$4:$C$16,MATCH(G23,Dumpers!$A$4:$A$16,0)),IF('Fuel Equipment'!G$14='Fuel Equipment'!$D$53,INDEX(Excavators!$C$5:$C$52,MATCH(G23,Excavators!$A$5:$A$52,0)),IF('Fuel Equipment'!G$14='Fuel Equipment'!$D$54,INDEX(Generators!$C$6:$C$60,MATCH(G23,Generators!$A$6:$A$60,0)),IF('Fuel Equipment'!G$14='Fuel Equipment'!$D$55,INDEX('Scissor Lifts'!$C$31:$C$36,MATCH(G23,'Scissor Lifts'!$A$31:$A$36,0)),"NOT REQUIRED"))))),"NOT REQUIRED"),"NOT REQUIRED"),"")</f>
        <v>NOT REQUIRED</v>
      </c>
      <c r="H31" s="477" t="str">
        <f>IFERROR(IF('Fuel Equipment'!H$14&gt;0,IF('Fuel Equipment'!H$16&gt;0,IF('Fuel Equipment'!H$14='Fuel Equipment'!$D$51,INDEX(Cranes!$C$4:$C$16,MATCH(H23,Cranes!$A$4:$A$16,0)),IF('Fuel Equipment'!H$14='Fuel Equipment'!$D$52,INDEX(Dumpers!$C$4:$C$16,MATCH(H23,Dumpers!$A$4:$A$16,0)),IF('Fuel Equipment'!H$14='Fuel Equipment'!$D$53,INDEX(Excavators!$C$5:$C$52,MATCH(H23,Excavators!$A$5:$A$52,0)),IF('Fuel Equipment'!H$14='Fuel Equipment'!$D$54,INDEX(Generators!$C$6:$C$60,MATCH(H23,Generators!$A$6:$A$60,0)),IF('Fuel Equipment'!H$14='Fuel Equipment'!$D$55,INDEX('Scissor Lifts'!$C$31:$C$36,MATCH(H23,'Scissor Lifts'!$A$31:$A$36,0)),"NOT REQUIRED"))))),"NOT REQUIRED"),"NOT REQUIRED"),"")</f>
        <v>NOT REQUIRED</v>
      </c>
      <c r="I31" s="477" t="str">
        <f>IFERROR(IF('Fuel Equipment'!I$14&gt;0,IF('Fuel Equipment'!I$16&gt;0,IF('Fuel Equipment'!I$14='Fuel Equipment'!$D$51,INDEX(Cranes!$C$4:$C$16,MATCH(I23,Cranes!$A$4:$A$16,0)),IF('Fuel Equipment'!I$14='Fuel Equipment'!$D$52,INDEX(Dumpers!$C$4:$C$16,MATCH(I23,Dumpers!$A$4:$A$16,0)),IF('Fuel Equipment'!I$14='Fuel Equipment'!$D$53,INDEX(Excavators!$C$5:$C$52,MATCH(I23,Excavators!$A$5:$A$52,0)),IF('Fuel Equipment'!I$14='Fuel Equipment'!$D$54,INDEX(Generators!$C$6:$C$60,MATCH(I23,Generators!$A$6:$A$60,0)),IF('Fuel Equipment'!I$14='Fuel Equipment'!$D$55,INDEX('Scissor Lifts'!$C$31:$C$36,MATCH(I23,'Scissor Lifts'!$A$31:$A$36,0)),"NOT REQUIRED"))))),"NOT REQUIRED"),"NOT REQUIRED"),"")</f>
        <v>NOT REQUIRED</v>
      </c>
      <c r="J31" s="477" t="str">
        <f>IFERROR(IF('Fuel Equipment'!J$14&gt;0,IF('Fuel Equipment'!J$16&gt;0,IF('Fuel Equipment'!J$14='Fuel Equipment'!$D$51,INDEX(Cranes!$C$4:$C$16,MATCH(J23,Cranes!$A$4:$A$16,0)),IF('Fuel Equipment'!J$14='Fuel Equipment'!$D$52,INDEX(Dumpers!$C$4:$C$16,MATCH(J23,Dumpers!$A$4:$A$16,0)),IF('Fuel Equipment'!J$14='Fuel Equipment'!$D$53,INDEX(Excavators!$C$5:$C$52,MATCH(J23,Excavators!$A$5:$A$52,0)),IF('Fuel Equipment'!J$14='Fuel Equipment'!$D$54,INDEX(Generators!$C$6:$C$60,MATCH(J23,Generators!$A$6:$A$60,0)),IF('Fuel Equipment'!J$14='Fuel Equipment'!$D$55,INDEX('Scissor Lifts'!$C$31:$C$36,MATCH(J23,'Scissor Lifts'!$A$31:$A$36,0)),"NOT REQUIRED"))))),"NOT REQUIRED"),"NOT REQUIRED"),"")</f>
        <v>NOT REQUIRED</v>
      </c>
      <c r="K31" s="477" t="str">
        <f>IFERROR(IF('Fuel Equipment'!K$14&gt;0,IF('Fuel Equipment'!K$16&gt;0,IF('Fuel Equipment'!K$14='Fuel Equipment'!$D$51,INDEX(Cranes!$C$4:$C$16,MATCH(K23,Cranes!$A$4:$A$16,0)),IF('Fuel Equipment'!K$14='Fuel Equipment'!$D$52,INDEX(Dumpers!$C$4:$C$16,MATCH(K23,Dumpers!$A$4:$A$16,0)),IF('Fuel Equipment'!K$14='Fuel Equipment'!$D$53,INDEX(Excavators!$C$5:$C$52,MATCH(K23,Excavators!$A$5:$A$52,0)),IF('Fuel Equipment'!K$14='Fuel Equipment'!$D$54,INDEX(Generators!$C$6:$C$60,MATCH(K23,Generators!$A$6:$A$60,0)),IF('Fuel Equipment'!K$14='Fuel Equipment'!$D$55,INDEX('Scissor Lifts'!$C$31:$C$36,MATCH(K23,'Scissor Lifts'!$A$31:$A$36,0)),"NOT REQUIRED"))))),"NOT REQUIRED"),"NOT REQUIRED"),"")</f>
        <v>NOT REQUIRED</v>
      </c>
      <c r="L31" s="477" t="str">
        <f>IFERROR(IF('Fuel Equipment'!L$14&gt;0,IF('Fuel Equipment'!L$16&gt;0,IF('Fuel Equipment'!L$14='Fuel Equipment'!$D$51,INDEX(Cranes!$C$4:$C$16,MATCH(L23,Cranes!$A$4:$A$16,0)),IF('Fuel Equipment'!L$14='Fuel Equipment'!$D$52,INDEX(Dumpers!$C$4:$C$16,MATCH(L23,Dumpers!$A$4:$A$16,0)),IF('Fuel Equipment'!L$14='Fuel Equipment'!$D$53,INDEX(Excavators!$C$5:$C$52,MATCH(L23,Excavators!$A$5:$A$52,0)),IF('Fuel Equipment'!L$14='Fuel Equipment'!$D$54,INDEX(Generators!$C$6:$C$60,MATCH(L23,Generators!$A$6:$A$60,0)),IF('Fuel Equipment'!L$14='Fuel Equipment'!$D$55,INDEX('Scissor Lifts'!$C$31:$C$36,MATCH(L23,'Scissor Lifts'!$A$31:$A$36,0)),"NOT REQUIRED"))))),"NOT REQUIRED"),"NOT REQUIRED"),"")</f>
        <v>NOT REQUIRED</v>
      </c>
      <c r="M31" s="477" t="str">
        <f>IFERROR(IF('Fuel Equipment'!M$14&gt;0,IF('Fuel Equipment'!M$16&gt;0,IF('Fuel Equipment'!M$14='Fuel Equipment'!$D$51,INDEX(Cranes!$C$4:$C$16,MATCH(M23,Cranes!$A$4:$A$16,0)),IF('Fuel Equipment'!M$14='Fuel Equipment'!$D$52,INDEX(Dumpers!$C$4:$C$16,MATCH(M23,Dumpers!$A$4:$A$16,0)),IF('Fuel Equipment'!M$14='Fuel Equipment'!$D$53,INDEX(Excavators!$C$5:$C$52,MATCH(M23,Excavators!$A$5:$A$52,0)),IF('Fuel Equipment'!M$14='Fuel Equipment'!$D$54,INDEX(Generators!$C$6:$C$60,MATCH(M23,Generators!$A$6:$A$60,0)),IF('Fuel Equipment'!M$14='Fuel Equipment'!$D$55,INDEX('Scissor Lifts'!$C$31:$C$36,MATCH(M23,'Scissor Lifts'!$A$31:$A$36,0)),"NOT REQUIRED"))))),"NOT REQUIRED"),"NOT REQUIRED"),"")</f>
        <v>NOT REQUIRED</v>
      </c>
      <c r="N31" s="477" t="str">
        <f>IFERROR(IF('Fuel Equipment'!N$14&gt;0,IF('Fuel Equipment'!N$16&gt;0,IF('Fuel Equipment'!N$14='Fuel Equipment'!$D$51,INDEX(Cranes!$C$4:$C$16,MATCH(N23,Cranes!$A$4:$A$16,0)),IF('Fuel Equipment'!N$14='Fuel Equipment'!$D$52,INDEX(Dumpers!$C$4:$C$16,MATCH(N23,Dumpers!$A$4:$A$16,0)),IF('Fuel Equipment'!N$14='Fuel Equipment'!$D$53,INDEX(Excavators!$C$5:$C$52,MATCH(N23,Excavators!$A$5:$A$52,0)),IF('Fuel Equipment'!N$14='Fuel Equipment'!$D$54,INDEX(Generators!$C$6:$C$60,MATCH(N23,Generators!$A$6:$A$60,0)),IF('Fuel Equipment'!N$14='Fuel Equipment'!$D$55,INDEX('Scissor Lifts'!$C$31:$C$36,MATCH(N23,'Scissor Lifts'!$A$31:$A$36,0)),"NOT REQUIRED"))))),"NOT REQUIRED"),"NOT REQUIRED"),"")</f>
        <v>NOT REQUIRED</v>
      </c>
      <c r="O31" s="477" t="str">
        <f>IFERROR(IF('Fuel Equipment'!O$14&gt;0,IF('Fuel Equipment'!O$16&gt;0,IF('Fuel Equipment'!O$14='Fuel Equipment'!$D$51,INDEX(Cranes!$C$4:$C$16,MATCH(O23,Cranes!$A$4:$A$16,0)),IF('Fuel Equipment'!O$14='Fuel Equipment'!$D$52,INDEX(Dumpers!$C$4:$C$16,MATCH(O23,Dumpers!$A$4:$A$16,0)),IF('Fuel Equipment'!O$14='Fuel Equipment'!$D$53,INDEX(Excavators!$C$5:$C$52,MATCH(O23,Excavators!$A$5:$A$52,0)),IF('Fuel Equipment'!O$14='Fuel Equipment'!$D$54,INDEX(Generators!$C$6:$C$60,MATCH(O23,Generators!$A$6:$A$60,0)),IF('Fuel Equipment'!O$14='Fuel Equipment'!$D$55,INDEX('Scissor Lifts'!$C$31:$C$36,MATCH(O23,'Scissor Lifts'!$A$31:$A$36,0)),"NOT REQUIRED"))))),"NOT REQUIRED"),"NOT REQUIRED"),"")</f>
        <v>NOT REQUIRED</v>
      </c>
      <c r="P31" s="477" t="str">
        <f>IFERROR(IF('Fuel Equipment'!P$14&gt;0,IF('Fuel Equipment'!P$16&gt;0,IF('Fuel Equipment'!P$14='Fuel Equipment'!$D$51,INDEX(Cranes!$C$4:$C$16,MATCH(P23,Cranes!$A$4:$A$16,0)),IF('Fuel Equipment'!P$14='Fuel Equipment'!$D$52,INDEX(Dumpers!$C$4:$C$16,MATCH(P23,Dumpers!$A$4:$A$16,0)),IF('Fuel Equipment'!P$14='Fuel Equipment'!$D$53,INDEX(Excavators!$C$5:$C$52,MATCH(P23,Excavators!$A$5:$A$52,0)),IF('Fuel Equipment'!P$14='Fuel Equipment'!$D$54,INDEX(Generators!$C$6:$C$60,MATCH(P23,Generators!$A$6:$A$60,0)),IF('Fuel Equipment'!P$14='Fuel Equipment'!$D$55,INDEX('Scissor Lifts'!$C$31:$C$36,MATCH(P23,'Scissor Lifts'!$A$31:$A$36,0)),"NOT REQUIRED"))))),"NOT REQUIRED"),"NOT REQUIRED"),"")</f>
        <v>NOT REQUIRED</v>
      </c>
      <c r="Q31" s="477" t="str">
        <f>IFERROR(IF('Fuel Equipment'!Q$14&gt;0,IF('Fuel Equipment'!Q$16&gt;0,IF('Fuel Equipment'!Q$14='Fuel Equipment'!$D$51,INDEX(Cranes!$C$4:$C$16,MATCH(Q23,Cranes!$A$4:$A$16,0)),IF('Fuel Equipment'!Q$14='Fuel Equipment'!$D$52,INDEX(Dumpers!$C$4:$C$16,MATCH(Q23,Dumpers!$A$4:$A$16,0)),IF('Fuel Equipment'!Q$14='Fuel Equipment'!$D$53,INDEX(Excavators!$C$5:$C$52,MATCH(Q23,Excavators!$A$5:$A$52,0)),IF('Fuel Equipment'!Q$14='Fuel Equipment'!$D$54,INDEX(Generators!$C$6:$C$60,MATCH(Q23,Generators!$A$6:$A$60,0)),IF('Fuel Equipment'!Q$14='Fuel Equipment'!$D$55,INDEX('Scissor Lifts'!$C$31:$C$36,MATCH(Q23,'Scissor Lifts'!$A$31:$A$36,0)),"NOT REQUIRED"))))),"NOT REQUIRED"),"NOT REQUIRED"),"")</f>
        <v>NOT REQUIRED</v>
      </c>
      <c r="R31" s="477" t="str">
        <f>IFERROR(IF('Fuel Equipment'!R$14&gt;0,IF('Fuel Equipment'!R$16&gt;0,IF('Fuel Equipment'!R$14='Fuel Equipment'!$D$51,INDEX(Cranes!$C$4:$C$16,MATCH(R23,Cranes!$A$4:$A$16,0)),IF('Fuel Equipment'!R$14='Fuel Equipment'!$D$52,INDEX(Dumpers!$C$4:$C$16,MATCH(R23,Dumpers!$A$4:$A$16,0)),IF('Fuel Equipment'!R$14='Fuel Equipment'!$D$53,INDEX(Excavators!$C$5:$C$52,MATCH(R23,Excavators!$A$5:$A$52,0)),IF('Fuel Equipment'!R$14='Fuel Equipment'!$D$54,INDEX(Generators!$C$6:$C$60,MATCH(R23,Generators!$A$6:$A$60,0)),IF('Fuel Equipment'!R$14='Fuel Equipment'!$D$55,INDEX('Scissor Lifts'!$C$31:$C$36,MATCH(R23,'Scissor Lifts'!$A$31:$A$36,0)),"NOT REQUIRED"))))),"NOT REQUIRED"),"NOT REQUIRED"),"")</f>
        <v>NOT REQUIRED</v>
      </c>
      <c r="S31" s="545" t="str">
        <f>IFERROR(IF('Fuel Equipment'!S$14&gt;0,IF('Fuel Equipment'!S$16&gt;0,IF('Fuel Equipment'!S$14='Fuel Equipment'!$D$51,INDEX(Cranes!$C$4:$C$16,MATCH(S23,Cranes!$A$4:$A$16,0)),IF('Fuel Equipment'!S$14='Fuel Equipment'!$D$52,INDEX(Dumpers!$C$4:$C$16,MATCH(S23,Dumpers!$A$4:$A$16,0)),IF('Fuel Equipment'!S$14='Fuel Equipment'!$D$53,INDEX(Excavators!$C$5:$C$52,MATCH(S23,Excavators!$A$5:$A$52,0)),IF('Fuel Equipment'!S$14='Fuel Equipment'!$D$54,INDEX(Generators!$C$6:$C$60,MATCH(S23,Generators!$A$6:$A$60,0)),IF('Fuel Equipment'!S$14='Fuel Equipment'!$D$55,INDEX('Scissor Lifts'!$C$31:$C$36,MATCH(S23,'Scissor Lifts'!$A$31:$A$36,0)),"NOT REQUIRED"))))),"NOT REQUIRED"),"NOT REQUIRED"),"")</f>
        <v>NOT REQUIRED</v>
      </c>
      <c r="U31" s="927"/>
      <c r="V31" s="927"/>
      <c r="W31" s="927"/>
      <c r="X31" s="928"/>
      <c r="Y31" s="928"/>
      <c r="Z31" s="928"/>
      <c r="AA31" s="928"/>
    </row>
    <row r="32" spans="1:27" s="179" customFormat="1">
      <c r="B32" s="544" t="str">
        <f>IFERROR(IF('Fuel Equipment'!B$14&gt;0,IF('Fuel Equipment'!B$16&gt;0,IF('Fuel Equipment'!B$14='Fuel Equipment'!$D$51,INDEX(Cranes!$C$4:$C$16,MATCH(B24,Cranes!$A$4:$A$16,0)),IF('Fuel Equipment'!B$14='Fuel Equipment'!$D$52,INDEX(Dumpers!$C$4:$C$16,MATCH(B24,Dumpers!$A$4:$A$16,0)),IF('Fuel Equipment'!B$14='Fuel Equipment'!$D$53,INDEX(Excavators!$C$5:$C$52,MATCH(B24,Excavators!$A$5:$A$52,0)),IF('Fuel Equipment'!B$14='Fuel Equipment'!$D$54,INDEX(Generators!$C$6:$C$60,MATCH(B24,Generators!$A$6:$A$60,0)),IF('Fuel Equipment'!B$14='Fuel Equipment'!$D$55,INDEX('Scissor Lifts'!$C$31:$C$36,MATCH(B24,'Scissor Lifts'!$A$31:$A$36,0)),"NOT REQUIRED"))))),"NOT REQUIRED"),"NOT REQUIRED"),"")</f>
        <v/>
      </c>
      <c r="C32" s="477" t="str">
        <f>IFERROR(IF('Fuel Equipment'!C$14&gt;0,IF('Fuel Equipment'!C$16&gt;0,IF('Fuel Equipment'!C$14='Fuel Equipment'!$D$51,INDEX(Cranes!$C$4:$C$16,MATCH(C24,Cranes!$A$4:$A$16,0)),IF('Fuel Equipment'!C$14='Fuel Equipment'!$D$52,INDEX(Dumpers!$C$4:$C$16,MATCH(C24,Dumpers!$A$4:$A$16,0)),IF('Fuel Equipment'!C$14='Fuel Equipment'!$D$53,INDEX(Excavators!$C$5:$C$52,MATCH(C24,Excavators!$A$5:$A$52,0)),IF('Fuel Equipment'!C$14='Fuel Equipment'!$D$54,INDEX(Generators!$C$6:$C$60,MATCH(C24,Generators!$A$6:$A$60,0)),IF('Fuel Equipment'!C$14='Fuel Equipment'!$D$55,INDEX('Scissor Lifts'!$C$31:$C$36,MATCH(C24,'Scissor Lifts'!$A$31:$A$36,0)),"NOT REQUIRED"))))),"NOT REQUIRED"),"NOT REQUIRED"),"")</f>
        <v/>
      </c>
      <c r="D32" s="477" t="str">
        <f>IFERROR(IF('Fuel Equipment'!D$14&gt;0,IF('Fuel Equipment'!D$16&gt;0,IF('Fuel Equipment'!D$14='Fuel Equipment'!$D$51,INDEX(Cranes!$C$4:$C$16,MATCH(D24,Cranes!$A$4:$A$16,0)),IF('Fuel Equipment'!D$14='Fuel Equipment'!$D$52,INDEX(Dumpers!$C$4:$C$16,MATCH(D24,Dumpers!$A$4:$A$16,0)),IF('Fuel Equipment'!D$14='Fuel Equipment'!$D$53,INDEX(Excavators!$C$5:$C$52,MATCH(D24,Excavators!$A$5:$A$52,0)),IF('Fuel Equipment'!D$14='Fuel Equipment'!$D$54,INDEX(Generators!$C$6:$C$60,MATCH(D24,Generators!$A$6:$A$60,0)),IF('Fuel Equipment'!D$14='Fuel Equipment'!$D$55,INDEX('Scissor Lifts'!$C$31:$C$36,MATCH(D24,'Scissor Lifts'!$A$31:$A$36,0)),"NOT REQUIRED"))))),"NOT REQUIRED"),"NOT REQUIRED"),"")</f>
        <v>Aggreko</v>
      </c>
      <c r="E32" s="477" t="str">
        <f>IFERROR(IF('Fuel Equipment'!E$14&gt;0,IF('Fuel Equipment'!E$16&gt;0,IF('Fuel Equipment'!E$14='Fuel Equipment'!$D$51,INDEX(Cranes!$C$4:$C$16,MATCH(E24,Cranes!$A$4:$A$16,0)),IF('Fuel Equipment'!E$14='Fuel Equipment'!$D$52,INDEX(Dumpers!$C$4:$C$16,MATCH(E24,Dumpers!$A$4:$A$16,0)),IF('Fuel Equipment'!E$14='Fuel Equipment'!$D$53,INDEX(Excavators!$C$5:$C$52,MATCH(E24,Excavators!$A$5:$A$52,0)),IF('Fuel Equipment'!E$14='Fuel Equipment'!$D$54,INDEX(Generators!$C$6:$C$60,MATCH(E24,Generators!$A$6:$A$60,0)),IF('Fuel Equipment'!E$14='Fuel Equipment'!$D$55,INDEX('Scissor Lifts'!$C$31:$C$36,MATCH(E24,'Scissor Lifts'!$A$31:$A$36,0)),"NOT REQUIRED"))))),"NOT REQUIRED"),"NOT REQUIRED"),"")</f>
        <v/>
      </c>
      <c r="F32" s="477" t="str">
        <f>IFERROR(IF('Fuel Equipment'!F$14&gt;0,IF('Fuel Equipment'!F$16&gt;0,IF('Fuel Equipment'!F$14='Fuel Equipment'!$D$51,INDEX(Cranes!$C$4:$C$16,MATCH(F24,Cranes!$A$4:$A$16,0)),IF('Fuel Equipment'!F$14='Fuel Equipment'!$D$52,INDEX(Dumpers!$C$4:$C$16,MATCH(F24,Dumpers!$A$4:$A$16,0)),IF('Fuel Equipment'!F$14='Fuel Equipment'!$D$53,INDEX(Excavators!$C$5:$C$52,MATCH(F24,Excavators!$A$5:$A$52,0)),IF('Fuel Equipment'!F$14='Fuel Equipment'!$D$54,INDEX(Generators!$C$6:$C$60,MATCH(F24,Generators!$A$6:$A$60,0)),IF('Fuel Equipment'!F$14='Fuel Equipment'!$D$55,INDEX('Scissor Lifts'!$C$31:$C$36,MATCH(F24,'Scissor Lifts'!$A$31:$A$36,0)),"NOT REQUIRED"))))),"NOT REQUIRED"),"NOT REQUIRED"),"")</f>
        <v>NOT REQUIRED</v>
      </c>
      <c r="G32" s="477" t="str">
        <f>IFERROR(IF('Fuel Equipment'!G$14&gt;0,IF('Fuel Equipment'!G$16&gt;0,IF('Fuel Equipment'!G$14='Fuel Equipment'!$D$51,INDEX(Cranes!$C$4:$C$16,MATCH(G24,Cranes!$A$4:$A$16,0)),IF('Fuel Equipment'!G$14='Fuel Equipment'!$D$52,INDEX(Dumpers!$C$4:$C$16,MATCH(G24,Dumpers!$A$4:$A$16,0)),IF('Fuel Equipment'!G$14='Fuel Equipment'!$D$53,INDEX(Excavators!$C$5:$C$52,MATCH(G24,Excavators!$A$5:$A$52,0)),IF('Fuel Equipment'!G$14='Fuel Equipment'!$D$54,INDEX(Generators!$C$6:$C$60,MATCH(G24,Generators!$A$6:$A$60,0)),IF('Fuel Equipment'!G$14='Fuel Equipment'!$D$55,INDEX('Scissor Lifts'!$C$31:$C$36,MATCH(G24,'Scissor Lifts'!$A$31:$A$36,0)),"NOT REQUIRED"))))),"NOT REQUIRED"),"NOT REQUIRED"),"")</f>
        <v>NOT REQUIRED</v>
      </c>
      <c r="H32" s="477" t="str">
        <f>IFERROR(IF('Fuel Equipment'!H$14&gt;0,IF('Fuel Equipment'!H$16&gt;0,IF('Fuel Equipment'!H$14='Fuel Equipment'!$D$51,INDEX(Cranes!$C$4:$C$16,MATCH(H24,Cranes!$A$4:$A$16,0)),IF('Fuel Equipment'!H$14='Fuel Equipment'!$D$52,INDEX(Dumpers!$C$4:$C$16,MATCH(H24,Dumpers!$A$4:$A$16,0)),IF('Fuel Equipment'!H$14='Fuel Equipment'!$D$53,INDEX(Excavators!$C$5:$C$52,MATCH(H24,Excavators!$A$5:$A$52,0)),IF('Fuel Equipment'!H$14='Fuel Equipment'!$D$54,INDEX(Generators!$C$6:$C$60,MATCH(H24,Generators!$A$6:$A$60,0)),IF('Fuel Equipment'!H$14='Fuel Equipment'!$D$55,INDEX('Scissor Lifts'!$C$31:$C$36,MATCH(H24,'Scissor Lifts'!$A$31:$A$36,0)),"NOT REQUIRED"))))),"NOT REQUIRED"),"NOT REQUIRED"),"")</f>
        <v>NOT REQUIRED</v>
      </c>
      <c r="I32" s="477" t="str">
        <f>IFERROR(IF('Fuel Equipment'!I$14&gt;0,IF('Fuel Equipment'!I$16&gt;0,IF('Fuel Equipment'!I$14='Fuel Equipment'!$D$51,INDEX(Cranes!$C$4:$C$16,MATCH(I24,Cranes!$A$4:$A$16,0)),IF('Fuel Equipment'!I$14='Fuel Equipment'!$D$52,INDEX(Dumpers!$C$4:$C$16,MATCH(I24,Dumpers!$A$4:$A$16,0)),IF('Fuel Equipment'!I$14='Fuel Equipment'!$D$53,INDEX(Excavators!$C$5:$C$52,MATCH(I24,Excavators!$A$5:$A$52,0)),IF('Fuel Equipment'!I$14='Fuel Equipment'!$D$54,INDEX(Generators!$C$6:$C$60,MATCH(I24,Generators!$A$6:$A$60,0)),IF('Fuel Equipment'!I$14='Fuel Equipment'!$D$55,INDEX('Scissor Lifts'!$C$31:$C$36,MATCH(I24,'Scissor Lifts'!$A$31:$A$36,0)),"NOT REQUIRED"))))),"NOT REQUIRED"),"NOT REQUIRED"),"")</f>
        <v>NOT REQUIRED</v>
      </c>
      <c r="J32" s="477" t="str">
        <f>IFERROR(IF('Fuel Equipment'!J$14&gt;0,IF('Fuel Equipment'!J$16&gt;0,IF('Fuel Equipment'!J$14='Fuel Equipment'!$D$51,INDEX(Cranes!$C$4:$C$16,MATCH(J24,Cranes!$A$4:$A$16,0)),IF('Fuel Equipment'!J$14='Fuel Equipment'!$D$52,INDEX(Dumpers!$C$4:$C$16,MATCH(J24,Dumpers!$A$4:$A$16,0)),IF('Fuel Equipment'!J$14='Fuel Equipment'!$D$53,INDEX(Excavators!$C$5:$C$52,MATCH(J24,Excavators!$A$5:$A$52,0)),IF('Fuel Equipment'!J$14='Fuel Equipment'!$D$54,INDEX(Generators!$C$6:$C$60,MATCH(J24,Generators!$A$6:$A$60,0)),IF('Fuel Equipment'!J$14='Fuel Equipment'!$D$55,INDEX('Scissor Lifts'!$C$31:$C$36,MATCH(J24,'Scissor Lifts'!$A$31:$A$36,0)),"NOT REQUIRED"))))),"NOT REQUIRED"),"NOT REQUIRED"),"")</f>
        <v>NOT REQUIRED</v>
      </c>
      <c r="K32" s="477" t="str">
        <f>IFERROR(IF('Fuel Equipment'!K$14&gt;0,IF('Fuel Equipment'!K$16&gt;0,IF('Fuel Equipment'!K$14='Fuel Equipment'!$D$51,INDEX(Cranes!$C$4:$C$16,MATCH(K24,Cranes!$A$4:$A$16,0)),IF('Fuel Equipment'!K$14='Fuel Equipment'!$D$52,INDEX(Dumpers!$C$4:$C$16,MATCH(K24,Dumpers!$A$4:$A$16,0)),IF('Fuel Equipment'!K$14='Fuel Equipment'!$D$53,INDEX(Excavators!$C$5:$C$52,MATCH(K24,Excavators!$A$5:$A$52,0)),IF('Fuel Equipment'!K$14='Fuel Equipment'!$D$54,INDEX(Generators!$C$6:$C$60,MATCH(K24,Generators!$A$6:$A$60,0)),IF('Fuel Equipment'!K$14='Fuel Equipment'!$D$55,INDEX('Scissor Lifts'!$C$31:$C$36,MATCH(K24,'Scissor Lifts'!$A$31:$A$36,0)),"NOT REQUIRED"))))),"NOT REQUIRED"),"NOT REQUIRED"),"")</f>
        <v>NOT REQUIRED</v>
      </c>
      <c r="L32" s="477" t="str">
        <f>IFERROR(IF('Fuel Equipment'!L$14&gt;0,IF('Fuel Equipment'!L$16&gt;0,IF('Fuel Equipment'!L$14='Fuel Equipment'!$D$51,INDEX(Cranes!$C$4:$C$16,MATCH(L24,Cranes!$A$4:$A$16,0)),IF('Fuel Equipment'!L$14='Fuel Equipment'!$D$52,INDEX(Dumpers!$C$4:$C$16,MATCH(L24,Dumpers!$A$4:$A$16,0)),IF('Fuel Equipment'!L$14='Fuel Equipment'!$D$53,INDEX(Excavators!$C$5:$C$52,MATCH(L24,Excavators!$A$5:$A$52,0)),IF('Fuel Equipment'!L$14='Fuel Equipment'!$D$54,INDEX(Generators!$C$6:$C$60,MATCH(L24,Generators!$A$6:$A$60,0)),IF('Fuel Equipment'!L$14='Fuel Equipment'!$D$55,INDEX('Scissor Lifts'!$C$31:$C$36,MATCH(L24,'Scissor Lifts'!$A$31:$A$36,0)),"NOT REQUIRED"))))),"NOT REQUIRED"),"NOT REQUIRED"),"")</f>
        <v>NOT REQUIRED</v>
      </c>
      <c r="M32" s="477" t="str">
        <f>IFERROR(IF('Fuel Equipment'!M$14&gt;0,IF('Fuel Equipment'!M$16&gt;0,IF('Fuel Equipment'!M$14='Fuel Equipment'!$D$51,INDEX(Cranes!$C$4:$C$16,MATCH(M24,Cranes!$A$4:$A$16,0)),IF('Fuel Equipment'!M$14='Fuel Equipment'!$D$52,INDEX(Dumpers!$C$4:$C$16,MATCH(M24,Dumpers!$A$4:$A$16,0)),IF('Fuel Equipment'!M$14='Fuel Equipment'!$D$53,INDEX(Excavators!$C$5:$C$52,MATCH(M24,Excavators!$A$5:$A$52,0)),IF('Fuel Equipment'!M$14='Fuel Equipment'!$D$54,INDEX(Generators!$C$6:$C$60,MATCH(M24,Generators!$A$6:$A$60,0)),IF('Fuel Equipment'!M$14='Fuel Equipment'!$D$55,INDEX('Scissor Lifts'!$C$31:$C$36,MATCH(M24,'Scissor Lifts'!$A$31:$A$36,0)),"NOT REQUIRED"))))),"NOT REQUIRED"),"NOT REQUIRED"),"")</f>
        <v>NOT REQUIRED</v>
      </c>
      <c r="N32" s="477" t="str">
        <f>IFERROR(IF('Fuel Equipment'!N$14&gt;0,IF('Fuel Equipment'!N$16&gt;0,IF('Fuel Equipment'!N$14='Fuel Equipment'!$D$51,INDEX(Cranes!$C$4:$C$16,MATCH(N24,Cranes!$A$4:$A$16,0)),IF('Fuel Equipment'!N$14='Fuel Equipment'!$D$52,INDEX(Dumpers!$C$4:$C$16,MATCH(N24,Dumpers!$A$4:$A$16,0)),IF('Fuel Equipment'!N$14='Fuel Equipment'!$D$53,INDEX(Excavators!$C$5:$C$52,MATCH(N24,Excavators!$A$5:$A$52,0)),IF('Fuel Equipment'!N$14='Fuel Equipment'!$D$54,INDEX(Generators!$C$6:$C$60,MATCH(N24,Generators!$A$6:$A$60,0)),IF('Fuel Equipment'!N$14='Fuel Equipment'!$D$55,INDEX('Scissor Lifts'!$C$31:$C$36,MATCH(N24,'Scissor Lifts'!$A$31:$A$36,0)),"NOT REQUIRED"))))),"NOT REQUIRED"),"NOT REQUIRED"),"")</f>
        <v>NOT REQUIRED</v>
      </c>
      <c r="O32" s="477" t="str">
        <f>IFERROR(IF('Fuel Equipment'!O$14&gt;0,IF('Fuel Equipment'!O$16&gt;0,IF('Fuel Equipment'!O$14='Fuel Equipment'!$D$51,INDEX(Cranes!$C$4:$C$16,MATCH(O24,Cranes!$A$4:$A$16,0)),IF('Fuel Equipment'!O$14='Fuel Equipment'!$D$52,INDEX(Dumpers!$C$4:$C$16,MATCH(O24,Dumpers!$A$4:$A$16,0)),IF('Fuel Equipment'!O$14='Fuel Equipment'!$D$53,INDEX(Excavators!$C$5:$C$52,MATCH(O24,Excavators!$A$5:$A$52,0)),IF('Fuel Equipment'!O$14='Fuel Equipment'!$D$54,INDEX(Generators!$C$6:$C$60,MATCH(O24,Generators!$A$6:$A$60,0)),IF('Fuel Equipment'!O$14='Fuel Equipment'!$D$55,INDEX('Scissor Lifts'!$C$31:$C$36,MATCH(O24,'Scissor Lifts'!$A$31:$A$36,0)),"NOT REQUIRED"))))),"NOT REQUIRED"),"NOT REQUIRED"),"")</f>
        <v>NOT REQUIRED</v>
      </c>
      <c r="P32" s="477" t="str">
        <f>IFERROR(IF('Fuel Equipment'!P$14&gt;0,IF('Fuel Equipment'!P$16&gt;0,IF('Fuel Equipment'!P$14='Fuel Equipment'!$D$51,INDEX(Cranes!$C$4:$C$16,MATCH(P24,Cranes!$A$4:$A$16,0)),IF('Fuel Equipment'!P$14='Fuel Equipment'!$D$52,INDEX(Dumpers!$C$4:$C$16,MATCH(P24,Dumpers!$A$4:$A$16,0)),IF('Fuel Equipment'!P$14='Fuel Equipment'!$D$53,INDEX(Excavators!$C$5:$C$52,MATCH(P24,Excavators!$A$5:$A$52,0)),IF('Fuel Equipment'!P$14='Fuel Equipment'!$D$54,INDEX(Generators!$C$6:$C$60,MATCH(P24,Generators!$A$6:$A$60,0)),IF('Fuel Equipment'!P$14='Fuel Equipment'!$D$55,INDEX('Scissor Lifts'!$C$31:$C$36,MATCH(P24,'Scissor Lifts'!$A$31:$A$36,0)),"NOT REQUIRED"))))),"NOT REQUIRED"),"NOT REQUIRED"),"")</f>
        <v>NOT REQUIRED</v>
      </c>
      <c r="Q32" s="477" t="str">
        <f>IFERROR(IF('Fuel Equipment'!Q$14&gt;0,IF('Fuel Equipment'!Q$16&gt;0,IF('Fuel Equipment'!Q$14='Fuel Equipment'!$D$51,INDEX(Cranes!$C$4:$C$16,MATCH(Q24,Cranes!$A$4:$A$16,0)),IF('Fuel Equipment'!Q$14='Fuel Equipment'!$D$52,INDEX(Dumpers!$C$4:$C$16,MATCH(Q24,Dumpers!$A$4:$A$16,0)),IF('Fuel Equipment'!Q$14='Fuel Equipment'!$D$53,INDEX(Excavators!$C$5:$C$52,MATCH(Q24,Excavators!$A$5:$A$52,0)),IF('Fuel Equipment'!Q$14='Fuel Equipment'!$D$54,INDEX(Generators!$C$6:$C$60,MATCH(Q24,Generators!$A$6:$A$60,0)),IF('Fuel Equipment'!Q$14='Fuel Equipment'!$D$55,INDEX('Scissor Lifts'!$C$31:$C$36,MATCH(Q24,'Scissor Lifts'!$A$31:$A$36,0)),"NOT REQUIRED"))))),"NOT REQUIRED"),"NOT REQUIRED"),"")</f>
        <v>NOT REQUIRED</v>
      </c>
      <c r="R32" s="477" t="str">
        <f>IFERROR(IF('Fuel Equipment'!R$14&gt;0,IF('Fuel Equipment'!R$16&gt;0,IF('Fuel Equipment'!R$14='Fuel Equipment'!$D$51,INDEX(Cranes!$C$4:$C$16,MATCH(R24,Cranes!$A$4:$A$16,0)),IF('Fuel Equipment'!R$14='Fuel Equipment'!$D$52,INDEX(Dumpers!$C$4:$C$16,MATCH(R24,Dumpers!$A$4:$A$16,0)),IF('Fuel Equipment'!R$14='Fuel Equipment'!$D$53,INDEX(Excavators!$C$5:$C$52,MATCH(R24,Excavators!$A$5:$A$52,0)),IF('Fuel Equipment'!R$14='Fuel Equipment'!$D$54,INDEX(Generators!$C$6:$C$60,MATCH(R24,Generators!$A$6:$A$60,0)),IF('Fuel Equipment'!R$14='Fuel Equipment'!$D$55,INDEX('Scissor Lifts'!$C$31:$C$36,MATCH(R24,'Scissor Lifts'!$A$31:$A$36,0)),"NOT REQUIRED"))))),"NOT REQUIRED"),"NOT REQUIRED"),"")</f>
        <v>NOT REQUIRED</v>
      </c>
      <c r="S32" s="545" t="str">
        <f>IFERROR(IF('Fuel Equipment'!S$14&gt;0,IF('Fuel Equipment'!S$16&gt;0,IF('Fuel Equipment'!S$14='Fuel Equipment'!$D$51,INDEX(Cranes!$C$4:$C$16,MATCH(S24,Cranes!$A$4:$A$16,0)),IF('Fuel Equipment'!S$14='Fuel Equipment'!$D$52,INDEX(Dumpers!$C$4:$C$16,MATCH(S24,Dumpers!$A$4:$A$16,0)),IF('Fuel Equipment'!S$14='Fuel Equipment'!$D$53,INDEX(Excavators!$C$5:$C$52,MATCH(S24,Excavators!$A$5:$A$52,0)),IF('Fuel Equipment'!S$14='Fuel Equipment'!$D$54,INDEX(Generators!$C$6:$C$60,MATCH(S24,Generators!$A$6:$A$60,0)),IF('Fuel Equipment'!S$14='Fuel Equipment'!$D$55,INDEX('Scissor Lifts'!$C$31:$C$36,MATCH(S24,'Scissor Lifts'!$A$31:$A$36,0)),"NOT REQUIRED"))))),"NOT REQUIRED"),"NOT REQUIRED"),"")</f>
        <v>NOT REQUIRED</v>
      </c>
      <c r="U32" s="927"/>
      <c r="V32" s="927"/>
      <c r="W32" s="927"/>
      <c r="X32" s="928"/>
      <c r="Y32" s="928"/>
      <c r="Z32" s="928"/>
      <c r="AA32" s="928"/>
    </row>
    <row r="33" spans="2:37" s="179" customFormat="1">
      <c r="B33" s="544" t="str">
        <f>IFERROR(IF('Fuel Equipment'!B$14&gt;0,IF('Fuel Equipment'!B$16&gt;0,IF('Fuel Equipment'!B$14='Fuel Equipment'!$D$51,INDEX(Cranes!$C$4:$C$16,MATCH(B25,Cranes!$A$4:$A$16,0)),IF('Fuel Equipment'!B$14='Fuel Equipment'!$D$52,INDEX(Dumpers!$C$4:$C$16,MATCH(B25,Dumpers!$A$4:$A$16,0)),IF('Fuel Equipment'!B$14='Fuel Equipment'!$D$53,INDEX(Excavators!$C$5:$C$52,MATCH(B25,Excavators!$A$5:$A$52,0)),IF('Fuel Equipment'!B$14='Fuel Equipment'!$D$54,INDEX(Generators!$C$6:$C$60,MATCH(B25,Generators!$A$6:$A$60,0)),IF('Fuel Equipment'!B$14='Fuel Equipment'!$D$55,INDEX('Scissor Lifts'!$C$31:$C$36,MATCH(B25,'Scissor Lifts'!$A$31:$A$36,0)),"NOT REQUIRED"))))),"NOT REQUIRED"),"NOT REQUIRED"),"")</f>
        <v/>
      </c>
      <c r="C33" s="477" t="str">
        <f>IFERROR(IF('Fuel Equipment'!C$14&gt;0,IF('Fuel Equipment'!C$16&gt;0,IF('Fuel Equipment'!C$14='Fuel Equipment'!$D$51,INDEX(Cranes!$C$4:$C$16,MATCH(C25,Cranes!$A$4:$A$16,0)),IF('Fuel Equipment'!C$14='Fuel Equipment'!$D$52,INDEX(Dumpers!$C$4:$C$16,MATCH(C25,Dumpers!$A$4:$A$16,0)),IF('Fuel Equipment'!C$14='Fuel Equipment'!$D$53,INDEX(Excavators!$C$5:$C$52,MATCH(C25,Excavators!$A$5:$A$52,0)),IF('Fuel Equipment'!C$14='Fuel Equipment'!$D$54,INDEX(Generators!$C$6:$C$60,MATCH(C25,Generators!$A$6:$A$60,0)),IF('Fuel Equipment'!C$14='Fuel Equipment'!$D$55,INDEX('Scissor Lifts'!$C$31:$C$36,MATCH(C25,'Scissor Lifts'!$A$31:$A$36,0)),"NOT REQUIRED"))))),"NOT REQUIRED"),"NOT REQUIRED"),"")</f>
        <v/>
      </c>
      <c r="D33" s="477" t="str">
        <f>IFERROR(IF('Fuel Equipment'!D$14&gt;0,IF('Fuel Equipment'!D$16&gt;0,IF('Fuel Equipment'!D$14='Fuel Equipment'!$D$51,INDEX(Cranes!$C$4:$C$16,MATCH(D25,Cranes!$A$4:$A$16,0)),IF('Fuel Equipment'!D$14='Fuel Equipment'!$D$52,INDEX(Dumpers!$C$4:$C$16,MATCH(D25,Dumpers!$A$4:$A$16,0)),IF('Fuel Equipment'!D$14='Fuel Equipment'!$D$53,INDEX(Excavators!$C$5:$C$52,MATCH(D25,Excavators!$A$5:$A$52,0)),IF('Fuel Equipment'!D$14='Fuel Equipment'!$D$54,INDEX(Generators!$C$6:$C$60,MATCH(D25,Generators!$A$6:$A$60,0)),IF('Fuel Equipment'!D$14='Fuel Equipment'!$D$55,INDEX('Scissor Lifts'!$C$31:$C$36,MATCH(D25,'Scissor Lifts'!$A$31:$A$36,0)),"NOT REQUIRED"))))),"NOT REQUIRED"),"NOT REQUIRED"),"")</f>
        <v/>
      </c>
      <c r="E33" s="477" t="str">
        <f>IFERROR(IF('Fuel Equipment'!E$14&gt;0,IF('Fuel Equipment'!E$16&gt;0,IF('Fuel Equipment'!E$14='Fuel Equipment'!$D$51,INDEX(Cranes!$C$4:$C$16,MATCH(E25,Cranes!$A$4:$A$16,0)),IF('Fuel Equipment'!E$14='Fuel Equipment'!$D$52,INDEX(Dumpers!$C$4:$C$16,MATCH(E25,Dumpers!$A$4:$A$16,0)),IF('Fuel Equipment'!E$14='Fuel Equipment'!$D$53,INDEX(Excavators!$C$5:$C$52,MATCH(E25,Excavators!$A$5:$A$52,0)),IF('Fuel Equipment'!E$14='Fuel Equipment'!$D$54,INDEX(Generators!$C$6:$C$60,MATCH(E25,Generators!$A$6:$A$60,0)),IF('Fuel Equipment'!E$14='Fuel Equipment'!$D$55,INDEX('Scissor Lifts'!$C$31:$C$36,MATCH(E25,'Scissor Lifts'!$A$31:$A$36,0)),"NOT REQUIRED"))))),"NOT REQUIRED"),"NOT REQUIRED"),"")</f>
        <v/>
      </c>
      <c r="F33" s="477" t="str">
        <f>IFERROR(IF('Fuel Equipment'!F$14&gt;0,IF('Fuel Equipment'!F$16&gt;0,IF('Fuel Equipment'!F$14='Fuel Equipment'!$D$51,INDEX(Cranes!$C$4:$C$16,MATCH(F25,Cranes!$A$4:$A$16,0)),IF('Fuel Equipment'!F$14='Fuel Equipment'!$D$52,INDEX(Dumpers!$C$4:$C$16,MATCH(F25,Dumpers!$A$4:$A$16,0)),IF('Fuel Equipment'!F$14='Fuel Equipment'!$D$53,INDEX(Excavators!$C$5:$C$52,MATCH(F25,Excavators!$A$5:$A$52,0)),IF('Fuel Equipment'!F$14='Fuel Equipment'!$D$54,INDEX(Generators!$C$6:$C$60,MATCH(F25,Generators!$A$6:$A$60,0)),IF('Fuel Equipment'!F$14='Fuel Equipment'!$D$55,INDEX('Scissor Lifts'!$C$31:$C$36,MATCH(F25,'Scissor Lifts'!$A$31:$A$36,0)),"NOT REQUIRED"))))),"NOT REQUIRED"),"NOT REQUIRED"),"")</f>
        <v>NOT REQUIRED</v>
      </c>
      <c r="G33" s="477" t="str">
        <f>IFERROR(IF('Fuel Equipment'!G$14&gt;0,IF('Fuel Equipment'!G$16&gt;0,IF('Fuel Equipment'!G$14='Fuel Equipment'!$D$51,INDEX(Cranes!$C$4:$C$16,MATCH(G25,Cranes!$A$4:$A$16,0)),IF('Fuel Equipment'!G$14='Fuel Equipment'!$D$52,INDEX(Dumpers!$C$4:$C$16,MATCH(G25,Dumpers!$A$4:$A$16,0)),IF('Fuel Equipment'!G$14='Fuel Equipment'!$D$53,INDEX(Excavators!$C$5:$C$52,MATCH(G25,Excavators!$A$5:$A$52,0)),IF('Fuel Equipment'!G$14='Fuel Equipment'!$D$54,INDEX(Generators!$C$6:$C$60,MATCH(G25,Generators!$A$6:$A$60,0)),IF('Fuel Equipment'!G$14='Fuel Equipment'!$D$55,INDEX('Scissor Lifts'!$C$31:$C$36,MATCH(G25,'Scissor Lifts'!$A$31:$A$36,0)),"NOT REQUIRED"))))),"NOT REQUIRED"),"NOT REQUIRED"),"")</f>
        <v>NOT REQUIRED</v>
      </c>
      <c r="H33" s="477" t="str">
        <f>IFERROR(IF('Fuel Equipment'!H$14&gt;0,IF('Fuel Equipment'!H$16&gt;0,IF('Fuel Equipment'!H$14='Fuel Equipment'!$D$51,INDEX(Cranes!$C$4:$C$16,MATCH(H25,Cranes!$A$4:$A$16,0)),IF('Fuel Equipment'!H$14='Fuel Equipment'!$D$52,INDEX(Dumpers!$C$4:$C$16,MATCH(H25,Dumpers!$A$4:$A$16,0)),IF('Fuel Equipment'!H$14='Fuel Equipment'!$D$53,INDEX(Excavators!$C$5:$C$52,MATCH(H25,Excavators!$A$5:$A$52,0)),IF('Fuel Equipment'!H$14='Fuel Equipment'!$D$54,INDEX(Generators!$C$6:$C$60,MATCH(H25,Generators!$A$6:$A$60,0)),IF('Fuel Equipment'!H$14='Fuel Equipment'!$D$55,INDEX('Scissor Lifts'!$C$31:$C$36,MATCH(H25,'Scissor Lifts'!$A$31:$A$36,0)),"NOT REQUIRED"))))),"NOT REQUIRED"),"NOT REQUIRED"),"")</f>
        <v>NOT REQUIRED</v>
      </c>
      <c r="I33" s="477" t="str">
        <f>IFERROR(IF('Fuel Equipment'!I$14&gt;0,IF('Fuel Equipment'!I$16&gt;0,IF('Fuel Equipment'!I$14='Fuel Equipment'!$D$51,INDEX(Cranes!$C$4:$C$16,MATCH(I25,Cranes!$A$4:$A$16,0)),IF('Fuel Equipment'!I$14='Fuel Equipment'!$D$52,INDEX(Dumpers!$C$4:$C$16,MATCH(I25,Dumpers!$A$4:$A$16,0)),IF('Fuel Equipment'!I$14='Fuel Equipment'!$D$53,INDEX(Excavators!$C$5:$C$52,MATCH(I25,Excavators!$A$5:$A$52,0)),IF('Fuel Equipment'!I$14='Fuel Equipment'!$D$54,INDEX(Generators!$C$6:$C$60,MATCH(I25,Generators!$A$6:$A$60,0)),IF('Fuel Equipment'!I$14='Fuel Equipment'!$D$55,INDEX('Scissor Lifts'!$C$31:$C$36,MATCH(I25,'Scissor Lifts'!$A$31:$A$36,0)),"NOT REQUIRED"))))),"NOT REQUIRED"),"NOT REQUIRED"),"")</f>
        <v>NOT REQUIRED</v>
      </c>
      <c r="J33" s="477" t="str">
        <f>IFERROR(IF('Fuel Equipment'!J$14&gt;0,IF('Fuel Equipment'!J$16&gt;0,IF('Fuel Equipment'!J$14='Fuel Equipment'!$D$51,INDEX(Cranes!$C$4:$C$16,MATCH(J25,Cranes!$A$4:$A$16,0)),IF('Fuel Equipment'!J$14='Fuel Equipment'!$D$52,INDEX(Dumpers!$C$4:$C$16,MATCH(J25,Dumpers!$A$4:$A$16,0)),IF('Fuel Equipment'!J$14='Fuel Equipment'!$D$53,INDEX(Excavators!$C$5:$C$52,MATCH(J25,Excavators!$A$5:$A$52,0)),IF('Fuel Equipment'!J$14='Fuel Equipment'!$D$54,INDEX(Generators!$C$6:$C$60,MATCH(J25,Generators!$A$6:$A$60,0)),IF('Fuel Equipment'!J$14='Fuel Equipment'!$D$55,INDEX('Scissor Lifts'!$C$31:$C$36,MATCH(J25,'Scissor Lifts'!$A$31:$A$36,0)),"NOT REQUIRED"))))),"NOT REQUIRED"),"NOT REQUIRED"),"")</f>
        <v>NOT REQUIRED</v>
      </c>
      <c r="K33" s="477" t="str">
        <f>IFERROR(IF('Fuel Equipment'!K$14&gt;0,IF('Fuel Equipment'!K$16&gt;0,IF('Fuel Equipment'!K$14='Fuel Equipment'!$D$51,INDEX(Cranes!$C$4:$C$16,MATCH(K25,Cranes!$A$4:$A$16,0)),IF('Fuel Equipment'!K$14='Fuel Equipment'!$D$52,INDEX(Dumpers!$C$4:$C$16,MATCH(K25,Dumpers!$A$4:$A$16,0)),IF('Fuel Equipment'!K$14='Fuel Equipment'!$D$53,INDEX(Excavators!$C$5:$C$52,MATCH(K25,Excavators!$A$5:$A$52,0)),IF('Fuel Equipment'!K$14='Fuel Equipment'!$D$54,INDEX(Generators!$C$6:$C$60,MATCH(K25,Generators!$A$6:$A$60,0)),IF('Fuel Equipment'!K$14='Fuel Equipment'!$D$55,INDEX('Scissor Lifts'!$C$31:$C$36,MATCH(K25,'Scissor Lifts'!$A$31:$A$36,0)),"NOT REQUIRED"))))),"NOT REQUIRED"),"NOT REQUIRED"),"")</f>
        <v>NOT REQUIRED</v>
      </c>
      <c r="L33" s="477" t="str">
        <f>IFERROR(IF('Fuel Equipment'!L$14&gt;0,IF('Fuel Equipment'!L$16&gt;0,IF('Fuel Equipment'!L$14='Fuel Equipment'!$D$51,INDEX(Cranes!$C$4:$C$16,MATCH(L25,Cranes!$A$4:$A$16,0)),IF('Fuel Equipment'!L$14='Fuel Equipment'!$D$52,INDEX(Dumpers!$C$4:$C$16,MATCH(L25,Dumpers!$A$4:$A$16,0)),IF('Fuel Equipment'!L$14='Fuel Equipment'!$D$53,INDEX(Excavators!$C$5:$C$52,MATCH(L25,Excavators!$A$5:$A$52,0)),IF('Fuel Equipment'!L$14='Fuel Equipment'!$D$54,INDEX(Generators!$C$6:$C$60,MATCH(L25,Generators!$A$6:$A$60,0)),IF('Fuel Equipment'!L$14='Fuel Equipment'!$D$55,INDEX('Scissor Lifts'!$C$31:$C$36,MATCH(L25,'Scissor Lifts'!$A$31:$A$36,0)),"NOT REQUIRED"))))),"NOT REQUIRED"),"NOT REQUIRED"),"")</f>
        <v>NOT REQUIRED</v>
      </c>
      <c r="M33" s="477" t="str">
        <f>IFERROR(IF('Fuel Equipment'!M$14&gt;0,IF('Fuel Equipment'!M$16&gt;0,IF('Fuel Equipment'!M$14='Fuel Equipment'!$D$51,INDEX(Cranes!$C$4:$C$16,MATCH(M25,Cranes!$A$4:$A$16,0)),IF('Fuel Equipment'!M$14='Fuel Equipment'!$D$52,INDEX(Dumpers!$C$4:$C$16,MATCH(M25,Dumpers!$A$4:$A$16,0)),IF('Fuel Equipment'!M$14='Fuel Equipment'!$D$53,INDEX(Excavators!$C$5:$C$52,MATCH(M25,Excavators!$A$5:$A$52,0)),IF('Fuel Equipment'!M$14='Fuel Equipment'!$D$54,INDEX(Generators!$C$6:$C$60,MATCH(M25,Generators!$A$6:$A$60,0)),IF('Fuel Equipment'!M$14='Fuel Equipment'!$D$55,INDEX('Scissor Lifts'!$C$31:$C$36,MATCH(M25,'Scissor Lifts'!$A$31:$A$36,0)),"NOT REQUIRED"))))),"NOT REQUIRED"),"NOT REQUIRED"),"")</f>
        <v>NOT REQUIRED</v>
      </c>
      <c r="N33" s="477" t="str">
        <f>IFERROR(IF('Fuel Equipment'!N$14&gt;0,IF('Fuel Equipment'!N$16&gt;0,IF('Fuel Equipment'!N$14='Fuel Equipment'!$D$51,INDEX(Cranes!$C$4:$C$16,MATCH(N25,Cranes!$A$4:$A$16,0)),IF('Fuel Equipment'!N$14='Fuel Equipment'!$D$52,INDEX(Dumpers!$C$4:$C$16,MATCH(N25,Dumpers!$A$4:$A$16,0)),IF('Fuel Equipment'!N$14='Fuel Equipment'!$D$53,INDEX(Excavators!$C$5:$C$52,MATCH(N25,Excavators!$A$5:$A$52,0)),IF('Fuel Equipment'!N$14='Fuel Equipment'!$D$54,INDEX(Generators!$C$6:$C$60,MATCH(N25,Generators!$A$6:$A$60,0)),IF('Fuel Equipment'!N$14='Fuel Equipment'!$D$55,INDEX('Scissor Lifts'!$C$31:$C$36,MATCH(N25,'Scissor Lifts'!$A$31:$A$36,0)),"NOT REQUIRED"))))),"NOT REQUIRED"),"NOT REQUIRED"),"")</f>
        <v>NOT REQUIRED</v>
      </c>
      <c r="O33" s="477" t="str">
        <f>IFERROR(IF('Fuel Equipment'!O$14&gt;0,IF('Fuel Equipment'!O$16&gt;0,IF('Fuel Equipment'!O$14='Fuel Equipment'!$D$51,INDEX(Cranes!$C$4:$C$16,MATCH(O25,Cranes!$A$4:$A$16,0)),IF('Fuel Equipment'!O$14='Fuel Equipment'!$D$52,INDEX(Dumpers!$C$4:$C$16,MATCH(O25,Dumpers!$A$4:$A$16,0)),IF('Fuel Equipment'!O$14='Fuel Equipment'!$D$53,INDEX(Excavators!$C$5:$C$52,MATCH(O25,Excavators!$A$5:$A$52,0)),IF('Fuel Equipment'!O$14='Fuel Equipment'!$D$54,INDEX(Generators!$C$6:$C$60,MATCH(O25,Generators!$A$6:$A$60,0)),IF('Fuel Equipment'!O$14='Fuel Equipment'!$D$55,INDEX('Scissor Lifts'!$C$31:$C$36,MATCH(O25,'Scissor Lifts'!$A$31:$A$36,0)),"NOT REQUIRED"))))),"NOT REQUIRED"),"NOT REQUIRED"),"")</f>
        <v>NOT REQUIRED</v>
      </c>
      <c r="P33" s="477" t="str">
        <f>IFERROR(IF('Fuel Equipment'!P$14&gt;0,IF('Fuel Equipment'!P$16&gt;0,IF('Fuel Equipment'!P$14='Fuel Equipment'!$D$51,INDEX(Cranes!$C$4:$C$16,MATCH(P25,Cranes!$A$4:$A$16,0)),IF('Fuel Equipment'!P$14='Fuel Equipment'!$D$52,INDEX(Dumpers!$C$4:$C$16,MATCH(P25,Dumpers!$A$4:$A$16,0)),IF('Fuel Equipment'!P$14='Fuel Equipment'!$D$53,INDEX(Excavators!$C$5:$C$52,MATCH(P25,Excavators!$A$5:$A$52,0)),IF('Fuel Equipment'!P$14='Fuel Equipment'!$D$54,INDEX(Generators!$C$6:$C$60,MATCH(P25,Generators!$A$6:$A$60,0)),IF('Fuel Equipment'!P$14='Fuel Equipment'!$D$55,INDEX('Scissor Lifts'!$C$31:$C$36,MATCH(P25,'Scissor Lifts'!$A$31:$A$36,0)),"NOT REQUIRED"))))),"NOT REQUIRED"),"NOT REQUIRED"),"")</f>
        <v>NOT REQUIRED</v>
      </c>
      <c r="Q33" s="477" t="str">
        <f>IFERROR(IF('Fuel Equipment'!Q$14&gt;0,IF('Fuel Equipment'!Q$16&gt;0,IF('Fuel Equipment'!Q$14='Fuel Equipment'!$D$51,INDEX(Cranes!$C$4:$C$16,MATCH(Q25,Cranes!$A$4:$A$16,0)),IF('Fuel Equipment'!Q$14='Fuel Equipment'!$D$52,INDEX(Dumpers!$C$4:$C$16,MATCH(Q25,Dumpers!$A$4:$A$16,0)),IF('Fuel Equipment'!Q$14='Fuel Equipment'!$D$53,INDEX(Excavators!$C$5:$C$52,MATCH(Q25,Excavators!$A$5:$A$52,0)),IF('Fuel Equipment'!Q$14='Fuel Equipment'!$D$54,INDEX(Generators!$C$6:$C$60,MATCH(Q25,Generators!$A$6:$A$60,0)),IF('Fuel Equipment'!Q$14='Fuel Equipment'!$D$55,INDEX('Scissor Lifts'!$C$31:$C$36,MATCH(Q25,'Scissor Lifts'!$A$31:$A$36,0)),"NOT REQUIRED"))))),"NOT REQUIRED"),"NOT REQUIRED"),"")</f>
        <v>NOT REQUIRED</v>
      </c>
      <c r="R33" s="477" t="str">
        <f>IFERROR(IF('Fuel Equipment'!R$14&gt;0,IF('Fuel Equipment'!R$16&gt;0,IF('Fuel Equipment'!R$14='Fuel Equipment'!$D$51,INDEX(Cranes!$C$4:$C$16,MATCH(R25,Cranes!$A$4:$A$16,0)),IF('Fuel Equipment'!R$14='Fuel Equipment'!$D$52,INDEX(Dumpers!$C$4:$C$16,MATCH(R25,Dumpers!$A$4:$A$16,0)),IF('Fuel Equipment'!R$14='Fuel Equipment'!$D$53,INDEX(Excavators!$C$5:$C$52,MATCH(R25,Excavators!$A$5:$A$52,0)),IF('Fuel Equipment'!R$14='Fuel Equipment'!$D$54,INDEX(Generators!$C$6:$C$60,MATCH(R25,Generators!$A$6:$A$60,0)),IF('Fuel Equipment'!R$14='Fuel Equipment'!$D$55,INDEX('Scissor Lifts'!$C$31:$C$36,MATCH(R25,'Scissor Lifts'!$A$31:$A$36,0)),"NOT REQUIRED"))))),"NOT REQUIRED"),"NOT REQUIRED"),"")</f>
        <v>NOT REQUIRED</v>
      </c>
      <c r="S33" s="545" t="str">
        <f>IFERROR(IF('Fuel Equipment'!S$14&gt;0,IF('Fuel Equipment'!S$16&gt;0,IF('Fuel Equipment'!S$14='Fuel Equipment'!$D$51,INDEX(Cranes!$C$4:$C$16,MATCH(S25,Cranes!$A$4:$A$16,0)),IF('Fuel Equipment'!S$14='Fuel Equipment'!$D$52,INDEX(Dumpers!$C$4:$C$16,MATCH(S25,Dumpers!$A$4:$A$16,0)),IF('Fuel Equipment'!S$14='Fuel Equipment'!$D$53,INDEX(Excavators!$C$5:$C$52,MATCH(S25,Excavators!$A$5:$A$52,0)),IF('Fuel Equipment'!S$14='Fuel Equipment'!$D$54,INDEX(Generators!$C$6:$C$60,MATCH(S25,Generators!$A$6:$A$60,0)),IF('Fuel Equipment'!S$14='Fuel Equipment'!$D$55,INDEX('Scissor Lifts'!$C$31:$C$36,MATCH(S25,'Scissor Lifts'!$A$31:$A$36,0)),"NOT REQUIRED"))))),"NOT REQUIRED"),"NOT REQUIRED"),"")</f>
        <v>NOT REQUIRED</v>
      </c>
      <c r="U33" s="927"/>
      <c r="V33" s="927"/>
      <c r="W33" s="927"/>
      <c r="X33" s="928"/>
      <c r="Y33" s="928"/>
      <c r="Z33" s="928"/>
      <c r="AA33" s="928"/>
    </row>
    <row r="34" spans="2:37" s="179" customFormat="1">
      <c r="B34" s="544" t="str">
        <f>IFERROR(IF('Fuel Equipment'!B$14&gt;0,IF('Fuel Equipment'!B$16&gt;0,IF('Fuel Equipment'!B$14='Fuel Equipment'!$D$51,INDEX(Cranes!$C$4:$C$16,MATCH(B26,Cranes!$A$4:$A$16,0)),IF('Fuel Equipment'!B$14='Fuel Equipment'!$D$52,INDEX(Dumpers!$C$4:$C$16,MATCH(B26,Dumpers!$A$4:$A$16,0)),IF('Fuel Equipment'!B$14='Fuel Equipment'!$D$53,INDEX(Excavators!$C$5:$C$52,MATCH(B26,Excavators!$A$5:$A$52,0)),IF('Fuel Equipment'!B$14='Fuel Equipment'!$D$54,INDEX(Generators!$C$6:$C$60,MATCH(B26,Generators!$A$6:$A$60,0)),IF('Fuel Equipment'!B$14='Fuel Equipment'!$D$55,INDEX('Scissor Lifts'!$C$31:$C$36,MATCH(B26,'Scissor Lifts'!$A$31:$A$36,0)),"NOT REQUIRED"))))),"NOT REQUIRED"),"NOT REQUIRED"),"")</f>
        <v/>
      </c>
      <c r="C34" s="477" t="str">
        <f>IFERROR(IF('Fuel Equipment'!C$14&gt;0,IF('Fuel Equipment'!C$16&gt;0,IF('Fuel Equipment'!C$14='Fuel Equipment'!$D$51,INDEX(Cranes!$C$4:$C$16,MATCH(C26,Cranes!$A$4:$A$16,0)),IF('Fuel Equipment'!C$14='Fuel Equipment'!$D$52,INDEX(Dumpers!$C$4:$C$16,MATCH(C26,Dumpers!$A$4:$A$16,0)),IF('Fuel Equipment'!C$14='Fuel Equipment'!$D$53,INDEX(Excavators!$C$5:$C$52,MATCH(C26,Excavators!$A$5:$A$52,0)),IF('Fuel Equipment'!C$14='Fuel Equipment'!$D$54,INDEX(Generators!$C$6:$C$60,MATCH(C26,Generators!$A$6:$A$60,0)),IF('Fuel Equipment'!C$14='Fuel Equipment'!$D$55,INDEX('Scissor Lifts'!$C$31:$C$36,MATCH(C26,'Scissor Lifts'!$A$31:$A$36,0)),"NOT REQUIRED"))))),"NOT REQUIRED"),"NOT REQUIRED"),"")</f>
        <v/>
      </c>
      <c r="D34" s="477" t="str">
        <f>IFERROR(IF('Fuel Equipment'!D$14&gt;0,IF('Fuel Equipment'!D$16&gt;0,IF('Fuel Equipment'!D$14='Fuel Equipment'!$D$51,INDEX(Cranes!$C$4:$C$16,MATCH(D26,Cranes!$A$4:$A$16,0)),IF('Fuel Equipment'!D$14='Fuel Equipment'!$D$52,INDEX(Dumpers!$C$4:$C$16,MATCH(D26,Dumpers!$A$4:$A$16,0)),IF('Fuel Equipment'!D$14='Fuel Equipment'!$D$53,INDEX(Excavators!$C$5:$C$52,MATCH(D26,Excavators!$A$5:$A$52,0)),IF('Fuel Equipment'!D$14='Fuel Equipment'!$D$54,INDEX(Generators!$C$6:$C$60,MATCH(D26,Generators!$A$6:$A$60,0)),IF('Fuel Equipment'!D$14='Fuel Equipment'!$D$55,INDEX('Scissor Lifts'!$C$31:$C$36,MATCH(D26,'Scissor Lifts'!$A$31:$A$36,0)),"NOT REQUIRED"))))),"NOT REQUIRED"),"NOT REQUIRED"),"")</f>
        <v/>
      </c>
      <c r="E34" s="477" t="str">
        <f>IFERROR(IF('Fuel Equipment'!E$14&gt;0,IF('Fuel Equipment'!E$16&gt;0,IF('Fuel Equipment'!E$14='Fuel Equipment'!$D$51,INDEX(Cranes!$C$4:$C$16,MATCH(E26,Cranes!$A$4:$A$16,0)),IF('Fuel Equipment'!E$14='Fuel Equipment'!$D$52,INDEX(Dumpers!$C$4:$C$16,MATCH(E26,Dumpers!$A$4:$A$16,0)),IF('Fuel Equipment'!E$14='Fuel Equipment'!$D$53,INDEX(Excavators!$C$5:$C$52,MATCH(E26,Excavators!$A$5:$A$52,0)),IF('Fuel Equipment'!E$14='Fuel Equipment'!$D$54,INDEX(Generators!$C$6:$C$60,MATCH(E26,Generators!$A$6:$A$60,0)),IF('Fuel Equipment'!E$14='Fuel Equipment'!$D$55,INDEX('Scissor Lifts'!$C$31:$C$36,MATCH(E26,'Scissor Lifts'!$A$31:$A$36,0)),"NOT REQUIRED"))))),"NOT REQUIRED"),"NOT REQUIRED"),"")</f>
        <v/>
      </c>
      <c r="F34" s="477" t="str">
        <f>IFERROR(IF('Fuel Equipment'!F$14&gt;0,IF('Fuel Equipment'!F$16&gt;0,IF('Fuel Equipment'!F$14='Fuel Equipment'!$D$51,INDEX(Cranes!$C$4:$C$16,MATCH(F26,Cranes!$A$4:$A$16,0)),IF('Fuel Equipment'!F$14='Fuel Equipment'!$D$52,INDEX(Dumpers!$C$4:$C$16,MATCH(F26,Dumpers!$A$4:$A$16,0)),IF('Fuel Equipment'!F$14='Fuel Equipment'!$D$53,INDEX(Excavators!$C$5:$C$52,MATCH(F26,Excavators!$A$5:$A$52,0)),IF('Fuel Equipment'!F$14='Fuel Equipment'!$D$54,INDEX(Generators!$C$6:$C$60,MATCH(F26,Generators!$A$6:$A$60,0)),IF('Fuel Equipment'!F$14='Fuel Equipment'!$D$55,INDEX('Scissor Lifts'!$C$31:$C$36,MATCH(F26,'Scissor Lifts'!$A$31:$A$36,0)),"NOT REQUIRED"))))),"NOT REQUIRED"),"NOT REQUIRED"),"")</f>
        <v>NOT REQUIRED</v>
      </c>
      <c r="G34" s="477" t="str">
        <f>IFERROR(IF('Fuel Equipment'!G$14&gt;0,IF('Fuel Equipment'!G$16&gt;0,IF('Fuel Equipment'!G$14='Fuel Equipment'!$D$51,INDEX(Cranes!$C$4:$C$16,MATCH(G26,Cranes!$A$4:$A$16,0)),IF('Fuel Equipment'!G$14='Fuel Equipment'!$D$52,INDEX(Dumpers!$C$4:$C$16,MATCH(G26,Dumpers!$A$4:$A$16,0)),IF('Fuel Equipment'!G$14='Fuel Equipment'!$D$53,INDEX(Excavators!$C$5:$C$52,MATCH(G26,Excavators!$A$5:$A$52,0)),IF('Fuel Equipment'!G$14='Fuel Equipment'!$D$54,INDEX(Generators!$C$6:$C$60,MATCH(G26,Generators!$A$6:$A$60,0)),IF('Fuel Equipment'!G$14='Fuel Equipment'!$D$55,INDEX('Scissor Lifts'!$C$31:$C$36,MATCH(G26,'Scissor Lifts'!$A$31:$A$36,0)),"NOT REQUIRED"))))),"NOT REQUIRED"),"NOT REQUIRED"),"")</f>
        <v>NOT REQUIRED</v>
      </c>
      <c r="H34" s="477" t="str">
        <f>IFERROR(IF('Fuel Equipment'!H$14&gt;0,IF('Fuel Equipment'!H$16&gt;0,IF('Fuel Equipment'!H$14='Fuel Equipment'!$D$51,INDEX(Cranes!$C$4:$C$16,MATCH(H26,Cranes!$A$4:$A$16,0)),IF('Fuel Equipment'!H$14='Fuel Equipment'!$D$52,INDEX(Dumpers!$C$4:$C$16,MATCH(H26,Dumpers!$A$4:$A$16,0)),IF('Fuel Equipment'!H$14='Fuel Equipment'!$D$53,INDEX(Excavators!$C$5:$C$52,MATCH(H26,Excavators!$A$5:$A$52,0)),IF('Fuel Equipment'!H$14='Fuel Equipment'!$D$54,INDEX(Generators!$C$6:$C$60,MATCH(H26,Generators!$A$6:$A$60,0)),IF('Fuel Equipment'!H$14='Fuel Equipment'!$D$55,INDEX('Scissor Lifts'!$C$31:$C$36,MATCH(H26,'Scissor Lifts'!$A$31:$A$36,0)),"NOT REQUIRED"))))),"NOT REQUIRED"),"NOT REQUIRED"),"")</f>
        <v>NOT REQUIRED</v>
      </c>
      <c r="I34" s="477" t="str">
        <f>IFERROR(IF('Fuel Equipment'!I$14&gt;0,IF('Fuel Equipment'!I$16&gt;0,IF('Fuel Equipment'!I$14='Fuel Equipment'!$D$51,INDEX(Cranes!$C$4:$C$16,MATCH(I26,Cranes!$A$4:$A$16,0)),IF('Fuel Equipment'!I$14='Fuel Equipment'!$D$52,INDEX(Dumpers!$C$4:$C$16,MATCH(I26,Dumpers!$A$4:$A$16,0)),IF('Fuel Equipment'!I$14='Fuel Equipment'!$D$53,INDEX(Excavators!$C$5:$C$52,MATCH(I26,Excavators!$A$5:$A$52,0)),IF('Fuel Equipment'!I$14='Fuel Equipment'!$D$54,INDEX(Generators!$C$6:$C$60,MATCH(I26,Generators!$A$6:$A$60,0)),IF('Fuel Equipment'!I$14='Fuel Equipment'!$D$55,INDEX('Scissor Lifts'!$C$31:$C$36,MATCH(I26,'Scissor Lifts'!$A$31:$A$36,0)),"NOT REQUIRED"))))),"NOT REQUIRED"),"NOT REQUIRED"),"")</f>
        <v>NOT REQUIRED</v>
      </c>
      <c r="J34" s="477" t="str">
        <f>IFERROR(IF('Fuel Equipment'!J$14&gt;0,IF('Fuel Equipment'!J$16&gt;0,IF('Fuel Equipment'!J$14='Fuel Equipment'!$D$51,INDEX(Cranes!$C$4:$C$16,MATCH(J26,Cranes!$A$4:$A$16,0)),IF('Fuel Equipment'!J$14='Fuel Equipment'!$D$52,INDEX(Dumpers!$C$4:$C$16,MATCH(J26,Dumpers!$A$4:$A$16,0)),IF('Fuel Equipment'!J$14='Fuel Equipment'!$D$53,INDEX(Excavators!$C$5:$C$52,MATCH(J26,Excavators!$A$5:$A$52,0)),IF('Fuel Equipment'!J$14='Fuel Equipment'!$D$54,INDEX(Generators!$C$6:$C$60,MATCH(J26,Generators!$A$6:$A$60,0)),IF('Fuel Equipment'!J$14='Fuel Equipment'!$D$55,INDEX('Scissor Lifts'!$C$31:$C$36,MATCH(J26,'Scissor Lifts'!$A$31:$A$36,0)),"NOT REQUIRED"))))),"NOT REQUIRED"),"NOT REQUIRED"),"")</f>
        <v>NOT REQUIRED</v>
      </c>
      <c r="K34" s="477" t="str">
        <f>IFERROR(IF('Fuel Equipment'!K$14&gt;0,IF('Fuel Equipment'!K$16&gt;0,IF('Fuel Equipment'!K$14='Fuel Equipment'!$D$51,INDEX(Cranes!$C$4:$C$16,MATCH(K26,Cranes!$A$4:$A$16,0)),IF('Fuel Equipment'!K$14='Fuel Equipment'!$D$52,INDEX(Dumpers!$C$4:$C$16,MATCH(K26,Dumpers!$A$4:$A$16,0)),IF('Fuel Equipment'!K$14='Fuel Equipment'!$D$53,INDEX(Excavators!$C$5:$C$52,MATCH(K26,Excavators!$A$5:$A$52,0)),IF('Fuel Equipment'!K$14='Fuel Equipment'!$D$54,INDEX(Generators!$C$6:$C$60,MATCH(K26,Generators!$A$6:$A$60,0)),IF('Fuel Equipment'!K$14='Fuel Equipment'!$D$55,INDEX('Scissor Lifts'!$C$31:$C$36,MATCH(K26,'Scissor Lifts'!$A$31:$A$36,0)),"NOT REQUIRED"))))),"NOT REQUIRED"),"NOT REQUIRED"),"")</f>
        <v>NOT REQUIRED</v>
      </c>
      <c r="L34" s="477" t="str">
        <f>IFERROR(IF('Fuel Equipment'!L$14&gt;0,IF('Fuel Equipment'!L$16&gt;0,IF('Fuel Equipment'!L$14='Fuel Equipment'!$D$51,INDEX(Cranes!$C$4:$C$16,MATCH(L26,Cranes!$A$4:$A$16,0)),IF('Fuel Equipment'!L$14='Fuel Equipment'!$D$52,INDEX(Dumpers!$C$4:$C$16,MATCH(L26,Dumpers!$A$4:$A$16,0)),IF('Fuel Equipment'!L$14='Fuel Equipment'!$D$53,INDEX(Excavators!$C$5:$C$52,MATCH(L26,Excavators!$A$5:$A$52,0)),IF('Fuel Equipment'!L$14='Fuel Equipment'!$D$54,INDEX(Generators!$C$6:$C$60,MATCH(L26,Generators!$A$6:$A$60,0)),IF('Fuel Equipment'!L$14='Fuel Equipment'!$D$55,INDEX('Scissor Lifts'!$C$31:$C$36,MATCH(L26,'Scissor Lifts'!$A$31:$A$36,0)),"NOT REQUIRED"))))),"NOT REQUIRED"),"NOT REQUIRED"),"")</f>
        <v>NOT REQUIRED</v>
      </c>
      <c r="M34" s="477" t="str">
        <f>IFERROR(IF('Fuel Equipment'!M$14&gt;0,IF('Fuel Equipment'!M$16&gt;0,IF('Fuel Equipment'!M$14='Fuel Equipment'!$D$51,INDEX(Cranes!$C$4:$C$16,MATCH(M26,Cranes!$A$4:$A$16,0)),IF('Fuel Equipment'!M$14='Fuel Equipment'!$D$52,INDEX(Dumpers!$C$4:$C$16,MATCH(M26,Dumpers!$A$4:$A$16,0)),IF('Fuel Equipment'!M$14='Fuel Equipment'!$D$53,INDEX(Excavators!$C$5:$C$52,MATCH(M26,Excavators!$A$5:$A$52,0)),IF('Fuel Equipment'!M$14='Fuel Equipment'!$D$54,INDEX(Generators!$C$6:$C$60,MATCH(M26,Generators!$A$6:$A$60,0)),IF('Fuel Equipment'!M$14='Fuel Equipment'!$D$55,INDEX('Scissor Lifts'!$C$31:$C$36,MATCH(M26,'Scissor Lifts'!$A$31:$A$36,0)),"NOT REQUIRED"))))),"NOT REQUIRED"),"NOT REQUIRED"),"")</f>
        <v>NOT REQUIRED</v>
      </c>
      <c r="N34" s="477" t="str">
        <f>IFERROR(IF('Fuel Equipment'!N$14&gt;0,IF('Fuel Equipment'!N$16&gt;0,IF('Fuel Equipment'!N$14='Fuel Equipment'!$D$51,INDEX(Cranes!$C$4:$C$16,MATCH(N26,Cranes!$A$4:$A$16,0)),IF('Fuel Equipment'!N$14='Fuel Equipment'!$D$52,INDEX(Dumpers!$C$4:$C$16,MATCH(N26,Dumpers!$A$4:$A$16,0)),IF('Fuel Equipment'!N$14='Fuel Equipment'!$D$53,INDEX(Excavators!$C$5:$C$52,MATCH(N26,Excavators!$A$5:$A$52,0)),IF('Fuel Equipment'!N$14='Fuel Equipment'!$D$54,INDEX(Generators!$C$6:$C$60,MATCH(N26,Generators!$A$6:$A$60,0)),IF('Fuel Equipment'!N$14='Fuel Equipment'!$D$55,INDEX('Scissor Lifts'!$C$31:$C$36,MATCH(N26,'Scissor Lifts'!$A$31:$A$36,0)),"NOT REQUIRED"))))),"NOT REQUIRED"),"NOT REQUIRED"),"")</f>
        <v>NOT REQUIRED</v>
      </c>
      <c r="O34" s="477" t="str">
        <f>IFERROR(IF('Fuel Equipment'!O$14&gt;0,IF('Fuel Equipment'!O$16&gt;0,IF('Fuel Equipment'!O$14='Fuel Equipment'!$D$51,INDEX(Cranes!$C$4:$C$16,MATCH(O26,Cranes!$A$4:$A$16,0)),IF('Fuel Equipment'!O$14='Fuel Equipment'!$D$52,INDEX(Dumpers!$C$4:$C$16,MATCH(O26,Dumpers!$A$4:$A$16,0)),IF('Fuel Equipment'!O$14='Fuel Equipment'!$D$53,INDEX(Excavators!$C$5:$C$52,MATCH(O26,Excavators!$A$5:$A$52,0)),IF('Fuel Equipment'!O$14='Fuel Equipment'!$D$54,INDEX(Generators!$C$6:$C$60,MATCH(O26,Generators!$A$6:$A$60,0)),IF('Fuel Equipment'!O$14='Fuel Equipment'!$D$55,INDEX('Scissor Lifts'!$C$31:$C$36,MATCH(O26,'Scissor Lifts'!$A$31:$A$36,0)),"NOT REQUIRED"))))),"NOT REQUIRED"),"NOT REQUIRED"),"")</f>
        <v>NOT REQUIRED</v>
      </c>
      <c r="P34" s="477" t="str">
        <f>IFERROR(IF('Fuel Equipment'!P$14&gt;0,IF('Fuel Equipment'!P$16&gt;0,IF('Fuel Equipment'!P$14='Fuel Equipment'!$D$51,INDEX(Cranes!$C$4:$C$16,MATCH(P26,Cranes!$A$4:$A$16,0)),IF('Fuel Equipment'!P$14='Fuel Equipment'!$D$52,INDEX(Dumpers!$C$4:$C$16,MATCH(P26,Dumpers!$A$4:$A$16,0)),IF('Fuel Equipment'!P$14='Fuel Equipment'!$D$53,INDEX(Excavators!$C$5:$C$52,MATCH(P26,Excavators!$A$5:$A$52,0)),IF('Fuel Equipment'!P$14='Fuel Equipment'!$D$54,INDEX(Generators!$C$6:$C$60,MATCH(P26,Generators!$A$6:$A$60,0)),IF('Fuel Equipment'!P$14='Fuel Equipment'!$D$55,INDEX('Scissor Lifts'!$C$31:$C$36,MATCH(P26,'Scissor Lifts'!$A$31:$A$36,0)),"NOT REQUIRED"))))),"NOT REQUIRED"),"NOT REQUIRED"),"")</f>
        <v>NOT REQUIRED</v>
      </c>
      <c r="Q34" s="477" t="str">
        <f>IFERROR(IF('Fuel Equipment'!Q$14&gt;0,IF('Fuel Equipment'!Q$16&gt;0,IF('Fuel Equipment'!Q$14='Fuel Equipment'!$D$51,INDEX(Cranes!$C$4:$C$16,MATCH(Q26,Cranes!$A$4:$A$16,0)),IF('Fuel Equipment'!Q$14='Fuel Equipment'!$D$52,INDEX(Dumpers!$C$4:$C$16,MATCH(Q26,Dumpers!$A$4:$A$16,0)),IF('Fuel Equipment'!Q$14='Fuel Equipment'!$D$53,INDEX(Excavators!$C$5:$C$52,MATCH(Q26,Excavators!$A$5:$A$52,0)),IF('Fuel Equipment'!Q$14='Fuel Equipment'!$D$54,INDEX(Generators!$C$6:$C$60,MATCH(Q26,Generators!$A$6:$A$60,0)),IF('Fuel Equipment'!Q$14='Fuel Equipment'!$D$55,INDEX('Scissor Lifts'!$C$31:$C$36,MATCH(Q26,'Scissor Lifts'!$A$31:$A$36,0)),"NOT REQUIRED"))))),"NOT REQUIRED"),"NOT REQUIRED"),"")</f>
        <v>NOT REQUIRED</v>
      </c>
      <c r="R34" s="477" t="str">
        <f>IFERROR(IF('Fuel Equipment'!R$14&gt;0,IF('Fuel Equipment'!R$16&gt;0,IF('Fuel Equipment'!R$14='Fuel Equipment'!$D$51,INDEX(Cranes!$C$4:$C$16,MATCH(R26,Cranes!$A$4:$A$16,0)),IF('Fuel Equipment'!R$14='Fuel Equipment'!$D$52,INDEX(Dumpers!$C$4:$C$16,MATCH(R26,Dumpers!$A$4:$A$16,0)),IF('Fuel Equipment'!R$14='Fuel Equipment'!$D$53,INDEX(Excavators!$C$5:$C$52,MATCH(R26,Excavators!$A$5:$A$52,0)),IF('Fuel Equipment'!R$14='Fuel Equipment'!$D$54,INDEX(Generators!$C$6:$C$60,MATCH(R26,Generators!$A$6:$A$60,0)),IF('Fuel Equipment'!R$14='Fuel Equipment'!$D$55,INDEX('Scissor Lifts'!$C$31:$C$36,MATCH(R26,'Scissor Lifts'!$A$31:$A$36,0)),"NOT REQUIRED"))))),"NOT REQUIRED"),"NOT REQUIRED"),"")</f>
        <v>NOT REQUIRED</v>
      </c>
      <c r="S34" s="545" t="str">
        <f>IFERROR(IF('Fuel Equipment'!S$14&gt;0,IF('Fuel Equipment'!S$16&gt;0,IF('Fuel Equipment'!S$14='Fuel Equipment'!$D$51,INDEX(Cranes!$C$4:$C$16,MATCH(S26,Cranes!$A$4:$A$16,0)),IF('Fuel Equipment'!S$14='Fuel Equipment'!$D$52,INDEX(Dumpers!$C$4:$C$16,MATCH(S26,Dumpers!$A$4:$A$16,0)),IF('Fuel Equipment'!S$14='Fuel Equipment'!$D$53,INDEX(Excavators!$C$5:$C$52,MATCH(S26,Excavators!$A$5:$A$52,0)),IF('Fuel Equipment'!S$14='Fuel Equipment'!$D$54,INDEX(Generators!$C$6:$C$60,MATCH(S26,Generators!$A$6:$A$60,0)),IF('Fuel Equipment'!S$14='Fuel Equipment'!$D$55,INDEX('Scissor Lifts'!$C$31:$C$36,MATCH(S26,'Scissor Lifts'!$A$31:$A$36,0)),"NOT REQUIRED"))))),"NOT REQUIRED"),"NOT REQUIRED"),"")</f>
        <v>NOT REQUIRED</v>
      </c>
      <c r="U34" s="927"/>
      <c r="V34" s="927"/>
      <c r="W34" s="927"/>
      <c r="X34" s="928"/>
      <c r="Y34" s="928"/>
      <c r="Z34" s="928"/>
      <c r="AA34" s="928"/>
    </row>
    <row r="35" spans="2:37" s="179" customFormat="1">
      <c r="B35" s="544" t="str">
        <f>IFERROR(IF('Fuel Equipment'!B$14&gt;0,IF('Fuel Equipment'!B$16&gt;0,IF('Fuel Equipment'!B$14='Fuel Equipment'!$D$51,INDEX(Cranes!$C$4:$C$16,MATCH(B27,Cranes!$A$4:$A$16,0)),IF('Fuel Equipment'!B$14='Fuel Equipment'!$D$52,INDEX(Dumpers!$C$4:$C$16,MATCH(B27,Dumpers!$A$4:$A$16,0)),IF('Fuel Equipment'!B$14='Fuel Equipment'!$D$53,INDEX(Excavators!$C$5:$C$52,MATCH(B27,Excavators!$A$5:$A$52,0)),IF('Fuel Equipment'!B$14='Fuel Equipment'!$D$54,INDEX(Generators!$C$6:$C$60,MATCH(B27,Generators!$A$6:$A$60,0)),IF('Fuel Equipment'!B$14='Fuel Equipment'!$D$55,INDEX('Scissor Lifts'!$C$31:$C$36,MATCH(B27,'Scissor Lifts'!$A$31:$A$36,0)),"NOT REQUIRED"))))),"NOT REQUIRED"),"NOT REQUIRED"),"")</f>
        <v/>
      </c>
      <c r="C35" s="477" t="str">
        <f>IFERROR(IF('Fuel Equipment'!C$14&gt;0,IF('Fuel Equipment'!C$16&gt;0,IF('Fuel Equipment'!C$14='Fuel Equipment'!$D$51,INDEX(Cranes!$C$4:$C$16,MATCH(C27,Cranes!$A$4:$A$16,0)),IF('Fuel Equipment'!C$14='Fuel Equipment'!$D$52,INDEX(Dumpers!$C$4:$C$16,MATCH(C27,Dumpers!$A$4:$A$16,0)),IF('Fuel Equipment'!C$14='Fuel Equipment'!$D$53,INDEX(Excavators!$C$5:$C$52,MATCH(C27,Excavators!$A$5:$A$52,0)),IF('Fuel Equipment'!C$14='Fuel Equipment'!$D$54,INDEX(Generators!$C$6:$C$60,MATCH(C27,Generators!$A$6:$A$60,0)),IF('Fuel Equipment'!C$14='Fuel Equipment'!$D$55,INDEX('Scissor Lifts'!$C$31:$C$36,MATCH(C27,'Scissor Lifts'!$A$31:$A$36,0)),"NOT REQUIRED"))))),"NOT REQUIRED"),"NOT REQUIRED"),"")</f>
        <v/>
      </c>
      <c r="D35" s="477" t="str">
        <f>IFERROR(IF('Fuel Equipment'!D$14&gt;0,IF('Fuel Equipment'!D$16&gt;0,IF('Fuel Equipment'!D$14='Fuel Equipment'!$D$51,INDEX(Cranes!$C$4:$C$16,MATCH(D27,Cranes!$A$4:$A$16,0)),IF('Fuel Equipment'!D$14='Fuel Equipment'!$D$52,INDEX(Dumpers!$C$4:$C$16,MATCH(D27,Dumpers!$A$4:$A$16,0)),IF('Fuel Equipment'!D$14='Fuel Equipment'!$D$53,INDEX(Excavators!$C$5:$C$52,MATCH(D27,Excavators!$A$5:$A$52,0)),IF('Fuel Equipment'!D$14='Fuel Equipment'!$D$54,INDEX(Generators!$C$6:$C$60,MATCH(D27,Generators!$A$6:$A$60,0)),IF('Fuel Equipment'!D$14='Fuel Equipment'!$D$55,INDEX('Scissor Lifts'!$C$31:$C$36,MATCH(D27,'Scissor Lifts'!$A$31:$A$36,0)),"NOT REQUIRED"))))),"NOT REQUIRED"),"NOT REQUIRED"),"")</f>
        <v/>
      </c>
      <c r="E35" s="477" t="str">
        <f>IFERROR(IF('Fuel Equipment'!E$14&gt;0,IF('Fuel Equipment'!E$16&gt;0,IF('Fuel Equipment'!E$14='Fuel Equipment'!$D$51,INDEX(Cranes!$C$4:$C$16,MATCH(E27,Cranes!$A$4:$A$16,0)),IF('Fuel Equipment'!E$14='Fuel Equipment'!$D$52,INDEX(Dumpers!$C$4:$C$16,MATCH(E27,Dumpers!$A$4:$A$16,0)),IF('Fuel Equipment'!E$14='Fuel Equipment'!$D$53,INDEX(Excavators!$C$5:$C$52,MATCH(E27,Excavators!$A$5:$A$52,0)),IF('Fuel Equipment'!E$14='Fuel Equipment'!$D$54,INDEX(Generators!$C$6:$C$60,MATCH(E27,Generators!$A$6:$A$60,0)),IF('Fuel Equipment'!E$14='Fuel Equipment'!$D$55,INDEX('Scissor Lifts'!$C$31:$C$36,MATCH(E27,'Scissor Lifts'!$A$31:$A$36,0)),"NOT REQUIRED"))))),"NOT REQUIRED"),"NOT REQUIRED"),"")</f>
        <v/>
      </c>
      <c r="F35" s="477" t="str">
        <f>IFERROR(IF('Fuel Equipment'!F$14&gt;0,IF('Fuel Equipment'!F$16&gt;0,IF('Fuel Equipment'!F$14='Fuel Equipment'!$D$51,INDEX(Cranes!$C$4:$C$16,MATCH(F27,Cranes!$A$4:$A$16,0)),IF('Fuel Equipment'!F$14='Fuel Equipment'!$D$52,INDEX(Dumpers!$C$4:$C$16,MATCH(F27,Dumpers!$A$4:$A$16,0)),IF('Fuel Equipment'!F$14='Fuel Equipment'!$D$53,INDEX(Excavators!$C$5:$C$52,MATCH(F27,Excavators!$A$5:$A$52,0)),IF('Fuel Equipment'!F$14='Fuel Equipment'!$D$54,INDEX(Generators!$C$6:$C$60,MATCH(F27,Generators!$A$6:$A$60,0)),IF('Fuel Equipment'!F$14='Fuel Equipment'!$D$55,INDEX('Scissor Lifts'!$C$31:$C$36,MATCH(F27,'Scissor Lifts'!$A$31:$A$36,0)),"NOT REQUIRED"))))),"NOT REQUIRED"),"NOT REQUIRED"),"")</f>
        <v>NOT REQUIRED</v>
      </c>
      <c r="G35" s="477" t="str">
        <f>IFERROR(IF('Fuel Equipment'!G$14&gt;0,IF('Fuel Equipment'!G$16&gt;0,IF('Fuel Equipment'!G$14='Fuel Equipment'!$D$51,INDEX(Cranes!$C$4:$C$16,MATCH(G27,Cranes!$A$4:$A$16,0)),IF('Fuel Equipment'!G$14='Fuel Equipment'!$D$52,INDEX(Dumpers!$C$4:$C$16,MATCH(G27,Dumpers!$A$4:$A$16,0)),IF('Fuel Equipment'!G$14='Fuel Equipment'!$D$53,INDEX(Excavators!$C$5:$C$52,MATCH(G27,Excavators!$A$5:$A$52,0)),IF('Fuel Equipment'!G$14='Fuel Equipment'!$D$54,INDEX(Generators!$C$6:$C$60,MATCH(G27,Generators!$A$6:$A$60,0)),IF('Fuel Equipment'!G$14='Fuel Equipment'!$D$55,INDEX('Scissor Lifts'!$C$31:$C$36,MATCH(G27,'Scissor Lifts'!$A$31:$A$36,0)),"NOT REQUIRED"))))),"NOT REQUIRED"),"NOT REQUIRED"),"")</f>
        <v>NOT REQUIRED</v>
      </c>
      <c r="H35" s="477" t="str">
        <f>IFERROR(IF('Fuel Equipment'!H$14&gt;0,IF('Fuel Equipment'!H$16&gt;0,IF('Fuel Equipment'!H$14='Fuel Equipment'!$D$51,INDEX(Cranes!$C$4:$C$16,MATCH(H27,Cranes!$A$4:$A$16,0)),IF('Fuel Equipment'!H$14='Fuel Equipment'!$D$52,INDEX(Dumpers!$C$4:$C$16,MATCH(H27,Dumpers!$A$4:$A$16,0)),IF('Fuel Equipment'!H$14='Fuel Equipment'!$D$53,INDEX(Excavators!$C$5:$C$52,MATCH(H27,Excavators!$A$5:$A$52,0)),IF('Fuel Equipment'!H$14='Fuel Equipment'!$D$54,INDEX(Generators!$C$6:$C$60,MATCH(H27,Generators!$A$6:$A$60,0)),IF('Fuel Equipment'!H$14='Fuel Equipment'!$D$55,INDEX('Scissor Lifts'!$C$31:$C$36,MATCH(H27,'Scissor Lifts'!$A$31:$A$36,0)),"NOT REQUIRED"))))),"NOT REQUIRED"),"NOT REQUIRED"),"")</f>
        <v>NOT REQUIRED</v>
      </c>
      <c r="I35" s="477" t="str">
        <f>IFERROR(IF('Fuel Equipment'!I$14&gt;0,IF('Fuel Equipment'!I$16&gt;0,IF('Fuel Equipment'!I$14='Fuel Equipment'!$D$51,INDEX(Cranes!$C$4:$C$16,MATCH(I27,Cranes!$A$4:$A$16,0)),IF('Fuel Equipment'!I$14='Fuel Equipment'!$D$52,INDEX(Dumpers!$C$4:$C$16,MATCH(I27,Dumpers!$A$4:$A$16,0)),IF('Fuel Equipment'!I$14='Fuel Equipment'!$D$53,INDEX(Excavators!$C$5:$C$52,MATCH(I27,Excavators!$A$5:$A$52,0)),IF('Fuel Equipment'!I$14='Fuel Equipment'!$D$54,INDEX(Generators!$C$6:$C$60,MATCH(I27,Generators!$A$6:$A$60,0)),IF('Fuel Equipment'!I$14='Fuel Equipment'!$D$55,INDEX('Scissor Lifts'!$C$31:$C$36,MATCH(I27,'Scissor Lifts'!$A$31:$A$36,0)),"NOT REQUIRED"))))),"NOT REQUIRED"),"NOT REQUIRED"),"")</f>
        <v>NOT REQUIRED</v>
      </c>
      <c r="J35" s="477" t="str">
        <f>IFERROR(IF('Fuel Equipment'!J$14&gt;0,IF('Fuel Equipment'!J$16&gt;0,IF('Fuel Equipment'!J$14='Fuel Equipment'!$D$51,INDEX(Cranes!$C$4:$C$16,MATCH(J27,Cranes!$A$4:$A$16,0)),IF('Fuel Equipment'!J$14='Fuel Equipment'!$D$52,INDEX(Dumpers!$C$4:$C$16,MATCH(J27,Dumpers!$A$4:$A$16,0)),IF('Fuel Equipment'!J$14='Fuel Equipment'!$D$53,INDEX(Excavators!$C$5:$C$52,MATCH(J27,Excavators!$A$5:$A$52,0)),IF('Fuel Equipment'!J$14='Fuel Equipment'!$D$54,INDEX(Generators!$C$6:$C$60,MATCH(J27,Generators!$A$6:$A$60,0)),IF('Fuel Equipment'!J$14='Fuel Equipment'!$D$55,INDEX('Scissor Lifts'!$C$31:$C$36,MATCH(J27,'Scissor Lifts'!$A$31:$A$36,0)),"NOT REQUIRED"))))),"NOT REQUIRED"),"NOT REQUIRED"),"")</f>
        <v>NOT REQUIRED</v>
      </c>
      <c r="K35" s="477" t="str">
        <f>IFERROR(IF('Fuel Equipment'!K$14&gt;0,IF('Fuel Equipment'!K$16&gt;0,IF('Fuel Equipment'!K$14='Fuel Equipment'!$D$51,INDEX(Cranes!$C$4:$C$16,MATCH(K27,Cranes!$A$4:$A$16,0)),IF('Fuel Equipment'!K$14='Fuel Equipment'!$D$52,INDEX(Dumpers!$C$4:$C$16,MATCH(K27,Dumpers!$A$4:$A$16,0)),IF('Fuel Equipment'!K$14='Fuel Equipment'!$D$53,INDEX(Excavators!$C$5:$C$52,MATCH(K27,Excavators!$A$5:$A$52,0)),IF('Fuel Equipment'!K$14='Fuel Equipment'!$D$54,INDEX(Generators!$C$6:$C$60,MATCH(K27,Generators!$A$6:$A$60,0)),IF('Fuel Equipment'!K$14='Fuel Equipment'!$D$55,INDEX('Scissor Lifts'!$C$31:$C$36,MATCH(K27,'Scissor Lifts'!$A$31:$A$36,0)),"NOT REQUIRED"))))),"NOT REQUIRED"),"NOT REQUIRED"),"")</f>
        <v>NOT REQUIRED</v>
      </c>
      <c r="L35" s="477" t="str">
        <f>IFERROR(IF('Fuel Equipment'!L$14&gt;0,IF('Fuel Equipment'!L$16&gt;0,IF('Fuel Equipment'!L$14='Fuel Equipment'!$D$51,INDEX(Cranes!$C$4:$C$16,MATCH(L27,Cranes!$A$4:$A$16,0)),IF('Fuel Equipment'!L$14='Fuel Equipment'!$D$52,INDEX(Dumpers!$C$4:$C$16,MATCH(L27,Dumpers!$A$4:$A$16,0)),IF('Fuel Equipment'!L$14='Fuel Equipment'!$D$53,INDEX(Excavators!$C$5:$C$52,MATCH(L27,Excavators!$A$5:$A$52,0)),IF('Fuel Equipment'!L$14='Fuel Equipment'!$D$54,INDEX(Generators!$C$6:$C$60,MATCH(L27,Generators!$A$6:$A$60,0)),IF('Fuel Equipment'!L$14='Fuel Equipment'!$D$55,INDEX('Scissor Lifts'!$C$31:$C$36,MATCH(L27,'Scissor Lifts'!$A$31:$A$36,0)),"NOT REQUIRED"))))),"NOT REQUIRED"),"NOT REQUIRED"),"")</f>
        <v>NOT REQUIRED</v>
      </c>
      <c r="M35" s="477" t="str">
        <f>IFERROR(IF('Fuel Equipment'!M$14&gt;0,IF('Fuel Equipment'!M$16&gt;0,IF('Fuel Equipment'!M$14='Fuel Equipment'!$D$51,INDEX(Cranes!$C$4:$C$16,MATCH(M27,Cranes!$A$4:$A$16,0)),IF('Fuel Equipment'!M$14='Fuel Equipment'!$D$52,INDEX(Dumpers!$C$4:$C$16,MATCH(M27,Dumpers!$A$4:$A$16,0)),IF('Fuel Equipment'!M$14='Fuel Equipment'!$D$53,INDEX(Excavators!$C$5:$C$52,MATCH(M27,Excavators!$A$5:$A$52,0)),IF('Fuel Equipment'!M$14='Fuel Equipment'!$D$54,INDEX(Generators!$C$6:$C$60,MATCH(M27,Generators!$A$6:$A$60,0)),IF('Fuel Equipment'!M$14='Fuel Equipment'!$D$55,INDEX('Scissor Lifts'!$C$31:$C$36,MATCH(M27,'Scissor Lifts'!$A$31:$A$36,0)),"NOT REQUIRED"))))),"NOT REQUIRED"),"NOT REQUIRED"),"")</f>
        <v>NOT REQUIRED</v>
      </c>
      <c r="N35" s="477" t="str">
        <f>IFERROR(IF('Fuel Equipment'!N$14&gt;0,IF('Fuel Equipment'!N$16&gt;0,IF('Fuel Equipment'!N$14='Fuel Equipment'!$D$51,INDEX(Cranes!$C$4:$C$16,MATCH(N27,Cranes!$A$4:$A$16,0)),IF('Fuel Equipment'!N$14='Fuel Equipment'!$D$52,INDEX(Dumpers!$C$4:$C$16,MATCH(N27,Dumpers!$A$4:$A$16,0)),IF('Fuel Equipment'!N$14='Fuel Equipment'!$D$53,INDEX(Excavators!$C$5:$C$52,MATCH(N27,Excavators!$A$5:$A$52,0)),IF('Fuel Equipment'!N$14='Fuel Equipment'!$D$54,INDEX(Generators!$C$6:$C$60,MATCH(N27,Generators!$A$6:$A$60,0)),IF('Fuel Equipment'!N$14='Fuel Equipment'!$D$55,INDEX('Scissor Lifts'!$C$31:$C$36,MATCH(N27,'Scissor Lifts'!$A$31:$A$36,0)),"NOT REQUIRED"))))),"NOT REQUIRED"),"NOT REQUIRED"),"")</f>
        <v>NOT REQUIRED</v>
      </c>
      <c r="O35" s="477" t="str">
        <f>IFERROR(IF('Fuel Equipment'!O$14&gt;0,IF('Fuel Equipment'!O$16&gt;0,IF('Fuel Equipment'!O$14='Fuel Equipment'!$D$51,INDEX(Cranes!$C$4:$C$16,MATCH(O27,Cranes!$A$4:$A$16,0)),IF('Fuel Equipment'!O$14='Fuel Equipment'!$D$52,INDEX(Dumpers!$C$4:$C$16,MATCH(O27,Dumpers!$A$4:$A$16,0)),IF('Fuel Equipment'!O$14='Fuel Equipment'!$D$53,INDEX(Excavators!$C$5:$C$52,MATCH(O27,Excavators!$A$5:$A$52,0)),IF('Fuel Equipment'!O$14='Fuel Equipment'!$D$54,INDEX(Generators!$C$6:$C$60,MATCH(O27,Generators!$A$6:$A$60,0)),IF('Fuel Equipment'!O$14='Fuel Equipment'!$D$55,INDEX('Scissor Lifts'!$C$31:$C$36,MATCH(O27,'Scissor Lifts'!$A$31:$A$36,0)),"NOT REQUIRED"))))),"NOT REQUIRED"),"NOT REQUIRED"),"")</f>
        <v>NOT REQUIRED</v>
      </c>
      <c r="P35" s="477" t="str">
        <f>IFERROR(IF('Fuel Equipment'!P$14&gt;0,IF('Fuel Equipment'!P$16&gt;0,IF('Fuel Equipment'!P$14='Fuel Equipment'!$D$51,INDEX(Cranes!$C$4:$C$16,MATCH(P27,Cranes!$A$4:$A$16,0)),IF('Fuel Equipment'!P$14='Fuel Equipment'!$D$52,INDEX(Dumpers!$C$4:$C$16,MATCH(P27,Dumpers!$A$4:$A$16,0)),IF('Fuel Equipment'!P$14='Fuel Equipment'!$D$53,INDEX(Excavators!$C$5:$C$52,MATCH(P27,Excavators!$A$5:$A$52,0)),IF('Fuel Equipment'!P$14='Fuel Equipment'!$D$54,INDEX(Generators!$C$6:$C$60,MATCH(P27,Generators!$A$6:$A$60,0)),IF('Fuel Equipment'!P$14='Fuel Equipment'!$D$55,INDEX('Scissor Lifts'!$C$31:$C$36,MATCH(P27,'Scissor Lifts'!$A$31:$A$36,0)),"NOT REQUIRED"))))),"NOT REQUIRED"),"NOT REQUIRED"),"")</f>
        <v>NOT REQUIRED</v>
      </c>
      <c r="Q35" s="477" t="str">
        <f>IFERROR(IF('Fuel Equipment'!Q$14&gt;0,IF('Fuel Equipment'!Q$16&gt;0,IF('Fuel Equipment'!Q$14='Fuel Equipment'!$D$51,INDEX(Cranes!$C$4:$C$16,MATCH(Q27,Cranes!$A$4:$A$16,0)),IF('Fuel Equipment'!Q$14='Fuel Equipment'!$D$52,INDEX(Dumpers!$C$4:$C$16,MATCH(Q27,Dumpers!$A$4:$A$16,0)),IF('Fuel Equipment'!Q$14='Fuel Equipment'!$D$53,INDEX(Excavators!$C$5:$C$52,MATCH(Q27,Excavators!$A$5:$A$52,0)),IF('Fuel Equipment'!Q$14='Fuel Equipment'!$D$54,INDEX(Generators!$C$6:$C$60,MATCH(Q27,Generators!$A$6:$A$60,0)),IF('Fuel Equipment'!Q$14='Fuel Equipment'!$D$55,INDEX('Scissor Lifts'!$C$31:$C$36,MATCH(Q27,'Scissor Lifts'!$A$31:$A$36,0)),"NOT REQUIRED"))))),"NOT REQUIRED"),"NOT REQUIRED"),"")</f>
        <v>NOT REQUIRED</v>
      </c>
      <c r="R35" s="477" t="str">
        <f>IFERROR(IF('Fuel Equipment'!R$14&gt;0,IF('Fuel Equipment'!R$16&gt;0,IF('Fuel Equipment'!R$14='Fuel Equipment'!$D$51,INDEX(Cranes!$C$4:$C$16,MATCH(R27,Cranes!$A$4:$A$16,0)),IF('Fuel Equipment'!R$14='Fuel Equipment'!$D$52,INDEX(Dumpers!$C$4:$C$16,MATCH(R27,Dumpers!$A$4:$A$16,0)),IF('Fuel Equipment'!R$14='Fuel Equipment'!$D$53,INDEX(Excavators!$C$5:$C$52,MATCH(R27,Excavators!$A$5:$A$52,0)),IF('Fuel Equipment'!R$14='Fuel Equipment'!$D$54,INDEX(Generators!$C$6:$C$60,MATCH(R27,Generators!$A$6:$A$60,0)),IF('Fuel Equipment'!R$14='Fuel Equipment'!$D$55,INDEX('Scissor Lifts'!$C$31:$C$36,MATCH(R27,'Scissor Lifts'!$A$31:$A$36,0)),"NOT REQUIRED"))))),"NOT REQUIRED"),"NOT REQUIRED"),"")</f>
        <v>NOT REQUIRED</v>
      </c>
      <c r="S35" s="545" t="str">
        <f>IFERROR(IF('Fuel Equipment'!S$14&gt;0,IF('Fuel Equipment'!S$16&gt;0,IF('Fuel Equipment'!S$14='Fuel Equipment'!$D$51,INDEX(Cranes!$C$4:$C$16,MATCH(S27,Cranes!$A$4:$A$16,0)),IF('Fuel Equipment'!S$14='Fuel Equipment'!$D$52,INDEX(Dumpers!$C$4:$C$16,MATCH(S27,Dumpers!$A$4:$A$16,0)),IF('Fuel Equipment'!S$14='Fuel Equipment'!$D$53,INDEX(Excavators!$C$5:$C$52,MATCH(S27,Excavators!$A$5:$A$52,0)),IF('Fuel Equipment'!S$14='Fuel Equipment'!$D$54,INDEX(Generators!$C$6:$C$60,MATCH(S27,Generators!$A$6:$A$60,0)),IF('Fuel Equipment'!S$14='Fuel Equipment'!$D$55,INDEX('Scissor Lifts'!$C$31:$C$36,MATCH(S27,'Scissor Lifts'!$A$31:$A$36,0)),"NOT REQUIRED"))))),"NOT REQUIRED"),"NOT REQUIRED"),"")</f>
        <v>NOT REQUIRED</v>
      </c>
      <c r="U35" s="927"/>
      <c r="V35" s="927"/>
      <c r="W35" s="927"/>
      <c r="X35" s="928"/>
      <c r="Y35" s="928"/>
      <c r="Z35" s="928"/>
      <c r="AA35" s="928"/>
    </row>
    <row r="36" spans="2:37" s="179" customFormat="1" ht="15.75" thickBot="1">
      <c r="B36" s="546" t="str">
        <f>IFERROR(IF('Fuel Equipment'!B$14&gt;0,IF('Fuel Equipment'!B$16&gt;0,IF('Fuel Equipment'!B$14='Fuel Equipment'!$D$51,INDEX(Cranes!$C$4:$C$16,MATCH(B28,Cranes!$A$4:$A$16,0)),IF('Fuel Equipment'!B$14='Fuel Equipment'!$D$52,INDEX(Dumpers!$C$4:$C$16,MATCH(B28,Dumpers!$A$4:$A$16,0)),IF('Fuel Equipment'!B$14='Fuel Equipment'!$D$53,INDEX(Excavators!$C$5:$C$52,MATCH(B28,Excavators!$A$5:$A$52,0)),IF('Fuel Equipment'!B$14='Fuel Equipment'!$D$54,INDEX(Generators!$C$6:$C$60,MATCH(B28,Generators!$A$6:$A$60,0)),IF('Fuel Equipment'!B$14='Fuel Equipment'!$D$55,INDEX('Scissor Lifts'!$C$31:$C$36,MATCH(B28,'Scissor Lifts'!$A$31:$A$36,0)),"NOT REQUIRED"))))),"NOT REQUIRED"),"NOT REQUIRED"),"")</f>
        <v/>
      </c>
      <c r="C36" s="547" t="str">
        <f>IFERROR(IF('Fuel Equipment'!C$14&gt;0,IF('Fuel Equipment'!C$16&gt;0,IF('Fuel Equipment'!C$14='Fuel Equipment'!$D$51,INDEX(Cranes!$C$4:$C$16,MATCH(C28,Cranes!$A$4:$A$16,0)),IF('Fuel Equipment'!C$14='Fuel Equipment'!$D$52,INDEX(Dumpers!$C$4:$C$16,MATCH(C28,Dumpers!$A$4:$A$16,0)),IF('Fuel Equipment'!C$14='Fuel Equipment'!$D$53,INDEX(Excavators!$C$5:$C$52,MATCH(C28,Excavators!$A$5:$A$52,0)),IF('Fuel Equipment'!C$14='Fuel Equipment'!$D$54,INDEX(Generators!$C$6:$C$60,MATCH(C28,Generators!$A$6:$A$60,0)),IF('Fuel Equipment'!C$14='Fuel Equipment'!$D$55,INDEX('Scissor Lifts'!$C$31:$C$36,MATCH(C28,'Scissor Lifts'!$A$31:$A$36,0)),"NOT REQUIRED"))))),"NOT REQUIRED"),"NOT REQUIRED"),"")</f>
        <v/>
      </c>
      <c r="D36" s="547" t="str">
        <f>IFERROR(IF('Fuel Equipment'!D$14&gt;0,IF('Fuel Equipment'!D$16&gt;0,IF('Fuel Equipment'!D$14='Fuel Equipment'!$D$51,INDEX(Cranes!$C$4:$C$16,MATCH(D28,Cranes!$A$4:$A$16,0)),IF('Fuel Equipment'!D$14='Fuel Equipment'!$D$52,INDEX(Dumpers!$C$4:$C$16,MATCH(D28,Dumpers!$A$4:$A$16,0)),IF('Fuel Equipment'!D$14='Fuel Equipment'!$D$53,INDEX(Excavators!$C$5:$C$52,MATCH(D28,Excavators!$A$5:$A$52,0)),IF('Fuel Equipment'!D$14='Fuel Equipment'!$D$54,INDEX(Generators!$C$6:$C$60,MATCH(D28,Generators!$A$6:$A$60,0)),IF('Fuel Equipment'!D$14='Fuel Equipment'!$D$55,INDEX('Scissor Lifts'!$C$31:$C$36,MATCH(D28,'Scissor Lifts'!$A$31:$A$36,0)),"NOT REQUIRED"))))),"NOT REQUIRED"),"NOT REQUIRED"),"")</f>
        <v/>
      </c>
      <c r="E36" s="547" t="str">
        <f>IFERROR(IF('Fuel Equipment'!E$14&gt;0,IF('Fuel Equipment'!E$16&gt;0,IF('Fuel Equipment'!E$14='Fuel Equipment'!$D$51,INDEX(Cranes!$C$4:$C$16,MATCH(E28,Cranes!$A$4:$A$16,0)),IF('Fuel Equipment'!E$14='Fuel Equipment'!$D$52,INDEX(Dumpers!$C$4:$C$16,MATCH(E28,Dumpers!$A$4:$A$16,0)),IF('Fuel Equipment'!E$14='Fuel Equipment'!$D$53,INDEX(Excavators!$C$5:$C$52,MATCH(E28,Excavators!$A$5:$A$52,0)),IF('Fuel Equipment'!E$14='Fuel Equipment'!$D$54,INDEX(Generators!$C$6:$C$60,MATCH(E28,Generators!$A$6:$A$60,0)),IF('Fuel Equipment'!E$14='Fuel Equipment'!$D$55,INDEX('Scissor Lifts'!$C$31:$C$36,MATCH(E28,'Scissor Lifts'!$A$31:$A$36,0)),"NOT REQUIRED"))))),"NOT REQUIRED"),"NOT REQUIRED"),"")</f>
        <v/>
      </c>
      <c r="F36" s="547" t="str">
        <f>IFERROR(IF('Fuel Equipment'!F$14&gt;0,IF('Fuel Equipment'!F$16&gt;0,IF('Fuel Equipment'!F$14='Fuel Equipment'!$D$51,INDEX(Cranes!$C$4:$C$16,MATCH(F28,Cranes!$A$4:$A$16,0)),IF('Fuel Equipment'!F$14='Fuel Equipment'!$D$52,INDEX(Dumpers!$C$4:$C$16,MATCH(F28,Dumpers!$A$4:$A$16,0)),IF('Fuel Equipment'!F$14='Fuel Equipment'!$D$53,INDEX(Excavators!$C$5:$C$52,MATCH(F28,Excavators!$A$5:$A$52,0)),IF('Fuel Equipment'!F$14='Fuel Equipment'!$D$54,INDEX(Generators!$C$6:$C$60,MATCH(F28,Generators!$A$6:$A$60,0)),IF('Fuel Equipment'!F$14='Fuel Equipment'!$D$55,INDEX('Scissor Lifts'!$C$31:$C$36,MATCH(F28,'Scissor Lifts'!$A$31:$A$36,0)),"NOT REQUIRED"))))),"NOT REQUIRED"),"NOT REQUIRED"),"")</f>
        <v>NOT REQUIRED</v>
      </c>
      <c r="G36" s="547" t="str">
        <f>IFERROR(IF('Fuel Equipment'!G$14&gt;0,IF('Fuel Equipment'!G$16&gt;0,IF('Fuel Equipment'!G$14='Fuel Equipment'!$D$51,INDEX(Cranes!$C$4:$C$16,MATCH(G28,Cranes!$A$4:$A$16,0)),IF('Fuel Equipment'!G$14='Fuel Equipment'!$D$52,INDEX(Dumpers!$C$4:$C$16,MATCH(G28,Dumpers!$A$4:$A$16,0)),IF('Fuel Equipment'!G$14='Fuel Equipment'!$D$53,INDEX(Excavators!$C$5:$C$52,MATCH(G28,Excavators!$A$5:$A$52,0)),IF('Fuel Equipment'!G$14='Fuel Equipment'!$D$54,INDEX(Generators!$C$6:$C$60,MATCH(G28,Generators!$A$6:$A$60,0)),IF('Fuel Equipment'!G$14='Fuel Equipment'!$D$55,INDEX('Scissor Lifts'!$C$31:$C$36,MATCH(G28,'Scissor Lifts'!$A$31:$A$36,0)),"NOT REQUIRED"))))),"NOT REQUIRED"),"NOT REQUIRED"),"")</f>
        <v>NOT REQUIRED</v>
      </c>
      <c r="H36" s="547" t="str">
        <f>IFERROR(IF('Fuel Equipment'!H$14&gt;0,IF('Fuel Equipment'!H$16&gt;0,IF('Fuel Equipment'!H$14='Fuel Equipment'!$D$51,INDEX(Cranes!$C$4:$C$16,MATCH(H28,Cranes!$A$4:$A$16,0)),IF('Fuel Equipment'!H$14='Fuel Equipment'!$D$52,INDEX(Dumpers!$C$4:$C$16,MATCH(H28,Dumpers!$A$4:$A$16,0)),IF('Fuel Equipment'!H$14='Fuel Equipment'!$D$53,INDEX(Excavators!$C$5:$C$52,MATCH(H28,Excavators!$A$5:$A$52,0)),IF('Fuel Equipment'!H$14='Fuel Equipment'!$D$54,INDEX(Generators!$C$6:$C$60,MATCH(H28,Generators!$A$6:$A$60,0)),IF('Fuel Equipment'!H$14='Fuel Equipment'!$D$55,INDEX('Scissor Lifts'!$C$31:$C$36,MATCH(H28,'Scissor Lifts'!$A$31:$A$36,0)),"NOT REQUIRED"))))),"NOT REQUIRED"),"NOT REQUIRED"),"")</f>
        <v>NOT REQUIRED</v>
      </c>
      <c r="I36" s="547" t="str">
        <f>IFERROR(IF('Fuel Equipment'!I$14&gt;0,IF('Fuel Equipment'!I$16&gt;0,IF('Fuel Equipment'!I$14='Fuel Equipment'!$D$51,INDEX(Cranes!$C$4:$C$16,MATCH(I28,Cranes!$A$4:$A$16,0)),IF('Fuel Equipment'!I$14='Fuel Equipment'!$D$52,INDEX(Dumpers!$C$4:$C$16,MATCH(I28,Dumpers!$A$4:$A$16,0)),IF('Fuel Equipment'!I$14='Fuel Equipment'!$D$53,INDEX(Excavators!$C$5:$C$52,MATCH(I28,Excavators!$A$5:$A$52,0)),IF('Fuel Equipment'!I$14='Fuel Equipment'!$D$54,INDEX(Generators!$C$6:$C$60,MATCH(I28,Generators!$A$6:$A$60,0)),IF('Fuel Equipment'!I$14='Fuel Equipment'!$D$55,INDEX('Scissor Lifts'!$C$31:$C$36,MATCH(I28,'Scissor Lifts'!$A$31:$A$36,0)),"NOT REQUIRED"))))),"NOT REQUIRED"),"NOT REQUIRED"),"")</f>
        <v>NOT REQUIRED</v>
      </c>
      <c r="J36" s="547" t="str">
        <f>IFERROR(IF('Fuel Equipment'!J$14&gt;0,IF('Fuel Equipment'!J$16&gt;0,IF('Fuel Equipment'!J$14='Fuel Equipment'!$D$51,INDEX(Cranes!$C$4:$C$16,MATCH(J28,Cranes!$A$4:$A$16,0)),IF('Fuel Equipment'!J$14='Fuel Equipment'!$D$52,INDEX(Dumpers!$C$4:$C$16,MATCH(J28,Dumpers!$A$4:$A$16,0)),IF('Fuel Equipment'!J$14='Fuel Equipment'!$D$53,INDEX(Excavators!$C$5:$C$52,MATCH(J28,Excavators!$A$5:$A$52,0)),IF('Fuel Equipment'!J$14='Fuel Equipment'!$D$54,INDEX(Generators!$C$6:$C$60,MATCH(J28,Generators!$A$6:$A$60,0)),IF('Fuel Equipment'!J$14='Fuel Equipment'!$D$55,INDEX('Scissor Lifts'!$C$31:$C$36,MATCH(J28,'Scissor Lifts'!$A$31:$A$36,0)),"NOT REQUIRED"))))),"NOT REQUIRED"),"NOT REQUIRED"),"")</f>
        <v>NOT REQUIRED</v>
      </c>
      <c r="K36" s="547" t="str">
        <f>IFERROR(IF('Fuel Equipment'!K$14&gt;0,IF('Fuel Equipment'!K$16&gt;0,IF('Fuel Equipment'!K$14='Fuel Equipment'!$D$51,INDEX(Cranes!$C$4:$C$16,MATCH(K28,Cranes!$A$4:$A$16,0)),IF('Fuel Equipment'!K$14='Fuel Equipment'!$D$52,INDEX(Dumpers!$C$4:$C$16,MATCH(K28,Dumpers!$A$4:$A$16,0)),IF('Fuel Equipment'!K$14='Fuel Equipment'!$D$53,INDEX(Excavators!$C$5:$C$52,MATCH(K28,Excavators!$A$5:$A$52,0)),IF('Fuel Equipment'!K$14='Fuel Equipment'!$D$54,INDEX(Generators!$C$6:$C$60,MATCH(K28,Generators!$A$6:$A$60,0)),IF('Fuel Equipment'!K$14='Fuel Equipment'!$D$55,INDEX('Scissor Lifts'!$C$31:$C$36,MATCH(K28,'Scissor Lifts'!$A$31:$A$36,0)),"NOT REQUIRED"))))),"NOT REQUIRED"),"NOT REQUIRED"),"")</f>
        <v>NOT REQUIRED</v>
      </c>
      <c r="L36" s="547" t="str">
        <f>IFERROR(IF('Fuel Equipment'!L$14&gt;0,IF('Fuel Equipment'!L$16&gt;0,IF('Fuel Equipment'!L$14='Fuel Equipment'!$D$51,INDEX(Cranes!$C$4:$C$16,MATCH(L28,Cranes!$A$4:$A$16,0)),IF('Fuel Equipment'!L$14='Fuel Equipment'!$D$52,INDEX(Dumpers!$C$4:$C$16,MATCH(L28,Dumpers!$A$4:$A$16,0)),IF('Fuel Equipment'!L$14='Fuel Equipment'!$D$53,INDEX(Excavators!$C$5:$C$52,MATCH(L28,Excavators!$A$5:$A$52,0)),IF('Fuel Equipment'!L$14='Fuel Equipment'!$D$54,INDEX(Generators!$C$6:$C$60,MATCH(L28,Generators!$A$6:$A$60,0)),IF('Fuel Equipment'!L$14='Fuel Equipment'!$D$55,INDEX('Scissor Lifts'!$C$31:$C$36,MATCH(L28,'Scissor Lifts'!$A$31:$A$36,0)),"NOT REQUIRED"))))),"NOT REQUIRED"),"NOT REQUIRED"),"")</f>
        <v>NOT REQUIRED</v>
      </c>
      <c r="M36" s="547" t="str">
        <f>IFERROR(IF('Fuel Equipment'!M$14&gt;0,IF('Fuel Equipment'!M$16&gt;0,IF('Fuel Equipment'!M$14='Fuel Equipment'!$D$51,INDEX(Cranes!$C$4:$C$16,MATCH(M28,Cranes!$A$4:$A$16,0)),IF('Fuel Equipment'!M$14='Fuel Equipment'!$D$52,INDEX(Dumpers!$C$4:$C$16,MATCH(M28,Dumpers!$A$4:$A$16,0)),IF('Fuel Equipment'!M$14='Fuel Equipment'!$D$53,INDEX(Excavators!$C$5:$C$52,MATCH(M28,Excavators!$A$5:$A$52,0)),IF('Fuel Equipment'!M$14='Fuel Equipment'!$D$54,INDEX(Generators!$C$6:$C$60,MATCH(M28,Generators!$A$6:$A$60,0)),IF('Fuel Equipment'!M$14='Fuel Equipment'!$D$55,INDEX('Scissor Lifts'!$C$31:$C$36,MATCH(M28,'Scissor Lifts'!$A$31:$A$36,0)),"NOT REQUIRED"))))),"NOT REQUIRED"),"NOT REQUIRED"),"")</f>
        <v>NOT REQUIRED</v>
      </c>
      <c r="N36" s="547" t="str">
        <f>IFERROR(IF('Fuel Equipment'!N$14&gt;0,IF('Fuel Equipment'!N$16&gt;0,IF('Fuel Equipment'!N$14='Fuel Equipment'!$D$51,INDEX(Cranes!$C$4:$C$16,MATCH(N28,Cranes!$A$4:$A$16,0)),IF('Fuel Equipment'!N$14='Fuel Equipment'!$D$52,INDEX(Dumpers!$C$4:$C$16,MATCH(N28,Dumpers!$A$4:$A$16,0)),IF('Fuel Equipment'!N$14='Fuel Equipment'!$D$53,INDEX(Excavators!$C$5:$C$52,MATCH(N28,Excavators!$A$5:$A$52,0)),IF('Fuel Equipment'!N$14='Fuel Equipment'!$D$54,INDEX(Generators!$C$6:$C$60,MATCH(N28,Generators!$A$6:$A$60,0)),IF('Fuel Equipment'!N$14='Fuel Equipment'!$D$55,INDEX('Scissor Lifts'!$C$31:$C$36,MATCH(N28,'Scissor Lifts'!$A$31:$A$36,0)),"NOT REQUIRED"))))),"NOT REQUIRED"),"NOT REQUIRED"),"")</f>
        <v>NOT REQUIRED</v>
      </c>
      <c r="O36" s="547" t="str">
        <f>IFERROR(IF('Fuel Equipment'!O$14&gt;0,IF('Fuel Equipment'!O$16&gt;0,IF('Fuel Equipment'!O$14='Fuel Equipment'!$D$51,INDEX(Cranes!$C$4:$C$16,MATCH(O28,Cranes!$A$4:$A$16,0)),IF('Fuel Equipment'!O$14='Fuel Equipment'!$D$52,INDEX(Dumpers!$C$4:$C$16,MATCH(O28,Dumpers!$A$4:$A$16,0)),IF('Fuel Equipment'!O$14='Fuel Equipment'!$D$53,INDEX(Excavators!$C$5:$C$52,MATCH(O28,Excavators!$A$5:$A$52,0)),IF('Fuel Equipment'!O$14='Fuel Equipment'!$D$54,INDEX(Generators!$C$6:$C$60,MATCH(O28,Generators!$A$6:$A$60,0)),IF('Fuel Equipment'!O$14='Fuel Equipment'!$D$55,INDEX('Scissor Lifts'!$C$31:$C$36,MATCH(O28,'Scissor Lifts'!$A$31:$A$36,0)),"NOT REQUIRED"))))),"NOT REQUIRED"),"NOT REQUIRED"),"")</f>
        <v>NOT REQUIRED</v>
      </c>
      <c r="P36" s="547" t="str">
        <f>IFERROR(IF('Fuel Equipment'!P$14&gt;0,IF('Fuel Equipment'!P$16&gt;0,IF('Fuel Equipment'!P$14='Fuel Equipment'!$D$51,INDEX(Cranes!$C$4:$C$16,MATCH(P28,Cranes!$A$4:$A$16,0)),IF('Fuel Equipment'!P$14='Fuel Equipment'!$D$52,INDEX(Dumpers!$C$4:$C$16,MATCH(P28,Dumpers!$A$4:$A$16,0)),IF('Fuel Equipment'!P$14='Fuel Equipment'!$D$53,INDEX(Excavators!$C$5:$C$52,MATCH(P28,Excavators!$A$5:$A$52,0)),IF('Fuel Equipment'!P$14='Fuel Equipment'!$D$54,INDEX(Generators!$C$6:$C$60,MATCH(P28,Generators!$A$6:$A$60,0)),IF('Fuel Equipment'!P$14='Fuel Equipment'!$D$55,INDEX('Scissor Lifts'!$C$31:$C$36,MATCH(P28,'Scissor Lifts'!$A$31:$A$36,0)),"NOT REQUIRED"))))),"NOT REQUIRED"),"NOT REQUIRED"),"")</f>
        <v>NOT REQUIRED</v>
      </c>
      <c r="Q36" s="547" t="str">
        <f>IFERROR(IF('Fuel Equipment'!Q$14&gt;0,IF('Fuel Equipment'!Q$16&gt;0,IF('Fuel Equipment'!Q$14='Fuel Equipment'!$D$51,INDEX(Cranes!$C$4:$C$16,MATCH(Q28,Cranes!$A$4:$A$16,0)),IF('Fuel Equipment'!Q$14='Fuel Equipment'!$D$52,INDEX(Dumpers!$C$4:$C$16,MATCH(Q28,Dumpers!$A$4:$A$16,0)),IF('Fuel Equipment'!Q$14='Fuel Equipment'!$D$53,INDEX(Excavators!$C$5:$C$52,MATCH(Q28,Excavators!$A$5:$A$52,0)),IF('Fuel Equipment'!Q$14='Fuel Equipment'!$D$54,INDEX(Generators!$C$6:$C$60,MATCH(Q28,Generators!$A$6:$A$60,0)),IF('Fuel Equipment'!Q$14='Fuel Equipment'!$D$55,INDEX('Scissor Lifts'!$C$31:$C$36,MATCH(Q28,'Scissor Lifts'!$A$31:$A$36,0)),"NOT REQUIRED"))))),"NOT REQUIRED"),"NOT REQUIRED"),"")</f>
        <v>NOT REQUIRED</v>
      </c>
      <c r="R36" s="547" t="str">
        <f>IFERROR(IF('Fuel Equipment'!R$14&gt;0,IF('Fuel Equipment'!R$16&gt;0,IF('Fuel Equipment'!R$14='Fuel Equipment'!$D$51,INDEX(Cranes!$C$4:$C$16,MATCH(R28,Cranes!$A$4:$A$16,0)),IF('Fuel Equipment'!R$14='Fuel Equipment'!$D$52,INDEX(Dumpers!$C$4:$C$16,MATCH(R28,Dumpers!$A$4:$A$16,0)),IF('Fuel Equipment'!R$14='Fuel Equipment'!$D$53,INDEX(Excavators!$C$5:$C$52,MATCH(R28,Excavators!$A$5:$A$52,0)),IF('Fuel Equipment'!R$14='Fuel Equipment'!$D$54,INDEX(Generators!$C$6:$C$60,MATCH(R28,Generators!$A$6:$A$60,0)),IF('Fuel Equipment'!R$14='Fuel Equipment'!$D$55,INDEX('Scissor Lifts'!$C$31:$C$36,MATCH(R28,'Scissor Lifts'!$A$31:$A$36,0)),"NOT REQUIRED"))))),"NOT REQUIRED"),"NOT REQUIRED"),"")</f>
        <v>NOT REQUIRED</v>
      </c>
      <c r="S36" s="548" t="str">
        <f>IFERROR(IF('Fuel Equipment'!S$14&gt;0,IF('Fuel Equipment'!S$16&gt;0,IF('Fuel Equipment'!S$14='Fuel Equipment'!$D$51,INDEX(Cranes!$C$4:$C$16,MATCH(S28,Cranes!$A$4:$A$16,0)),IF('Fuel Equipment'!S$14='Fuel Equipment'!$D$52,INDEX(Dumpers!$C$4:$C$16,MATCH(S28,Dumpers!$A$4:$A$16,0)),IF('Fuel Equipment'!S$14='Fuel Equipment'!$D$53,INDEX(Excavators!$C$5:$C$52,MATCH(S28,Excavators!$A$5:$A$52,0)),IF('Fuel Equipment'!S$14='Fuel Equipment'!$D$54,INDEX(Generators!$C$6:$C$60,MATCH(S28,Generators!$A$6:$A$60,0)),IF('Fuel Equipment'!S$14='Fuel Equipment'!$D$55,INDEX('Scissor Lifts'!$C$31:$C$36,MATCH(S28,'Scissor Lifts'!$A$31:$A$36,0)),"NOT REQUIRED"))))),"NOT REQUIRED"),"NOT REQUIRED"),"")</f>
        <v>NOT REQUIRED</v>
      </c>
      <c r="U36" s="927"/>
      <c r="V36" s="927"/>
      <c r="W36" s="927"/>
      <c r="X36" s="928"/>
      <c r="Y36" s="928"/>
      <c r="Z36" s="928"/>
      <c r="AA36" s="928"/>
    </row>
    <row r="37" spans="2:37" s="179" customFormat="1">
      <c r="B37" s="106"/>
      <c r="C37" s="73"/>
      <c r="D37" s="73"/>
      <c r="E37" s="73"/>
      <c r="F37" s="73"/>
      <c r="G37" s="73"/>
      <c r="H37" s="73"/>
      <c r="I37" s="73"/>
      <c r="J37" s="73"/>
      <c r="K37" s="73"/>
      <c r="L37" s="73"/>
      <c r="M37" s="73"/>
      <c r="N37" s="73"/>
      <c r="O37" s="73"/>
      <c r="P37" s="73"/>
      <c r="Q37" s="73"/>
      <c r="R37" s="73"/>
      <c r="S37" s="73"/>
    </row>
    <row r="38" spans="2:37" s="179" customFormat="1" ht="15.75" thickBot="1">
      <c r="B38" s="179" t="s">
        <v>822</v>
      </c>
    </row>
    <row r="39" spans="2:37" s="179" customFormat="1" ht="16.5" customHeight="1" thickTop="1" thickBot="1">
      <c r="B39" s="476" t="str">
        <f>IFERROR(IF('Fuel Equipment'!B$14&gt;0,IF(AND('Fuel Equipment'!B$25&gt;0,NOT('Fuel Equipment'!B$14='Fuel Equipment'!$D$51)),IF('Fuel Equipment'!B$14='Fuel Equipment'!$D$51,IF(VLOOKUP('Fuel Equipment'!B$25,Cranes!$C$3:$O$16,11,FALSE)&gt;0,Cranes!$M$2,""),IF('Fuel Equipment'!B$14='Fuel Equipment'!$D$52,IF(VLOOKUP('Fuel Equipment'!B$25,Dumpers!$C$3:$P$16,12,FALSE)&gt;0,Dumpers!$N$2,""),IF('Fuel Equipment'!B$14='Fuel Equipment'!$D$53,IF(VLOOKUP('Fuel Equipment'!B$25,Excavators!$C$5:$P$52,12,FALSE)&gt;0,Excavators!$N$3,""),IF('Fuel Equipment'!B$14='Fuel Equipment'!$D$54,IF(VLOOKUP('Fuel Equipment'!B$25,Generators!$C$5:$K$60,7,FALSE)&gt;0,Generators!$I$4,""),IF('Fuel Equipment'!B$14='Fuel Equipment'!$D$55,"CONSTANT FUEL CONSUMPTION","NOT REQUIRED"))))),"NOT REQUIRED"),"NOT REQUIRED"),"NOT REQUIRED")</f>
        <v>NOT REQUIRED</v>
      </c>
      <c r="C39" s="476" t="str">
        <f>IFERROR(IF('Fuel Equipment'!C$14&gt;0,IF(AND('Fuel Equipment'!C$25&gt;0,NOT('Fuel Equipment'!C$14='Fuel Equipment'!$D$51)),IF('Fuel Equipment'!C$14='Fuel Equipment'!$D$51,IF(VLOOKUP('Fuel Equipment'!C$25,Cranes!$C$3:$O$16,11,FALSE)&gt;0,Cranes!$M$2,""),IF('Fuel Equipment'!C$14='Fuel Equipment'!$D$52,IF(VLOOKUP('Fuel Equipment'!C$25,Dumpers!$C$3:$P$16,12,FALSE)&gt;0,Dumpers!$N$2,""),IF('Fuel Equipment'!C$14='Fuel Equipment'!$D$53,IF(VLOOKUP('Fuel Equipment'!C$25,Excavators!$C$5:$P$52,12,FALSE)&gt;0,Excavators!$N$3,""),IF('Fuel Equipment'!C$14='Fuel Equipment'!$D$54,IF(VLOOKUP('Fuel Equipment'!C$25,Generators!$C$5:$K$60,7,FALSE)&gt;0,Generators!$I$4,""),IF('Fuel Equipment'!C$14='Fuel Equipment'!$D$55,"CONSTANT FUEL CONSUMPTION","NOT REQUIRED"))))),"NOT REQUIRED"),"NOT REQUIRED"),"NOT REQUIRED")</f>
        <v>NOT REQUIRED</v>
      </c>
      <c r="D39" s="476" t="str">
        <f>IFERROR(IF('Fuel Equipment'!D$14&gt;0,IF(AND('Fuel Equipment'!D$25&gt;0,NOT('Fuel Equipment'!D$14='Fuel Equipment'!$D$51)),IF('Fuel Equipment'!D$14='Fuel Equipment'!$D$51,IF(VLOOKUP('Fuel Equipment'!D$25,Cranes!$C$3:$O$16,11,FALSE)&gt;0,Cranes!$M$2,""),IF('Fuel Equipment'!D$14='Fuel Equipment'!$D$52,IF(VLOOKUP('Fuel Equipment'!D$25,Dumpers!$C$3:$P$16,12,FALSE)&gt;0,Dumpers!$N$2,""),IF('Fuel Equipment'!D$14='Fuel Equipment'!$D$53,IF(VLOOKUP('Fuel Equipment'!D$25,Excavators!$C$5:$P$52,12,FALSE)&gt;0,Excavators!$N$3,""),IF('Fuel Equipment'!D$14='Fuel Equipment'!$D$54,IF(VLOOKUP('Fuel Equipment'!D$25,Generators!$C$5:$K$60,7,FALSE)&gt;0,Generators!$I$4,""),IF('Fuel Equipment'!D$14='Fuel Equipment'!$D$55,"CONSTANT FUEL CONSUMPTION","NOT REQUIRED"))))),"NOT REQUIRED"),"NOT REQUIRED"),"NOT REQUIRED")</f>
        <v>100%</v>
      </c>
      <c r="E39" s="476" t="str">
        <f>IFERROR(IF('Fuel Equipment'!E$14&gt;0,IF(AND('Fuel Equipment'!E$25&gt;0,NOT('Fuel Equipment'!E$14='Fuel Equipment'!$D$51)),IF('Fuel Equipment'!E$14='Fuel Equipment'!$D$51,IF(VLOOKUP('Fuel Equipment'!E$25,Cranes!$C$3:$O$16,11,FALSE)&gt;0,Cranes!$M$2,""),IF('Fuel Equipment'!E$14='Fuel Equipment'!$D$52,IF(VLOOKUP('Fuel Equipment'!E$25,Dumpers!$C$3:$P$16,12,FALSE)&gt;0,Dumpers!$N$2,""),IF('Fuel Equipment'!E$14='Fuel Equipment'!$D$53,IF(VLOOKUP('Fuel Equipment'!E$25,Excavators!$C$5:$P$52,12,FALSE)&gt;0,Excavators!$N$3,""),IF('Fuel Equipment'!E$14='Fuel Equipment'!$D$54,IF(VLOOKUP('Fuel Equipment'!E$25,Generators!$C$5:$K$60,7,FALSE)&gt;0,Generators!$I$4,""),IF('Fuel Equipment'!E$14='Fuel Equipment'!$D$55,"CONSTANT FUEL CONSUMPTION","NOT REQUIRED"))))),"NOT REQUIRED"),"NOT REQUIRED"),"NOT REQUIRED")</f>
        <v>NOT REQUIRED</v>
      </c>
      <c r="F39" s="476" t="str">
        <f>IFERROR(IF('Fuel Equipment'!F$14&gt;0,IF(AND('Fuel Equipment'!F$25&gt;0,NOT('Fuel Equipment'!F$14='Fuel Equipment'!$D$51)),IF('Fuel Equipment'!F$14='Fuel Equipment'!$D$51,IF(VLOOKUP('Fuel Equipment'!F$25,Cranes!$C$3:$O$16,11,FALSE)&gt;0,Cranes!$M$2,""),IF('Fuel Equipment'!F$14='Fuel Equipment'!$D$52,IF(VLOOKUP('Fuel Equipment'!F$25,Dumpers!$C$3:$P$16,12,FALSE)&gt;0,Dumpers!$N$2,""),IF('Fuel Equipment'!F$14='Fuel Equipment'!$D$53,IF(VLOOKUP('Fuel Equipment'!F$25,Excavators!$C$5:$P$52,12,FALSE)&gt;0,Excavators!$N$3,""),IF('Fuel Equipment'!F$14='Fuel Equipment'!$D$54,IF(VLOOKUP('Fuel Equipment'!F$25,Generators!$C$5:$K$60,7,FALSE)&gt;0,Generators!$I$4,""),IF('Fuel Equipment'!F$14='Fuel Equipment'!$D$55,"CONSTANT FUEL CONSUMPTION","NOT REQUIRED"))))),"NOT REQUIRED"),"NOT REQUIRED"),"NOT REQUIRED")</f>
        <v>NOT REQUIRED</v>
      </c>
      <c r="G39" s="476" t="str">
        <f>IFERROR(IF('Fuel Equipment'!G$14&gt;0,IF(AND('Fuel Equipment'!G$25&gt;0,NOT('Fuel Equipment'!G$14='Fuel Equipment'!$D$51)),IF('Fuel Equipment'!G$14='Fuel Equipment'!$D$51,IF(VLOOKUP('Fuel Equipment'!G$25,Cranes!$C$3:$O$16,11,FALSE)&gt;0,Cranes!$M$2,""),IF('Fuel Equipment'!G$14='Fuel Equipment'!$D$52,IF(VLOOKUP('Fuel Equipment'!G$25,Dumpers!$C$3:$P$16,12,FALSE)&gt;0,Dumpers!$N$2,""),IF('Fuel Equipment'!G$14='Fuel Equipment'!$D$53,IF(VLOOKUP('Fuel Equipment'!G$25,Excavators!$C$5:$P$52,12,FALSE)&gt;0,Excavators!$N$3,""),IF('Fuel Equipment'!G$14='Fuel Equipment'!$D$54,IF(VLOOKUP('Fuel Equipment'!G$25,Generators!$C$5:$K$60,7,FALSE)&gt;0,Generators!$I$4,""),IF('Fuel Equipment'!G$14='Fuel Equipment'!$D$55,"CONSTANT FUEL CONSUMPTION","NOT REQUIRED"))))),"NOT REQUIRED"),"NOT REQUIRED"),"NOT REQUIRED")</f>
        <v>NOT REQUIRED</v>
      </c>
      <c r="H39" s="476" t="str">
        <f>IFERROR(IF('Fuel Equipment'!H$14&gt;0,IF(AND('Fuel Equipment'!H$25&gt;0,NOT('Fuel Equipment'!H$14='Fuel Equipment'!$D$51)),IF('Fuel Equipment'!H$14='Fuel Equipment'!$D$51,IF(VLOOKUP('Fuel Equipment'!H$25,Cranes!$C$3:$O$16,11,FALSE)&gt;0,Cranes!$M$2,""),IF('Fuel Equipment'!H$14='Fuel Equipment'!$D$52,IF(VLOOKUP('Fuel Equipment'!H$25,Dumpers!$C$3:$P$16,12,FALSE)&gt;0,Dumpers!$N$2,""),IF('Fuel Equipment'!H$14='Fuel Equipment'!$D$53,IF(VLOOKUP('Fuel Equipment'!H$25,Excavators!$C$5:$P$52,12,FALSE)&gt;0,Excavators!$N$3,""),IF('Fuel Equipment'!H$14='Fuel Equipment'!$D$54,IF(VLOOKUP('Fuel Equipment'!H$25,Generators!$C$5:$K$60,7,FALSE)&gt;0,Generators!$I$4,""),IF('Fuel Equipment'!H$14='Fuel Equipment'!$D$55,"CONSTANT FUEL CONSUMPTION","NOT REQUIRED"))))),"NOT REQUIRED"),"NOT REQUIRED"),"NOT REQUIRED")</f>
        <v>NOT REQUIRED</v>
      </c>
      <c r="I39" s="476" t="str">
        <f>IFERROR(IF('Fuel Equipment'!I$14&gt;0,IF(AND('Fuel Equipment'!I$25&gt;0,NOT('Fuel Equipment'!I$14='Fuel Equipment'!$D$51)),IF('Fuel Equipment'!I$14='Fuel Equipment'!$D$51,IF(VLOOKUP('Fuel Equipment'!I$25,Cranes!$C$3:$O$16,11,FALSE)&gt;0,Cranes!$M$2,""),IF('Fuel Equipment'!I$14='Fuel Equipment'!$D$52,IF(VLOOKUP('Fuel Equipment'!I$25,Dumpers!$C$3:$P$16,12,FALSE)&gt;0,Dumpers!$N$2,""),IF('Fuel Equipment'!I$14='Fuel Equipment'!$D$53,IF(VLOOKUP('Fuel Equipment'!I$25,Excavators!$C$5:$P$52,12,FALSE)&gt;0,Excavators!$N$3,""),IF('Fuel Equipment'!I$14='Fuel Equipment'!$D$54,IF(VLOOKUP('Fuel Equipment'!I$25,Generators!$C$5:$K$60,7,FALSE)&gt;0,Generators!$I$4,""),IF('Fuel Equipment'!I$14='Fuel Equipment'!$D$55,"CONSTANT FUEL CONSUMPTION","NOT REQUIRED"))))),"NOT REQUIRED"),"NOT REQUIRED"),"NOT REQUIRED")</f>
        <v>NOT REQUIRED</v>
      </c>
      <c r="J39" s="476" t="str">
        <f>IFERROR(IF('Fuel Equipment'!J$14&gt;0,IF(AND('Fuel Equipment'!J$25&gt;0,NOT('Fuel Equipment'!J$14='Fuel Equipment'!$D$51)),IF('Fuel Equipment'!J$14='Fuel Equipment'!$D$51,IF(VLOOKUP('Fuel Equipment'!J$25,Cranes!$C$3:$O$16,11,FALSE)&gt;0,Cranes!$M$2,""),IF('Fuel Equipment'!J$14='Fuel Equipment'!$D$52,IF(VLOOKUP('Fuel Equipment'!J$25,Dumpers!$C$3:$P$16,12,FALSE)&gt;0,Dumpers!$N$2,""),IF('Fuel Equipment'!J$14='Fuel Equipment'!$D$53,IF(VLOOKUP('Fuel Equipment'!J$25,Excavators!$C$5:$P$52,12,FALSE)&gt;0,Excavators!$N$3,""),IF('Fuel Equipment'!J$14='Fuel Equipment'!$D$54,IF(VLOOKUP('Fuel Equipment'!J$25,Generators!$C$5:$K$60,7,FALSE)&gt;0,Generators!$I$4,""),IF('Fuel Equipment'!J$14='Fuel Equipment'!$D$55,"CONSTANT FUEL CONSUMPTION","NOT REQUIRED"))))),"NOT REQUIRED"),"NOT REQUIRED"),"NOT REQUIRED")</f>
        <v>NOT REQUIRED</v>
      </c>
      <c r="K39" s="476" t="str">
        <f>IFERROR(IF('Fuel Equipment'!K$14&gt;0,IF(AND('Fuel Equipment'!K$25&gt;0,NOT('Fuel Equipment'!K$14='Fuel Equipment'!$D$51)),IF('Fuel Equipment'!K$14='Fuel Equipment'!$D$51,IF(VLOOKUP('Fuel Equipment'!K$25,Cranes!$C$3:$O$16,11,FALSE)&gt;0,Cranes!$M$2,""),IF('Fuel Equipment'!K$14='Fuel Equipment'!$D$52,IF(VLOOKUP('Fuel Equipment'!K$25,Dumpers!$C$3:$P$16,12,FALSE)&gt;0,Dumpers!$N$2,""),IF('Fuel Equipment'!K$14='Fuel Equipment'!$D$53,IF(VLOOKUP('Fuel Equipment'!K$25,Excavators!$C$5:$P$52,12,FALSE)&gt;0,Excavators!$N$3,""),IF('Fuel Equipment'!K$14='Fuel Equipment'!$D$54,IF(VLOOKUP('Fuel Equipment'!K$25,Generators!$C$5:$K$60,7,FALSE)&gt;0,Generators!$I$4,""),IF('Fuel Equipment'!K$14='Fuel Equipment'!$D$55,"CONSTANT FUEL CONSUMPTION","NOT REQUIRED"))))),"NOT REQUIRED"),"NOT REQUIRED"),"NOT REQUIRED")</f>
        <v>NOT REQUIRED</v>
      </c>
      <c r="L39" s="476" t="str">
        <f>IFERROR(IF('Fuel Equipment'!L$14&gt;0,IF(AND('Fuel Equipment'!L$25&gt;0,NOT('Fuel Equipment'!L$14='Fuel Equipment'!$D$51)),IF('Fuel Equipment'!L$14='Fuel Equipment'!$D$51,IF(VLOOKUP('Fuel Equipment'!L$25,Cranes!$C$3:$O$16,11,FALSE)&gt;0,Cranes!$M$2,""),IF('Fuel Equipment'!L$14='Fuel Equipment'!$D$52,IF(VLOOKUP('Fuel Equipment'!L$25,Dumpers!$C$3:$P$16,12,FALSE)&gt;0,Dumpers!$N$2,""),IF('Fuel Equipment'!L$14='Fuel Equipment'!$D$53,IF(VLOOKUP('Fuel Equipment'!L$25,Excavators!$C$5:$P$52,12,FALSE)&gt;0,Excavators!$N$3,""),IF('Fuel Equipment'!L$14='Fuel Equipment'!$D$54,IF(VLOOKUP('Fuel Equipment'!L$25,Generators!$C$5:$K$60,7,FALSE)&gt;0,Generators!$I$4,""),IF('Fuel Equipment'!L$14='Fuel Equipment'!$D$55,"CONSTANT FUEL CONSUMPTION","NOT REQUIRED"))))),"NOT REQUIRED"),"NOT REQUIRED"),"NOT REQUIRED")</f>
        <v>NOT REQUIRED</v>
      </c>
      <c r="M39" s="476" t="str">
        <f>IFERROR(IF('Fuel Equipment'!M$14&gt;0,IF(AND('Fuel Equipment'!M$25&gt;0,NOT('Fuel Equipment'!M$14='Fuel Equipment'!$D$51)),IF('Fuel Equipment'!M$14='Fuel Equipment'!$D$51,IF(VLOOKUP('Fuel Equipment'!M$25,Cranes!$C$3:$O$16,11,FALSE)&gt;0,Cranes!$M$2,""),IF('Fuel Equipment'!M$14='Fuel Equipment'!$D$52,IF(VLOOKUP('Fuel Equipment'!M$25,Dumpers!$C$3:$P$16,12,FALSE)&gt;0,Dumpers!$N$2,""),IF('Fuel Equipment'!M$14='Fuel Equipment'!$D$53,IF(VLOOKUP('Fuel Equipment'!M$25,Excavators!$C$5:$P$52,12,FALSE)&gt;0,Excavators!$N$3,""),IF('Fuel Equipment'!M$14='Fuel Equipment'!$D$54,IF(VLOOKUP('Fuel Equipment'!M$25,Generators!$C$5:$K$60,7,FALSE)&gt;0,Generators!$I$4,""),IF('Fuel Equipment'!M$14='Fuel Equipment'!$D$55,"CONSTANT FUEL CONSUMPTION","NOT REQUIRED"))))),"NOT REQUIRED"),"NOT REQUIRED"),"NOT REQUIRED")</f>
        <v>NOT REQUIRED</v>
      </c>
      <c r="N39" s="476" t="str">
        <f>IFERROR(IF('Fuel Equipment'!N$14&gt;0,IF(AND('Fuel Equipment'!N$25&gt;0,NOT('Fuel Equipment'!N$14='Fuel Equipment'!$D$51)),IF('Fuel Equipment'!N$14='Fuel Equipment'!$D$51,IF(VLOOKUP('Fuel Equipment'!N$25,Cranes!$C$3:$O$16,11,FALSE)&gt;0,Cranes!$M$2,""),IF('Fuel Equipment'!N$14='Fuel Equipment'!$D$52,IF(VLOOKUP('Fuel Equipment'!N$25,Dumpers!$C$3:$P$16,12,FALSE)&gt;0,Dumpers!$N$2,""),IF('Fuel Equipment'!N$14='Fuel Equipment'!$D$53,IF(VLOOKUP('Fuel Equipment'!N$25,Excavators!$C$5:$P$52,12,FALSE)&gt;0,Excavators!$N$3,""),IF('Fuel Equipment'!N$14='Fuel Equipment'!$D$54,IF(VLOOKUP('Fuel Equipment'!N$25,Generators!$C$5:$K$60,7,FALSE)&gt;0,Generators!$I$4,""),IF('Fuel Equipment'!N$14='Fuel Equipment'!$D$55,"CONSTANT FUEL CONSUMPTION","NOT REQUIRED"))))),"NOT REQUIRED"),"NOT REQUIRED"),"NOT REQUIRED")</f>
        <v>NOT REQUIRED</v>
      </c>
      <c r="O39" s="476" t="str">
        <f>IFERROR(IF('Fuel Equipment'!O$14&gt;0,IF(AND('Fuel Equipment'!O$25&gt;0,NOT('Fuel Equipment'!O$14='Fuel Equipment'!$D$51)),IF('Fuel Equipment'!O$14='Fuel Equipment'!$D$51,IF(VLOOKUP('Fuel Equipment'!O$25,Cranes!$C$3:$O$16,11,FALSE)&gt;0,Cranes!$M$2,""),IF('Fuel Equipment'!O$14='Fuel Equipment'!$D$52,IF(VLOOKUP('Fuel Equipment'!O$25,Dumpers!$C$3:$P$16,12,FALSE)&gt;0,Dumpers!$N$2,""),IF('Fuel Equipment'!O$14='Fuel Equipment'!$D$53,IF(VLOOKUP('Fuel Equipment'!O$25,Excavators!$C$5:$P$52,12,FALSE)&gt;0,Excavators!$N$3,""),IF('Fuel Equipment'!O$14='Fuel Equipment'!$D$54,IF(VLOOKUP('Fuel Equipment'!O$25,Generators!$C$5:$K$60,7,FALSE)&gt;0,Generators!$I$4,""),IF('Fuel Equipment'!O$14='Fuel Equipment'!$D$55,"CONSTANT FUEL CONSUMPTION","NOT REQUIRED"))))),"NOT REQUIRED"),"NOT REQUIRED"),"NOT REQUIRED")</f>
        <v>NOT REQUIRED</v>
      </c>
      <c r="P39" s="476" t="str">
        <f>IFERROR(IF('Fuel Equipment'!P$14&gt;0,IF(AND('Fuel Equipment'!P$25&gt;0,NOT('Fuel Equipment'!P$14='Fuel Equipment'!$D$51)),IF('Fuel Equipment'!P$14='Fuel Equipment'!$D$51,IF(VLOOKUP('Fuel Equipment'!P$25,Cranes!$C$3:$O$16,11,FALSE)&gt;0,Cranes!$M$2,""),IF('Fuel Equipment'!P$14='Fuel Equipment'!$D$52,IF(VLOOKUP('Fuel Equipment'!P$25,Dumpers!$C$3:$P$16,12,FALSE)&gt;0,Dumpers!$N$2,""),IF('Fuel Equipment'!P$14='Fuel Equipment'!$D$53,IF(VLOOKUP('Fuel Equipment'!P$25,Excavators!$C$5:$P$52,12,FALSE)&gt;0,Excavators!$N$3,""),IF('Fuel Equipment'!P$14='Fuel Equipment'!$D$54,IF(VLOOKUP('Fuel Equipment'!P$25,Generators!$C$5:$K$60,7,FALSE)&gt;0,Generators!$I$4,""),IF('Fuel Equipment'!P$14='Fuel Equipment'!$D$55,"CONSTANT FUEL CONSUMPTION","NOT REQUIRED"))))),"NOT REQUIRED"),"NOT REQUIRED"),"NOT REQUIRED")</f>
        <v>NOT REQUIRED</v>
      </c>
      <c r="Q39" s="476" t="str">
        <f>IFERROR(IF('Fuel Equipment'!Q$14&gt;0,IF(AND('Fuel Equipment'!Q$25&gt;0,NOT('Fuel Equipment'!Q$14='Fuel Equipment'!$D$51)),IF('Fuel Equipment'!Q$14='Fuel Equipment'!$D$51,IF(VLOOKUP('Fuel Equipment'!Q$25,Cranes!$C$3:$O$16,11,FALSE)&gt;0,Cranes!$M$2,""),IF('Fuel Equipment'!Q$14='Fuel Equipment'!$D$52,IF(VLOOKUP('Fuel Equipment'!Q$25,Dumpers!$C$3:$P$16,12,FALSE)&gt;0,Dumpers!$N$2,""),IF('Fuel Equipment'!Q$14='Fuel Equipment'!$D$53,IF(VLOOKUP('Fuel Equipment'!Q$25,Excavators!$C$5:$P$52,12,FALSE)&gt;0,Excavators!$N$3,""),IF('Fuel Equipment'!Q$14='Fuel Equipment'!$D$54,IF(VLOOKUP('Fuel Equipment'!Q$25,Generators!$C$5:$K$60,7,FALSE)&gt;0,Generators!$I$4,""),IF('Fuel Equipment'!Q$14='Fuel Equipment'!$D$55,"CONSTANT FUEL CONSUMPTION","NOT REQUIRED"))))),"NOT REQUIRED"),"NOT REQUIRED"),"NOT REQUIRED")</f>
        <v>NOT REQUIRED</v>
      </c>
      <c r="R39" s="476" t="str">
        <f>IFERROR(IF('Fuel Equipment'!R$14&gt;0,IF(AND('Fuel Equipment'!R$25&gt;0,NOT('Fuel Equipment'!R$14='Fuel Equipment'!$D$51)),IF('Fuel Equipment'!R$14='Fuel Equipment'!$D$51,IF(VLOOKUP('Fuel Equipment'!R$25,Cranes!$C$3:$O$16,11,FALSE)&gt;0,Cranes!$M$2,""),IF('Fuel Equipment'!R$14='Fuel Equipment'!$D$52,IF(VLOOKUP('Fuel Equipment'!R$25,Dumpers!$C$3:$P$16,12,FALSE)&gt;0,Dumpers!$N$2,""),IF('Fuel Equipment'!R$14='Fuel Equipment'!$D$53,IF(VLOOKUP('Fuel Equipment'!R$25,Excavators!$C$5:$P$52,12,FALSE)&gt;0,Excavators!$N$3,""),IF('Fuel Equipment'!R$14='Fuel Equipment'!$D$54,IF(VLOOKUP('Fuel Equipment'!R$25,Generators!$C$5:$K$60,7,FALSE)&gt;0,Generators!$I$4,""),IF('Fuel Equipment'!R$14='Fuel Equipment'!$D$55,"CONSTANT FUEL CONSUMPTION","NOT REQUIRED"))))),"NOT REQUIRED"),"NOT REQUIRED"),"NOT REQUIRED")</f>
        <v>NOT REQUIRED</v>
      </c>
      <c r="S39" s="476" t="str">
        <f>IFERROR(IF('Fuel Equipment'!S$14&gt;0,IF(AND('Fuel Equipment'!S$25&gt;0,NOT('Fuel Equipment'!S$14='Fuel Equipment'!$D$51)),IF('Fuel Equipment'!S$14='Fuel Equipment'!$D$51,IF(VLOOKUP('Fuel Equipment'!S$25,Cranes!$C$3:$O$16,11,FALSE)&gt;0,Cranes!$M$2,""),IF('Fuel Equipment'!S$14='Fuel Equipment'!$D$52,IF(VLOOKUP('Fuel Equipment'!S$25,Dumpers!$C$3:$P$16,12,FALSE)&gt;0,Dumpers!$N$2,""),IF('Fuel Equipment'!S$14='Fuel Equipment'!$D$53,IF(VLOOKUP('Fuel Equipment'!S$25,Excavators!$C$5:$P$52,12,FALSE)&gt;0,Excavators!$N$3,""),IF('Fuel Equipment'!S$14='Fuel Equipment'!$D$54,IF(VLOOKUP('Fuel Equipment'!S$25,Generators!$C$5:$K$60,7,FALSE)&gt;0,Generators!$I$4,""),IF('Fuel Equipment'!S$14='Fuel Equipment'!$D$55,"CONSTANT FUEL CONSUMPTION","NOT REQUIRED"))))),"NOT REQUIRED"),"NOT REQUIRED"),"NOT REQUIRED")</f>
        <v>NOT REQUIRED</v>
      </c>
      <c r="U39" s="928" t="s">
        <v>901</v>
      </c>
      <c r="V39" s="928"/>
      <c r="W39" s="928"/>
      <c r="X39" s="928"/>
      <c r="Y39" s="928"/>
      <c r="Z39" s="928"/>
      <c r="AA39" s="928"/>
      <c r="AB39" s="928" t="s">
        <v>902</v>
      </c>
      <c r="AC39" s="928"/>
      <c r="AD39" s="928"/>
      <c r="AE39" s="928"/>
      <c r="AF39" s="928"/>
      <c r="AG39" s="928"/>
      <c r="AH39" s="928"/>
      <c r="AI39" s="928"/>
      <c r="AJ39" s="928"/>
      <c r="AK39" s="928"/>
    </row>
    <row r="40" spans="2:37" s="179" customFormat="1" ht="16.5" thickTop="1" thickBot="1">
      <c r="B40" s="476" t="str">
        <f>IFERROR(IF('Fuel Equipment'!B$14&gt;0,IF(AND('Fuel Equipment'!B$25&gt;0,NOT('Fuel Equipment'!B$14='Fuel Equipment'!$D$51)),IF('Fuel Equipment'!B$14='Fuel Equipment'!$D$51,IF(VLOOKUP('Fuel Equipment'!B$25,Cranes!$C$3:$O$16,12,FALSE)&gt;0,Cranes!$N$2,""),IF('Fuel Equipment'!B$14='Fuel Equipment'!$D$52,IF(VLOOKUP('Fuel Equipment'!B$25,Dumpers!$C$3:$P$16,13,FALSE)&gt;0,Dumpers!$O$2,""),IF('Fuel Equipment'!B$14='Fuel Equipment'!$D$53,IF(VLOOKUP('Fuel Equipment'!B$25,Excavators!$C$5:$P$52,13,FALSE)&gt;0,Excavators!$O$3,""),IF('Fuel Equipment'!B$14='Fuel Equipment'!$D$54,IF(VLOOKUP('Fuel Equipment'!B$25,Generators!$C$5:$K$60,8,FALSE)&gt;0,Generators!$J$4,""),IF('Fuel Equipment'!B$14='Fuel Equipment'!$D$55,"","NOT REQUIRED"))))),"NOT REQUIRED"),"NOT REQUIRED"),"NOT REQUIRED")</f>
        <v>NOT REQUIRED</v>
      </c>
      <c r="C40" s="476" t="str">
        <f>IFERROR(IF('Fuel Equipment'!C$14&gt;0,IF(AND('Fuel Equipment'!C$25&gt;0,NOT('Fuel Equipment'!C$14='Fuel Equipment'!$D$51)),IF('Fuel Equipment'!C$14='Fuel Equipment'!$D$51,IF(VLOOKUP('Fuel Equipment'!C$25,Cranes!$C$3:$O$16,12,FALSE)&gt;0,Cranes!$N$2,""),IF('Fuel Equipment'!C$14='Fuel Equipment'!$D$52,IF(VLOOKUP('Fuel Equipment'!C$25,Dumpers!$C$3:$P$16,13,FALSE)&gt;0,Dumpers!$O$2,""),IF('Fuel Equipment'!C$14='Fuel Equipment'!$D$53,IF(VLOOKUP('Fuel Equipment'!C$25,Excavators!$C$5:$P$52,13,FALSE)&gt;0,Excavators!$O$3,""),IF('Fuel Equipment'!C$14='Fuel Equipment'!$D$54,IF(VLOOKUP('Fuel Equipment'!C$25,Generators!$C$5:$K$60,8,FALSE)&gt;0,Generators!$J$4,""),IF('Fuel Equipment'!C$14='Fuel Equipment'!$D$55,"","NOT REQUIRED"))))),"NOT REQUIRED"),"NOT REQUIRED"),"NOT REQUIRED")</f>
        <v>NOT REQUIRED</v>
      </c>
      <c r="D40" s="476" t="str">
        <f>IFERROR(IF('Fuel Equipment'!D$14&gt;0,IF(AND('Fuel Equipment'!D$25&gt;0,NOT('Fuel Equipment'!D$14='Fuel Equipment'!$D$51)),IF('Fuel Equipment'!D$14='Fuel Equipment'!$D$51,IF(VLOOKUP('Fuel Equipment'!D$25,Cranes!$C$3:$O$16,12,FALSE)&gt;0,Cranes!$N$2,""),IF('Fuel Equipment'!D$14='Fuel Equipment'!$D$52,IF(VLOOKUP('Fuel Equipment'!D$25,Dumpers!$C$3:$P$16,13,FALSE)&gt;0,Dumpers!$O$2,""),IF('Fuel Equipment'!D$14='Fuel Equipment'!$D$53,IF(VLOOKUP('Fuel Equipment'!D$25,Excavators!$C$5:$P$52,13,FALSE)&gt;0,Excavators!$O$3,""),IF('Fuel Equipment'!D$14='Fuel Equipment'!$D$54,IF(VLOOKUP('Fuel Equipment'!D$25,Generators!$C$5:$K$60,8,FALSE)&gt;0,Generators!$J$4,""),IF('Fuel Equipment'!D$14='Fuel Equipment'!$D$55,"","NOT REQUIRED"))))),"NOT REQUIRED"),"NOT REQUIRED"),"NOT REQUIRED")</f>
        <v>75%</v>
      </c>
      <c r="E40" s="476" t="str">
        <f>IFERROR(IF('Fuel Equipment'!E$14&gt;0,IF(AND('Fuel Equipment'!E$25&gt;0,NOT('Fuel Equipment'!E$14='Fuel Equipment'!$D$51)),IF('Fuel Equipment'!E$14='Fuel Equipment'!$D$51,IF(VLOOKUP('Fuel Equipment'!E$25,Cranes!$C$3:$O$16,12,FALSE)&gt;0,Cranes!$N$2,""),IF('Fuel Equipment'!E$14='Fuel Equipment'!$D$52,IF(VLOOKUP('Fuel Equipment'!E$25,Dumpers!$C$3:$P$16,13,FALSE)&gt;0,Dumpers!$O$2,""),IF('Fuel Equipment'!E$14='Fuel Equipment'!$D$53,IF(VLOOKUP('Fuel Equipment'!E$25,Excavators!$C$5:$P$52,13,FALSE)&gt;0,Excavators!$O$3,""),IF('Fuel Equipment'!E$14='Fuel Equipment'!$D$54,IF(VLOOKUP('Fuel Equipment'!E$25,Generators!$C$5:$K$60,8,FALSE)&gt;0,Generators!$J$4,""),IF('Fuel Equipment'!E$14='Fuel Equipment'!$D$55,"","NOT REQUIRED"))))),"NOT REQUIRED"),"NOT REQUIRED"),"NOT REQUIRED")</f>
        <v>NOT REQUIRED</v>
      </c>
      <c r="F40" s="476" t="str">
        <f>IFERROR(IF('Fuel Equipment'!F$14&gt;0,IF(AND('Fuel Equipment'!F$25&gt;0,NOT('Fuel Equipment'!F$14='Fuel Equipment'!$D$51)),IF('Fuel Equipment'!F$14='Fuel Equipment'!$D$51,IF(VLOOKUP('Fuel Equipment'!F$25,Cranes!$C$3:$O$16,12,FALSE)&gt;0,Cranes!$N$2,""),IF('Fuel Equipment'!F$14='Fuel Equipment'!$D$52,IF(VLOOKUP('Fuel Equipment'!F$25,Dumpers!$C$3:$P$16,13,FALSE)&gt;0,Dumpers!$O$2,""),IF('Fuel Equipment'!F$14='Fuel Equipment'!$D$53,IF(VLOOKUP('Fuel Equipment'!F$25,Excavators!$C$5:$P$52,13,FALSE)&gt;0,Excavators!$O$3,""),IF('Fuel Equipment'!F$14='Fuel Equipment'!$D$54,IF(VLOOKUP('Fuel Equipment'!F$25,Generators!$C$5:$K$60,8,FALSE)&gt;0,Generators!$J$4,""),IF('Fuel Equipment'!F$14='Fuel Equipment'!$D$55,"","NOT REQUIRED"))))),"NOT REQUIRED"),"NOT REQUIRED"),"NOT REQUIRED")</f>
        <v>NOT REQUIRED</v>
      </c>
      <c r="G40" s="476" t="str">
        <f>IFERROR(IF('Fuel Equipment'!G$14&gt;0,IF(AND('Fuel Equipment'!G$25&gt;0,NOT('Fuel Equipment'!G$14='Fuel Equipment'!$D$51)),IF('Fuel Equipment'!G$14='Fuel Equipment'!$D$51,IF(VLOOKUP('Fuel Equipment'!G$25,Cranes!$C$3:$O$16,12,FALSE)&gt;0,Cranes!$N$2,""),IF('Fuel Equipment'!G$14='Fuel Equipment'!$D$52,IF(VLOOKUP('Fuel Equipment'!G$25,Dumpers!$C$3:$P$16,13,FALSE)&gt;0,Dumpers!$O$2,""),IF('Fuel Equipment'!G$14='Fuel Equipment'!$D$53,IF(VLOOKUP('Fuel Equipment'!G$25,Excavators!$C$5:$P$52,13,FALSE)&gt;0,Excavators!$O$3,""),IF('Fuel Equipment'!G$14='Fuel Equipment'!$D$54,IF(VLOOKUP('Fuel Equipment'!G$25,Generators!$C$5:$K$60,8,FALSE)&gt;0,Generators!$J$4,""),IF('Fuel Equipment'!G$14='Fuel Equipment'!$D$55,"","NOT REQUIRED"))))),"NOT REQUIRED"),"NOT REQUIRED"),"NOT REQUIRED")</f>
        <v>NOT REQUIRED</v>
      </c>
      <c r="H40" s="476" t="str">
        <f>IFERROR(IF('Fuel Equipment'!H$14&gt;0,IF(AND('Fuel Equipment'!H$25&gt;0,NOT('Fuel Equipment'!H$14='Fuel Equipment'!$D$51)),IF('Fuel Equipment'!H$14='Fuel Equipment'!$D$51,IF(VLOOKUP('Fuel Equipment'!H$25,Cranes!$C$3:$O$16,12,FALSE)&gt;0,Cranes!$N$2,""),IF('Fuel Equipment'!H$14='Fuel Equipment'!$D$52,IF(VLOOKUP('Fuel Equipment'!H$25,Dumpers!$C$3:$P$16,13,FALSE)&gt;0,Dumpers!$O$2,""),IF('Fuel Equipment'!H$14='Fuel Equipment'!$D$53,IF(VLOOKUP('Fuel Equipment'!H$25,Excavators!$C$5:$P$52,13,FALSE)&gt;0,Excavators!$O$3,""),IF('Fuel Equipment'!H$14='Fuel Equipment'!$D$54,IF(VLOOKUP('Fuel Equipment'!H$25,Generators!$C$5:$K$60,8,FALSE)&gt;0,Generators!$J$4,""),IF('Fuel Equipment'!H$14='Fuel Equipment'!$D$55,"","NOT REQUIRED"))))),"NOT REQUIRED"),"NOT REQUIRED"),"NOT REQUIRED")</f>
        <v>NOT REQUIRED</v>
      </c>
      <c r="I40" s="476" t="str">
        <f>IFERROR(IF('Fuel Equipment'!I$14&gt;0,IF(AND('Fuel Equipment'!I$25&gt;0,NOT('Fuel Equipment'!I$14='Fuel Equipment'!$D$51)),IF('Fuel Equipment'!I$14='Fuel Equipment'!$D$51,IF(VLOOKUP('Fuel Equipment'!I$25,Cranes!$C$3:$O$16,12,FALSE)&gt;0,Cranes!$N$2,""),IF('Fuel Equipment'!I$14='Fuel Equipment'!$D$52,IF(VLOOKUP('Fuel Equipment'!I$25,Dumpers!$C$3:$P$16,13,FALSE)&gt;0,Dumpers!$O$2,""),IF('Fuel Equipment'!I$14='Fuel Equipment'!$D$53,IF(VLOOKUP('Fuel Equipment'!I$25,Excavators!$C$5:$P$52,13,FALSE)&gt;0,Excavators!$O$3,""),IF('Fuel Equipment'!I$14='Fuel Equipment'!$D$54,IF(VLOOKUP('Fuel Equipment'!I$25,Generators!$C$5:$K$60,8,FALSE)&gt;0,Generators!$J$4,""),IF('Fuel Equipment'!I$14='Fuel Equipment'!$D$55,"","NOT REQUIRED"))))),"NOT REQUIRED"),"NOT REQUIRED"),"NOT REQUIRED")</f>
        <v>NOT REQUIRED</v>
      </c>
      <c r="J40" s="476" t="str">
        <f>IFERROR(IF('Fuel Equipment'!J$14&gt;0,IF(AND('Fuel Equipment'!J$25&gt;0,NOT('Fuel Equipment'!J$14='Fuel Equipment'!$D$51)),IF('Fuel Equipment'!J$14='Fuel Equipment'!$D$51,IF(VLOOKUP('Fuel Equipment'!J$25,Cranes!$C$3:$O$16,12,FALSE)&gt;0,Cranes!$N$2,""),IF('Fuel Equipment'!J$14='Fuel Equipment'!$D$52,IF(VLOOKUP('Fuel Equipment'!J$25,Dumpers!$C$3:$P$16,13,FALSE)&gt;0,Dumpers!$O$2,""),IF('Fuel Equipment'!J$14='Fuel Equipment'!$D$53,IF(VLOOKUP('Fuel Equipment'!J$25,Excavators!$C$5:$P$52,13,FALSE)&gt;0,Excavators!$O$3,""),IF('Fuel Equipment'!J$14='Fuel Equipment'!$D$54,IF(VLOOKUP('Fuel Equipment'!J$25,Generators!$C$5:$K$60,8,FALSE)&gt;0,Generators!$J$4,""),IF('Fuel Equipment'!J$14='Fuel Equipment'!$D$55,"","NOT REQUIRED"))))),"NOT REQUIRED"),"NOT REQUIRED"),"NOT REQUIRED")</f>
        <v>NOT REQUIRED</v>
      </c>
      <c r="K40" s="476" t="str">
        <f>IFERROR(IF('Fuel Equipment'!K$14&gt;0,IF(AND('Fuel Equipment'!K$25&gt;0,NOT('Fuel Equipment'!K$14='Fuel Equipment'!$D$51)),IF('Fuel Equipment'!K$14='Fuel Equipment'!$D$51,IF(VLOOKUP('Fuel Equipment'!K$25,Cranes!$C$3:$O$16,12,FALSE)&gt;0,Cranes!$N$2,""),IF('Fuel Equipment'!K$14='Fuel Equipment'!$D$52,IF(VLOOKUP('Fuel Equipment'!K$25,Dumpers!$C$3:$P$16,13,FALSE)&gt;0,Dumpers!$O$2,""),IF('Fuel Equipment'!K$14='Fuel Equipment'!$D$53,IF(VLOOKUP('Fuel Equipment'!K$25,Excavators!$C$5:$P$52,13,FALSE)&gt;0,Excavators!$O$3,""),IF('Fuel Equipment'!K$14='Fuel Equipment'!$D$54,IF(VLOOKUP('Fuel Equipment'!K$25,Generators!$C$5:$K$60,8,FALSE)&gt;0,Generators!$J$4,""),IF('Fuel Equipment'!K$14='Fuel Equipment'!$D$55,"","NOT REQUIRED"))))),"NOT REQUIRED"),"NOT REQUIRED"),"NOT REQUIRED")</f>
        <v>NOT REQUIRED</v>
      </c>
      <c r="L40" s="476" t="str">
        <f>IFERROR(IF('Fuel Equipment'!L$14&gt;0,IF(AND('Fuel Equipment'!L$25&gt;0,NOT('Fuel Equipment'!L$14='Fuel Equipment'!$D$51)),IF('Fuel Equipment'!L$14='Fuel Equipment'!$D$51,IF(VLOOKUP('Fuel Equipment'!L$25,Cranes!$C$3:$O$16,12,FALSE)&gt;0,Cranes!$N$2,""),IF('Fuel Equipment'!L$14='Fuel Equipment'!$D$52,IF(VLOOKUP('Fuel Equipment'!L$25,Dumpers!$C$3:$P$16,13,FALSE)&gt;0,Dumpers!$O$2,""),IF('Fuel Equipment'!L$14='Fuel Equipment'!$D$53,IF(VLOOKUP('Fuel Equipment'!L$25,Excavators!$C$5:$P$52,13,FALSE)&gt;0,Excavators!$O$3,""),IF('Fuel Equipment'!L$14='Fuel Equipment'!$D$54,IF(VLOOKUP('Fuel Equipment'!L$25,Generators!$C$5:$K$60,8,FALSE)&gt;0,Generators!$J$4,""),IF('Fuel Equipment'!L$14='Fuel Equipment'!$D$55,"","NOT REQUIRED"))))),"NOT REQUIRED"),"NOT REQUIRED"),"NOT REQUIRED")</f>
        <v>NOT REQUIRED</v>
      </c>
      <c r="M40" s="476" t="str">
        <f>IFERROR(IF('Fuel Equipment'!M$14&gt;0,IF(AND('Fuel Equipment'!M$25&gt;0,NOT('Fuel Equipment'!M$14='Fuel Equipment'!$D$51)),IF('Fuel Equipment'!M$14='Fuel Equipment'!$D$51,IF(VLOOKUP('Fuel Equipment'!M$25,Cranes!$C$3:$O$16,12,FALSE)&gt;0,Cranes!$N$2,""),IF('Fuel Equipment'!M$14='Fuel Equipment'!$D$52,IF(VLOOKUP('Fuel Equipment'!M$25,Dumpers!$C$3:$P$16,13,FALSE)&gt;0,Dumpers!$O$2,""),IF('Fuel Equipment'!M$14='Fuel Equipment'!$D$53,IF(VLOOKUP('Fuel Equipment'!M$25,Excavators!$C$5:$P$52,13,FALSE)&gt;0,Excavators!$O$3,""),IF('Fuel Equipment'!M$14='Fuel Equipment'!$D$54,IF(VLOOKUP('Fuel Equipment'!M$25,Generators!$C$5:$K$60,8,FALSE)&gt;0,Generators!$J$4,""),IF('Fuel Equipment'!M$14='Fuel Equipment'!$D$55,"","NOT REQUIRED"))))),"NOT REQUIRED"),"NOT REQUIRED"),"NOT REQUIRED")</f>
        <v>NOT REQUIRED</v>
      </c>
      <c r="N40" s="476" t="str">
        <f>IFERROR(IF('Fuel Equipment'!N$14&gt;0,IF(AND('Fuel Equipment'!N$25&gt;0,NOT('Fuel Equipment'!N$14='Fuel Equipment'!$D$51)),IF('Fuel Equipment'!N$14='Fuel Equipment'!$D$51,IF(VLOOKUP('Fuel Equipment'!N$25,Cranes!$C$3:$O$16,12,FALSE)&gt;0,Cranes!$N$2,""),IF('Fuel Equipment'!N$14='Fuel Equipment'!$D$52,IF(VLOOKUP('Fuel Equipment'!N$25,Dumpers!$C$3:$P$16,13,FALSE)&gt;0,Dumpers!$O$2,""),IF('Fuel Equipment'!N$14='Fuel Equipment'!$D$53,IF(VLOOKUP('Fuel Equipment'!N$25,Excavators!$C$5:$P$52,13,FALSE)&gt;0,Excavators!$O$3,""),IF('Fuel Equipment'!N$14='Fuel Equipment'!$D$54,IF(VLOOKUP('Fuel Equipment'!N$25,Generators!$C$5:$K$60,8,FALSE)&gt;0,Generators!$J$4,""),IF('Fuel Equipment'!N$14='Fuel Equipment'!$D$55,"","NOT REQUIRED"))))),"NOT REQUIRED"),"NOT REQUIRED"),"NOT REQUIRED")</f>
        <v>NOT REQUIRED</v>
      </c>
      <c r="O40" s="476" t="str">
        <f>IFERROR(IF('Fuel Equipment'!O$14&gt;0,IF(AND('Fuel Equipment'!O$25&gt;0,NOT('Fuel Equipment'!O$14='Fuel Equipment'!$D$51)),IF('Fuel Equipment'!O$14='Fuel Equipment'!$D$51,IF(VLOOKUP('Fuel Equipment'!O$25,Cranes!$C$3:$O$16,12,FALSE)&gt;0,Cranes!$N$2,""),IF('Fuel Equipment'!O$14='Fuel Equipment'!$D$52,IF(VLOOKUP('Fuel Equipment'!O$25,Dumpers!$C$3:$P$16,13,FALSE)&gt;0,Dumpers!$O$2,""),IF('Fuel Equipment'!O$14='Fuel Equipment'!$D$53,IF(VLOOKUP('Fuel Equipment'!O$25,Excavators!$C$5:$P$52,13,FALSE)&gt;0,Excavators!$O$3,""),IF('Fuel Equipment'!O$14='Fuel Equipment'!$D$54,IF(VLOOKUP('Fuel Equipment'!O$25,Generators!$C$5:$K$60,8,FALSE)&gt;0,Generators!$J$4,""),IF('Fuel Equipment'!O$14='Fuel Equipment'!$D$55,"","NOT REQUIRED"))))),"NOT REQUIRED"),"NOT REQUIRED"),"NOT REQUIRED")</f>
        <v>NOT REQUIRED</v>
      </c>
      <c r="P40" s="476" t="str">
        <f>IFERROR(IF('Fuel Equipment'!P$14&gt;0,IF(AND('Fuel Equipment'!P$25&gt;0,NOT('Fuel Equipment'!P$14='Fuel Equipment'!$D$51)),IF('Fuel Equipment'!P$14='Fuel Equipment'!$D$51,IF(VLOOKUP('Fuel Equipment'!P$25,Cranes!$C$3:$O$16,12,FALSE)&gt;0,Cranes!$N$2,""),IF('Fuel Equipment'!P$14='Fuel Equipment'!$D$52,IF(VLOOKUP('Fuel Equipment'!P$25,Dumpers!$C$3:$P$16,13,FALSE)&gt;0,Dumpers!$O$2,""),IF('Fuel Equipment'!P$14='Fuel Equipment'!$D$53,IF(VLOOKUP('Fuel Equipment'!P$25,Excavators!$C$5:$P$52,13,FALSE)&gt;0,Excavators!$O$3,""),IF('Fuel Equipment'!P$14='Fuel Equipment'!$D$54,IF(VLOOKUP('Fuel Equipment'!P$25,Generators!$C$5:$K$60,8,FALSE)&gt;0,Generators!$J$4,""),IF('Fuel Equipment'!P$14='Fuel Equipment'!$D$55,"","NOT REQUIRED"))))),"NOT REQUIRED"),"NOT REQUIRED"),"NOT REQUIRED")</f>
        <v>NOT REQUIRED</v>
      </c>
      <c r="Q40" s="476" t="str">
        <f>IFERROR(IF('Fuel Equipment'!Q$14&gt;0,IF(AND('Fuel Equipment'!Q$25&gt;0,NOT('Fuel Equipment'!Q$14='Fuel Equipment'!$D$51)),IF('Fuel Equipment'!Q$14='Fuel Equipment'!$D$51,IF(VLOOKUP('Fuel Equipment'!Q$25,Cranes!$C$3:$O$16,12,FALSE)&gt;0,Cranes!$N$2,""),IF('Fuel Equipment'!Q$14='Fuel Equipment'!$D$52,IF(VLOOKUP('Fuel Equipment'!Q$25,Dumpers!$C$3:$P$16,13,FALSE)&gt;0,Dumpers!$O$2,""),IF('Fuel Equipment'!Q$14='Fuel Equipment'!$D$53,IF(VLOOKUP('Fuel Equipment'!Q$25,Excavators!$C$5:$P$52,13,FALSE)&gt;0,Excavators!$O$3,""),IF('Fuel Equipment'!Q$14='Fuel Equipment'!$D$54,IF(VLOOKUP('Fuel Equipment'!Q$25,Generators!$C$5:$K$60,8,FALSE)&gt;0,Generators!$J$4,""),IF('Fuel Equipment'!Q$14='Fuel Equipment'!$D$55,"","NOT REQUIRED"))))),"NOT REQUIRED"),"NOT REQUIRED"),"NOT REQUIRED")</f>
        <v>NOT REQUIRED</v>
      </c>
      <c r="R40" s="476" t="str">
        <f>IFERROR(IF('Fuel Equipment'!R$14&gt;0,IF(AND('Fuel Equipment'!R$25&gt;0,NOT('Fuel Equipment'!R$14='Fuel Equipment'!$D$51)),IF('Fuel Equipment'!R$14='Fuel Equipment'!$D$51,IF(VLOOKUP('Fuel Equipment'!R$25,Cranes!$C$3:$O$16,12,FALSE)&gt;0,Cranes!$N$2,""),IF('Fuel Equipment'!R$14='Fuel Equipment'!$D$52,IF(VLOOKUP('Fuel Equipment'!R$25,Dumpers!$C$3:$P$16,13,FALSE)&gt;0,Dumpers!$O$2,""),IF('Fuel Equipment'!R$14='Fuel Equipment'!$D$53,IF(VLOOKUP('Fuel Equipment'!R$25,Excavators!$C$5:$P$52,13,FALSE)&gt;0,Excavators!$O$3,""),IF('Fuel Equipment'!R$14='Fuel Equipment'!$D$54,IF(VLOOKUP('Fuel Equipment'!R$25,Generators!$C$5:$K$60,8,FALSE)&gt;0,Generators!$J$4,""),IF('Fuel Equipment'!R$14='Fuel Equipment'!$D$55,"","NOT REQUIRED"))))),"NOT REQUIRED"),"NOT REQUIRED"),"NOT REQUIRED")</f>
        <v>NOT REQUIRED</v>
      </c>
      <c r="S40" s="476" t="str">
        <f>IFERROR(IF('Fuel Equipment'!S$14&gt;0,IF(AND('Fuel Equipment'!S$25&gt;0,NOT('Fuel Equipment'!S$14='Fuel Equipment'!$D$51)),IF('Fuel Equipment'!S$14='Fuel Equipment'!$D$51,IF(VLOOKUP('Fuel Equipment'!S$25,Cranes!$C$3:$O$16,12,FALSE)&gt;0,Cranes!$N$2,""),IF('Fuel Equipment'!S$14='Fuel Equipment'!$D$52,IF(VLOOKUP('Fuel Equipment'!S$25,Dumpers!$C$3:$P$16,13,FALSE)&gt;0,Dumpers!$O$2,""),IF('Fuel Equipment'!S$14='Fuel Equipment'!$D$53,IF(VLOOKUP('Fuel Equipment'!S$25,Excavators!$C$5:$P$52,13,FALSE)&gt;0,Excavators!$O$3,""),IF('Fuel Equipment'!S$14='Fuel Equipment'!$D$54,IF(VLOOKUP('Fuel Equipment'!S$25,Generators!$C$5:$K$60,8,FALSE)&gt;0,Generators!$J$4,""),IF('Fuel Equipment'!S$14='Fuel Equipment'!$D$55,"","NOT REQUIRED"))))),"NOT REQUIRED"),"NOT REQUIRED"),"NOT REQUIRED")</f>
        <v>NOT REQUIRED</v>
      </c>
      <c r="U40" s="928"/>
      <c r="V40" s="928"/>
      <c r="W40" s="928"/>
      <c r="X40" s="928"/>
      <c r="Y40" s="928"/>
      <c r="Z40" s="928"/>
      <c r="AA40" s="928"/>
      <c r="AB40" s="928"/>
      <c r="AC40" s="928"/>
      <c r="AD40" s="928"/>
      <c r="AE40" s="928"/>
      <c r="AF40" s="928"/>
      <c r="AG40" s="928"/>
      <c r="AH40" s="928"/>
      <c r="AI40" s="928"/>
      <c r="AJ40" s="928"/>
      <c r="AK40" s="928"/>
    </row>
    <row r="41" spans="2:37" s="179" customFormat="1" ht="16.5" thickTop="1" thickBot="1">
      <c r="B41" s="476" t="str">
        <f>IFERROR(IF('Fuel Equipment'!B$14&gt;0,IF(AND('Fuel Equipment'!B$25&gt;0,NOT('Fuel Equipment'!B14='Fuel Equipment'!$D$51)),IF('Fuel Equipment'!B$14='Fuel Equipment'!$D$51,IF(VLOOKUP('Fuel Equipment'!B$25,Cranes!$C$3:$O$16,13,FALSE)&gt;0,Cranes!$O$2,""),IF('Fuel Equipment'!B$14='Fuel Equipment'!$D$52,IF(VLOOKUP('Fuel Equipment'!B$25,Dumpers!$C$3:$P$16,14,FALSE)&gt;0,Dumpers!$P$2,""),IF('Fuel Equipment'!B$14='Fuel Equipment'!$D$53,IF(VLOOKUP('Fuel Equipment'!B$25,Excavators!$C$5:$P$52,14,FALSE)&gt;0,Excavators!$P$3,""),IF('Fuel Equipment'!B$14='Fuel Equipment'!$D$54,IF(VLOOKUP('Fuel Equipment'!B$25,Generators!$C$5:$K$60,9,FALSE)&gt;0,Generators!$K$4," "),IF('Fuel Equipment'!B$14='Fuel Equipment'!$D$55,"","NOT REQUIRED"))))),"NOT REQUIRED"),"NOT REQUIRED"),"NOT REQUIRED")</f>
        <v>NOT REQUIRED</v>
      </c>
      <c r="C41" s="476" t="str">
        <f>IFERROR(IF('Fuel Equipment'!C$14&gt;0,IF(AND('Fuel Equipment'!C$25&gt;0,NOT('Fuel Equipment'!C14='Fuel Equipment'!$D$51)),IF('Fuel Equipment'!C$14='Fuel Equipment'!$D$51,IF(VLOOKUP('Fuel Equipment'!C$25,Cranes!$C$3:$O$16,13,FALSE)&gt;0,Cranes!$O$2,""),IF('Fuel Equipment'!C$14='Fuel Equipment'!$D$52,IF(VLOOKUP('Fuel Equipment'!C$25,Dumpers!$C$3:$P$16,14,FALSE)&gt;0,Dumpers!$P$2,""),IF('Fuel Equipment'!C$14='Fuel Equipment'!$D$53,IF(VLOOKUP('Fuel Equipment'!C$25,Excavators!$C$5:$P$52,14,FALSE)&gt;0,Excavators!$P$3,""),IF('Fuel Equipment'!C$14='Fuel Equipment'!$D$54,IF(VLOOKUP('Fuel Equipment'!C$25,Generators!$C$5:$K$60,9,FALSE)&gt;0,Generators!$K$4," "),IF('Fuel Equipment'!C$14='Fuel Equipment'!$D$55,"","NOT REQUIRED"))))),"NOT REQUIRED"),"NOT REQUIRED"),"NOT REQUIRED")</f>
        <v>NOT REQUIRED</v>
      </c>
      <c r="D41" s="476" t="str">
        <f>IFERROR(IF('Fuel Equipment'!D$14&gt;0,IF(AND('Fuel Equipment'!D$25&gt;0,NOT('Fuel Equipment'!D14='Fuel Equipment'!$D$51)),IF('Fuel Equipment'!D$14='Fuel Equipment'!$D$51,IF(VLOOKUP('Fuel Equipment'!D$25,Cranes!$C$3:$O$16,13,FALSE)&gt;0,Cranes!$O$2,""),IF('Fuel Equipment'!D$14='Fuel Equipment'!$D$52,IF(VLOOKUP('Fuel Equipment'!D$25,Dumpers!$C$3:$P$16,14,FALSE)&gt;0,Dumpers!$P$2,""),IF('Fuel Equipment'!D$14='Fuel Equipment'!$D$53,IF(VLOOKUP('Fuel Equipment'!D$25,Excavators!$C$5:$P$52,14,FALSE)&gt;0,Excavators!$P$3,""),IF('Fuel Equipment'!D$14='Fuel Equipment'!$D$54,IF(VLOOKUP('Fuel Equipment'!D$25,Generators!$C$5:$K$60,9,FALSE)&gt;0,Generators!$K$4," "),IF('Fuel Equipment'!D$14='Fuel Equipment'!$D$55,"","NOT REQUIRED"))))),"NOT REQUIRED"),"NOT REQUIRED"),"NOT REQUIRED")</f>
        <v>50%</v>
      </c>
      <c r="E41" s="476" t="str">
        <f>IFERROR(IF('Fuel Equipment'!E$14&gt;0,IF(AND('Fuel Equipment'!E$25&gt;0,NOT('Fuel Equipment'!E14='Fuel Equipment'!$D$51)),IF('Fuel Equipment'!E$14='Fuel Equipment'!$D$51,IF(VLOOKUP('Fuel Equipment'!E$25,Cranes!$C$3:$O$16,13,FALSE)&gt;0,Cranes!$O$2,""),IF('Fuel Equipment'!E$14='Fuel Equipment'!$D$52,IF(VLOOKUP('Fuel Equipment'!E$25,Dumpers!$C$3:$P$16,14,FALSE)&gt;0,Dumpers!$P$2,""),IF('Fuel Equipment'!E$14='Fuel Equipment'!$D$53,IF(VLOOKUP('Fuel Equipment'!E$25,Excavators!$C$5:$P$52,14,FALSE)&gt;0,Excavators!$P$3,""),IF('Fuel Equipment'!E$14='Fuel Equipment'!$D$54,IF(VLOOKUP('Fuel Equipment'!E$25,Generators!$C$5:$K$60,9,FALSE)&gt;0,Generators!$K$4," "),IF('Fuel Equipment'!E$14='Fuel Equipment'!$D$55,"","NOT REQUIRED"))))),"NOT REQUIRED"),"NOT REQUIRED"),"NOT REQUIRED")</f>
        <v>NOT REQUIRED</v>
      </c>
      <c r="F41" s="476" t="str">
        <f>IFERROR(IF('Fuel Equipment'!F$14&gt;0,IF(AND('Fuel Equipment'!F$25&gt;0,NOT('Fuel Equipment'!F14='Fuel Equipment'!$D$51)),IF('Fuel Equipment'!F$14='Fuel Equipment'!$D$51,IF(VLOOKUP('Fuel Equipment'!F$25,Cranes!$C$3:$O$16,13,FALSE)&gt;0,Cranes!$O$2,""),IF('Fuel Equipment'!F$14='Fuel Equipment'!$D$52,IF(VLOOKUP('Fuel Equipment'!F$25,Dumpers!$C$3:$P$16,14,FALSE)&gt;0,Dumpers!$P$2,""),IF('Fuel Equipment'!F$14='Fuel Equipment'!$D$53,IF(VLOOKUP('Fuel Equipment'!F$25,Excavators!$C$5:$P$52,14,FALSE)&gt;0,Excavators!$P$3,""),IF('Fuel Equipment'!F$14='Fuel Equipment'!$D$54,IF(VLOOKUP('Fuel Equipment'!F$25,Generators!$C$5:$K$60,9,FALSE)&gt;0,Generators!$K$4," "),IF('Fuel Equipment'!F$14='Fuel Equipment'!$D$55,"","NOT REQUIRED"))))),"NOT REQUIRED"),"NOT REQUIRED"),"NOT REQUIRED")</f>
        <v>NOT REQUIRED</v>
      </c>
      <c r="G41" s="476" t="str">
        <f>IFERROR(IF('Fuel Equipment'!G$14&gt;0,IF(AND('Fuel Equipment'!G$25&gt;0,NOT('Fuel Equipment'!G14='Fuel Equipment'!$D$51)),IF('Fuel Equipment'!G$14='Fuel Equipment'!$D$51,IF(VLOOKUP('Fuel Equipment'!G$25,Cranes!$C$3:$O$16,13,FALSE)&gt;0,Cranes!$O$2,""),IF('Fuel Equipment'!G$14='Fuel Equipment'!$D$52,IF(VLOOKUP('Fuel Equipment'!G$25,Dumpers!$C$3:$P$16,14,FALSE)&gt;0,Dumpers!$P$2,""),IF('Fuel Equipment'!G$14='Fuel Equipment'!$D$53,IF(VLOOKUP('Fuel Equipment'!G$25,Excavators!$C$5:$P$52,14,FALSE)&gt;0,Excavators!$P$3,""),IF('Fuel Equipment'!G$14='Fuel Equipment'!$D$54,IF(VLOOKUP('Fuel Equipment'!G$25,Generators!$C$5:$K$60,9,FALSE)&gt;0,Generators!$K$4," "),IF('Fuel Equipment'!G$14='Fuel Equipment'!$D$55,"","NOT REQUIRED"))))),"NOT REQUIRED"),"NOT REQUIRED"),"NOT REQUIRED")</f>
        <v>NOT REQUIRED</v>
      </c>
      <c r="H41" s="476" t="str">
        <f>IFERROR(IF('Fuel Equipment'!H$14&gt;0,IF(AND('Fuel Equipment'!H$25&gt;0,NOT('Fuel Equipment'!H14='Fuel Equipment'!$D$51)),IF('Fuel Equipment'!H$14='Fuel Equipment'!$D$51,IF(VLOOKUP('Fuel Equipment'!H$25,Cranes!$C$3:$O$16,13,FALSE)&gt;0,Cranes!$O$2,""),IF('Fuel Equipment'!H$14='Fuel Equipment'!$D$52,IF(VLOOKUP('Fuel Equipment'!H$25,Dumpers!$C$3:$P$16,14,FALSE)&gt;0,Dumpers!$P$2,""),IF('Fuel Equipment'!H$14='Fuel Equipment'!$D$53,IF(VLOOKUP('Fuel Equipment'!H$25,Excavators!$C$5:$P$52,14,FALSE)&gt;0,Excavators!$P$3,""),IF('Fuel Equipment'!H$14='Fuel Equipment'!$D$54,IF(VLOOKUP('Fuel Equipment'!H$25,Generators!$C$5:$K$60,9,FALSE)&gt;0,Generators!$K$4," "),IF('Fuel Equipment'!H$14='Fuel Equipment'!$D$55,"","NOT REQUIRED"))))),"NOT REQUIRED"),"NOT REQUIRED"),"NOT REQUIRED")</f>
        <v>NOT REQUIRED</v>
      </c>
      <c r="I41" s="476" t="str">
        <f>IFERROR(IF('Fuel Equipment'!I$14&gt;0,IF(AND('Fuel Equipment'!I$25&gt;0,NOT('Fuel Equipment'!I14='Fuel Equipment'!$D$51)),IF('Fuel Equipment'!I$14='Fuel Equipment'!$D$51,IF(VLOOKUP('Fuel Equipment'!I$25,Cranes!$C$3:$O$16,13,FALSE)&gt;0,Cranes!$O$2,""),IF('Fuel Equipment'!I$14='Fuel Equipment'!$D$52,IF(VLOOKUP('Fuel Equipment'!I$25,Dumpers!$C$3:$P$16,14,FALSE)&gt;0,Dumpers!$P$2,""),IF('Fuel Equipment'!I$14='Fuel Equipment'!$D$53,IF(VLOOKUP('Fuel Equipment'!I$25,Excavators!$C$5:$P$52,14,FALSE)&gt;0,Excavators!$P$3,""),IF('Fuel Equipment'!I$14='Fuel Equipment'!$D$54,IF(VLOOKUP('Fuel Equipment'!I$25,Generators!$C$5:$K$60,9,FALSE)&gt;0,Generators!$K$4," "),IF('Fuel Equipment'!I$14='Fuel Equipment'!$D$55,"","NOT REQUIRED"))))),"NOT REQUIRED"),"NOT REQUIRED"),"NOT REQUIRED")</f>
        <v>NOT REQUIRED</v>
      </c>
      <c r="J41" s="476" t="str">
        <f>IFERROR(IF('Fuel Equipment'!J$14&gt;0,IF(AND('Fuel Equipment'!J$25&gt;0,NOT('Fuel Equipment'!J14='Fuel Equipment'!$D$51)),IF('Fuel Equipment'!J$14='Fuel Equipment'!$D$51,IF(VLOOKUP('Fuel Equipment'!J$25,Cranes!$C$3:$O$16,13,FALSE)&gt;0,Cranes!$O$2,""),IF('Fuel Equipment'!J$14='Fuel Equipment'!$D$52,IF(VLOOKUP('Fuel Equipment'!J$25,Dumpers!$C$3:$P$16,14,FALSE)&gt;0,Dumpers!$P$2,""),IF('Fuel Equipment'!J$14='Fuel Equipment'!$D$53,IF(VLOOKUP('Fuel Equipment'!J$25,Excavators!$C$5:$P$52,14,FALSE)&gt;0,Excavators!$P$3,""),IF('Fuel Equipment'!J$14='Fuel Equipment'!$D$54,IF(VLOOKUP('Fuel Equipment'!J$25,Generators!$C$5:$K$60,9,FALSE)&gt;0,Generators!$K$4," "),IF('Fuel Equipment'!J$14='Fuel Equipment'!$D$55,"","NOT REQUIRED"))))),"NOT REQUIRED"),"NOT REQUIRED"),"NOT REQUIRED")</f>
        <v>NOT REQUIRED</v>
      </c>
      <c r="K41" s="476" t="str">
        <f>IFERROR(IF('Fuel Equipment'!K$14&gt;0,IF(AND('Fuel Equipment'!K$25&gt;0,NOT('Fuel Equipment'!K14='Fuel Equipment'!$D$51)),IF('Fuel Equipment'!K$14='Fuel Equipment'!$D$51,IF(VLOOKUP('Fuel Equipment'!K$25,Cranes!$C$3:$O$16,13,FALSE)&gt;0,Cranes!$O$2,""),IF('Fuel Equipment'!K$14='Fuel Equipment'!$D$52,IF(VLOOKUP('Fuel Equipment'!K$25,Dumpers!$C$3:$P$16,14,FALSE)&gt;0,Dumpers!$P$2,""),IF('Fuel Equipment'!K$14='Fuel Equipment'!$D$53,IF(VLOOKUP('Fuel Equipment'!K$25,Excavators!$C$5:$P$52,14,FALSE)&gt;0,Excavators!$P$3,""),IF('Fuel Equipment'!K$14='Fuel Equipment'!$D$54,IF(VLOOKUP('Fuel Equipment'!K$25,Generators!$C$5:$K$60,9,FALSE)&gt;0,Generators!$K$4," "),IF('Fuel Equipment'!K$14='Fuel Equipment'!$D$55,"","NOT REQUIRED"))))),"NOT REQUIRED"),"NOT REQUIRED"),"NOT REQUIRED")</f>
        <v>NOT REQUIRED</v>
      </c>
      <c r="L41" s="476" t="str">
        <f>IFERROR(IF('Fuel Equipment'!L$14&gt;0,IF(AND('Fuel Equipment'!L$25&gt;0,NOT('Fuel Equipment'!L14='Fuel Equipment'!$D$51)),IF('Fuel Equipment'!L$14='Fuel Equipment'!$D$51,IF(VLOOKUP('Fuel Equipment'!L$25,Cranes!$C$3:$O$16,13,FALSE)&gt;0,Cranes!$O$2,""),IF('Fuel Equipment'!L$14='Fuel Equipment'!$D$52,IF(VLOOKUP('Fuel Equipment'!L$25,Dumpers!$C$3:$P$16,14,FALSE)&gt;0,Dumpers!$P$2,""),IF('Fuel Equipment'!L$14='Fuel Equipment'!$D$53,IF(VLOOKUP('Fuel Equipment'!L$25,Excavators!$C$5:$P$52,14,FALSE)&gt;0,Excavators!$P$3,""),IF('Fuel Equipment'!L$14='Fuel Equipment'!$D$54,IF(VLOOKUP('Fuel Equipment'!L$25,Generators!$C$5:$K$60,9,FALSE)&gt;0,Generators!$K$4," "),IF('Fuel Equipment'!L$14='Fuel Equipment'!$D$55,"","NOT REQUIRED"))))),"NOT REQUIRED"),"NOT REQUIRED"),"NOT REQUIRED")</f>
        <v>NOT REQUIRED</v>
      </c>
      <c r="M41" s="476" t="str">
        <f>IFERROR(IF('Fuel Equipment'!M$14&gt;0,IF(AND('Fuel Equipment'!M$25&gt;0,NOT('Fuel Equipment'!M14='Fuel Equipment'!$D$51)),IF('Fuel Equipment'!M$14='Fuel Equipment'!$D$51,IF(VLOOKUP('Fuel Equipment'!M$25,Cranes!$C$3:$O$16,13,FALSE)&gt;0,Cranes!$O$2,""),IF('Fuel Equipment'!M$14='Fuel Equipment'!$D$52,IF(VLOOKUP('Fuel Equipment'!M$25,Dumpers!$C$3:$P$16,14,FALSE)&gt;0,Dumpers!$P$2,""),IF('Fuel Equipment'!M$14='Fuel Equipment'!$D$53,IF(VLOOKUP('Fuel Equipment'!M$25,Excavators!$C$5:$P$52,14,FALSE)&gt;0,Excavators!$P$3,""),IF('Fuel Equipment'!M$14='Fuel Equipment'!$D$54,IF(VLOOKUP('Fuel Equipment'!M$25,Generators!$C$5:$K$60,9,FALSE)&gt;0,Generators!$K$4," "),IF('Fuel Equipment'!M$14='Fuel Equipment'!$D$55,"","NOT REQUIRED"))))),"NOT REQUIRED"),"NOT REQUIRED"),"NOT REQUIRED")</f>
        <v>NOT REQUIRED</v>
      </c>
      <c r="N41" s="476" t="str">
        <f>IFERROR(IF('Fuel Equipment'!N$14&gt;0,IF(AND('Fuel Equipment'!N$25&gt;0,NOT('Fuel Equipment'!N14='Fuel Equipment'!$D$51)),IF('Fuel Equipment'!N$14='Fuel Equipment'!$D$51,IF(VLOOKUP('Fuel Equipment'!N$25,Cranes!$C$3:$O$16,13,FALSE)&gt;0,Cranes!$O$2,""),IF('Fuel Equipment'!N$14='Fuel Equipment'!$D$52,IF(VLOOKUP('Fuel Equipment'!N$25,Dumpers!$C$3:$P$16,14,FALSE)&gt;0,Dumpers!$P$2,""),IF('Fuel Equipment'!N$14='Fuel Equipment'!$D$53,IF(VLOOKUP('Fuel Equipment'!N$25,Excavators!$C$5:$P$52,14,FALSE)&gt;0,Excavators!$P$3,""),IF('Fuel Equipment'!N$14='Fuel Equipment'!$D$54,IF(VLOOKUP('Fuel Equipment'!N$25,Generators!$C$5:$K$60,9,FALSE)&gt;0,Generators!$K$4," "),IF('Fuel Equipment'!N$14='Fuel Equipment'!$D$55,"","NOT REQUIRED"))))),"NOT REQUIRED"),"NOT REQUIRED"),"NOT REQUIRED")</f>
        <v>NOT REQUIRED</v>
      </c>
      <c r="O41" s="476" t="str">
        <f>IFERROR(IF('Fuel Equipment'!O$14&gt;0,IF(AND('Fuel Equipment'!O$25&gt;0,NOT('Fuel Equipment'!O14='Fuel Equipment'!$D$51)),IF('Fuel Equipment'!O$14='Fuel Equipment'!$D$51,IF(VLOOKUP('Fuel Equipment'!O$25,Cranes!$C$3:$O$16,13,FALSE)&gt;0,Cranes!$O$2,""),IF('Fuel Equipment'!O$14='Fuel Equipment'!$D$52,IF(VLOOKUP('Fuel Equipment'!O$25,Dumpers!$C$3:$P$16,14,FALSE)&gt;0,Dumpers!$P$2,""),IF('Fuel Equipment'!O$14='Fuel Equipment'!$D$53,IF(VLOOKUP('Fuel Equipment'!O$25,Excavators!$C$5:$P$52,14,FALSE)&gt;0,Excavators!$P$3,""),IF('Fuel Equipment'!O$14='Fuel Equipment'!$D$54,IF(VLOOKUP('Fuel Equipment'!O$25,Generators!$C$5:$K$60,9,FALSE)&gt;0,Generators!$K$4," "),IF('Fuel Equipment'!O$14='Fuel Equipment'!$D$55,"","NOT REQUIRED"))))),"NOT REQUIRED"),"NOT REQUIRED"),"NOT REQUIRED")</f>
        <v>NOT REQUIRED</v>
      </c>
      <c r="P41" s="476" t="str">
        <f>IFERROR(IF('Fuel Equipment'!P$14&gt;0,IF(AND('Fuel Equipment'!P$25&gt;0,NOT('Fuel Equipment'!P14='Fuel Equipment'!$D$51)),IF('Fuel Equipment'!P$14='Fuel Equipment'!$D$51,IF(VLOOKUP('Fuel Equipment'!P$25,Cranes!$C$3:$O$16,13,FALSE)&gt;0,Cranes!$O$2,""),IF('Fuel Equipment'!P$14='Fuel Equipment'!$D$52,IF(VLOOKUP('Fuel Equipment'!P$25,Dumpers!$C$3:$P$16,14,FALSE)&gt;0,Dumpers!$P$2,""),IF('Fuel Equipment'!P$14='Fuel Equipment'!$D$53,IF(VLOOKUP('Fuel Equipment'!P$25,Excavators!$C$5:$P$52,14,FALSE)&gt;0,Excavators!$P$3,""),IF('Fuel Equipment'!P$14='Fuel Equipment'!$D$54,IF(VLOOKUP('Fuel Equipment'!P$25,Generators!$C$5:$K$60,9,FALSE)&gt;0,Generators!$K$4," "),IF('Fuel Equipment'!P$14='Fuel Equipment'!$D$55,"","NOT REQUIRED"))))),"NOT REQUIRED"),"NOT REQUIRED"),"NOT REQUIRED")</f>
        <v>NOT REQUIRED</v>
      </c>
      <c r="Q41" s="476" t="str">
        <f>IFERROR(IF('Fuel Equipment'!Q$14&gt;0,IF(AND('Fuel Equipment'!Q$25&gt;0,NOT('Fuel Equipment'!Q14='Fuel Equipment'!$D$51)),IF('Fuel Equipment'!Q$14='Fuel Equipment'!$D$51,IF(VLOOKUP('Fuel Equipment'!Q$25,Cranes!$C$3:$O$16,13,FALSE)&gt;0,Cranes!$O$2,""),IF('Fuel Equipment'!Q$14='Fuel Equipment'!$D$52,IF(VLOOKUP('Fuel Equipment'!Q$25,Dumpers!$C$3:$P$16,14,FALSE)&gt;0,Dumpers!$P$2,""),IF('Fuel Equipment'!Q$14='Fuel Equipment'!$D$53,IF(VLOOKUP('Fuel Equipment'!Q$25,Excavators!$C$5:$P$52,14,FALSE)&gt;0,Excavators!$P$3,""),IF('Fuel Equipment'!Q$14='Fuel Equipment'!$D$54,IF(VLOOKUP('Fuel Equipment'!Q$25,Generators!$C$5:$K$60,9,FALSE)&gt;0,Generators!$K$4," "),IF('Fuel Equipment'!Q$14='Fuel Equipment'!$D$55,"","NOT REQUIRED"))))),"NOT REQUIRED"),"NOT REQUIRED"),"NOT REQUIRED")</f>
        <v>NOT REQUIRED</v>
      </c>
      <c r="R41" s="476" t="str">
        <f>IFERROR(IF('Fuel Equipment'!R$14&gt;0,IF(AND('Fuel Equipment'!R$25&gt;0,NOT('Fuel Equipment'!R14='Fuel Equipment'!$D$51)),IF('Fuel Equipment'!R$14='Fuel Equipment'!$D$51,IF(VLOOKUP('Fuel Equipment'!R$25,Cranes!$C$3:$O$16,13,FALSE)&gt;0,Cranes!$O$2,""),IF('Fuel Equipment'!R$14='Fuel Equipment'!$D$52,IF(VLOOKUP('Fuel Equipment'!R$25,Dumpers!$C$3:$P$16,14,FALSE)&gt;0,Dumpers!$P$2,""),IF('Fuel Equipment'!R$14='Fuel Equipment'!$D$53,IF(VLOOKUP('Fuel Equipment'!R$25,Excavators!$C$5:$P$52,14,FALSE)&gt;0,Excavators!$P$3,""),IF('Fuel Equipment'!R$14='Fuel Equipment'!$D$54,IF(VLOOKUP('Fuel Equipment'!R$25,Generators!$C$5:$K$60,9,FALSE)&gt;0,Generators!$K$4," "),IF('Fuel Equipment'!R$14='Fuel Equipment'!$D$55,"","NOT REQUIRED"))))),"NOT REQUIRED"),"NOT REQUIRED"),"NOT REQUIRED")</f>
        <v>NOT REQUIRED</v>
      </c>
      <c r="S41" s="476" t="str">
        <f>IFERROR(IF('Fuel Equipment'!S$14&gt;0,IF(AND('Fuel Equipment'!S$25&gt;0,NOT('Fuel Equipment'!S14='Fuel Equipment'!$D$51)),IF('Fuel Equipment'!S$14='Fuel Equipment'!$D$51,IF(VLOOKUP('Fuel Equipment'!S$25,Cranes!$C$3:$O$16,13,FALSE)&gt;0,Cranes!$O$2,""),IF('Fuel Equipment'!S$14='Fuel Equipment'!$D$52,IF(VLOOKUP('Fuel Equipment'!S$25,Dumpers!$C$3:$P$16,14,FALSE)&gt;0,Dumpers!$P$2,""),IF('Fuel Equipment'!S$14='Fuel Equipment'!$D$53,IF(VLOOKUP('Fuel Equipment'!S$25,Excavators!$C$5:$P$52,14,FALSE)&gt;0,Excavators!$P$3,""),IF('Fuel Equipment'!S$14='Fuel Equipment'!$D$54,IF(VLOOKUP('Fuel Equipment'!S$25,Generators!$C$5:$K$60,9,FALSE)&gt;0,Generators!$K$4," "),IF('Fuel Equipment'!S$14='Fuel Equipment'!$D$55,"","NOT REQUIRED"))))),"NOT REQUIRED"),"NOT REQUIRED"),"NOT REQUIRED")</f>
        <v>NOT REQUIRED</v>
      </c>
      <c r="U41" s="928"/>
      <c r="V41" s="928"/>
      <c r="W41" s="928"/>
      <c r="X41" s="928"/>
      <c r="Y41" s="928"/>
      <c r="Z41" s="928"/>
      <c r="AA41" s="928"/>
      <c r="AB41" s="928"/>
      <c r="AC41" s="928"/>
      <c r="AD41" s="928"/>
      <c r="AE41" s="928"/>
      <c r="AF41" s="928"/>
      <c r="AG41" s="928"/>
      <c r="AH41" s="928"/>
      <c r="AI41" s="928"/>
      <c r="AJ41" s="928"/>
      <c r="AK41" s="928"/>
    </row>
    <row r="42" spans="2:37" s="179" customFormat="1" ht="15.75" thickTop="1"/>
    <row r="43" spans="2:37">
      <c r="B43" s="356"/>
    </row>
    <row r="44" spans="2:37" s="481" customFormat="1" ht="15.75" thickBot="1">
      <c r="B44" s="493" t="s">
        <v>775</v>
      </c>
    </row>
    <row r="45" spans="2:37" s="481" customFormat="1" ht="16.5" customHeight="1" thickTop="1" thickBot="1">
      <c r="B45" s="494" t="str">
        <f>IF('Fuel Equipment'!B$14&gt;0,IF('Fuel Equipment'!B$16&gt;0,IF('Fuel Equipment'!B$14='Fuel Equipment'!$D$51,IF(VLOOKUP('Fuel Equipment'!B$16,Cranes!$C$4:$O$17,11,FALSE)&gt;0,Cranes!$M$2,""),IF('Fuel Equipment'!B$14='Fuel Equipment'!$D$52,IF(VLOOKUP('Fuel Equipment'!B$16,Dumpers!$C$3:$P$17,12,FALSE)&gt;0,Dumpers!$N$2,""),IF('Fuel Equipment'!B$14='Fuel Equipment'!$D$53,IF(VLOOKUP('Fuel Equipment'!B$16,Excavators!$C$4:$P$53,12,FALSE)&gt;0,Excavators!$N$3,""),IF('Fuel Equipment'!B$14='Fuel Equipment'!$D$54,IF(VLOOKUP('Fuel Equipment'!B$16,Generators!$C$5:$K$60,7,FALSE)&gt;0,Generators!$I$4,""),IF('Fuel Equipment'!B$14='Fuel Equipment'!$D$55,"CONSTANT FUEL CONSUMPTION","NOT REQUIRED"))))),"NOT REQUIRED"),"NOT REQUIRED")</f>
        <v>70-90%</v>
      </c>
      <c r="C45" s="494" t="str">
        <f>IF('Fuel Equipment'!C$14&gt;0,IF('Fuel Equipment'!C$16&gt;0,IF('Fuel Equipment'!C$14='Fuel Equipment'!$D$51,IF(VLOOKUP('Fuel Equipment'!C$16,Cranes!$C$4:$O$17,11,FALSE)&gt;0,Cranes!$M$2,""),IF('Fuel Equipment'!C$14='Fuel Equipment'!$D$52,IF(VLOOKUP('Fuel Equipment'!C$16,Dumpers!$C$3:$P$17,12,FALSE)&gt;0,Dumpers!$N$2,""),IF('Fuel Equipment'!C$14='Fuel Equipment'!$D$53,IF(VLOOKUP('Fuel Equipment'!C$16,Excavators!$C$4:$P$53,12,FALSE)&gt;0,Excavators!$N$3,""),IF('Fuel Equipment'!C$14='Fuel Equipment'!$D$54,IF(VLOOKUP('Fuel Equipment'!C$16,Generators!$C$5:$K$60,7,FALSE)&gt;0,Generators!$I$4,""),IF('Fuel Equipment'!C$14='Fuel Equipment'!$D$55,"CONSTANT FUEL CONSUMPTION","NOT REQUIRED"))))),"NOT REQUIRED"),"NOT REQUIRED")</f>
        <v>70-90%</v>
      </c>
      <c r="D45" s="494" t="str">
        <f>IF('Fuel Equipment'!D$14&gt;0,IF('Fuel Equipment'!D$16&gt;0,IF('Fuel Equipment'!D$14='Fuel Equipment'!$D$51,IF(VLOOKUP('Fuel Equipment'!D$16,Cranes!$C$4:$O$17,11,FALSE)&gt;0,Cranes!$M$2,""),IF('Fuel Equipment'!D$14='Fuel Equipment'!$D$52,IF(VLOOKUP('Fuel Equipment'!D$16,Dumpers!$C$3:$P$17,12,FALSE)&gt;0,Dumpers!$N$2,""),IF('Fuel Equipment'!D$14='Fuel Equipment'!$D$53,IF(VLOOKUP('Fuel Equipment'!D$16,Excavators!$C$4:$P$53,12,FALSE)&gt;0,Excavators!$N$3,""),IF('Fuel Equipment'!D$14='Fuel Equipment'!$D$54,IF(VLOOKUP('Fuel Equipment'!D$16,Generators!$C$5:$K$60,7,FALSE)&gt;0,Generators!$I$4,""),IF('Fuel Equipment'!D$14='Fuel Equipment'!$D$55,"CONSTANT FUEL CONSUMPTION","NOT REQUIRED"))))),"NOT REQUIRED"),"NOT REQUIRED")</f>
        <v>100%</v>
      </c>
      <c r="E45" s="494" t="e">
        <f>IF('Fuel Equipment'!E$14&gt;0,IF('Fuel Equipment'!E$16&gt;0,IF('Fuel Equipment'!E$14='Fuel Equipment'!$D$51,IF(VLOOKUP('Fuel Equipment'!E$16,Cranes!$C$4:$O$17,11,FALSE)&gt;0,Cranes!$M$2,""),IF('Fuel Equipment'!E$14='Fuel Equipment'!$D$52,IF(VLOOKUP('Fuel Equipment'!E$16,Dumpers!$C$3:$P$17,12,FALSE)&gt;0,Dumpers!$N$2,""),IF('Fuel Equipment'!E$14='Fuel Equipment'!$D$53,IF(VLOOKUP('Fuel Equipment'!E$16,Excavators!$C$4:$P$53,12,FALSE)&gt;0,Excavators!$N$3,""),IF('Fuel Equipment'!E$14='Fuel Equipment'!$D$54,IF(VLOOKUP('Fuel Equipment'!E$16,Generators!$C$5:$K$60,7,FALSE)&gt;0,Generators!$I$4,""),IF('Fuel Equipment'!E$14='Fuel Equipment'!$D$55,"CONSTANT FUEL CONSUMPTION","NOT REQUIRED"))))),"NOT REQUIRED"),"NOT REQUIRED")</f>
        <v>#N/A</v>
      </c>
      <c r="F45" s="494" t="str">
        <f>IF('Fuel Equipment'!F$14&gt;0,IF('Fuel Equipment'!F$16&gt;0,IF('Fuel Equipment'!F$14='Fuel Equipment'!$D$51,IF(VLOOKUP('Fuel Equipment'!F$16,Cranes!$C$4:$O$17,11,FALSE)&gt;0,Cranes!$M$2,""),IF('Fuel Equipment'!F$14='Fuel Equipment'!$D$52,IF(VLOOKUP('Fuel Equipment'!F$16,Dumpers!$C$3:$P$17,12,FALSE)&gt;0,Dumpers!$N$2,""),IF('Fuel Equipment'!F$14='Fuel Equipment'!$D$53,IF(VLOOKUP('Fuel Equipment'!F$16,Excavators!$C$4:$P$53,12,FALSE)&gt;0,Excavators!$N$3,""),IF('Fuel Equipment'!F$14='Fuel Equipment'!$D$54,IF(VLOOKUP('Fuel Equipment'!F$16,Generators!$C$5:$K$60,7,FALSE)&gt;0,Generators!$I$4,""),IF('Fuel Equipment'!F$14='Fuel Equipment'!$D$55,"CONSTANT FUEL CONSUMPTION","NOT REQUIRED"))))),"NOT REQUIRED"),"NOT REQUIRED")</f>
        <v>NOT REQUIRED</v>
      </c>
      <c r="G45" s="494" t="str">
        <f>IF('Fuel Equipment'!G$14&gt;0,IF('Fuel Equipment'!G$16&gt;0,IF('Fuel Equipment'!G$14='Fuel Equipment'!$D$51,IF(VLOOKUP('Fuel Equipment'!G$16,Cranes!$C$4:$O$17,11,FALSE)&gt;0,Cranes!$M$2,""),IF('Fuel Equipment'!G$14='Fuel Equipment'!$D$52,IF(VLOOKUP('Fuel Equipment'!G$16,Dumpers!$C$3:$P$17,12,FALSE)&gt;0,Dumpers!$N$2,""),IF('Fuel Equipment'!G$14='Fuel Equipment'!$D$53,IF(VLOOKUP('Fuel Equipment'!G$16,Excavators!$C$4:$P$53,12,FALSE)&gt;0,Excavators!$N$3,""),IF('Fuel Equipment'!G$14='Fuel Equipment'!$D$54,IF(VLOOKUP('Fuel Equipment'!G$16,Generators!$C$5:$K$60,7,FALSE)&gt;0,Generators!$I$4,""),IF('Fuel Equipment'!G$14='Fuel Equipment'!$D$55,"CONSTANT FUEL CONSUMPTION","NOT REQUIRED"))))),"NOT REQUIRED"),"NOT REQUIRED")</f>
        <v>NOT REQUIRED</v>
      </c>
      <c r="H45" s="494" t="str">
        <f>IF('Fuel Equipment'!H$14&gt;0,IF('Fuel Equipment'!H$16&gt;0,IF('Fuel Equipment'!H$14='Fuel Equipment'!$D$51,IF(VLOOKUP('Fuel Equipment'!H$16,Cranes!$C$4:$O$17,11,FALSE)&gt;0,Cranes!$M$2,""),IF('Fuel Equipment'!H$14='Fuel Equipment'!$D$52,IF(VLOOKUP('Fuel Equipment'!H$16,Dumpers!$C$3:$P$17,12,FALSE)&gt;0,Dumpers!$N$2,""),IF('Fuel Equipment'!H$14='Fuel Equipment'!$D$53,IF(VLOOKUP('Fuel Equipment'!H$16,Excavators!$C$4:$P$53,12,FALSE)&gt;0,Excavators!$N$3,""),IF('Fuel Equipment'!H$14='Fuel Equipment'!$D$54,IF(VLOOKUP('Fuel Equipment'!H$16,Generators!$C$5:$K$60,7,FALSE)&gt;0,Generators!$I$4,""),IF('Fuel Equipment'!H$14='Fuel Equipment'!$D$55,"CONSTANT FUEL CONSUMPTION","NOT REQUIRED"))))),"NOT REQUIRED"),"NOT REQUIRED")</f>
        <v>NOT REQUIRED</v>
      </c>
      <c r="I45" s="494" t="str">
        <f>IF('Fuel Equipment'!I$14&gt;0,IF('Fuel Equipment'!I$16&gt;0,IF('Fuel Equipment'!I$14='Fuel Equipment'!$D$51,IF(VLOOKUP('Fuel Equipment'!I$16,Cranes!$C$4:$O$17,11,FALSE)&gt;0,Cranes!$M$2,""),IF('Fuel Equipment'!I$14='Fuel Equipment'!$D$52,IF(VLOOKUP('Fuel Equipment'!I$16,Dumpers!$C$3:$P$17,12,FALSE)&gt;0,Dumpers!$N$2,""),IF('Fuel Equipment'!I$14='Fuel Equipment'!$D$53,IF(VLOOKUP('Fuel Equipment'!I$16,Excavators!$C$4:$P$53,12,FALSE)&gt;0,Excavators!$N$3,""),IF('Fuel Equipment'!I$14='Fuel Equipment'!$D$54,IF(VLOOKUP('Fuel Equipment'!I$16,Generators!$C$5:$K$60,7,FALSE)&gt;0,Generators!$I$4,""),IF('Fuel Equipment'!I$14='Fuel Equipment'!$D$55,"CONSTANT FUEL CONSUMPTION","NOT REQUIRED"))))),"NOT REQUIRED"),"NOT REQUIRED")</f>
        <v>NOT REQUIRED</v>
      </c>
      <c r="J45" s="494" t="str">
        <f>IF('Fuel Equipment'!J$14&gt;0,IF('Fuel Equipment'!J$16&gt;0,IF('Fuel Equipment'!J$14='Fuel Equipment'!$D$51,IF(VLOOKUP('Fuel Equipment'!J$16,Cranes!$C$4:$O$17,11,FALSE)&gt;0,Cranes!$M$2,""),IF('Fuel Equipment'!J$14='Fuel Equipment'!$D$52,IF(VLOOKUP('Fuel Equipment'!J$16,Dumpers!$C$3:$P$17,12,FALSE)&gt;0,Dumpers!$N$2,""),IF('Fuel Equipment'!J$14='Fuel Equipment'!$D$53,IF(VLOOKUP('Fuel Equipment'!J$16,Excavators!$C$4:$P$53,12,FALSE)&gt;0,Excavators!$N$3,""),IF('Fuel Equipment'!J$14='Fuel Equipment'!$D$54,IF(VLOOKUP('Fuel Equipment'!J$16,Generators!$C$5:$K$60,7,FALSE)&gt;0,Generators!$I$4,""),IF('Fuel Equipment'!J$14='Fuel Equipment'!$D$55,"CONSTANT FUEL CONSUMPTION","NOT REQUIRED"))))),"NOT REQUIRED"),"NOT REQUIRED")</f>
        <v>NOT REQUIRED</v>
      </c>
      <c r="K45" s="494" t="str">
        <f>IF('Fuel Equipment'!K$14&gt;0,IF('Fuel Equipment'!K$16&gt;0,IF('Fuel Equipment'!K$14='Fuel Equipment'!$D$51,IF(VLOOKUP('Fuel Equipment'!K$16,Cranes!$C$4:$O$17,11,FALSE)&gt;0,Cranes!$M$2,""),IF('Fuel Equipment'!K$14='Fuel Equipment'!$D$52,IF(VLOOKUP('Fuel Equipment'!K$16,Dumpers!$C$3:$P$17,12,FALSE)&gt;0,Dumpers!$N$2,""),IF('Fuel Equipment'!K$14='Fuel Equipment'!$D$53,IF(VLOOKUP('Fuel Equipment'!K$16,Excavators!$C$4:$P$53,12,FALSE)&gt;0,Excavators!$N$3,""),IF('Fuel Equipment'!K$14='Fuel Equipment'!$D$54,IF(VLOOKUP('Fuel Equipment'!K$16,Generators!$C$5:$K$60,7,FALSE)&gt;0,Generators!$I$4,""),IF('Fuel Equipment'!K$14='Fuel Equipment'!$D$55,"CONSTANT FUEL CONSUMPTION","NOT REQUIRED"))))),"NOT REQUIRED"),"NOT REQUIRED")</f>
        <v>NOT REQUIRED</v>
      </c>
      <c r="L45" s="494" t="str">
        <f>IF('Fuel Equipment'!L$14&gt;0,IF('Fuel Equipment'!L$16&gt;0,IF('Fuel Equipment'!L$14='Fuel Equipment'!$D$51,IF(VLOOKUP('Fuel Equipment'!L$16,Cranes!$C$4:$O$17,11,FALSE)&gt;0,Cranes!$M$2,""),IF('Fuel Equipment'!L$14='Fuel Equipment'!$D$52,IF(VLOOKUP('Fuel Equipment'!L$16,Dumpers!$C$3:$P$17,12,FALSE)&gt;0,Dumpers!$N$2,""),IF('Fuel Equipment'!L$14='Fuel Equipment'!$D$53,IF(VLOOKUP('Fuel Equipment'!L$16,Excavators!$C$4:$P$53,12,FALSE)&gt;0,Excavators!$N$3,""),IF('Fuel Equipment'!L$14='Fuel Equipment'!$D$54,IF(VLOOKUP('Fuel Equipment'!L$16,Generators!$C$5:$K$60,7,FALSE)&gt;0,Generators!$I$4,""),IF('Fuel Equipment'!L$14='Fuel Equipment'!$D$55,"CONSTANT FUEL CONSUMPTION","NOT REQUIRED"))))),"NOT REQUIRED"),"NOT REQUIRED")</f>
        <v>NOT REQUIRED</v>
      </c>
      <c r="M45" s="494" t="str">
        <f>IF('Fuel Equipment'!M$14&gt;0,IF('Fuel Equipment'!M$16&gt;0,IF('Fuel Equipment'!M$14='Fuel Equipment'!$D$51,IF(VLOOKUP('Fuel Equipment'!M$16,Cranes!$C$4:$O$17,11,FALSE)&gt;0,Cranes!$M$2,""),IF('Fuel Equipment'!M$14='Fuel Equipment'!$D$52,IF(VLOOKUP('Fuel Equipment'!M$16,Dumpers!$C$3:$P$17,12,FALSE)&gt;0,Dumpers!$N$2,""),IF('Fuel Equipment'!M$14='Fuel Equipment'!$D$53,IF(VLOOKUP('Fuel Equipment'!M$16,Excavators!$C$4:$P$53,12,FALSE)&gt;0,Excavators!$N$3,""),IF('Fuel Equipment'!M$14='Fuel Equipment'!$D$54,IF(VLOOKUP('Fuel Equipment'!M$16,Generators!$C$5:$K$60,7,FALSE)&gt;0,Generators!$I$4,""),IF('Fuel Equipment'!M$14='Fuel Equipment'!$D$55,"CONSTANT FUEL CONSUMPTION","NOT REQUIRED"))))),"NOT REQUIRED"),"NOT REQUIRED")</f>
        <v>NOT REQUIRED</v>
      </c>
      <c r="N45" s="494" t="str">
        <f>IF('Fuel Equipment'!N$14&gt;0,IF('Fuel Equipment'!N$16&gt;0,IF('Fuel Equipment'!N$14='Fuel Equipment'!$D$51,IF(VLOOKUP('Fuel Equipment'!N$16,Cranes!$C$4:$O$17,11,FALSE)&gt;0,Cranes!$M$2,""),IF('Fuel Equipment'!N$14='Fuel Equipment'!$D$52,IF(VLOOKUP('Fuel Equipment'!N$16,Dumpers!$C$3:$P$17,12,FALSE)&gt;0,Dumpers!$N$2,""),IF('Fuel Equipment'!N$14='Fuel Equipment'!$D$53,IF(VLOOKUP('Fuel Equipment'!N$16,Excavators!$C$4:$P$53,12,FALSE)&gt;0,Excavators!$N$3,""),IF('Fuel Equipment'!N$14='Fuel Equipment'!$D$54,IF(VLOOKUP('Fuel Equipment'!N$16,Generators!$C$5:$K$60,7,FALSE)&gt;0,Generators!$I$4,""),IF('Fuel Equipment'!N$14='Fuel Equipment'!$D$55,"CONSTANT FUEL CONSUMPTION","NOT REQUIRED"))))),"NOT REQUIRED"),"NOT REQUIRED")</f>
        <v>NOT REQUIRED</v>
      </c>
      <c r="O45" s="494" t="str">
        <f>IF('Fuel Equipment'!O$14&gt;0,IF('Fuel Equipment'!O$16&gt;0,IF('Fuel Equipment'!O$14='Fuel Equipment'!$D$51,IF(VLOOKUP('Fuel Equipment'!O$16,Cranes!$C$4:$O$17,11,FALSE)&gt;0,Cranes!$M$2,""),IF('Fuel Equipment'!O$14='Fuel Equipment'!$D$52,IF(VLOOKUP('Fuel Equipment'!O$16,Dumpers!$C$3:$P$17,12,FALSE)&gt;0,Dumpers!$N$2,""),IF('Fuel Equipment'!O$14='Fuel Equipment'!$D$53,IF(VLOOKUP('Fuel Equipment'!O$16,Excavators!$C$4:$P$53,12,FALSE)&gt;0,Excavators!$N$3,""),IF('Fuel Equipment'!O$14='Fuel Equipment'!$D$54,IF(VLOOKUP('Fuel Equipment'!O$16,Generators!$C$5:$K$60,7,FALSE)&gt;0,Generators!$I$4,""),IF('Fuel Equipment'!O$14='Fuel Equipment'!$D$55,"CONSTANT FUEL CONSUMPTION","NOT REQUIRED"))))),"NOT REQUIRED"),"NOT REQUIRED")</f>
        <v>NOT REQUIRED</v>
      </c>
      <c r="P45" s="494" t="str">
        <f>IF('Fuel Equipment'!P$14&gt;0,IF('Fuel Equipment'!P$16&gt;0,IF('Fuel Equipment'!P$14='Fuel Equipment'!$D$51,IF(VLOOKUP('Fuel Equipment'!P$16,Cranes!$C$4:$O$17,11,FALSE)&gt;0,Cranes!$M$2,""),IF('Fuel Equipment'!P$14='Fuel Equipment'!$D$52,IF(VLOOKUP('Fuel Equipment'!P$16,Dumpers!$C$3:$P$17,12,FALSE)&gt;0,Dumpers!$N$2,""),IF('Fuel Equipment'!P$14='Fuel Equipment'!$D$53,IF(VLOOKUP('Fuel Equipment'!P$16,Excavators!$C$4:$P$53,12,FALSE)&gt;0,Excavators!$N$3,""),IF('Fuel Equipment'!P$14='Fuel Equipment'!$D$54,IF(VLOOKUP('Fuel Equipment'!P$16,Generators!$C$5:$K$60,7,FALSE)&gt;0,Generators!$I$4,""),IF('Fuel Equipment'!P$14='Fuel Equipment'!$D$55,"CONSTANT FUEL CONSUMPTION","NOT REQUIRED"))))),"NOT REQUIRED"),"NOT REQUIRED")</f>
        <v>NOT REQUIRED</v>
      </c>
      <c r="Q45" s="494" t="str">
        <f>IF('Fuel Equipment'!Q$14&gt;0,IF('Fuel Equipment'!Q$16&gt;0,IF('Fuel Equipment'!Q$14='Fuel Equipment'!$D$51,IF(VLOOKUP('Fuel Equipment'!Q$16,Cranes!$C$4:$O$17,11,FALSE)&gt;0,Cranes!$M$2,""),IF('Fuel Equipment'!Q$14='Fuel Equipment'!$D$52,IF(VLOOKUP('Fuel Equipment'!Q$16,Dumpers!$C$3:$P$17,12,FALSE)&gt;0,Dumpers!$N$2,""),IF('Fuel Equipment'!Q$14='Fuel Equipment'!$D$53,IF(VLOOKUP('Fuel Equipment'!Q$16,Excavators!$C$4:$P$53,12,FALSE)&gt;0,Excavators!$N$3,""),IF('Fuel Equipment'!Q$14='Fuel Equipment'!$D$54,IF(VLOOKUP('Fuel Equipment'!Q$16,Generators!$C$5:$K$60,7,FALSE)&gt;0,Generators!$I$4,""),IF('Fuel Equipment'!Q$14='Fuel Equipment'!$D$55,"CONSTANT FUEL CONSUMPTION","NOT REQUIRED"))))),"NOT REQUIRED"),"NOT REQUIRED")</f>
        <v>NOT REQUIRED</v>
      </c>
      <c r="R45" s="494" t="str">
        <f>IF('Fuel Equipment'!R$14&gt;0,IF('Fuel Equipment'!R$16&gt;0,IF('Fuel Equipment'!R$14='Fuel Equipment'!$D$51,IF(VLOOKUP('Fuel Equipment'!R$16,Cranes!$C$4:$O$17,11,FALSE)&gt;0,Cranes!$M$2,""),IF('Fuel Equipment'!R$14='Fuel Equipment'!$D$52,IF(VLOOKUP('Fuel Equipment'!R$16,Dumpers!$C$3:$P$17,12,FALSE)&gt;0,Dumpers!$N$2,""),IF('Fuel Equipment'!R$14='Fuel Equipment'!$D$53,IF(VLOOKUP('Fuel Equipment'!R$16,Excavators!$C$4:$P$53,12,FALSE)&gt;0,Excavators!$N$3,""),IF('Fuel Equipment'!R$14='Fuel Equipment'!$D$54,IF(VLOOKUP('Fuel Equipment'!R$16,Generators!$C$5:$K$60,7,FALSE)&gt;0,Generators!$I$4,""),IF('Fuel Equipment'!R$14='Fuel Equipment'!$D$55,"CONSTANT FUEL CONSUMPTION","NOT REQUIRED"))))),"NOT REQUIRED"),"NOT REQUIRED")</f>
        <v>NOT REQUIRED</v>
      </c>
      <c r="S45" s="494" t="str">
        <f>IF('Fuel Equipment'!S$14&gt;0,IF('Fuel Equipment'!S$16&gt;0,IF('Fuel Equipment'!S$14='Fuel Equipment'!$D$51,IF(VLOOKUP('Fuel Equipment'!S$16,Cranes!$C$4:$O$17,11,FALSE)&gt;0,Cranes!$M$2,""),IF('Fuel Equipment'!S$14='Fuel Equipment'!$D$52,IF(VLOOKUP('Fuel Equipment'!S$16,Dumpers!$C$3:$P$17,12,FALSE)&gt;0,Dumpers!$N$2,""),IF('Fuel Equipment'!S$14='Fuel Equipment'!$D$53,IF(VLOOKUP('Fuel Equipment'!S$16,Excavators!$C$4:$P$53,12,FALSE)&gt;0,Excavators!$N$3,""),IF('Fuel Equipment'!S$14='Fuel Equipment'!$D$54,IF(VLOOKUP('Fuel Equipment'!S$16,Generators!$C$5:$K$60,7,FALSE)&gt;0,Generators!$I$4,""),IF('Fuel Equipment'!S$14='Fuel Equipment'!$D$55,"CONSTANT FUEL CONSUMPTION","NOT REQUIRED"))))),"NOT REQUIRED"),"NOT REQUIRED")</f>
        <v>NOT REQUIRED</v>
      </c>
      <c r="U45" s="929" t="s">
        <v>903</v>
      </c>
      <c r="V45" s="929"/>
      <c r="W45" s="929"/>
      <c r="X45" s="929"/>
      <c r="Y45" s="929"/>
      <c r="Z45" s="929"/>
      <c r="AA45" s="929"/>
      <c r="AB45" s="928" t="s">
        <v>902</v>
      </c>
      <c r="AC45" s="928"/>
      <c r="AD45" s="928"/>
      <c r="AE45" s="928"/>
      <c r="AF45" s="928"/>
      <c r="AG45" s="928"/>
      <c r="AH45" s="928"/>
      <c r="AI45" s="928"/>
      <c r="AJ45" s="928"/>
      <c r="AK45" s="928"/>
    </row>
    <row r="46" spans="2:37" s="481" customFormat="1" ht="16.5" thickTop="1" thickBot="1">
      <c r="B46" s="494" t="str">
        <f>IF('Fuel Equipment'!B$14&gt;0,IF('Fuel Equipment'!B$16&gt;0,IF('Fuel Equipment'!B$14='Fuel Equipment'!$D$51,IF(VLOOKUP('Fuel Equipment'!B$16,Cranes!$C$4:$O$17,12,FALSE)&gt;0,Cranes!$N$2,""),IF('Fuel Equipment'!B$14='Fuel Equipment'!$D$52,IF(VLOOKUP('Fuel Equipment'!B$16,Dumpers!$C$3:$P$17,13,FALSE)&gt;0,Dumpers!$O$2,""),IF('Fuel Equipment'!B$14='Fuel Equipment'!$D$53,IF(VLOOKUP('Fuel Equipment'!B$16,Excavators!$C$4:$P$53,13,FALSE)&gt;0,Excavators!$O$3,""),IF('Fuel Equipment'!B$14='Fuel Equipment'!$D$54,IF(VLOOKUP('Fuel Equipment'!B$16,Generators!$C$5:$K$60,8,FALSE)&gt;0,Generators!$J$4,""),IF('Fuel Equipment'!B$14='Fuel Equipment'!$D$55," ","NOT REQUIRED"))))),"NOT REQUIRED"),"NOT REQUIRED")</f>
        <v>50-70%</v>
      </c>
      <c r="C46" s="494" t="str">
        <f>IF('Fuel Equipment'!C$14&gt;0,IF('Fuel Equipment'!C$16&gt;0,IF('Fuel Equipment'!C$14='Fuel Equipment'!$D$51,IF(VLOOKUP('Fuel Equipment'!C$16,Cranes!$C$4:$O$17,12,FALSE)&gt;0,Cranes!$N$2,""),IF('Fuel Equipment'!C$14='Fuel Equipment'!$D$52,IF(VLOOKUP('Fuel Equipment'!C$16,Dumpers!$C$3:$P$17,13,FALSE)&gt;0,Dumpers!$O$2,""),IF('Fuel Equipment'!C$14='Fuel Equipment'!$D$53,IF(VLOOKUP('Fuel Equipment'!C$16,Excavators!$C$4:$P$53,13,FALSE)&gt;0,Excavators!$O$3,""),IF('Fuel Equipment'!C$14='Fuel Equipment'!$D$54,IF(VLOOKUP('Fuel Equipment'!C$16,Generators!$C$5:$K$60,8,FALSE)&gt;0,Generators!$J$4,""),IF('Fuel Equipment'!C$14='Fuel Equipment'!$D$55," ","NOT REQUIRED"))))),"NOT REQUIRED"),"NOT REQUIRED")</f>
        <v>50-70%</v>
      </c>
      <c r="D46" s="494" t="str">
        <f>IF('Fuel Equipment'!D$14&gt;0,IF('Fuel Equipment'!D$16&gt;0,IF('Fuel Equipment'!D$14='Fuel Equipment'!$D$51,IF(VLOOKUP('Fuel Equipment'!D$16,Cranes!$C$4:$O$17,12,FALSE)&gt;0,Cranes!$N$2,""),IF('Fuel Equipment'!D$14='Fuel Equipment'!$D$52,IF(VLOOKUP('Fuel Equipment'!D$16,Dumpers!$C$3:$P$17,13,FALSE)&gt;0,Dumpers!$O$2,""),IF('Fuel Equipment'!D$14='Fuel Equipment'!$D$53,IF(VLOOKUP('Fuel Equipment'!D$16,Excavators!$C$4:$P$53,13,FALSE)&gt;0,Excavators!$O$3,""),IF('Fuel Equipment'!D$14='Fuel Equipment'!$D$54,IF(VLOOKUP('Fuel Equipment'!D$16,Generators!$C$5:$K$60,8,FALSE)&gt;0,Generators!$J$4,""),IF('Fuel Equipment'!D$14='Fuel Equipment'!$D$55," ","NOT REQUIRED"))))),"NOT REQUIRED"),"NOT REQUIRED")</f>
        <v>75%</v>
      </c>
      <c r="E46" s="494" t="e">
        <f>IF('Fuel Equipment'!E$14&gt;0,IF('Fuel Equipment'!E$16&gt;0,IF('Fuel Equipment'!E$14='Fuel Equipment'!$D$51,IF(VLOOKUP('Fuel Equipment'!E$16,Cranes!$C$4:$O$17,12,FALSE)&gt;0,Cranes!$N$2,""),IF('Fuel Equipment'!E$14='Fuel Equipment'!$D$52,IF(VLOOKUP('Fuel Equipment'!E$16,Dumpers!$C$3:$P$17,13,FALSE)&gt;0,Dumpers!$O$2,""),IF('Fuel Equipment'!E$14='Fuel Equipment'!$D$53,IF(VLOOKUP('Fuel Equipment'!E$16,Excavators!$C$4:$P$53,13,FALSE)&gt;0,Excavators!$O$3,""),IF('Fuel Equipment'!E$14='Fuel Equipment'!$D$54,IF(VLOOKUP('Fuel Equipment'!E$16,Generators!$C$5:$K$60,8,FALSE)&gt;0,Generators!$J$4,""),IF('Fuel Equipment'!E$14='Fuel Equipment'!$D$55," ","NOT REQUIRED"))))),"NOT REQUIRED"),"NOT REQUIRED")</f>
        <v>#N/A</v>
      </c>
      <c r="F46" s="494" t="str">
        <f>IF('Fuel Equipment'!F$14&gt;0,IF('Fuel Equipment'!F$16&gt;0,IF('Fuel Equipment'!F$14='Fuel Equipment'!$D$51,IF(VLOOKUP('Fuel Equipment'!F$16,Cranes!$C$4:$O$17,12,FALSE)&gt;0,Cranes!$N$2,""),IF('Fuel Equipment'!F$14='Fuel Equipment'!$D$52,IF(VLOOKUP('Fuel Equipment'!F$16,Dumpers!$C$3:$P$17,13,FALSE)&gt;0,Dumpers!$O$2,""),IF('Fuel Equipment'!F$14='Fuel Equipment'!$D$53,IF(VLOOKUP('Fuel Equipment'!F$16,Excavators!$C$4:$P$53,13,FALSE)&gt;0,Excavators!$O$3,""),IF('Fuel Equipment'!F$14='Fuel Equipment'!$D$54,IF(VLOOKUP('Fuel Equipment'!F$16,Generators!$C$5:$K$60,8,FALSE)&gt;0,Generators!$J$4,""),IF('Fuel Equipment'!F$14='Fuel Equipment'!$D$55," ","NOT REQUIRED"))))),"NOT REQUIRED"),"NOT REQUIRED")</f>
        <v>NOT REQUIRED</v>
      </c>
      <c r="G46" s="494" t="str">
        <f>IF('Fuel Equipment'!G$14&gt;0,IF('Fuel Equipment'!G$16&gt;0,IF('Fuel Equipment'!G$14='Fuel Equipment'!$D$51,IF(VLOOKUP('Fuel Equipment'!G$16,Cranes!$C$4:$O$17,12,FALSE)&gt;0,Cranes!$N$2,""),IF('Fuel Equipment'!G$14='Fuel Equipment'!$D$52,IF(VLOOKUP('Fuel Equipment'!G$16,Dumpers!$C$3:$P$17,13,FALSE)&gt;0,Dumpers!$O$2,""),IF('Fuel Equipment'!G$14='Fuel Equipment'!$D$53,IF(VLOOKUP('Fuel Equipment'!G$16,Excavators!$C$4:$P$53,13,FALSE)&gt;0,Excavators!$O$3,""),IF('Fuel Equipment'!G$14='Fuel Equipment'!$D$54,IF(VLOOKUP('Fuel Equipment'!G$16,Generators!$C$5:$K$60,8,FALSE)&gt;0,Generators!$J$4,""),IF('Fuel Equipment'!G$14='Fuel Equipment'!$D$55," ","NOT REQUIRED"))))),"NOT REQUIRED"),"NOT REQUIRED")</f>
        <v>NOT REQUIRED</v>
      </c>
      <c r="H46" s="494" t="str">
        <f>IF('Fuel Equipment'!H$14&gt;0,IF('Fuel Equipment'!H$16&gt;0,IF('Fuel Equipment'!H$14='Fuel Equipment'!$D$51,IF(VLOOKUP('Fuel Equipment'!H$16,Cranes!$C$4:$O$17,12,FALSE)&gt;0,Cranes!$N$2,""),IF('Fuel Equipment'!H$14='Fuel Equipment'!$D$52,IF(VLOOKUP('Fuel Equipment'!H$16,Dumpers!$C$3:$P$17,13,FALSE)&gt;0,Dumpers!$O$2,""),IF('Fuel Equipment'!H$14='Fuel Equipment'!$D$53,IF(VLOOKUP('Fuel Equipment'!H$16,Excavators!$C$4:$P$53,13,FALSE)&gt;0,Excavators!$O$3,""),IF('Fuel Equipment'!H$14='Fuel Equipment'!$D$54,IF(VLOOKUP('Fuel Equipment'!H$16,Generators!$C$5:$K$60,8,FALSE)&gt;0,Generators!$J$4,""),IF('Fuel Equipment'!H$14='Fuel Equipment'!$D$55," ","NOT REQUIRED"))))),"NOT REQUIRED"),"NOT REQUIRED")</f>
        <v>NOT REQUIRED</v>
      </c>
      <c r="I46" s="494" t="str">
        <f>IF('Fuel Equipment'!I$14&gt;0,IF('Fuel Equipment'!I$16&gt;0,IF('Fuel Equipment'!I$14='Fuel Equipment'!$D$51,IF(VLOOKUP('Fuel Equipment'!I$16,Cranes!$C$4:$O$17,12,FALSE)&gt;0,Cranes!$N$2,""),IF('Fuel Equipment'!I$14='Fuel Equipment'!$D$52,IF(VLOOKUP('Fuel Equipment'!I$16,Dumpers!$C$3:$P$17,13,FALSE)&gt;0,Dumpers!$O$2,""),IF('Fuel Equipment'!I$14='Fuel Equipment'!$D$53,IF(VLOOKUP('Fuel Equipment'!I$16,Excavators!$C$4:$P$53,13,FALSE)&gt;0,Excavators!$O$3,""),IF('Fuel Equipment'!I$14='Fuel Equipment'!$D$54,IF(VLOOKUP('Fuel Equipment'!I$16,Generators!$C$5:$K$60,8,FALSE)&gt;0,Generators!$J$4,""),IF('Fuel Equipment'!I$14='Fuel Equipment'!$D$55," ","NOT REQUIRED"))))),"NOT REQUIRED"),"NOT REQUIRED")</f>
        <v>NOT REQUIRED</v>
      </c>
      <c r="J46" s="494" t="str">
        <f>IF('Fuel Equipment'!J$14&gt;0,IF('Fuel Equipment'!J$16&gt;0,IF('Fuel Equipment'!J$14='Fuel Equipment'!$D$51,IF(VLOOKUP('Fuel Equipment'!J$16,Cranes!$C$4:$O$17,12,FALSE)&gt;0,Cranes!$N$2,""),IF('Fuel Equipment'!J$14='Fuel Equipment'!$D$52,IF(VLOOKUP('Fuel Equipment'!J$16,Dumpers!$C$3:$P$17,13,FALSE)&gt;0,Dumpers!$O$2,""),IF('Fuel Equipment'!J$14='Fuel Equipment'!$D$53,IF(VLOOKUP('Fuel Equipment'!J$16,Excavators!$C$4:$P$53,13,FALSE)&gt;0,Excavators!$O$3,""),IF('Fuel Equipment'!J$14='Fuel Equipment'!$D$54,IF(VLOOKUP('Fuel Equipment'!J$16,Generators!$C$5:$K$60,8,FALSE)&gt;0,Generators!$J$4,""),IF('Fuel Equipment'!J$14='Fuel Equipment'!$D$55," ","NOT REQUIRED"))))),"NOT REQUIRED"),"NOT REQUIRED")</f>
        <v>NOT REQUIRED</v>
      </c>
      <c r="K46" s="494" t="str">
        <f>IF('Fuel Equipment'!K$14&gt;0,IF('Fuel Equipment'!K$16&gt;0,IF('Fuel Equipment'!K$14='Fuel Equipment'!$D$51,IF(VLOOKUP('Fuel Equipment'!K$16,Cranes!$C$4:$O$17,12,FALSE)&gt;0,Cranes!$N$2,""),IF('Fuel Equipment'!K$14='Fuel Equipment'!$D$52,IF(VLOOKUP('Fuel Equipment'!K$16,Dumpers!$C$3:$P$17,13,FALSE)&gt;0,Dumpers!$O$2,""),IF('Fuel Equipment'!K$14='Fuel Equipment'!$D$53,IF(VLOOKUP('Fuel Equipment'!K$16,Excavators!$C$4:$P$53,13,FALSE)&gt;0,Excavators!$O$3,""),IF('Fuel Equipment'!K$14='Fuel Equipment'!$D$54,IF(VLOOKUP('Fuel Equipment'!K$16,Generators!$C$5:$K$60,8,FALSE)&gt;0,Generators!$J$4,""),IF('Fuel Equipment'!K$14='Fuel Equipment'!$D$55," ","NOT REQUIRED"))))),"NOT REQUIRED"),"NOT REQUIRED")</f>
        <v>NOT REQUIRED</v>
      </c>
      <c r="L46" s="494" t="str">
        <f>IF('Fuel Equipment'!L$14&gt;0,IF('Fuel Equipment'!L$16&gt;0,IF('Fuel Equipment'!L$14='Fuel Equipment'!$D$51,IF(VLOOKUP('Fuel Equipment'!L$16,Cranes!$C$4:$O$17,12,FALSE)&gt;0,Cranes!$N$2,""),IF('Fuel Equipment'!L$14='Fuel Equipment'!$D$52,IF(VLOOKUP('Fuel Equipment'!L$16,Dumpers!$C$3:$P$17,13,FALSE)&gt;0,Dumpers!$O$2,""),IF('Fuel Equipment'!L$14='Fuel Equipment'!$D$53,IF(VLOOKUP('Fuel Equipment'!L$16,Excavators!$C$4:$P$53,13,FALSE)&gt;0,Excavators!$O$3,""),IF('Fuel Equipment'!L$14='Fuel Equipment'!$D$54,IF(VLOOKUP('Fuel Equipment'!L$16,Generators!$C$5:$K$60,8,FALSE)&gt;0,Generators!$J$4,""),IF('Fuel Equipment'!L$14='Fuel Equipment'!$D$55," ","NOT REQUIRED"))))),"NOT REQUIRED"),"NOT REQUIRED")</f>
        <v>NOT REQUIRED</v>
      </c>
      <c r="M46" s="494" t="str">
        <f>IF('Fuel Equipment'!M$14&gt;0,IF('Fuel Equipment'!M$16&gt;0,IF('Fuel Equipment'!M$14='Fuel Equipment'!$D$51,IF(VLOOKUP('Fuel Equipment'!M$16,Cranes!$C$4:$O$17,12,FALSE)&gt;0,Cranes!$N$2,""),IF('Fuel Equipment'!M$14='Fuel Equipment'!$D$52,IF(VLOOKUP('Fuel Equipment'!M$16,Dumpers!$C$3:$P$17,13,FALSE)&gt;0,Dumpers!$O$2,""),IF('Fuel Equipment'!M$14='Fuel Equipment'!$D$53,IF(VLOOKUP('Fuel Equipment'!M$16,Excavators!$C$4:$P$53,13,FALSE)&gt;0,Excavators!$O$3,""),IF('Fuel Equipment'!M$14='Fuel Equipment'!$D$54,IF(VLOOKUP('Fuel Equipment'!M$16,Generators!$C$5:$K$60,8,FALSE)&gt;0,Generators!$J$4,""),IF('Fuel Equipment'!M$14='Fuel Equipment'!$D$55," ","NOT REQUIRED"))))),"NOT REQUIRED"),"NOT REQUIRED")</f>
        <v>NOT REQUIRED</v>
      </c>
      <c r="N46" s="494" t="str">
        <f>IF('Fuel Equipment'!N$14&gt;0,IF('Fuel Equipment'!N$16&gt;0,IF('Fuel Equipment'!N$14='Fuel Equipment'!$D$51,IF(VLOOKUP('Fuel Equipment'!N$16,Cranes!$C$4:$O$17,12,FALSE)&gt;0,Cranes!$N$2,""),IF('Fuel Equipment'!N$14='Fuel Equipment'!$D$52,IF(VLOOKUP('Fuel Equipment'!N$16,Dumpers!$C$3:$P$17,13,FALSE)&gt;0,Dumpers!$O$2,""),IF('Fuel Equipment'!N$14='Fuel Equipment'!$D$53,IF(VLOOKUP('Fuel Equipment'!N$16,Excavators!$C$4:$P$53,13,FALSE)&gt;0,Excavators!$O$3,""),IF('Fuel Equipment'!N$14='Fuel Equipment'!$D$54,IF(VLOOKUP('Fuel Equipment'!N$16,Generators!$C$5:$K$60,8,FALSE)&gt;0,Generators!$J$4,""),IF('Fuel Equipment'!N$14='Fuel Equipment'!$D$55," ","NOT REQUIRED"))))),"NOT REQUIRED"),"NOT REQUIRED")</f>
        <v>NOT REQUIRED</v>
      </c>
      <c r="O46" s="494" t="str">
        <f>IF('Fuel Equipment'!O$14&gt;0,IF('Fuel Equipment'!O$16&gt;0,IF('Fuel Equipment'!O$14='Fuel Equipment'!$D$51,IF(VLOOKUP('Fuel Equipment'!O$16,Cranes!$C$4:$O$17,12,FALSE)&gt;0,Cranes!$N$2,""),IF('Fuel Equipment'!O$14='Fuel Equipment'!$D$52,IF(VLOOKUP('Fuel Equipment'!O$16,Dumpers!$C$3:$P$17,13,FALSE)&gt;0,Dumpers!$O$2,""),IF('Fuel Equipment'!O$14='Fuel Equipment'!$D$53,IF(VLOOKUP('Fuel Equipment'!O$16,Excavators!$C$4:$P$53,13,FALSE)&gt;0,Excavators!$O$3,""),IF('Fuel Equipment'!O$14='Fuel Equipment'!$D$54,IF(VLOOKUP('Fuel Equipment'!O$16,Generators!$C$5:$K$60,8,FALSE)&gt;0,Generators!$J$4,""),IF('Fuel Equipment'!O$14='Fuel Equipment'!$D$55," ","NOT REQUIRED"))))),"NOT REQUIRED"),"NOT REQUIRED")</f>
        <v>NOT REQUIRED</v>
      </c>
      <c r="P46" s="494" t="str">
        <f>IF('Fuel Equipment'!P$14&gt;0,IF('Fuel Equipment'!P$16&gt;0,IF('Fuel Equipment'!P$14='Fuel Equipment'!$D$51,IF(VLOOKUP('Fuel Equipment'!P$16,Cranes!$C$4:$O$17,12,FALSE)&gt;0,Cranes!$N$2,""),IF('Fuel Equipment'!P$14='Fuel Equipment'!$D$52,IF(VLOOKUP('Fuel Equipment'!P$16,Dumpers!$C$3:$P$17,13,FALSE)&gt;0,Dumpers!$O$2,""),IF('Fuel Equipment'!P$14='Fuel Equipment'!$D$53,IF(VLOOKUP('Fuel Equipment'!P$16,Excavators!$C$4:$P$53,13,FALSE)&gt;0,Excavators!$O$3,""),IF('Fuel Equipment'!P$14='Fuel Equipment'!$D$54,IF(VLOOKUP('Fuel Equipment'!P$16,Generators!$C$5:$K$60,8,FALSE)&gt;0,Generators!$J$4,""),IF('Fuel Equipment'!P$14='Fuel Equipment'!$D$55," ","NOT REQUIRED"))))),"NOT REQUIRED"),"NOT REQUIRED")</f>
        <v>NOT REQUIRED</v>
      </c>
      <c r="Q46" s="494" t="str">
        <f>IF('Fuel Equipment'!Q$14&gt;0,IF('Fuel Equipment'!Q$16&gt;0,IF('Fuel Equipment'!Q$14='Fuel Equipment'!$D$51,IF(VLOOKUP('Fuel Equipment'!Q$16,Cranes!$C$4:$O$17,12,FALSE)&gt;0,Cranes!$N$2,""),IF('Fuel Equipment'!Q$14='Fuel Equipment'!$D$52,IF(VLOOKUP('Fuel Equipment'!Q$16,Dumpers!$C$3:$P$17,13,FALSE)&gt;0,Dumpers!$O$2,""),IF('Fuel Equipment'!Q$14='Fuel Equipment'!$D$53,IF(VLOOKUP('Fuel Equipment'!Q$16,Excavators!$C$4:$P$53,13,FALSE)&gt;0,Excavators!$O$3,""),IF('Fuel Equipment'!Q$14='Fuel Equipment'!$D$54,IF(VLOOKUP('Fuel Equipment'!Q$16,Generators!$C$5:$K$60,8,FALSE)&gt;0,Generators!$J$4,""),IF('Fuel Equipment'!Q$14='Fuel Equipment'!$D$55," ","NOT REQUIRED"))))),"NOT REQUIRED"),"NOT REQUIRED")</f>
        <v>NOT REQUIRED</v>
      </c>
      <c r="R46" s="494" t="str">
        <f>IF('Fuel Equipment'!R$14&gt;0,IF('Fuel Equipment'!R$16&gt;0,IF('Fuel Equipment'!R$14='Fuel Equipment'!$D$51,IF(VLOOKUP('Fuel Equipment'!R$16,Cranes!$C$4:$O$17,12,FALSE)&gt;0,Cranes!$N$2,""),IF('Fuel Equipment'!R$14='Fuel Equipment'!$D$52,IF(VLOOKUP('Fuel Equipment'!R$16,Dumpers!$C$3:$P$17,13,FALSE)&gt;0,Dumpers!$O$2,""),IF('Fuel Equipment'!R$14='Fuel Equipment'!$D$53,IF(VLOOKUP('Fuel Equipment'!R$16,Excavators!$C$4:$P$53,13,FALSE)&gt;0,Excavators!$O$3,""),IF('Fuel Equipment'!R$14='Fuel Equipment'!$D$54,IF(VLOOKUP('Fuel Equipment'!R$16,Generators!$C$5:$K$60,8,FALSE)&gt;0,Generators!$J$4,""),IF('Fuel Equipment'!R$14='Fuel Equipment'!$D$55," ","NOT REQUIRED"))))),"NOT REQUIRED"),"NOT REQUIRED")</f>
        <v>NOT REQUIRED</v>
      </c>
      <c r="S46" s="494" t="str">
        <f>IF('Fuel Equipment'!S$14&gt;0,IF('Fuel Equipment'!S$16&gt;0,IF('Fuel Equipment'!S$14='Fuel Equipment'!$D$51,IF(VLOOKUP('Fuel Equipment'!S$16,Cranes!$C$4:$O$17,12,FALSE)&gt;0,Cranes!$N$2,""),IF('Fuel Equipment'!S$14='Fuel Equipment'!$D$52,IF(VLOOKUP('Fuel Equipment'!S$16,Dumpers!$C$3:$P$17,13,FALSE)&gt;0,Dumpers!$O$2,""),IF('Fuel Equipment'!S$14='Fuel Equipment'!$D$53,IF(VLOOKUP('Fuel Equipment'!S$16,Excavators!$C$4:$P$53,13,FALSE)&gt;0,Excavators!$O$3,""),IF('Fuel Equipment'!S$14='Fuel Equipment'!$D$54,IF(VLOOKUP('Fuel Equipment'!S$16,Generators!$C$5:$K$60,8,FALSE)&gt;0,Generators!$J$4,""),IF('Fuel Equipment'!S$14='Fuel Equipment'!$D$55," ","NOT REQUIRED"))))),"NOT REQUIRED"),"NOT REQUIRED")</f>
        <v>NOT REQUIRED</v>
      </c>
      <c r="U46" s="929"/>
      <c r="V46" s="929"/>
      <c r="W46" s="929"/>
      <c r="X46" s="929"/>
      <c r="Y46" s="929"/>
      <c r="Z46" s="929"/>
      <c r="AA46" s="929"/>
      <c r="AB46" s="928"/>
      <c r="AC46" s="928"/>
      <c r="AD46" s="928"/>
      <c r="AE46" s="928"/>
      <c r="AF46" s="928"/>
      <c r="AG46" s="928"/>
      <c r="AH46" s="928"/>
      <c r="AI46" s="928"/>
      <c r="AJ46" s="928"/>
      <c r="AK46" s="928"/>
    </row>
    <row r="47" spans="2:37" s="481" customFormat="1" ht="16.5" thickTop="1" thickBot="1">
      <c r="B47" s="494" t="str">
        <f>IF('Fuel Equipment'!B$14&gt;0,IF('Fuel Equipment'!B$16&gt;0,IF('Fuel Equipment'!B$14='Fuel Equipment'!$D$51,IF(VLOOKUP('Fuel Equipment'!B$16,Cranes!$C$4:$O$17,13,FALSE)&gt;0,Cranes!$O$2,""),IF('Fuel Equipment'!B$14='Fuel Equipment'!$D$52,IF(VLOOKUP('Fuel Equipment'!B$16,Dumpers!$C$3:$P$17,14,FALSE)&gt;0,Dumpers!$P$2,""),IF('Fuel Equipment'!B$14='Fuel Equipment'!$D$53,IF(VLOOKUP('Fuel Equipment'!B$16,Excavators!$C$4:$P$53,14,FALSE)&gt;0,Excavators!$P$3,""),IF('Fuel Equipment'!B$14='Fuel Equipment'!$D$54,IF(VLOOKUP('Fuel Equipment'!B$16,Generators!$C$5:$K$60,9,FALSE)&gt;0,Generators!$K$4,""),IF('Fuel Equipment'!B$14='Fuel Equipment'!$D$55,"","NOT REQUIRED"))))),"NOT REQUIRED"),"NOT REQUIRED")</f>
        <v>40-50%</v>
      </c>
      <c r="C47" s="494" t="str">
        <f>IF('Fuel Equipment'!C$14&gt;0,IF('Fuel Equipment'!C$16&gt;0,IF('Fuel Equipment'!C$14='Fuel Equipment'!$D$51,IF(VLOOKUP('Fuel Equipment'!C$16,Cranes!$C$4:$O$17,13,FALSE)&gt;0,Cranes!$O$2,""),IF('Fuel Equipment'!C$14='Fuel Equipment'!$D$52,IF(VLOOKUP('Fuel Equipment'!C$16,Dumpers!$C$3:$P$17,14,FALSE)&gt;0,Dumpers!$P$2,""),IF('Fuel Equipment'!C$14='Fuel Equipment'!$D$53,IF(VLOOKUP('Fuel Equipment'!C$16,Excavators!$C$4:$P$53,14,FALSE)&gt;0,Excavators!$P$3,""),IF('Fuel Equipment'!C$14='Fuel Equipment'!$D$54,IF(VLOOKUP('Fuel Equipment'!C$16,Generators!$C$5:$K$60,9,FALSE)&gt;0,Generators!$K$4,""),IF('Fuel Equipment'!C$14='Fuel Equipment'!$D$55,"","NOT REQUIRED"))))),"NOT REQUIRED"),"NOT REQUIRED")</f>
        <v>40-50%</v>
      </c>
      <c r="D47" s="494" t="str">
        <f>IF('Fuel Equipment'!D$14&gt;0,IF('Fuel Equipment'!D$16&gt;0,IF('Fuel Equipment'!D$14='Fuel Equipment'!$D$51,IF(VLOOKUP('Fuel Equipment'!D$16,Cranes!$C$4:$O$17,13,FALSE)&gt;0,Cranes!$O$2,""),IF('Fuel Equipment'!D$14='Fuel Equipment'!$D$52,IF(VLOOKUP('Fuel Equipment'!D$16,Dumpers!$C$3:$P$17,14,FALSE)&gt;0,Dumpers!$P$2,""),IF('Fuel Equipment'!D$14='Fuel Equipment'!$D$53,IF(VLOOKUP('Fuel Equipment'!D$16,Excavators!$C$4:$P$53,14,FALSE)&gt;0,Excavators!$P$3,""),IF('Fuel Equipment'!D$14='Fuel Equipment'!$D$54,IF(VLOOKUP('Fuel Equipment'!D$16,Generators!$C$5:$K$60,9,FALSE)&gt;0,Generators!$K$4,""),IF('Fuel Equipment'!D$14='Fuel Equipment'!$D$55,"","NOT REQUIRED"))))),"NOT REQUIRED"),"NOT REQUIRED")</f>
        <v>50%</v>
      </c>
      <c r="E47" s="494" t="e">
        <f>IF('Fuel Equipment'!E$14&gt;0,IF('Fuel Equipment'!E$16&gt;0,IF('Fuel Equipment'!E$14='Fuel Equipment'!$D$51,IF(VLOOKUP('Fuel Equipment'!E$16,Cranes!$C$4:$O$17,13,FALSE)&gt;0,Cranes!$O$2,""),IF('Fuel Equipment'!E$14='Fuel Equipment'!$D$52,IF(VLOOKUP('Fuel Equipment'!E$16,Dumpers!$C$3:$P$17,14,FALSE)&gt;0,Dumpers!$P$2,""),IF('Fuel Equipment'!E$14='Fuel Equipment'!$D$53,IF(VLOOKUP('Fuel Equipment'!E$16,Excavators!$C$4:$P$53,14,FALSE)&gt;0,Excavators!$P$3,""),IF('Fuel Equipment'!E$14='Fuel Equipment'!$D$54,IF(VLOOKUP('Fuel Equipment'!E$16,Generators!$C$5:$K$60,9,FALSE)&gt;0,Generators!$K$4,""),IF('Fuel Equipment'!E$14='Fuel Equipment'!$D$55,"","NOT REQUIRED"))))),"NOT REQUIRED"),"NOT REQUIRED")</f>
        <v>#N/A</v>
      </c>
      <c r="F47" s="494" t="str">
        <f>IF('Fuel Equipment'!F$14&gt;0,IF('Fuel Equipment'!F$16&gt;0,IF('Fuel Equipment'!F$14='Fuel Equipment'!$D$51,IF(VLOOKUP('Fuel Equipment'!F$16,Cranes!$C$4:$O$17,13,FALSE)&gt;0,Cranes!$O$2,""),IF('Fuel Equipment'!F$14='Fuel Equipment'!$D$52,IF(VLOOKUP('Fuel Equipment'!F$16,Dumpers!$C$3:$P$17,14,FALSE)&gt;0,Dumpers!$P$2,""),IF('Fuel Equipment'!F$14='Fuel Equipment'!$D$53,IF(VLOOKUP('Fuel Equipment'!F$16,Excavators!$C$4:$P$53,14,FALSE)&gt;0,Excavators!$P$3,""),IF('Fuel Equipment'!F$14='Fuel Equipment'!$D$54,IF(VLOOKUP('Fuel Equipment'!F$16,Generators!$C$5:$K$60,9,FALSE)&gt;0,Generators!$K$4,""),IF('Fuel Equipment'!F$14='Fuel Equipment'!$D$55,"","NOT REQUIRED"))))),"NOT REQUIRED"),"NOT REQUIRED")</f>
        <v>NOT REQUIRED</v>
      </c>
      <c r="G47" s="494" t="str">
        <f>IF('Fuel Equipment'!G$14&gt;0,IF('Fuel Equipment'!G$16&gt;0,IF('Fuel Equipment'!G$14='Fuel Equipment'!$D$51,IF(VLOOKUP('Fuel Equipment'!G$16,Cranes!$C$4:$O$17,13,FALSE)&gt;0,Cranes!$O$2,""),IF('Fuel Equipment'!G$14='Fuel Equipment'!$D$52,IF(VLOOKUP('Fuel Equipment'!G$16,Dumpers!$C$3:$P$17,14,FALSE)&gt;0,Dumpers!$P$2,""),IF('Fuel Equipment'!G$14='Fuel Equipment'!$D$53,IF(VLOOKUP('Fuel Equipment'!G$16,Excavators!$C$4:$P$53,14,FALSE)&gt;0,Excavators!$P$3,""),IF('Fuel Equipment'!G$14='Fuel Equipment'!$D$54,IF(VLOOKUP('Fuel Equipment'!G$16,Generators!$C$5:$K$60,9,FALSE)&gt;0,Generators!$K$4,""),IF('Fuel Equipment'!G$14='Fuel Equipment'!$D$55,"","NOT REQUIRED"))))),"NOT REQUIRED"),"NOT REQUIRED")</f>
        <v>NOT REQUIRED</v>
      </c>
      <c r="H47" s="494" t="str">
        <f>IF('Fuel Equipment'!H$14&gt;0,IF('Fuel Equipment'!H$16&gt;0,IF('Fuel Equipment'!H$14='Fuel Equipment'!$D$51,IF(VLOOKUP('Fuel Equipment'!H$16,Cranes!$C$4:$O$17,13,FALSE)&gt;0,Cranes!$O$2,""),IF('Fuel Equipment'!H$14='Fuel Equipment'!$D$52,IF(VLOOKUP('Fuel Equipment'!H$16,Dumpers!$C$3:$P$17,14,FALSE)&gt;0,Dumpers!$P$2,""),IF('Fuel Equipment'!H$14='Fuel Equipment'!$D$53,IF(VLOOKUP('Fuel Equipment'!H$16,Excavators!$C$4:$P$53,14,FALSE)&gt;0,Excavators!$P$3,""),IF('Fuel Equipment'!H$14='Fuel Equipment'!$D$54,IF(VLOOKUP('Fuel Equipment'!H$16,Generators!$C$5:$K$60,9,FALSE)&gt;0,Generators!$K$4,""),IF('Fuel Equipment'!H$14='Fuel Equipment'!$D$55,"","NOT REQUIRED"))))),"NOT REQUIRED"),"NOT REQUIRED")</f>
        <v>NOT REQUIRED</v>
      </c>
      <c r="I47" s="494" t="str">
        <f>IF('Fuel Equipment'!I$14&gt;0,IF('Fuel Equipment'!I$16&gt;0,IF('Fuel Equipment'!I$14='Fuel Equipment'!$D$51,IF(VLOOKUP('Fuel Equipment'!I$16,Cranes!$C$4:$O$17,13,FALSE)&gt;0,Cranes!$O$2,""),IF('Fuel Equipment'!I$14='Fuel Equipment'!$D$52,IF(VLOOKUP('Fuel Equipment'!I$16,Dumpers!$C$3:$P$17,14,FALSE)&gt;0,Dumpers!$P$2,""),IF('Fuel Equipment'!I$14='Fuel Equipment'!$D$53,IF(VLOOKUP('Fuel Equipment'!I$16,Excavators!$C$4:$P$53,14,FALSE)&gt;0,Excavators!$P$3,""),IF('Fuel Equipment'!I$14='Fuel Equipment'!$D$54,IF(VLOOKUP('Fuel Equipment'!I$16,Generators!$C$5:$K$60,9,FALSE)&gt;0,Generators!$K$4,""),IF('Fuel Equipment'!I$14='Fuel Equipment'!$D$55,"","NOT REQUIRED"))))),"NOT REQUIRED"),"NOT REQUIRED")</f>
        <v>NOT REQUIRED</v>
      </c>
      <c r="J47" s="494" t="str">
        <f>IF('Fuel Equipment'!J$14&gt;0,IF('Fuel Equipment'!J$16&gt;0,IF('Fuel Equipment'!J$14='Fuel Equipment'!$D$51,IF(VLOOKUP('Fuel Equipment'!J$16,Cranes!$C$4:$O$17,13,FALSE)&gt;0,Cranes!$O$2,""),IF('Fuel Equipment'!J$14='Fuel Equipment'!$D$52,IF(VLOOKUP('Fuel Equipment'!J$16,Dumpers!$C$3:$P$17,14,FALSE)&gt;0,Dumpers!$P$2,""),IF('Fuel Equipment'!J$14='Fuel Equipment'!$D$53,IF(VLOOKUP('Fuel Equipment'!J$16,Excavators!$C$4:$P$53,14,FALSE)&gt;0,Excavators!$P$3,""),IF('Fuel Equipment'!J$14='Fuel Equipment'!$D$54,IF(VLOOKUP('Fuel Equipment'!J$16,Generators!$C$5:$K$60,9,FALSE)&gt;0,Generators!$K$4,""),IF('Fuel Equipment'!J$14='Fuel Equipment'!$D$55,"","NOT REQUIRED"))))),"NOT REQUIRED"),"NOT REQUIRED")</f>
        <v>NOT REQUIRED</v>
      </c>
      <c r="K47" s="494" t="str">
        <f>IF('Fuel Equipment'!K$14&gt;0,IF('Fuel Equipment'!K$16&gt;0,IF('Fuel Equipment'!K$14='Fuel Equipment'!$D$51,IF(VLOOKUP('Fuel Equipment'!K$16,Cranes!$C$4:$O$17,13,FALSE)&gt;0,Cranes!$O$2,""),IF('Fuel Equipment'!K$14='Fuel Equipment'!$D$52,IF(VLOOKUP('Fuel Equipment'!K$16,Dumpers!$C$3:$P$17,14,FALSE)&gt;0,Dumpers!$P$2,""),IF('Fuel Equipment'!K$14='Fuel Equipment'!$D$53,IF(VLOOKUP('Fuel Equipment'!K$16,Excavators!$C$4:$P$53,14,FALSE)&gt;0,Excavators!$P$3,""),IF('Fuel Equipment'!K$14='Fuel Equipment'!$D$54,IF(VLOOKUP('Fuel Equipment'!K$16,Generators!$C$5:$K$60,9,FALSE)&gt;0,Generators!$K$4,""),IF('Fuel Equipment'!K$14='Fuel Equipment'!$D$55,"","NOT REQUIRED"))))),"NOT REQUIRED"),"NOT REQUIRED")</f>
        <v>NOT REQUIRED</v>
      </c>
      <c r="L47" s="494" t="str">
        <f>IF('Fuel Equipment'!L$14&gt;0,IF('Fuel Equipment'!L$16&gt;0,IF('Fuel Equipment'!L$14='Fuel Equipment'!$D$51,IF(VLOOKUP('Fuel Equipment'!L$16,Cranes!$C$4:$O$17,13,FALSE)&gt;0,Cranes!$O$2,""),IF('Fuel Equipment'!L$14='Fuel Equipment'!$D$52,IF(VLOOKUP('Fuel Equipment'!L$16,Dumpers!$C$3:$P$17,14,FALSE)&gt;0,Dumpers!$P$2,""),IF('Fuel Equipment'!L$14='Fuel Equipment'!$D$53,IF(VLOOKUP('Fuel Equipment'!L$16,Excavators!$C$4:$P$53,14,FALSE)&gt;0,Excavators!$P$3,""),IF('Fuel Equipment'!L$14='Fuel Equipment'!$D$54,IF(VLOOKUP('Fuel Equipment'!L$16,Generators!$C$5:$K$60,9,FALSE)&gt;0,Generators!$K$4,""),IF('Fuel Equipment'!L$14='Fuel Equipment'!$D$55,"","NOT REQUIRED"))))),"NOT REQUIRED"),"NOT REQUIRED")</f>
        <v>NOT REQUIRED</v>
      </c>
      <c r="M47" s="494" t="str">
        <f>IF('Fuel Equipment'!M$14&gt;0,IF('Fuel Equipment'!M$16&gt;0,IF('Fuel Equipment'!M$14='Fuel Equipment'!$D$51,IF(VLOOKUP('Fuel Equipment'!M$16,Cranes!$C$4:$O$17,13,FALSE)&gt;0,Cranes!$O$2,""),IF('Fuel Equipment'!M$14='Fuel Equipment'!$D$52,IF(VLOOKUP('Fuel Equipment'!M$16,Dumpers!$C$3:$P$17,14,FALSE)&gt;0,Dumpers!$P$2,""),IF('Fuel Equipment'!M$14='Fuel Equipment'!$D$53,IF(VLOOKUP('Fuel Equipment'!M$16,Excavators!$C$4:$P$53,14,FALSE)&gt;0,Excavators!$P$3,""),IF('Fuel Equipment'!M$14='Fuel Equipment'!$D$54,IF(VLOOKUP('Fuel Equipment'!M$16,Generators!$C$5:$K$60,9,FALSE)&gt;0,Generators!$K$4,""),IF('Fuel Equipment'!M$14='Fuel Equipment'!$D$55,"","NOT REQUIRED"))))),"NOT REQUIRED"),"NOT REQUIRED")</f>
        <v>NOT REQUIRED</v>
      </c>
      <c r="N47" s="494" t="str">
        <f>IF('Fuel Equipment'!N$14&gt;0,IF('Fuel Equipment'!N$16&gt;0,IF('Fuel Equipment'!N$14='Fuel Equipment'!$D$51,IF(VLOOKUP('Fuel Equipment'!N$16,Cranes!$C$4:$O$17,13,FALSE)&gt;0,Cranes!$O$2,""),IF('Fuel Equipment'!N$14='Fuel Equipment'!$D$52,IF(VLOOKUP('Fuel Equipment'!N$16,Dumpers!$C$3:$P$17,14,FALSE)&gt;0,Dumpers!$P$2,""),IF('Fuel Equipment'!N$14='Fuel Equipment'!$D$53,IF(VLOOKUP('Fuel Equipment'!N$16,Excavators!$C$4:$P$53,14,FALSE)&gt;0,Excavators!$P$3,""),IF('Fuel Equipment'!N$14='Fuel Equipment'!$D$54,IF(VLOOKUP('Fuel Equipment'!N$16,Generators!$C$5:$K$60,9,FALSE)&gt;0,Generators!$K$4,""),IF('Fuel Equipment'!N$14='Fuel Equipment'!$D$55,"","NOT REQUIRED"))))),"NOT REQUIRED"),"NOT REQUIRED")</f>
        <v>NOT REQUIRED</v>
      </c>
      <c r="O47" s="494" t="str">
        <f>IF('Fuel Equipment'!O$14&gt;0,IF('Fuel Equipment'!O$16&gt;0,IF('Fuel Equipment'!O$14='Fuel Equipment'!$D$51,IF(VLOOKUP('Fuel Equipment'!O$16,Cranes!$C$4:$O$17,13,FALSE)&gt;0,Cranes!$O$2,""),IF('Fuel Equipment'!O$14='Fuel Equipment'!$D$52,IF(VLOOKUP('Fuel Equipment'!O$16,Dumpers!$C$3:$P$17,14,FALSE)&gt;0,Dumpers!$P$2,""),IF('Fuel Equipment'!O$14='Fuel Equipment'!$D$53,IF(VLOOKUP('Fuel Equipment'!O$16,Excavators!$C$4:$P$53,14,FALSE)&gt;0,Excavators!$P$3,""),IF('Fuel Equipment'!O$14='Fuel Equipment'!$D$54,IF(VLOOKUP('Fuel Equipment'!O$16,Generators!$C$5:$K$60,9,FALSE)&gt;0,Generators!$K$4,""),IF('Fuel Equipment'!O$14='Fuel Equipment'!$D$55,"","NOT REQUIRED"))))),"NOT REQUIRED"),"NOT REQUIRED")</f>
        <v>NOT REQUIRED</v>
      </c>
      <c r="P47" s="494" t="str">
        <f>IF('Fuel Equipment'!P$14&gt;0,IF('Fuel Equipment'!P$16&gt;0,IF('Fuel Equipment'!P$14='Fuel Equipment'!$D$51,IF(VLOOKUP('Fuel Equipment'!P$16,Cranes!$C$4:$O$17,13,FALSE)&gt;0,Cranes!$O$2,""),IF('Fuel Equipment'!P$14='Fuel Equipment'!$D$52,IF(VLOOKUP('Fuel Equipment'!P$16,Dumpers!$C$3:$P$17,14,FALSE)&gt;0,Dumpers!$P$2,""),IF('Fuel Equipment'!P$14='Fuel Equipment'!$D$53,IF(VLOOKUP('Fuel Equipment'!P$16,Excavators!$C$4:$P$53,14,FALSE)&gt;0,Excavators!$P$3,""),IF('Fuel Equipment'!P$14='Fuel Equipment'!$D$54,IF(VLOOKUP('Fuel Equipment'!P$16,Generators!$C$5:$K$60,9,FALSE)&gt;0,Generators!$K$4,""),IF('Fuel Equipment'!P$14='Fuel Equipment'!$D$55,"","NOT REQUIRED"))))),"NOT REQUIRED"),"NOT REQUIRED")</f>
        <v>NOT REQUIRED</v>
      </c>
      <c r="Q47" s="494" t="str">
        <f>IF('Fuel Equipment'!Q$14&gt;0,IF('Fuel Equipment'!Q$16&gt;0,IF('Fuel Equipment'!Q$14='Fuel Equipment'!$D$51,IF(VLOOKUP('Fuel Equipment'!Q$16,Cranes!$C$4:$O$17,13,FALSE)&gt;0,Cranes!$O$2,""),IF('Fuel Equipment'!Q$14='Fuel Equipment'!$D$52,IF(VLOOKUP('Fuel Equipment'!Q$16,Dumpers!$C$3:$P$17,14,FALSE)&gt;0,Dumpers!$P$2,""),IF('Fuel Equipment'!Q$14='Fuel Equipment'!$D$53,IF(VLOOKUP('Fuel Equipment'!Q$16,Excavators!$C$4:$P$53,14,FALSE)&gt;0,Excavators!$P$3,""),IF('Fuel Equipment'!Q$14='Fuel Equipment'!$D$54,IF(VLOOKUP('Fuel Equipment'!Q$16,Generators!$C$5:$K$60,9,FALSE)&gt;0,Generators!$K$4,""),IF('Fuel Equipment'!Q$14='Fuel Equipment'!$D$55,"","NOT REQUIRED"))))),"NOT REQUIRED"),"NOT REQUIRED")</f>
        <v>NOT REQUIRED</v>
      </c>
      <c r="R47" s="494" t="str">
        <f>IF('Fuel Equipment'!R$14&gt;0,IF('Fuel Equipment'!R$16&gt;0,IF('Fuel Equipment'!R$14='Fuel Equipment'!$D$51,IF(VLOOKUP('Fuel Equipment'!R$16,Cranes!$C$4:$O$17,13,FALSE)&gt;0,Cranes!$O$2,""),IF('Fuel Equipment'!R$14='Fuel Equipment'!$D$52,IF(VLOOKUP('Fuel Equipment'!R$16,Dumpers!$C$3:$P$17,14,FALSE)&gt;0,Dumpers!$P$2,""),IF('Fuel Equipment'!R$14='Fuel Equipment'!$D$53,IF(VLOOKUP('Fuel Equipment'!R$16,Excavators!$C$4:$P$53,14,FALSE)&gt;0,Excavators!$P$3,""),IF('Fuel Equipment'!R$14='Fuel Equipment'!$D$54,IF(VLOOKUP('Fuel Equipment'!R$16,Generators!$C$5:$K$60,9,FALSE)&gt;0,Generators!$K$4,""),IF('Fuel Equipment'!R$14='Fuel Equipment'!$D$55,"","NOT REQUIRED"))))),"NOT REQUIRED"),"NOT REQUIRED")</f>
        <v>NOT REQUIRED</v>
      </c>
      <c r="S47" s="494" t="str">
        <f>IF('Fuel Equipment'!S$14&gt;0,IF('Fuel Equipment'!S$16&gt;0,IF('Fuel Equipment'!S$14='Fuel Equipment'!$D$51,IF(VLOOKUP('Fuel Equipment'!S$16,Cranes!$C$4:$O$17,13,FALSE)&gt;0,Cranes!$O$2,""),IF('Fuel Equipment'!S$14='Fuel Equipment'!$D$52,IF(VLOOKUP('Fuel Equipment'!S$16,Dumpers!$C$3:$P$17,14,FALSE)&gt;0,Dumpers!$P$2,""),IF('Fuel Equipment'!S$14='Fuel Equipment'!$D$53,IF(VLOOKUP('Fuel Equipment'!S$16,Excavators!$C$4:$P$53,14,FALSE)&gt;0,Excavators!$P$3,""),IF('Fuel Equipment'!S$14='Fuel Equipment'!$D$54,IF(VLOOKUP('Fuel Equipment'!S$16,Generators!$C$5:$K$60,9,FALSE)&gt;0,Generators!$K$4,""),IF('Fuel Equipment'!S$14='Fuel Equipment'!$D$55,"","NOT REQUIRED"))))),"NOT REQUIRED"),"NOT REQUIRED")</f>
        <v>NOT REQUIRED</v>
      </c>
      <c r="U47" s="929"/>
      <c r="V47" s="929"/>
      <c r="W47" s="929"/>
      <c r="X47" s="929"/>
      <c r="Y47" s="929"/>
      <c r="Z47" s="929"/>
      <c r="AA47" s="929"/>
      <c r="AB47" s="928"/>
      <c r="AC47" s="928"/>
      <c r="AD47" s="928"/>
      <c r="AE47" s="928"/>
      <c r="AF47" s="928"/>
      <c r="AG47" s="928"/>
      <c r="AH47" s="928"/>
      <c r="AI47" s="928"/>
      <c r="AJ47" s="928"/>
      <c r="AK47" s="928"/>
    </row>
    <row r="48" spans="2:37" ht="15.75" thickTop="1">
      <c r="B48" s="179"/>
    </row>
    <row r="49" spans="2:2">
      <c r="B49" s="179"/>
    </row>
    <row r="50" spans="2:2">
      <c r="B50" s="179"/>
    </row>
    <row r="51" spans="2:2">
      <c r="B51" s="179"/>
    </row>
    <row r="52" spans="2:2">
      <c r="B52" s="179"/>
    </row>
  </sheetData>
  <mergeCells count="12">
    <mergeCell ref="U45:AA47"/>
    <mergeCell ref="AB45:AK47"/>
    <mergeCell ref="U30:W36"/>
    <mergeCell ref="X30:AA36"/>
    <mergeCell ref="U39:AA41"/>
    <mergeCell ref="AB39:AK41"/>
    <mergeCell ref="A1:M1"/>
    <mergeCell ref="U3:V20"/>
    <mergeCell ref="W3:X20"/>
    <mergeCell ref="Y3:Z20"/>
    <mergeCell ref="U22:W28"/>
    <mergeCell ref="X22:AA28"/>
  </mergeCells>
  <pageMargins left="0.7" right="0.7" top="0.75" bottom="0.75" header="0.3" footer="0.3"/>
  <pageSetup paperSize="9"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9"/>
  <sheetViews>
    <sheetView zoomScale="55" zoomScaleNormal="55" zoomScaleSheetLayoutView="75" workbookViewId="0">
      <pane ySplit="1" topLeftCell="A59" activePane="bottomLeft" state="frozen"/>
      <selection pane="bottomLeft" activeCell="B104" sqref="B104"/>
    </sheetView>
  </sheetViews>
  <sheetFormatPr defaultColWidth="10.140625" defaultRowHeight="14.25"/>
  <cols>
    <col min="1" max="1" width="29.42578125" style="19" customWidth="1"/>
    <col min="2" max="21" width="10.140625" style="19"/>
    <col min="22" max="22" width="10.140625" style="671"/>
    <col min="23" max="16384" width="10.140625" style="19"/>
  </cols>
  <sheetData>
    <row r="1" spans="1:22" ht="15">
      <c r="A1" s="16" t="s">
        <v>132</v>
      </c>
      <c r="V1" s="670" t="s">
        <v>112</v>
      </c>
    </row>
    <row r="2" spans="1:22">
      <c r="A2" s="21" t="s">
        <v>31</v>
      </c>
      <c r="B2" s="19">
        <f>IF(AND('Fuel Equipment'!B$44&gt;0,'Fuel Equipment'!B$45&gt;0),IF(AND($A2&gt;='Fuel Equipment'!B$17,$A2&lt;='Fuel Equipment'!B$18),('Fuel Equipment'!B$19*'Fuel Equipment'!B$20*'Fuel Equipment'!B$21)*('Fuel Equipment'!B$45-'Fuel Equipment'!B$44)*
(VLOOKUP(IF('Fuel Equipment'!B$22=Report!$A$25,Report!$A$19,'Fuel Equipment'!B$22),Report!$A$18:$L$34,'Actual-CO2 Calculations'!$AK5,FALSE)),0),0)</f>
        <v>0</v>
      </c>
      <c r="C2" s="19">
        <f>IF(AND('Fuel Equipment'!C$44&gt;0,'Fuel Equipment'!C$45&gt;0),IF(AND($A2&gt;='Fuel Equipment'!C$17,$A2&lt;='Fuel Equipment'!C$18),('Fuel Equipment'!C$19*'Fuel Equipment'!C$20*'Fuel Equipment'!C$21)*('Fuel Equipment'!C$45-'Fuel Equipment'!C$44)*
(VLOOKUP(IF('Fuel Equipment'!C$22=Report!$A$25,Report!$A$19,'Fuel Equipment'!C$22),Report!$A$18:$L$34,'Actual-CO2 Calculations'!$AK5,FALSE)),0),0)</f>
        <v>0</v>
      </c>
      <c r="D2" s="19">
        <f>IF(AND('Fuel Equipment'!D$44&gt;0,'Fuel Equipment'!D$45&gt;0),IF(AND($A2&gt;='Fuel Equipment'!D$17,$A2&lt;='Fuel Equipment'!D$18),('Fuel Equipment'!D$19*'Fuel Equipment'!D$20*'Fuel Equipment'!D$21)*('Fuel Equipment'!D$45-'Fuel Equipment'!D$44)*
(VLOOKUP(IF('Fuel Equipment'!D$22=Report!$A$25,Report!$A$19,'Fuel Equipment'!D$22),Report!$A$18:$L$34,'Actual-CO2 Calculations'!$AK5,FALSE)),0),0)</f>
        <v>0</v>
      </c>
      <c r="E2" s="19">
        <f>IF(AND('Fuel Equipment'!E$44&gt;0,'Fuel Equipment'!E$45&gt;0),IF(AND($A2&gt;='Fuel Equipment'!E$17,$A2&lt;='Fuel Equipment'!E$18),('Fuel Equipment'!E$19*'Fuel Equipment'!E$20*'Fuel Equipment'!E$21)*('Fuel Equipment'!E$45-'Fuel Equipment'!E$44)*
(VLOOKUP(IF('Fuel Equipment'!E$22=Report!$A$25,Report!$A$19,'Fuel Equipment'!E$22),Report!$A$18:$L$34,'Actual-CO2 Calculations'!$AK5,FALSE)),0),0)</f>
        <v>0</v>
      </c>
      <c r="F2" s="19">
        <f>IF(AND('Fuel Equipment'!F$44&gt;0,'Fuel Equipment'!F$45&gt;0),IF(AND($A2&gt;='Fuel Equipment'!F$17,$A2&lt;='Fuel Equipment'!F$18),('Fuel Equipment'!F$19*'Fuel Equipment'!F$20*'Fuel Equipment'!F$21)*('Fuel Equipment'!F$45-'Fuel Equipment'!F$44)*
(VLOOKUP(IF('Fuel Equipment'!F$22=Report!$A$25,Report!$A$19,'Fuel Equipment'!F$22),Report!$A$18:$L$34,'Actual-CO2 Calculations'!$AK5,FALSE)),0),0)</f>
        <v>0</v>
      </c>
      <c r="G2" s="19">
        <f>IF(AND('Fuel Equipment'!G$44&gt;0,'Fuel Equipment'!G$45&gt;0),IF(AND($A2&gt;='Fuel Equipment'!G$17,$A2&lt;='Fuel Equipment'!G$18),('Fuel Equipment'!G$19*'Fuel Equipment'!G$20*'Fuel Equipment'!G$21)*('Fuel Equipment'!G$45-'Fuel Equipment'!G$44)*
(VLOOKUP(IF('Fuel Equipment'!G$22=Report!$A$25,Report!$A$19,'Fuel Equipment'!G$22),Report!$A$18:$L$34,'Actual-CO2 Calculations'!$AK5,FALSE)),0),0)</f>
        <v>0</v>
      </c>
      <c r="H2" s="19">
        <f>IF(AND('Fuel Equipment'!H$44&gt;0,'Fuel Equipment'!H$45&gt;0),IF(AND($A2&gt;='Fuel Equipment'!H$17,$A2&lt;='Fuel Equipment'!H$18),('Fuel Equipment'!H$19*'Fuel Equipment'!H$20*'Fuel Equipment'!H$21)*('Fuel Equipment'!H$45-'Fuel Equipment'!H$44)*
(VLOOKUP(IF('Fuel Equipment'!H$22=Report!$A$25,Report!$A$19,'Fuel Equipment'!H$22),Report!$A$18:$L$34,'Actual-CO2 Calculations'!$AK5,FALSE)),0),0)</f>
        <v>0</v>
      </c>
      <c r="I2" s="19">
        <f>IF(AND('Fuel Equipment'!I$44&gt;0,'Fuel Equipment'!I$45&gt;0),IF(AND($A2&gt;='Fuel Equipment'!I$17,$A2&lt;='Fuel Equipment'!I$18),('Fuel Equipment'!I$19*'Fuel Equipment'!I$20*'Fuel Equipment'!I$21)*('Fuel Equipment'!I$45-'Fuel Equipment'!I$44)*
(VLOOKUP(IF('Fuel Equipment'!I$22=Report!$A$25,Report!$A$19,'Fuel Equipment'!I$22),Report!$A$18:$L$34,'Actual-CO2 Calculations'!$AK5,FALSE)),0),0)</f>
        <v>0</v>
      </c>
      <c r="J2" s="19">
        <f>IF(AND('Fuel Equipment'!J$44&gt;0,'Fuel Equipment'!J$45&gt;0),IF(AND($A2&gt;='Fuel Equipment'!J$17,$A2&lt;='Fuel Equipment'!J$18),('Fuel Equipment'!J$19*'Fuel Equipment'!J$20*'Fuel Equipment'!J$21)*('Fuel Equipment'!J$45-'Fuel Equipment'!J$44)*
(VLOOKUP(IF('Fuel Equipment'!J$22=Report!$A$25,Report!$A$19,'Fuel Equipment'!J$22),Report!$A$18:$L$34,'Actual-CO2 Calculations'!$AK5,FALSE)),0),0)</f>
        <v>0</v>
      </c>
      <c r="K2" s="19">
        <f>IF(AND('Fuel Equipment'!K$44&gt;0,'Fuel Equipment'!K$45&gt;0),IF(AND($A2&gt;='Fuel Equipment'!K$17,$A2&lt;='Fuel Equipment'!K$18),('Fuel Equipment'!K$19*'Fuel Equipment'!K$20*'Fuel Equipment'!K$21)*('Fuel Equipment'!K$45-'Fuel Equipment'!K$44)*
(VLOOKUP(IF('Fuel Equipment'!K$22=Report!$A$25,Report!$A$19,'Fuel Equipment'!K$22),Report!$A$18:$L$34,'Actual-CO2 Calculations'!$AK5,FALSE)),0),0)</f>
        <v>0</v>
      </c>
      <c r="L2" s="19">
        <f>IF(AND('Fuel Equipment'!L$44&gt;0,'Fuel Equipment'!L$45&gt;0),IF(AND($A2&gt;='Fuel Equipment'!L$17,$A2&lt;='Fuel Equipment'!L$18),('Fuel Equipment'!L$19*'Fuel Equipment'!L$20*'Fuel Equipment'!L$21)*('Fuel Equipment'!L$45-'Fuel Equipment'!L$44)*
(VLOOKUP(IF('Fuel Equipment'!L$22=Report!$A$25,Report!$A$19,'Fuel Equipment'!L$22),Report!$A$18:$L$34,'Actual-CO2 Calculations'!$AK5,FALSE)),0),0)</f>
        <v>0</v>
      </c>
      <c r="M2" s="19">
        <f>IF(AND('Fuel Equipment'!M$44&gt;0,'Fuel Equipment'!M$45&gt;0),IF(AND($A2&gt;='Fuel Equipment'!M$17,$A2&lt;='Fuel Equipment'!M$18),('Fuel Equipment'!M$19*'Fuel Equipment'!M$20*'Fuel Equipment'!M$21)*('Fuel Equipment'!M$45-'Fuel Equipment'!M$44)*
(VLOOKUP(IF('Fuel Equipment'!M$22=Report!$A$25,Report!$A$19,'Fuel Equipment'!M$22),Report!$A$18:$L$34,'Actual-CO2 Calculations'!$AK5,FALSE)),0),0)</f>
        <v>0</v>
      </c>
      <c r="N2" s="19">
        <f>IF(AND('Fuel Equipment'!N$44&gt;0,'Fuel Equipment'!N$45&gt;0),IF(AND($A2&gt;='Fuel Equipment'!N$17,$A2&lt;='Fuel Equipment'!N$18),('Fuel Equipment'!N$19*'Fuel Equipment'!N$20*'Fuel Equipment'!N$21)*('Fuel Equipment'!N$45-'Fuel Equipment'!N$44)*
(VLOOKUP(IF('Fuel Equipment'!N$22=Report!$A$25,Report!$A$19,'Fuel Equipment'!N$22),Report!$A$18:$L$34,'Actual-CO2 Calculations'!$AK5,FALSE)),0),0)</f>
        <v>0</v>
      </c>
      <c r="O2" s="19">
        <f>IF(AND('Fuel Equipment'!O$44&gt;0,'Fuel Equipment'!O$45&gt;0),IF(AND($A2&gt;='Fuel Equipment'!O$17,$A2&lt;='Fuel Equipment'!O$18),('Fuel Equipment'!O$19*'Fuel Equipment'!O$20*'Fuel Equipment'!O$21)*('Fuel Equipment'!O$45-'Fuel Equipment'!O$44)*
(VLOOKUP(IF('Fuel Equipment'!O$22=Report!$A$25,Report!$A$19,'Fuel Equipment'!O$22),Report!$A$18:$L$34,'Actual-CO2 Calculations'!$AK5,FALSE)),0),0)</f>
        <v>0</v>
      </c>
      <c r="P2" s="19">
        <f>IF(AND('Fuel Equipment'!P$44&gt;0,'Fuel Equipment'!P$45&gt;0),IF(AND($A2&gt;='Fuel Equipment'!P$17,$A2&lt;='Fuel Equipment'!P$18),('Fuel Equipment'!P$19*'Fuel Equipment'!P$20*'Fuel Equipment'!P$21)*('Fuel Equipment'!P$45-'Fuel Equipment'!P$44)*
(VLOOKUP(IF('Fuel Equipment'!P$22=Report!$A$25,Report!$A$19,'Fuel Equipment'!P$22),Report!$A$18:$L$34,'Actual-CO2 Calculations'!$AK5,FALSE)),0),0)</f>
        <v>0</v>
      </c>
      <c r="Q2" s="19">
        <f>IF(AND('Fuel Equipment'!Q$44&gt;0,'Fuel Equipment'!Q$45&gt;0),IF(AND($A2&gt;='Fuel Equipment'!Q$17,$A2&lt;='Fuel Equipment'!Q$18),('Fuel Equipment'!Q$19*'Fuel Equipment'!Q$20*'Fuel Equipment'!Q$21)*('Fuel Equipment'!Q$45-'Fuel Equipment'!Q$44)*
(VLOOKUP(IF('Fuel Equipment'!Q$22=Report!$A$25,Report!$A$19,'Fuel Equipment'!Q$22),Report!$A$18:$L$34,'Actual-CO2 Calculations'!$AK5,FALSE)),0),0)</f>
        <v>0</v>
      </c>
      <c r="R2" s="19">
        <f>IF(AND('Fuel Equipment'!R$44&gt;0,'Fuel Equipment'!R$45&gt;0),IF(AND($A2&gt;='Fuel Equipment'!R$17,$A2&lt;='Fuel Equipment'!R$18),('Fuel Equipment'!R$19*'Fuel Equipment'!R$20*'Fuel Equipment'!R$21)*('Fuel Equipment'!R$45-'Fuel Equipment'!R$44)*
(VLOOKUP(IF('Fuel Equipment'!R$22=Report!$A$25,Report!$A$19,'Fuel Equipment'!R$22),Report!$A$18:$L$34,'Actual-CO2 Calculations'!$AK5,FALSE)),0),0)</f>
        <v>0</v>
      </c>
      <c r="S2" s="19">
        <f>IF(AND('Fuel Equipment'!S$44&gt;0,'Fuel Equipment'!S$45&gt;0),IF(AND($A2&gt;='Fuel Equipment'!S$17,$A2&lt;='Fuel Equipment'!S$18),('Fuel Equipment'!S$19*'Fuel Equipment'!S$20*'Fuel Equipment'!S$21)*('Fuel Equipment'!S$45-'Fuel Equipment'!S$44)*
(VLOOKUP(IF('Fuel Equipment'!S$22=Report!$A$25,Report!$A$19,'Fuel Equipment'!S$22),Report!$A$18:$L$34,'Actual-CO2 Calculations'!$AK5,FALSE)),0),0)</f>
        <v>0</v>
      </c>
      <c r="V2" s="671">
        <f>SUM(B2:S2)</f>
        <v>0</v>
      </c>
    </row>
    <row r="3" spans="1:22">
      <c r="A3" s="21" t="s">
        <v>32</v>
      </c>
      <c r="B3" s="19">
        <f>IF(AND('Fuel Equipment'!B$44&gt;0,'Fuel Equipment'!B$45&gt;0),IF(AND($A3&gt;='Fuel Equipment'!B$17,$A3&lt;='Fuel Equipment'!B$18),('Fuel Equipment'!B$19*'Fuel Equipment'!B$20*'Fuel Equipment'!B$21)*('Fuel Equipment'!B$45-'Fuel Equipment'!B$44)*
(VLOOKUP(IF('Fuel Equipment'!B$22=Report!$A$25,Report!$A$19,'Fuel Equipment'!B$22),Report!$A$18:$L$34,'Actual-CO2 Calculations'!$AK6,FALSE)),0),0)</f>
        <v>0</v>
      </c>
      <c r="C3" s="19">
        <f>IF(AND('Fuel Equipment'!C$44&gt;0,'Fuel Equipment'!C$45&gt;0),IF(AND($A3&gt;='Fuel Equipment'!C$17,$A3&lt;='Fuel Equipment'!C$18),('Fuel Equipment'!C$19*'Fuel Equipment'!C$20*'Fuel Equipment'!C$21)*('Fuel Equipment'!C$45-'Fuel Equipment'!C$44)*
(VLOOKUP(IF('Fuel Equipment'!C$22=Report!$A$25,Report!$A$19,'Fuel Equipment'!C$22),Report!$A$18:$L$34,'Actual-CO2 Calculations'!$AK6,FALSE)),0),0)</f>
        <v>0</v>
      </c>
      <c r="D3" s="19">
        <f>IF(AND('Fuel Equipment'!D$44&gt;0,'Fuel Equipment'!D$45&gt;0),IF(AND($A3&gt;='Fuel Equipment'!D$17,$A3&lt;='Fuel Equipment'!D$18),('Fuel Equipment'!D$19*'Fuel Equipment'!D$20*'Fuel Equipment'!D$21)*('Fuel Equipment'!D$45-'Fuel Equipment'!D$44)*
(VLOOKUP(IF('Fuel Equipment'!D$22=Report!$A$25,Report!$A$19,'Fuel Equipment'!D$22),Report!$A$18:$L$34,'Actual-CO2 Calculations'!$AK6,FALSE)),0),0)</f>
        <v>0</v>
      </c>
      <c r="E3" s="19">
        <f>IF(AND('Fuel Equipment'!E$44&gt;0,'Fuel Equipment'!E$45&gt;0),IF(AND($A3&gt;='Fuel Equipment'!E$17,$A3&lt;='Fuel Equipment'!E$18),('Fuel Equipment'!E$19*'Fuel Equipment'!E$20*'Fuel Equipment'!E$21)*('Fuel Equipment'!E$45-'Fuel Equipment'!E$44)*
(VLOOKUP(IF('Fuel Equipment'!E$22=Report!$A$25,Report!$A$19,'Fuel Equipment'!E$22),Report!$A$18:$L$34,'Actual-CO2 Calculations'!$AK6,FALSE)),0),0)</f>
        <v>0</v>
      </c>
      <c r="F3" s="19">
        <f>IF(AND('Fuel Equipment'!F$44&gt;0,'Fuel Equipment'!F$45&gt;0),IF(AND($A3&gt;='Fuel Equipment'!F$17,$A3&lt;='Fuel Equipment'!F$18),('Fuel Equipment'!F$19*'Fuel Equipment'!F$20*'Fuel Equipment'!F$21)*('Fuel Equipment'!F$45-'Fuel Equipment'!F$44)*
(VLOOKUP(IF('Fuel Equipment'!F$22=Report!$A$25,Report!$A$19,'Fuel Equipment'!F$22),Report!$A$18:$L$34,'Actual-CO2 Calculations'!$AK6,FALSE)),0),0)</f>
        <v>0</v>
      </c>
      <c r="G3" s="19">
        <f>IF(AND('Fuel Equipment'!G$44&gt;0,'Fuel Equipment'!G$45&gt;0),IF(AND($A3&gt;='Fuel Equipment'!G$17,$A3&lt;='Fuel Equipment'!G$18),('Fuel Equipment'!G$19*'Fuel Equipment'!G$20*'Fuel Equipment'!G$21)*('Fuel Equipment'!G$45-'Fuel Equipment'!G$44)*
(VLOOKUP(IF('Fuel Equipment'!G$22=Report!$A$25,Report!$A$19,'Fuel Equipment'!G$22),Report!$A$18:$L$34,'Actual-CO2 Calculations'!$AK6,FALSE)),0),0)</f>
        <v>0</v>
      </c>
      <c r="H3" s="19">
        <f>IF(AND('Fuel Equipment'!H$44&gt;0,'Fuel Equipment'!H$45&gt;0),IF(AND($A3&gt;='Fuel Equipment'!H$17,$A3&lt;='Fuel Equipment'!H$18),('Fuel Equipment'!H$19*'Fuel Equipment'!H$20*'Fuel Equipment'!H$21)*('Fuel Equipment'!H$45-'Fuel Equipment'!H$44)*
(VLOOKUP(IF('Fuel Equipment'!H$22=Report!$A$25,Report!$A$19,'Fuel Equipment'!H$22),Report!$A$18:$L$34,'Actual-CO2 Calculations'!$AK6,FALSE)),0),0)</f>
        <v>0</v>
      </c>
      <c r="I3" s="19">
        <f>IF(AND('Fuel Equipment'!I$44&gt;0,'Fuel Equipment'!I$45&gt;0),IF(AND($A3&gt;='Fuel Equipment'!I$17,$A3&lt;='Fuel Equipment'!I$18),('Fuel Equipment'!I$19*'Fuel Equipment'!I$20*'Fuel Equipment'!I$21)*('Fuel Equipment'!I$45-'Fuel Equipment'!I$44)*
(VLOOKUP(IF('Fuel Equipment'!I$22=Report!$A$25,Report!$A$19,'Fuel Equipment'!I$22),Report!$A$18:$L$34,'Actual-CO2 Calculations'!$AK6,FALSE)),0),0)</f>
        <v>0</v>
      </c>
      <c r="J3" s="19">
        <f>IF(AND('Fuel Equipment'!J$44&gt;0,'Fuel Equipment'!J$45&gt;0),IF(AND($A3&gt;='Fuel Equipment'!J$17,$A3&lt;='Fuel Equipment'!J$18),('Fuel Equipment'!J$19*'Fuel Equipment'!J$20*'Fuel Equipment'!J$21)*('Fuel Equipment'!J$45-'Fuel Equipment'!J$44)*
(VLOOKUP(IF('Fuel Equipment'!J$22=Report!$A$25,Report!$A$19,'Fuel Equipment'!J$22),Report!$A$18:$L$34,'Actual-CO2 Calculations'!$AK6,FALSE)),0),0)</f>
        <v>0</v>
      </c>
      <c r="K3" s="19">
        <f>IF(AND('Fuel Equipment'!K$44&gt;0,'Fuel Equipment'!K$45&gt;0),IF(AND($A3&gt;='Fuel Equipment'!K$17,$A3&lt;='Fuel Equipment'!K$18),('Fuel Equipment'!K$19*'Fuel Equipment'!K$20*'Fuel Equipment'!K$21)*('Fuel Equipment'!K$45-'Fuel Equipment'!K$44)*
(VLOOKUP(IF('Fuel Equipment'!K$22=Report!$A$25,Report!$A$19,'Fuel Equipment'!K$22),Report!$A$18:$L$34,'Actual-CO2 Calculations'!$AK6,FALSE)),0),0)</f>
        <v>0</v>
      </c>
      <c r="L3" s="19">
        <f>IF(AND('Fuel Equipment'!L$44&gt;0,'Fuel Equipment'!L$45&gt;0),IF(AND($A3&gt;='Fuel Equipment'!L$17,$A3&lt;='Fuel Equipment'!L$18),('Fuel Equipment'!L$19*'Fuel Equipment'!L$20*'Fuel Equipment'!L$21)*('Fuel Equipment'!L$45-'Fuel Equipment'!L$44)*
(VLOOKUP(IF('Fuel Equipment'!L$22=Report!$A$25,Report!$A$19,'Fuel Equipment'!L$22),Report!$A$18:$L$34,'Actual-CO2 Calculations'!$AK6,FALSE)),0),0)</f>
        <v>0</v>
      </c>
      <c r="M3" s="19">
        <f>IF(AND('Fuel Equipment'!M$44&gt;0,'Fuel Equipment'!M$45&gt;0),IF(AND($A3&gt;='Fuel Equipment'!M$17,$A3&lt;='Fuel Equipment'!M$18),('Fuel Equipment'!M$19*'Fuel Equipment'!M$20*'Fuel Equipment'!M$21)*('Fuel Equipment'!M$45-'Fuel Equipment'!M$44)*
(VLOOKUP(IF('Fuel Equipment'!M$22=Report!$A$25,Report!$A$19,'Fuel Equipment'!M$22),Report!$A$18:$L$34,'Actual-CO2 Calculations'!$AK6,FALSE)),0),0)</f>
        <v>0</v>
      </c>
      <c r="N3" s="19">
        <f>IF(AND('Fuel Equipment'!N$44&gt;0,'Fuel Equipment'!N$45&gt;0),IF(AND($A3&gt;='Fuel Equipment'!N$17,$A3&lt;='Fuel Equipment'!N$18),('Fuel Equipment'!N$19*'Fuel Equipment'!N$20*'Fuel Equipment'!N$21)*('Fuel Equipment'!N$45-'Fuel Equipment'!N$44)*
(VLOOKUP(IF('Fuel Equipment'!N$22=Report!$A$25,Report!$A$19,'Fuel Equipment'!N$22),Report!$A$18:$L$34,'Actual-CO2 Calculations'!$AK6,FALSE)),0),0)</f>
        <v>0</v>
      </c>
      <c r="O3" s="19">
        <f>IF(AND('Fuel Equipment'!O$44&gt;0,'Fuel Equipment'!O$45&gt;0),IF(AND($A3&gt;='Fuel Equipment'!O$17,$A3&lt;='Fuel Equipment'!O$18),('Fuel Equipment'!O$19*'Fuel Equipment'!O$20*'Fuel Equipment'!O$21)*('Fuel Equipment'!O$45-'Fuel Equipment'!O$44)*
(VLOOKUP(IF('Fuel Equipment'!O$22=Report!$A$25,Report!$A$19,'Fuel Equipment'!O$22),Report!$A$18:$L$34,'Actual-CO2 Calculations'!$AK6,FALSE)),0),0)</f>
        <v>0</v>
      </c>
      <c r="P3" s="19">
        <f>IF(AND('Fuel Equipment'!P$44&gt;0,'Fuel Equipment'!P$45&gt;0),IF(AND($A3&gt;='Fuel Equipment'!P$17,$A3&lt;='Fuel Equipment'!P$18),('Fuel Equipment'!P$19*'Fuel Equipment'!P$20*'Fuel Equipment'!P$21)*('Fuel Equipment'!P$45-'Fuel Equipment'!P$44)*
(VLOOKUP(IF('Fuel Equipment'!P$22=Report!$A$25,Report!$A$19,'Fuel Equipment'!P$22),Report!$A$18:$L$34,'Actual-CO2 Calculations'!$AK6,FALSE)),0),0)</f>
        <v>0</v>
      </c>
      <c r="Q3" s="19">
        <f>IF(AND('Fuel Equipment'!Q$44&gt;0,'Fuel Equipment'!Q$45&gt;0),IF(AND($A3&gt;='Fuel Equipment'!Q$17,$A3&lt;='Fuel Equipment'!Q$18),('Fuel Equipment'!Q$19*'Fuel Equipment'!Q$20*'Fuel Equipment'!Q$21)*('Fuel Equipment'!Q$45-'Fuel Equipment'!Q$44)*
(VLOOKUP(IF('Fuel Equipment'!Q$22=Report!$A$25,Report!$A$19,'Fuel Equipment'!Q$22),Report!$A$18:$L$34,'Actual-CO2 Calculations'!$AK6,FALSE)),0),0)</f>
        <v>0</v>
      </c>
      <c r="R3" s="19">
        <f>IF(AND('Fuel Equipment'!R$44&gt;0,'Fuel Equipment'!R$45&gt;0),IF(AND($A3&gt;='Fuel Equipment'!R$17,$A3&lt;='Fuel Equipment'!R$18),('Fuel Equipment'!R$19*'Fuel Equipment'!R$20*'Fuel Equipment'!R$21)*('Fuel Equipment'!R$45-'Fuel Equipment'!R$44)*
(VLOOKUP(IF('Fuel Equipment'!R$22=Report!$A$25,Report!$A$19,'Fuel Equipment'!R$22),Report!$A$18:$L$34,'Actual-CO2 Calculations'!$AK6,FALSE)),0),0)</f>
        <v>0</v>
      </c>
      <c r="S3" s="19">
        <f>IF(AND('Fuel Equipment'!S$44&gt;0,'Fuel Equipment'!S$45&gt;0),IF(AND($A3&gt;='Fuel Equipment'!S$17,$A3&lt;='Fuel Equipment'!S$18),('Fuel Equipment'!S$19*'Fuel Equipment'!S$20*'Fuel Equipment'!S$21)*('Fuel Equipment'!S$45-'Fuel Equipment'!S$44)*
(VLOOKUP(IF('Fuel Equipment'!S$22=Report!$A$25,Report!$A$19,'Fuel Equipment'!S$22),Report!$A$18:$L$34,'Actual-CO2 Calculations'!$AK6,FALSE)),0),0)</f>
        <v>0</v>
      </c>
      <c r="V3" s="671">
        <f t="shared" ref="V3:V66" si="0">SUM(B3:S3)</f>
        <v>0</v>
      </c>
    </row>
    <row r="4" spans="1:22">
      <c r="A4" s="21" t="s">
        <v>33</v>
      </c>
      <c r="B4" s="19">
        <f>IF(AND('Fuel Equipment'!B$44&gt;0,'Fuel Equipment'!B$45&gt;0),IF(AND($A4&gt;='Fuel Equipment'!B$17,$A4&lt;='Fuel Equipment'!B$18),('Fuel Equipment'!B$19*'Fuel Equipment'!B$20*'Fuel Equipment'!B$21)*('Fuel Equipment'!B$45-'Fuel Equipment'!B$44)*
(VLOOKUP(IF('Fuel Equipment'!B$22=Report!$A$25,Report!$A$19,'Fuel Equipment'!B$22),Report!$A$18:$L$34,'Actual-CO2 Calculations'!$AK7,FALSE)),0),0)</f>
        <v>0</v>
      </c>
      <c r="C4" s="19">
        <f>IF(AND('Fuel Equipment'!C$44&gt;0,'Fuel Equipment'!C$45&gt;0),IF(AND($A4&gt;='Fuel Equipment'!C$17,$A4&lt;='Fuel Equipment'!C$18),('Fuel Equipment'!C$19*'Fuel Equipment'!C$20*'Fuel Equipment'!C$21)*('Fuel Equipment'!C$45-'Fuel Equipment'!C$44)*
(VLOOKUP(IF('Fuel Equipment'!C$22=Report!$A$25,Report!$A$19,'Fuel Equipment'!C$22),Report!$A$18:$L$34,'Actual-CO2 Calculations'!$AK7,FALSE)),0),0)</f>
        <v>0</v>
      </c>
      <c r="D4" s="19">
        <f>IF(AND('Fuel Equipment'!D$44&gt;0,'Fuel Equipment'!D$45&gt;0),IF(AND($A4&gt;='Fuel Equipment'!D$17,$A4&lt;='Fuel Equipment'!D$18),('Fuel Equipment'!D$19*'Fuel Equipment'!D$20*'Fuel Equipment'!D$21)*('Fuel Equipment'!D$45-'Fuel Equipment'!D$44)*
(VLOOKUP(IF('Fuel Equipment'!D$22=Report!$A$25,Report!$A$19,'Fuel Equipment'!D$22),Report!$A$18:$L$34,'Actual-CO2 Calculations'!$AK7,FALSE)),0),0)</f>
        <v>0</v>
      </c>
      <c r="E4" s="19">
        <f>IF(AND('Fuel Equipment'!E$44&gt;0,'Fuel Equipment'!E$45&gt;0),IF(AND($A4&gt;='Fuel Equipment'!E$17,$A4&lt;='Fuel Equipment'!E$18),('Fuel Equipment'!E$19*'Fuel Equipment'!E$20*'Fuel Equipment'!E$21)*('Fuel Equipment'!E$45-'Fuel Equipment'!E$44)*
(VLOOKUP(IF('Fuel Equipment'!E$22=Report!$A$25,Report!$A$19,'Fuel Equipment'!E$22),Report!$A$18:$L$34,'Actual-CO2 Calculations'!$AK7,FALSE)),0),0)</f>
        <v>0</v>
      </c>
      <c r="F4" s="19">
        <f>IF(AND('Fuel Equipment'!F$44&gt;0,'Fuel Equipment'!F$45&gt;0),IF(AND($A4&gt;='Fuel Equipment'!F$17,$A4&lt;='Fuel Equipment'!F$18),('Fuel Equipment'!F$19*'Fuel Equipment'!F$20*'Fuel Equipment'!F$21)*('Fuel Equipment'!F$45-'Fuel Equipment'!F$44)*
(VLOOKUP(IF('Fuel Equipment'!F$22=Report!$A$25,Report!$A$19,'Fuel Equipment'!F$22),Report!$A$18:$L$34,'Actual-CO2 Calculations'!$AK7,FALSE)),0),0)</f>
        <v>0</v>
      </c>
      <c r="G4" s="19">
        <f>IF(AND('Fuel Equipment'!G$44&gt;0,'Fuel Equipment'!G$45&gt;0),IF(AND($A4&gt;='Fuel Equipment'!G$17,$A4&lt;='Fuel Equipment'!G$18),('Fuel Equipment'!G$19*'Fuel Equipment'!G$20*'Fuel Equipment'!G$21)*('Fuel Equipment'!G$45-'Fuel Equipment'!G$44)*
(VLOOKUP(IF('Fuel Equipment'!G$22=Report!$A$25,Report!$A$19,'Fuel Equipment'!G$22),Report!$A$18:$L$34,'Actual-CO2 Calculations'!$AK7,FALSE)),0),0)</f>
        <v>0</v>
      </c>
      <c r="H4" s="19">
        <f>IF(AND('Fuel Equipment'!H$44&gt;0,'Fuel Equipment'!H$45&gt;0),IF(AND($A4&gt;='Fuel Equipment'!H$17,$A4&lt;='Fuel Equipment'!H$18),('Fuel Equipment'!H$19*'Fuel Equipment'!H$20*'Fuel Equipment'!H$21)*('Fuel Equipment'!H$45-'Fuel Equipment'!H$44)*
(VLOOKUP(IF('Fuel Equipment'!H$22=Report!$A$25,Report!$A$19,'Fuel Equipment'!H$22),Report!$A$18:$L$34,'Actual-CO2 Calculations'!$AK7,FALSE)),0),0)</f>
        <v>0</v>
      </c>
      <c r="I4" s="19">
        <f>IF(AND('Fuel Equipment'!I$44&gt;0,'Fuel Equipment'!I$45&gt;0),IF(AND($A4&gt;='Fuel Equipment'!I$17,$A4&lt;='Fuel Equipment'!I$18),('Fuel Equipment'!I$19*'Fuel Equipment'!I$20*'Fuel Equipment'!I$21)*('Fuel Equipment'!I$45-'Fuel Equipment'!I$44)*
(VLOOKUP(IF('Fuel Equipment'!I$22=Report!$A$25,Report!$A$19,'Fuel Equipment'!I$22),Report!$A$18:$L$34,'Actual-CO2 Calculations'!$AK7,FALSE)),0),0)</f>
        <v>0</v>
      </c>
      <c r="J4" s="19">
        <f>IF(AND('Fuel Equipment'!J$44&gt;0,'Fuel Equipment'!J$45&gt;0),IF(AND($A4&gt;='Fuel Equipment'!J$17,$A4&lt;='Fuel Equipment'!J$18),('Fuel Equipment'!J$19*'Fuel Equipment'!J$20*'Fuel Equipment'!J$21)*('Fuel Equipment'!J$45-'Fuel Equipment'!J$44)*
(VLOOKUP(IF('Fuel Equipment'!J$22=Report!$A$25,Report!$A$19,'Fuel Equipment'!J$22),Report!$A$18:$L$34,'Actual-CO2 Calculations'!$AK7,FALSE)),0),0)</f>
        <v>0</v>
      </c>
      <c r="K4" s="19">
        <f>IF(AND('Fuel Equipment'!K$44&gt;0,'Fuel Equipment'!K$45&gt;0),IF(AND($A4&gt;='Fuel Equipment'!K$17,$A4&lt;='Fuel Equipment'!K$18),('Fuel Equipment'!K$19*'Fuel Equipment'!K$20*'Fuel Equipment'!K$21)*('Fuel Equipment'!K$45-'Fuel Equipment'!K$44)*
(VLOOKUP(IF('Fuel Equipment'!K$22=Report!$A$25,Report!$A$19,'Fuel Equipment'!K$22),Report!$A$18:$L$34,'Actual-CO2 Calculations'!$AK7,FALSE)),0),0)</f>
        <v>0</v>
      </c>
      <c r="L4" s="19">
        <f>IF(AND('Fuel Equipment'!L$44&gt;0,'Fuel Equipment'!L$45&gt;0),IF(AND($A4&gt;='Fuel Equipment'!L$17,$A4&lt;='Fuel Equipment'!L$18),('Fuel Equipment'!L$19*'Fuel Equipment'!L$20*'Fuel Equipment'!L$21)*('Fuel Equipment'!L$45-'Fuel Equipment'!L$44)*
(VLOOKUP(IF('Fuel Equipment'!L$22=Report!$A$25,Report!$A$19,'Fuel Equipment'!L$22),Report!$A$18:$L$34,'Actual-CO2 Calculations'!$AK7,FALSE)),0),0)</f>
        <v>0</v>
      </c>
      <c r="M4" s="19">
        <f>IF(AND('Fuel Equipment'!M$44&gt;0,'Fuel Equipment'!M$45&gt;0),IF(AND($A4&gt;='Fuel Equipment'!M$17,$A4&lt;='Fuel Equipment'!M$18),('Fuel Equipment'!M$19*'Fuel Equipment'!M$20*'Fuel Equipment'!M$21)*('Fuel Equipment'!M$45-'Fuel Equipment'!M$44)*
(VLOOKUP(IF('Fuel Equipment'!M$22=Report!$A$25,Report!$A$19,'Fuel Equipment'!M$22),Report!$A$18:$L$34,'Actual-CO2 Calculations'!$AK7,FALSE)),0),0)</f>
        <v>0</v>
      </c>
      <c r="N4" s="19">
        <f>IF(AND('Fuel Equipment'!N$44&gt;0,'Fuel Equipment'!N$45&gt;0),IF(AND($A4&gt;='Fuel Equipment'!N$17,$A4&lt;='Fuel Equipment'!N$18),('Fuel Equipment'!N$19*'Fuel Equipment'!N$20*'Fuel Equipment'!N$21)*('Fuel Equipment'!N$45-'Fuel Equipment'!N$44)*
(VLOOKUP(IF('Fuel Equipment'!N$22=Report!$A$25,Report!$A$19,'Fuel Equipment'!N$22),Report!$A$18:$L$34,'Actual-CO2 Calculations'!$AK7,FALSE)),0),0)</f>
        <v>0</v>
      </c>
      <c r="O4" s="19">
        <f>IF(AND('Fuel Equipment'!O$44&gt;0,'Fuel Equipment'!O$45&gt;0),IF(AND($A4&gt;='Fuel Equipment'!O$17,$A4&lt;='Fuel Equipment'!O$18),('Fuel Equipment'!O$19*'Fuel Equipment'!O$20*'Fuel Equipment'!O$21)*('Fuel Equipment'!O$45-'Fuel Equipment'!O$44)*
(VLOOKUP(IF('Fuel Equipment'!O$22=Report!$A$25,Report!$A$19,'Fuel Equipment'!O$22),Report!$A$18:$L$34,'Actual-CO2 Calculations'!$AK7,FALSE)),0),0)</f>
        <v>0</v>
      </c>
      <c r="P4" s="19">
        <f>IF(AND('Fuel Equipment'!P$44&gt;0,'Fuel Equipment'!P$45&gt;0),IF(AND($A4&gt;='Fuel Equipment'!P$17,$A4&lt;='Fuel Equipment'!P$18),('Fuel Equipment'!P$19*'Fuel Equipment'!P$20*'Fuel Equipment'!P$21)*('Fuel Equipment'!P$45-'Fuel Equipment'!P$44)*
(VLOOKUP(IF('Fuel Equipment'!P$22=Report!$A$25,Report!$A$19,'Fuel Equipment'!P$22),Report!$A$18:$L$34,'Actual-CO2 Calculations'!$AK7,FALSE)),0),0)</f>
        <v>0</v>
      </c>
      <c r="Q4" s="19">
        <f>IF(AND('Fuel Equipment'!Q$44&gt;0,'Fuel Equipment'!Q$45&gt;0),IF(AND($A4&gt;='Fuel Equipment'!Q$17,$A4&lt;='Fuel Equipment'!Q$18),('Fuel Equipment'!Q$19*'Fuel Equipment'!Q$20*'Fuel Equipment'!Q$21)*('Fuel Equipment'!Q$45-'Fuel Equipment'!Q$44)*
(VLOOKUP(IF('Fuel Equipment'!Q$22=Report!$A$25,Report!$A$19,'Fuel Equipment'!Q$22),Report!$A$18:$L$34,'Actual-CO2 Calculations'!$AK7,FALSE)),0),0)</f>
        <v>0</v>
      </c>
      <c r="R4" s="19">
        <f>IF(AND('Fuel Equipment'!R$44&gt;0,'Fuel Equipment'!R$45&gt;0),IF(AND($A4&gt;='Fuel Equipment'!R$17,$A4&lt;='Fuel Equipment'!R$18),('Fuel Equipment'!R$19*'Fuel Equipment'!R$20*'Fuel Equipment'!R$21)*('Fuel Equipment'!R$45-'Fuel Equipment'!R$44)*
(VLOOKUP(IF('Fuel Equipment'!R$22=Report!$A$25,Report!$A$19,'Fuel Equipment'!R$22),Report!$A$18:$L$34,'Actual-CO2 Calculations'!$AK7,FALSE)),0),0)</f>
        <v>0</v>
      </c>
      <c r="S4" s="19">
        <f>IF(AND('Fuel Equipment'!S$44&gt;0,'Fuel Equipment'!S$45&gt;0),IF(AND($A4&gt;='Fuel Equipment'!S$17,$A4&lt;='Fuel Equipment'!S$18),('Fuel Equipment'!S$19*'Fuel Equipment'!S$20*'Fuel Equipment'!S$21)*('Fuel Equipment'!S$45-'Fuel Equipment'!S$44)*
(VLOOKUP(IF('Fuel Equipment'!S$22=Report!$A$25,Report!$A$19,'Fuel Equipment'!S$22),Report!$A$18:$L$34,'Actual-CO2 Calculations'!$AK7,FALSE)),0),0)</f>
        <v>0</v>
      </c>
      <c r="V4" s="671">
        <f t="shared" si="0"/>
        <v>0</v>
      </c>
    </row>
    <row r="5" spans="1:22">
      <c r="A5" s="21" t="s">
        <v>34</v>
      </c>
      <c r="B5" s="19">
        <f>IF(AND('Fuel Equipment'!B$44&gt;0,'Fuel Equipment'!B$45&gt;0),IF(AND($A5&gt;='Fuel Equipment'!B$17,$A5&lt;='Fuel Equipment'!B$18),('Fuel Equipment'!B$19*'Fuel Equipment'!B$20*'Fuel Equipment'!B$21)*('Fuel Equipment'!B$45-'Fuel Equipment'!B$44)*
(VLOOKUP(IF('Fuel Equipment'!B$22=Report!$A$25,Report!$A$19,'Fuel Equipment'!B$22),Report!$A$18:$L$34,'Actual-CO2 Calculations'!$AK8,FALSE)),0),0)</f>
        <v>0</v>
      </c>
      <c r="C5" s="19">
        <f>IF(AND('Fuel Equipment'!C$44&gt;0,'Fuel Equipment'!C$45&gt;0),IF(AND($A5&gt;='Fuel Equipment'!C$17,$A5&lt;='Fuel Equipment'!C$18),('Fuel Equipment'!C$19*'Fuel Equipment'!C$20*'Fuel Equipment'!C$21)*('Fuel Equipment'!C$45-'Fuel Equipment'!C$44)*
(VLOOKUP(IF('Fuel Equipment'!C$22=Report!$A$25,Report!$A$19,'Fuel Equipment'!C$22),Report!$A$18:$L$34,'Actual-CO2 Calculations'!$AK8,FALSE)),0),0)</f>
        <v>0</v>
      </c>
      <c r="D5" s="19">
        <f>IF(AND('Fuel Equipment'!D$44&gt;0,'Fuel Equipment'!D$45&gt;0),IF(AND($A5&gt;='Fuel Equipment'!D$17,$A5&lt;='Fuel Equipment'!D$18),('Fuel Equipment'!D$19*'Fuel Equipment'!D$20*'Fuel Equipment'!D$21)*('Fuel Equipment'!D$45-'Fuel Equipment'!D$44)*
(VLOOKUP(IF('Fuel Equipment'!D$22=Report!$A$25,Report!$A$19,'Fuel Equipment'!D$22),Report!$A$18:$L$34,'Actual-CO2 Calculations'!$AK8,FALSE)),0),0)</f>
        <v>0</v>
      </c>
      <c r="E5" s="19">
        <f>IF(AND('Fuel Equipment'!E$44&gt;0,'Fuel Equipment'!E$45&gt;0),IF(AND($A5&gt;='Fuel Equipment'!E$17,$A5&lt;='Fuel Equipment'!E$18),('Fuel Equipment'!E$19*'Fuel Equipment'!E$20*'Fuel Equipment'!E$21)*('Fuel Equipment'!E$45-'Fuel Equipment'!E$44)*
(VLOOKUP(IF('Fuel Equipment'!E$22=Report!$A$25,Report!$A$19,'Fuel Equipment'!E$22),Report!$A$18:$L$34,'Actual-CO2 Calculations'!$AK8,FALSE)),0),0)</f>
        <v>0</v>
      </c>
      <c r="F5" s="19">
        <f>IF(AND('Fuel Equipment'!F$44&gt;0,'Fuel Equipment'!F$45&gt;0),IF(AND($A5&gt;='Fuel Equipment'!F$17,$A5&lt;='Fuel Equipment'!F$18),('Fuel Equipment'!F$19*'Fuel Equipment'!F$20*'Fuel Equipment'!F$21)*('Fuel Equipment'!F$45-'Fuel Equipment'!F$44)*
(VLOOKUP(IF('Fuel Equipment'!F$22=Report!$A$25,Report!$A$19,'Fuel Equipment'!F$22),Report!$A$18:$L$34,'Actual-CO2 Calculations'!$AK8,FALSE)),0),0)</f>
        <v>0</v>
      </c>
      <c r="G5" s="19">
        <f>IF(AND('Fuel Equipment'!G$44&gt;0,'Fuel Equipment'!G$45&gt;0),IF(AND($A5&gt;='Fuel Equipment'!G$17,$A5&lt;='Fuel Equipment'!G$18),('Fuel Equipment'!G$19*'Fuel Equipment'!G$20*'Fuel Equipment'!G$21)*('Fuel Equipment'!G$45-'Fuel Equipment'!G$44)*
(VLOOKUP(IF('Fuel Equipment'!G$22=Report!$A$25,Report!$A$19,'Fuel Equipment'!G$22),Report!$A$18:$L$34,'Actual-CO2 Calculations'!$AK8,FALSE)),0),0)</f>
        <v>0</v>
      </c>
      <c r="H5" s="19">
        <f>IF(AND('Fuel Equipment'!H$44&gt;0,'Fuel Equipment'!H$45&gt;0),IF(AND($A5&gt;='Fuel Equipment'!H$17,$A5&lt;='Fuel Equipment'!H$18),('Fuel Equipment'!H$19*'Fuel Equipment'!H$20*'Fuel Equipment'!H$21)*('Fuel Equipment'!H$45-'Fuel Equipment'!H$44)*
(VLOOKUP(IF('Fuel Equipment'!H$22=Report!$A$25,Report!$A$19,'Fuel Equipment'!H$22),Report!$A$18:$L$34,'Actual-CO2 Calculations'!$AK8,FALSE)),0),0)</f>
        <v>0</v>
      </c>
      <c r="I5" s="19">
        <f>IF(AND('Fuel Equipment'!I$44&gt;0,'Fuel Equipment'!I$45&gt;0),IF(AND($A5&gt;='Fuel Equipment'!I$17,$A5&lt;='Fuel Equipment'!I$18),('Fuel Equipment'!I$19*'Fuel Equipment'!I$20*'Fuel Equipment'!I$21)*('Fuel Equipment'!I$45-'Fuel Equipment'!I$44)*
(VLOOKUP(IF('Fuel Equipment'!I$22=Report!$A$25,Report!$A$19,'Fuel Equipment'!I$22),Report!$A$18:$L$34,'Actual-CO2 Calculations'!$AK8,FALSE)),0),0)</f>
        <v>0</v>
      </c>
      <c r="J5" s="19">
        <f>IF(AND('Fuel Equipment'!J$44&gt;0,'Fuel Equipment'!J$45&gt;0),IF(AND($A5&gt;='Fuel Equipment'!J$17,$A5&lt;='Fuel Equipment'!J$18),('Fuel Equipment'!J$19*'Fuel Equipment'!J$20*'Fuel Equipment'!J$21)*('Fuel Equipment'!J$45-'Fuel Equipment'!J$44)*
(VLOOKUP(IF('Fuel Equipment'!J$22=Report!$A$25,Report!$A$19,'Fuel Equipment'!J$22),Report!$A$18:$L$34,'Actual-CO2 Calculations'!$AK8,FALSE)),0),0)</f>
        <v>0</v>
      </c>
      <c r="K5" s="19">
        <f>IF(AND('Fuel Equipment'!K$44&gt;0,'Fuel Equipment'!K$45&gt;0),IF(AND($A5&gt;='Fuel Equipment'!K$17,$A5&lt;='Fuel Equipment'!K$18),('Fuel Equipment'!K$19*'Fuel Equipment'!K$20*'Fuel Equipment'!K$21)*('Fuel Equipment'!K$45-'Fuel Equipment'!K$44)*
(VLOOKUP(IF('Fuel Equipment'!K$22=Report!$A$25,Report!$A$19,'Fuel Equipment'!K$22),Report!$A$18:$L$34,'Actual-CO2 Calculations'!$AK8,FALSE)),0),0)</f>
        <v>0</v>
      </c>
      <c r="L5" s="19">
        <f>IF(AND('Fuel Equipment'!L$44&gt;0,'Fuel Equipment'!L$45&gt;0),IF(AND($A5&gt;='Fuel Equipment'!L$17,$A5&lt;='Fuel Equipment'!L$18),('Fuel Equipment'!L$19*'Fuel Equipment'!L$20*'Fuel Equipment'!L$21)*('Fuel Equipment'!L$45-'Fuel Equipment'!L$44)*
(VLOOKUP(IF('Fuel Equipment'!L$22=Report!$A$25,Report!$A$19,'Fuel Equipment'!L$22),Report!$A$18:$L$34,'Actual-CO2 Calculations'!$AK8,FALSE)),0),0)</f>
        <v>0</v>
      </c>
      <c r="M5" s="19">
        <f>IF(AND('Fuel Equipment'!M$44&gt;0,'Fuel Equipment'!M$45&gt;0),IF(AND($A5&gt;='Fuel Equipment'!M$17,$A5&lt;='Fuel Equipment'!M$18),('Fuel Equipment'!M$19*'Fuel Equipment'!M$20*'Fuel Equipment'!M$21)*('Fuel Equipment'!M$45-'Fuel Equipment'!M$44)*
(VLOOKUP(IF('Fuel Equipment'!M$22=Report!$A$25,Report!$A$19,'Fuel Equipment'!M$22),Report!$A$18:$L$34,'Actual-CO2 Calculations'!$AK8,FALSE)),0),0)</f>
        <v>0</v>
      </c>
      <c r="N5" s="19">
        <f>IF(AND('Fuel Equipment'!N$44&gt;0,'Fuel Equipment'!N$45&gt;0),IF(AND($A5&gt;='Fuel Equipment'!N$17,$A5&lt;='Fuel Equipment'!N$18),('Fuel Equipment'!N$19*'Fuel Equipment'!N$20*'Fuel Equipment'!N$21)*('Fuel Equipment'!N$45-'Fuel Equipment'!N$44)*
(VLOOKUP(IF('Fuel Equipment'!N$22=Report!$A$25,Report!$A$19,'Fuel Equipment'!N$22),Report!$A$18:$L$34,'Actual-CO2 Calculations'!$AK8,FALSE)),0),0)</f>
        <v>0</v>
      </c>
      <c r="O5" s="19">
        <f>IF(AND('Fuel Equipment'!O$44&gt;0,'Fuel Equipment'!O$45&gt;0),IF(AND($A5&gt;='Fuel Equipment'!O$17,$A5&lt;='Fuel Equipment'!O$18),('Fuel Equipment'!O$19*'Fuel Equipment'!O$20*'Fuel Equipment'!O$21)*('Fuel Equipment'!O$45-'Fuel Equipment'!O$44)*
(VLOOKUP(IF('Fuel Equipment'!O$22=Report!$A$25,Report!$A$19,'Fuel Equipment'!O$22),Report!$A$18:$L$34,'Actual-CO2 Calculations'!$AK8,FALSE)),0),0)</f>
        <v>0</v>
      </c>
      <c r="P5" s="19">
        <f>IF(AND('Fuel Equipment'!P$44&gt;0,'Fuel Equipment'!P$45&gt;0),IF(AND($A5&gt;='Fuel Equipment'!P$17,$A5&lt;='Fuel Equipment'!P$18),('Fuel Equipment'!P$19*'Fuel Equipment'!P$20*'Fuel Equipment'!P$21)*('Fuel Equipment'!P$45-'Fuel Equipment'!P$44)*
(VLOOKUP(IF('Fuel Equipment'!P$22=Report!$A$25,Report!$A$19,'Fuel Equipment'!P$22),Report!$A$18:$L$34,'Actual-CO2 Calculations'!$AK8,FALSE)),0),0)</f>
        <v>0</v>
      </c>
      <c r="Q5" s="19">
        <f>IF(AND('Fuel Equipment'!Q$44&gt;0,'Fuel Equipment'!Q$45&gt;0),IF(AND($A5&gt;='Fuel Equipment'!Q$17,$A5&lt;='Fuel Equipment'!Q$18),('Fuel Equipment'!Q$19*'Fuel Equipment'!Q$20*'Fuel Equipment'!Q$21)*('Fuel Equipment'!Q$45-'Fuel Equipment'!Q$44)*
(VLOOKUP(IF('Fuel Equipment'!Q$22=Report!$A$25,Report!$A$19,'Fuel Equipment'!Q$22),Report!$A$18:$L$34,'Actual-CO2 Calculations'!$AK8,FALSE)),0),0)</f>
        <v>0</v>
      </c>
      <c r="R5" s="19">
        <f>IF(AND('Fuel Equipment'!R$44&gt;0,'Fuel Equipment'!R$45&gt;0),IF(AND($A5&gt;='Fuel Equipment'!R$17,$A5&lt;='Fuel Equipment'!R$18),('Fuel Equipment'!R$19*'Fuel Equipment'!R$20*'Fuel Equipment'!R$21)*('Fuel Equipment'!R$45-'Fuel Equipment'!R$44)*
(VLOOKUP(IF('Fuel Equipment'!R$22=Report!$A$25,Report!$A$19,'Fuel Equipment'!R$22),Report!$A$18:$L$34,'Actual-CO2 Calculations'!$AK8,FALSE)),0),0)</f>
        <v>0</v>
      </c>
      <c r="S5" s="19">
        <f>IF(AND('Fuel Equipment'!S$44&gt;0,'Fuel Equipment'!S$45&gt;0),IF(AND($A5&gt;='Fuel Equipment'!S$17,$A5&lt;='Fuel Equipment'!S$18),('Fuel Equipment'!S$19*'Fuel Equipment'!S$20*'Fuel Equipment'!S$21)*('Fuel Equipment'!S$45-'Fuel Equipment'!S$44)*
(VLOOKUP(IF('Fuel Equipment'!S$22=Report!$A$25,Report!$A$19,'Fuel Equipment'!S$22),Report!$A$18:$L$34,'Actual-CO2 Calculations'!$AK8,FALSE)),0),0)</f>
        <v>0</v>
      </c>
      <c r="V5" s="671">
        <f t="shared" si="0"/>
        <v>0</v>
      </c>
    </row>
    <row r="6" spans="1:22">
      <c r="A6" s="21" t="s">
        <v>35</v>
      </c>
      <c r="B6" s="19">
        <f>IF(AND('Fuel Equipment'!B$44&gt;0,'Fuel Equipment'!B$45&gt;0),IF(AND($A6&gt;='Fuel Equipment'!B$17,$A6&lt;='Fuel Equipment'!B$18),('Fuel Equipment'!B$19*'Fuel Equipment'!B$20*'Fuel Equipment'!B$21)*('Fuel Equipment'!B$45-'Fuel Equipment'!B$44)*
(VLOOKUP(IF('Fuel Equipment'!B$22=Report!$A$25,Report!$A$19,'Fuel Equipment'!B$22),Report!$A$18:$L$34,'Actual-CO2 Calculations'!$AK9,FALSE)),0),0)</f>
        <v>0</v>
      </c>
      <c r="C6" s="19">
        <f>IF(AND('Fuel Equipment'!C$44&gt;0,'Fuel Equipment'!C$45&gt;0),IF(AND($A6&gt;='Fuel Equipment'!C$17,$A6&lt;='Fuel Equipment'!C$18),('Fuel Equipment'!C$19*'Fuel Equipment'!C$20*'Fuel Equipment'!C$21)*('Fuel Equipment'!C$45-'Fuel Equipment'!C$44)*
(VLOOKUP(IF('Fuel Equipment'!C$22=Report!$A$25,Report!$A$19,'Fuel Equipment'!C$22),Report!$A$18:$L$34,'Actual-CO2 Calculations'!$AK9,FALSE)),0),0)</f>
        <v>0</v>
      </c>
      <c r="D6" s="19">
        <f>IF(AND('Fuel Equipment'!D$44&gt;0,'Fuel Equipment'!D$45&gt;0),IF(AND($A6&gt;='Fuel Equipment'!D$17,$A6&lt;='Fuel Equipment'!D$18),('Fuel Equipment'!D$19*'Fuel Equipment'!D$20*'Fuel Equipment'!D$21)*('Fuel Equipment'!D$45-'Fuel Equipment'!D$44)*
(VLOOKUP(IF('Fuel Equipment'!D$22=Report!$A$25,Report!$A$19,'Fuel Equipment'!D$22),Report!$A$18:$L$34,'Actual-CO2 Calculations'!$AK9,FALSE)),0),0)</f>
        <v>0</v>
      </c>
      <c r="E6" s="19">
        <f>IF(AND('Fuel Equipment'!E$44&gt;0,'Fuel Equipment'!E$45&gt;0),IF(AND($A6&gt;='Fuel Equipment'!E$17,$A6&lt;='Fuel Equipment'!E$18),('Fuel Equipment'!E$19*'Fuel Equipment'!E$20*'Fuel Equipment'!E$21)*('Fuel Equipment'!E$45-'Fuel Equipment'!E$44)*
(VLOOKUP(IF('Fuel Equipment'!E$22=Report!$A$25,Report!$A$19,'Fuel Equipment'!E$22),Report!$A$18:$L$34,'Actual-CO2 Calculations'!$AK9,FALSE)),0),0)</f>
        <v>0</v>
      </c>
      <c r="F6" s="19">
        <f>IF(AND('Fuel Equipment'!F$44&gt;0,'Fuel Equipment'!F$45&gt;0),IF(AND($A6&gt;='Fuel Equipment'!F$17,$A6&lt;='Fuel Equipment'!F$18),('Fuel Equipment'!F$19*'Fuel Equipment'!F$20*'Fuel Equipment'!F$21)*('Fuel Equipment'!F$45-'Fuel Equipment'!F$44)*
(VLOOKUP(IF('Fuel Equipment'!F$22=Report!$A$25,Report!$A$19,'Fuel Equipment'!F$22),Report!$A$18:$L$34,'Actual-CO2 Calculations'!$AK9,FALSE)),0),0)</f>
        <v>0</v>
      </c>
      <c r="G6" s="19">
        <f>IF(AND('Fuel Equipment'!G$44&gt;0,'Fuel Equipment'!G$45&gt;0),IF(AND($A6&gt;='Fuel Equipment'!G$17,$A6&lt;='Fuel Equipment'!G$18),('Fuel Equipment'!G$19*'Fuel Equipment'!G$20*'Fuel Equipment'!G$21)*('Fuel Equipment'!G$45-'Fuel Equipment'!G$44)*
(VLOOKUP(IF('Fuel Equipment'!G$22=Report!$A$25,Report!$A$19,'Fuel Equipment'!G$22),Report!$A$18:$L$34,'Actual-CO2 Calculations'!$AK9,FALSE)),0),0)</f>
        <v>0</v>
      </c>
      <c r="H6" s="19">
        <f>IF(AND('Fuel Equipment'!H$44&gt;0,'Fuel Equipment'!H$45&gt;0),IF(AND($A6&gt;='Fuel Equipment'!H$17,$A6&lt;='Fuel Equipment'!H$18),('Fuel Equipment'!H$19*'Fuel Equipment'!H$20*'Fuel Equipment'!H$21)*('Fuel Equipment'!H$45-'Fuel Equipment'!H$44)*
(VLOOKUP(IF('Fuel Equipment'!H$22=Report!$A$25,Report!$A$19,'Fuel Equipment'!H$22),Report!$A$18:$L$34,'Actual-CO2 Calculations'!$AK9,FALSE)),0),0)</f>
        <v>0</v>
      </c>
      <c r="I6" s="19">
        <f>IF(AND('Fuel Equipment'!I$44&gt;0,'Fuel Equipment'!I$45&gt;0),IF(AND($A6&gt;='Fuel Equipment'!I$17,$A6&lt;='Fuel Equipment'!I$18),('Fuel Equipment'!I$19*'Fuel Equipment'!I$20*'Fuel Equipment'!I$21)*('Fuel Equipment'!I$45-'Fuel Equipment'!I$44)*
(VLOOKUP(IF('Fuel Equipment'!I$22=Report!$A$25,Report!$A$19,'Fuel Equipment'!I$22),Report!$A$18:$L$34,'Actual-CO2 Calculations'!$AK9,FALSE)),0),0)</f>
        <v>0</v>
      </c>
      <c r="J6" s="19">
        <f>IF(AND('Fuel Equipment'!J$44&gt;0,'Fuel Equipment'!J$45&gt;0),IF(AND($A6&gt;='Fuel Equipment'!J$17,$A6&lt;='Fuel Equipment'!J$18),('Fuel Equipment'!J$19*'Fuel Equipment'!J$20*'Fuel Equipment'!J$21)*('Fuel Equipment'!J$45-'Fuel Equipment'!J$44)*
(VLOOKUP(IF('Fuel Equipment'!J$22=Report!$A$25,Report!$A$19,'Fuel Equipment'!J$22),Report!$A$18:$L$34,'Actual-CO2 Calculations'!$AK9,FALSE)),0),0)</f>
        <v>0</v>
      </c>
      <c r="K6" s="19">
        <f>IF(AND('Fuel Equipment'!K$44&gt;0,'Fuel Equipment'!K$45&gt;0),IF(AND($A6&gt;='Fuel Equipment'!K$17,$A6&lt;='Fuel Equipment'!K$18),('Fuel Equipment'!K$19*'Fuel Equipment'!K$20*'Fuel Equipment'!K$21)*('Fuel Equipment'!K$45-'Fuel Equipment'!K$44)*
(VLOOKUP(IF('Fuel Equipment'!K$22=Report!$A$25,Report!$A$19,'Fuel Equipment'!K$22),Report!$A$18:$L$34,'Actual-CO2 Calculations'!$AK9,FALSE)),0),0)</f>
        <v>0</v>
      </c>
      <c r="L6" s="19">
        <f>IF(AND('Fuel Equipment'!L$44&gt;0,'Fuel Equipment'!L$45&gt;0),IF(AND($A6&gt;='Fuel Equipment'!L$17,$A6&lt;='Fuel Equipment'!L$18),('Fuel Equipment'!L$19*'Fuel Equipment'!L$20*'Fuel Equipment'!L$21)*('Fuel Equipment'!L$45-'Fuel Equipment'!L$44)*
(VLOOKUP(IF('Fuel Equipment'!L$22=Report!$A$25,Report!$A$19,'Fuel Equipment'!L$22),Report!$A$18:$L$34,'Actual-CO2 Calculations'!$AK9,FALSE)),0),0)</f>
        <v>0</v>
      </c>
      <c r="M6" s="19">
        <f>IF(AND('Fuel Equipment'!M$44&gt;0,'Fuel Equipment'!M$45&gt;0),IF(AND($A6&gt;='Fuel Equipment'!M$17,$A6&lt;='Fuel Equipment'!M$18),('Fuel Equipment'!M$19*'Fuel Equipment'!M$20*'Fuel Equipment'!M$21)*('Fuel Equipment'!M$45-'Fuel Equipment'!M$44)*
(VLOOKUP(IF('Fuel Equipment'!M$22=Report!$A$25,Report!$A$19,'Fuel Equipment'!M$22),Report!$A$18:$L$34,'Actual-CO2 Calculations'!$AK9,FALSE)),0),0)</f>
        <v>0</v>
      </c>
      <c r="N6" s="19">
        <f>IF(AND('Fuel Equipment'!N$44&gt;0,'Fuel Equipment'!N$45&gt;0),IF(AND($A6&gt;='Fuel Equipment'!N$17,$A6&lt;='Fuel Equipment'!N$18),('Fuel Equipment'!N$19*'Fuel Equipment'!N$20*'Fuel Equipment'!N$21)*('Fuel Equipment'!N$45-'Fuel Equipment'!N$44)*
(VLOOKUP(IF('Fuel Equipment'!N$22=Report!$A$25,Report!$A$19,'Fuel Equipment'!N$22),Report!$A$18:$L$34,'Actual-CO2 Calculations'!$AK9,FALSE)),0),0)</f>
        <v>0</v>
      </c>
      <c r="O6" s="19">
        <f>IF(AND('Fuel Equipment'!O$44&gt;0,'Fuel Equipment'!O$45&gt;0),IF(AND($A6&gt;='Fuel Equipment'!O$17,$A6&lt;='Fuel Equipment'!O$18),('Fuel Equipment'!O$19*'Fuel Equipment'!O$20*'Fuel Equipment'!O$21)*('Fuel Equipment'!O$45-'Fuel Equipment'!O$44)*
(VLOOKUP(IF('Fuel Equipment'!O$22=Report!$A$25,Report!$A$19,'Fuel Equipment'!O$22),Report!$A$18:$L$34,'Actual-CO2 Calculations'!$AK9,FALSE)),0),0)</f>
        <v>0</v>
      </c>
      <c r="P6" s="19">
        <f>IF(AND('Fuel Equipment'!P$44&gt;0,'Fuel Equipment'!P$45&gt;0),IF(AND($A6&gt;='Fuel Equipment'!P$17,$A6&lt;='Fuel Equipment'!P$18),('Fuel Equipment'!P$19*'Fuel Equipment'!P$20*'Fuel Equipment'!P$21)*('Fuel Equipment'!P$45-'Fuel Equipment'!P$44)*
(VLOOKUP(IF('Fuel Equipment'!P$22=Report!$A$25,Report!$A$19,'Fuel Equipment'!P$22),Report!$A$18:$L$34,'Actual-CO2 Calculations'!$AK9,FALSE)),0),0)</f>
        <v>0</v>
      </c>
      <c r="Q6" s="19">
        <f>IF(AND('Fuel Equipment'!Q$44&gt;0,'Fuel Equipment'!Q$45&gt;0),IF(AND($A6&gt;='Fuel Equipment'!Q$17,$A6&lt;='Fuel Equipment'!Q$18),('Fuel Equipment'!Q$19*'Fuel Equipment'!Q$20*'Fuel Equipment'!Q$21)*('Fuel Equipment'!Q$45-'Fuel Equipment'!Q$44)*
(VLOOKUP(IF('Fuel Equipment'!Q$22=Report!$A$25,Report!$A$19,'Fuel Equipment'!Q$22),Report!$A$18:$L$34,'Actual-CO2 Calculations'!$AK9,FALSE)),0),0)</f>
        <v>0</v>
      </c>
      <c r="R6" s="19">
        <f>IF(AND('Fuel Equipment'!R$44&gt;0,'Fuel Equipment'!R$45&gt;0),IF(AND($A6&gt;='Fuel Equipment'!R$17,$A6&lt;='Fuel Equipment'!R$18),('Fuel Equipment'!R$19*'Fuel Equipment'!R$20*'Fuel Equipment'!R$21)*('Fuel Equipment'!R$45-'Fuel Equipment'!R$44)*
(VLOOKUP(IF('Fuel Equipment'!R$22=Report!$A$25,Report!$A$19,'Fuel Equipment'!R$22),Report!$A$18:$L$34,'Actual-CO2 Calculations'!$AK9,FALSE)),0),0)</f>
        <v>0</v>
      </c>
      <c r="S6" s="19">
        <f>IF(AND('Fuel Equipment'!S$44&gt;0,'Fuel Equipment'!S$45&gt;0),IF(AND($A6&gt;='Fuel Equipment'!S$17,$A6&lt;='Fuel Equipment'!S$18),('Fuel Equipment'!S$19*'Fuel Equipment'!S$20*'Fuel Equipment'!S$21)*('Fuel Equipment'!S$45-'Fuel Equipment'!S$44)*
(VLOOKUP(IF('Fuel Equipment'!S$22=Report!$A$25,Report!$A$19,'Fuel Equipment'!S$22),Report!$A$18:$L$34,'Actual-CO2 Calculations'!$AK9,FALSE)),0),0)</f>
        <v>0</v>
      </c>
      <c r="V6" s="671">
        <f t="shared" si="0"/>
        <v>0</v>
      </c>
    </row>
    <row r="7" spans="1:22">
      <c r="A7" s="21" t="s">
        <v>36</v>
      </c>
      <c r="B7" s="19">
        <f>IF(AND('Fuel Equipment'!B$44&gt;0,'Fuel Equipment'!B$45&gt;0),IF(AND($A7&gt;='Fuel Equipment'!B$17,$A7&lt;='Fuel Equipment'!B$18),('Fuel Equipment'!B$19*'Fuel Equipment'!B$20*'Fuel Equipment'!B$21)*('Fuel Equipment'!B$45-'Fuel Equipment'!B$44)*
(VLOOKUP(IF('Fuel Equipment'!B$22=Report!$A$25,Report!$A$19,'Fuel Equipment'!B$22),Report!$A$18:$L$34,'Actual-CO2 Calculations'!$AK10,FALSE)),0),0)</f>
        <v>0</v>
      </c>
      <c r="C7" s="19">
        <f>IF(AND('Fuel Equipment'!C$44&gt;0,'Fuel Equipment'!C$45&gt;0),IF(AND($A7&gt;='Fuel Equipment'!C$17,$A7&lt;='Fuel Equipment'!C$18),('Fuel Equipment'!C$19*'Fuel Equipment'!C$20*'Fuel Equipment'!C$21)*('Fuel Equipment'!C$45-'Fuel Equipment'!C$44)*
(VLOOKUP(IF('Fuel Equipment'!C$22=Report!$A$25,Report!$A$19,'Fuel Equipment'!C$22),Report!$A$18:$L$34,'Actual-CO2 Calculations'!$AK10,FALSE)),0),0)</f>
        <v>0</v>
      </c>
      <c r="D7" s="19">
        <f>IF(AND('Fuel Equipment'!D$44&gt;0,'Fuel Equipment'!D$45&gt;0),IF(AND($A7&gt;='Fuel Equipment'!D$17,$A7&lt;='Fuel Equipment'!D$18),('Fuel Equipment'!D$19*'Fuel Equipment'!D$20*'Fuel Equipment'!D$21)*('Fuel Equipment'!D$45-'Fuel Equipment'!D$44)*
(VLOOKUP(IF('Fuel Equipment'!D$22=Report!$A$25,Report!$A$19,'Fuel Equipment'!D$22),Report!$A$18:$L$34,'Actual-CO2 Calculations'!$AK10,FALSE)),0),0)</f>
        <v>0</v>
      </c>
      <c r="E7" s="19">
        <f>IF(AND('Fuel Equipment'!E$44&gt;0,'Fuel Equipment'!E$45&gt;0),IF(AND($A7&gt;='Fuel Equipment'!E$17,$A7&lt;='Fuel Equipment'!E$18),('Fuel Equipment'!E$19*'Fuel Equipment'!E$20*'Fuel Equipment'!E$21)*('Fuel Equipment'!E$45-'Fuel Equipment'!E$44)*
(VLOOKUP(IF('Fuel Equipment'!E$22=Report!$A$25,Report!$A$19,'Fuel Equipment'!E$22),Report!$A$18:$L$34,'Actual-CO2 Calculations'!$AK10,FALSE)),0),0)</f>
        <v>0</v>
      </c>
      <c r="F7" s="19">
        <f>IF(AND('Fuel Equipment'!F$44&gt;0,'Fuel Equipment'!F$45&gt;0),IF(AND($A7&gt;='Fuel Equipment'!F$17,$A7&lt;='Fuel Equipment'!F$18),('Fuel Equipment'!F$19*'Fuel Equipment'!F$20*'Fuel Equipment'!F$21)*('Fuel Equipment'!F$45-'Fuel Equipment'!F$44)*
(VLOOKUP(IF('Fuel Equipment'!F$22=Report!$A$25,Report!$A$19,'Fuel Equipment'!F$22),Report!$A$18:$L$34,'Actual-CO2 Calculations'!$AK10,FALSE)),0),0)</f>
        <v>0</v>
      </c>
      <c r="G7" s="19">
        <f>IF(AND('Fuel Equipment'!G$44&gt;0,'Fuel Equipment'!G$45&gt;0),IF(AND($A7&gt;='Fuel Equipment'!G$17,$A7&lt;='Fuel Equipment'!G$18),('Fuel Equipment'!G$19*'Fuel Equipment'!G$20*'Fuel Equipment'!G$21)*('Fuel Equipment'!G$45-'Fuel Equipment'!G$44)*
(VLOOKUP(IF('Fuel Equipment'!G$22=Report!$A$25,Report!$A$19,'Fuel Equipment'!G$22),Report!$A$18:$L$34,'Actual-CO2 Calculations'!$AK10,FALSE)),0),0)</f>
        <v>0</v>
      </c>
      <c r="H7" s="19">
        <f>IF(AND('Fuel Equipment'!H$44&gt;0,'Fuel Equipment'!H$45&gt;0),IF(AND($A7&gt;='Fuel Equipment'!H$17,$A7&lt;='Fuel Equipment'!H$18),('Fuel Equipment'!H$19*'Fuel Equipment'!H$20*'Fuel Equipment'!H$21)*('Fuel Equipment'!H$45-'Fuel Equipment'!H$44)*
(VLOOKUP(IF('Fuel Equipment'!H$22=Report!$A$25,Report!$A$19,'Fuel Equipment'!H$22),Report!$A$18:$L$34,'Actual-CO2 Calculations'!$AK10,FALSE)),0),0)</f>
        <v>0</v>
      </c>
      <c r="I7" s="19">
        <f>IF(AND('Fuel Equipment'!I$44&gt;0,'Fuel Equipment'!I$45&gt;0),IF(AND($A7&gt;='Fuel Equipment'!I$17,$A7&lt;='Fuel Equipment'!I$18),('Fuel Equipment'!I$19*'Fuel Equipment'!I$20*'Fuel Equipment'!I$21)*('Fuel Equipment'!I$45-'Fuel Equipment'!I$44)*
(VLOOKUP(IF('Fuel Equipment'!I$22=Report!$A$25,Report!$A$19,'Fuel Equipment'!I$22),Report!$A$18:$L$34,'Actual-CO2 Calculations'!$AK10,FALSE)),0),0)</f>
        <v>0</v>
      </c>
      <c r="J7" s="19">
        <f>IF(AND('Fuel Equipment'!J$44&gt;0,'Fuel Equipment'!J$45&gt;0),IF(AND($A7&gt;='Fuel Equipment'!J$17,$A7&lt;='Fuel Equipment'!J$18),('Fuel Equipment'!J$19*'Fuel Equipment'!J$20*'Fuel Equipment'!J$21)*('Fuel Equipment'!J$45-'Fuel Equipment'!J$44)*
(VLOOKUP(IF('Fuel Equipment'!J$22=Report!$A$25,Report!$A$19,'Fuel Equipment'!J$22),Report!$A$18:$L$34,'Actual-CO2 Calculations'!$AK10,FALSE)),0),0)</f>
        <v>0</v>
      </c>
      <c r="K7" s="19">
        <f>IF(AND('Fuel Equipment'!K$44&gt;0,'Fuel Equipment'!K$45&gt;0),IF(AND($A7&gt;='Fuel Equipment'!K$17,$A7&lt;='Fuel Equipment'!K$18),('Fuel Equipment'!K$19*'Fuel Equipment'!K$20*'Fuel Equipment'!K$21)*('Fuel Equipment'!K$45-'Fuel Equipment'!K$44)*
(VLOOKUP(IF('Fuel Equipment'!K$22=Report!$A$25,Report!$A$19,'Fuel Equipment'!K$22),Report!$A$18:$L$34,'Actual-CO2 Calculations'!$AK10,FALSE)),0),0)</f>
        <v>0</v>
      </c>
      <c r="L7" s="19">
        <f>IF(AND('Fuel Equipment'!L$44&gt;0,'Fuel Equipment'!L$45&gt;0),IF(AND($A7&gt;='Fuel Equipment'!L$17,$A7&lt;='Fuel Equipment'!L$18),('Fuel Equipment'!L$19*'Fuel Equipment'!L$20*'Fuel Equipment'!L$21)*('Fuel Equipment'!L$45-'Fuel Equipment'!L$44)*
(VLOOKUP(IF('Fuel Equipment'!L$22=Report!$A$25,Report!$A$19,'Fuel Equipment'!L$22),Report!$A$18:$L$34,'Actual-CO2 Calculations'!$AK10,FALSE)),0),0)</f>
        <v>0</v>
      </c>
      <c r="M7" s="19">
        <f>IF(AND('Fuel Equipment'!M$44&gt;0,'Fuel Equipment'!M$45&gt;0),IF(AND($A7&gt;='Fuel Equipment'!M$17,$A7&lt;='Fuel Equipment'!M$18),('Fuel Equipment'!M$19*'Fuel Equipment'!M$20*'Fuel Equipment'!M$21)*('Fuel Equipment'!M$45-'Fuel Equipment'!M$44)*
(VLOOKUP(IF('Fuel Equipment'!M$22=Report!$A$25,Report!$A$19,'Fuel Equipment'!M$22),Report!$A$18:$L$34,'Actual-CO2 Calculations'!$AK10,FALSE)),0),0)</f>
        <v>0</v>
      </c>
      <c r="N7" s="19">
        <f>IF(AND('Fuel Equipment'!N$44&gt;0,'Fuel Equipment'!N$45&gt;0),IF(AND($A7&gt;='Fuel Equipment'!N$17,$A7&lt;='Fuel Equipment'!N$18),('Fuel Equipment'!N$19*'Fuel Equipment'!N$20*'Fuel Equipment'!N$21)*('Fuel Equipment'!N$45-'Fuel Equipment'!N$44)*
(VLOOKUP(IF('Fuel Equipment'!N$22=Report!$A$25,Report!$A$19,'Fuel Equipment'!N$22),Report!$A$18:$L$34,'Actual-CO2 Calculations'!$AK10,FALSE)),0),0)</f>
        <v>0</v>
      </c>
      <c r="O7" s="19">
        <f>IF(AND('Fuel Equipment'!O$44&gt;0,'Fuel Equipment'!O$45&gt;0),IF(AND($A7&gt;='Fuel Equipment'!O$17,$A7&lt;='Fuel Equipment'!O$18),('Fuel Equipment'!O$19*'Fuel Equipment'!O$20*'Fuel Equipment'!O$21)*('Fuel Equipment'!O$45-'Fuel Equipment'!O$44)*
(VLOOKUP(IF('Fuel Equipment'!O$22=Report!$A$25,Report!$A$19,'Fuel Equipment'!O$22),Report!$A$18:$L$34,'Actual-CO2 Calculations'!$AK10,FALSE)),0),0)</f>
        <v>0</v>
      </c>
      <c r="P7" s="19">
        <f>IF(AND('Fuel Equipment'!P$44&gt;0,'Fuel Equipment'!P$45&gt;0),IF(AND($A7&gt;='Fuel Equipment'!P$17,$A7&lt;='Fuel Equipment'!P$18),('Fuel Equipment'!P$19*'Fuel Equipment'!P$20*'Fuel Equipment'!P$21)*('Fuel Equipment'!P$45-'Fuel Equipment'!P$44)*
(VLOOKUP(IF('Fuel Equipment'!P$22=Report!$A$25,Report!$A$19,'Fuel Equipment'!P$22),Report!$A$18:$L$34,'Actual-CO2 Calculations'!$AK10,FALSE)),0),0)</f>
        <v>0</v>
      </c>
      <c r="Q7" s="19">
        <f>IF(AND('Fuel Equipment'!Q$44&gt;0,'Fuel Equipment'!Q$45&gt;0),IF(AND($A7&gt;='Fuel Equipment'!Q$17,$A7&lt;='Fuel Equipment'!Q$18),('Fuel Equipment'!Q$19*'Fuel Equipment'!Q$20*'Fuel Equipment'!Q$21)*('Fuel Equipment'!Q$45-'Fuel Equipment'!Q$44)*
(VLOOKUP(IF('Fuel Equipment'!Q$22=Report!$A$25,Report!$A$19,'Fuel Equipment'!Q$22),Report!$A$18:$L$34,'Actual-CO2 Calculations'!$AK10,FALSE)),0),0)</f>
        <v>0</v>
      </c>
      <c r="R7" s="19">
        <f>IF(AND('Fuel Equipment'!R$44&gt;0,'Fuel Equipment'!R$45&gt;0),IF(AND($A7&gt;='Fuel Equipment'!R$17,$A7&lt;='Fuel Equipment'!R$18),('Fuel Equipment'!R$19*'Fuel Equipment'!R$20*'Fuel Equipment'!R$21)*('Fuel Equipment'!R$45-'Fuel Equipment'!R$44)*
(VLOOKUP(IF('Fuel Equipment'!R$22=Report!$A$25,Report!$A$19,'Fuel Equipment'!R$22),Report!$A$18:$L$34,'Actual-CO2 Calculations'!$AK10,FALSE)),0),0)</f>
        <v>0</v>
      </c>
      <c r="S7" s="19">
        <f>IF(AND('Fuel Equipment'!S$44&gt;0,'Fuel Equipment'!S$45&gt;0),IF(AND($A7&gt;='Fuel Equipment'!S$17,$A7&lt;='Fuel Equipment'!S$18),('Fuel Equipment'!S$19*'Fuel Equipment'!S$20*'Fuel Equipment'!S$21)*('Fuel Equipment'!S$45-'Fuel Equipment'!S$44)*
(VLOOKUP(IF('Fuel Equipment'!S$22=Report!$A$25,Report!$A$19,'Fuel Equipment'!S$22),Report!$A$18:$L$34,'Actual-CO2 Calculations'!$AK10,FALSE)),0),0)</f>
        <v>0</v>
      </c>
      <c r="V7" s="671">
        <f t="shared" si="0"/>
        <v>0</v>
      </c>
    </row>
    <row r="8" spans="1:22">
      <c r="A8" s="21" t="s">
        <v>37</v>
      </c>
      <c r="B8" s="19">
        <f>IF(AND('Fuel Equipment'!B$44&gt;0,'Fuel Equipment'!B$45&gt;0),IF(AND($A8&gt;='Fuel Equipment'!B$17,$A8&lt;='Fuel Equipment'!B$18),('Fuel Equipment'!B$19*'Fuel Equipment'!B$20*'Fuel Equipment'!B$21)*('Fuel Equipment'!B$45-'Fuel Equipment'!B$44)*
(VLOOKUP(IF('Fuel Equipment'!B$22=Report!$A$25,Report!$A$19,'Fuel Equipment'!B$22),Report!$A$18:$L$34,'Actual-CO2 Calculations'!$AK11,FALSE)),0),0)</f>
        <v>0</v>
      </c>
      <c r="C8" s="19">
        <f>IF(AND('Fuel Equipment'!C$44&gt;0,'Fuel Equipment'!C$45&gt;0),IF(AND($A8&gt;='Fuel Equipment'!C$17,$A8&lt;='Fuel Equipment'!C$18),('Fuel Equipment'!C$19*'Fuel Equipment'!C$20*'Fuel Equipment'!C$21)*('Fuel Equipment'!C$45-'Fuel Equipment'!C$44)*
(VLOOKUP(IF('Fuel Equipment'!C$22=Report!$A$25,Report!$A$19,'Fuel Equipment'!C$22),Report!$A$18:$L$34,'Actual-CO2 Calculations'!$AK11,FALSE)),0),0)</f>
        <v>0</v>
      </c>
      <c r="D8" s="19">
        <f>IF(AND('Fuel Equipment'!D$44&gt;0,'Fuel Equipment'!D$45&gt;0),IF(AND($A8&gt;='Fuel Equipment'!D$17,$A8&lt;='Fuel Equipment'!D$18),('Fuel Equipment'!D$19*'Fuel Equipment'!D$20*'Fuel Equipment'!D$21)*('Fuel Equipment'!D$45-'Fuel Equipment'!D$44)*
(VLOOKUP(IF('Fuel Equipment'!D$22=Report!$A$25,Report!$A$19,'Fuel Equipment'!D$22),Report!$A$18:$L$34,'Actual-CO2 Calculations'!$AK11,FALSE)),0),0)</f>
        <v>0</v>
      </c>
      <c r="E8" s="19">
        <f>IF(AND('Fuel Equipment'!E$44&gt;0,'Fuel Equipment'!E$45&gt;0),IF(AND($A8&gt;='Fuel Equipment'!E$17,$A8&lt;='Fuel Equipment'!E$18),('Fuel Equipment'!E$19*'Fuel Equipment'!E$20*'Fuel Equipment'!E$21)*('Fuel Equipment'!E$45-'Fuel Equipment'!E$44)*
(VLOOKUP(IF('Fuel Equipment'!E$22=Report!$A$25,Report!$A$19,'Fuel Equipment'!E$22),Report!$A$18:$L$34,'Actual-CO2 Calculations'!$AK11,FALSE)),0),0)</f>
        <v>0</v>
      </c>
      <c r="F8" s="19">
        <f>IF(AND('Fuel Equipment'!F$44&gt;0,'Fuel Equipment'!F$45&gt;0),IF(AND($A8&gt;='Fuel Equipment'!F$17,$A8&lt;='Fuel Equipment'!F$18),('Fuel Equipment'!F$19*'Fuel Equipment'!F$20*'Fuel Equipment'!F$21)*('Fuel Equipment'!F$45-'Fuel Equipment'!F$44)*
(VLOOKUP(IF('Fuel Equipment'!F$22=Report!$A$25,Report!$A$19,'Fuel Equipment'!F$22),Report!$A$18:$L$34,'Actual-CO2 Calculations'!$AK11,FALSE)),0),0)</f>
        <v>0</v>
      </c>
      <c r="G8" s="19">
        <f>IF(AND('Fuel Equipment'!G$44&gt;0,'Fuel Equipment'!G$45&gt;0),IF(AND($A8&gt;='Fuel Equipment'!G$17,$A8&lt;='Fuel Equipment'!G$18),('Fuel Equipment'!G$19*'Fuel Equipment'!G$20*'Fuel Equipment'!G$21)*('Fuel Equipment'!G$45-'Fuel Equipment'!G$44)*
(VLOOKUP(IF('Fuel Equipment'!G$22=Report!$A$25,Report!$A$19,'Fuel Equipment'!G$22),Report!$A$18:$L$34,'Actual-CO2 Calculations'!$AK11,FALSE)),0),0)</f>
        <v>0</v>
      </c>
      <c r="H8" s="19">
        <f>IF(AND('Fuel Equipment'!H$44&gt;0,'Fuel Equipment'!H$45&gt;0),IF(AND($A8&gt;='Fuel Equipment'!H$17,$A8&lt;='Fuel Equipment'!H$18),('Fuel Equipment'!H$19*'Fuel Equipment'!H$20*'Fuel Equipment'!H$21)*('Fuel Equipment'!H$45-'Fuel Equipment'!H$44)*
(VLOOKUP(IF('Fuel Equipment'!H$22=Report!$A$25,Report!$A$19,'Fuel Equipment'!H$22),Report!$A$18:$L$34,'Actual-CO2 Calculations'!$AK11,FALSE)),0),0)</f>
        <v>0</v>
      </c>
      <c r="I8" s="19">
        <f>IF(AND('Fuel Equipment'!I$44&gt;0,'Fuel Equipment'!I$45&gt;0),IF(AND($A8&gt;='Fuel Equipment'!I$17,$A8&lt;='Fuel Equipment'!I$18),('Fuel Equipment'!I$19*'Fuel Equipment'!I$20*'Fuel Equipment'!I$21)*('Fuel Equipment'!I$45-'Fuel Equipment'!I$44)*
(VLOOKUP(IF('Fuel Equipment'!I$22=Report!$A$25,Report!$A$19,'Fuel Equipment'!I$22),Report!$A$18:$L$34,'Actual-CO2 Calculations'!$AK11,FALSE)),0),0)</f>
        <v>0</v>
      </c>
      <c r="J8" s="19">
        <f>IF(AND('Fuel Equipment'!J$44&gt;0,'Fuel Equipment'!J$45&gt;0),IF(AND($A8&gt;='Fuel Equipment'!J$17,$A8&lt;='Fuel Equipment'!J$18),('Fuel Equipment'!J$19*'Fuel Equipment'!J$20*'Fuel Equipment'!J$21)*('Fuel Equipment'!J$45-'Fuel Equipment'!J$44)*
(VLOOKUP(IF('Fuel Equipment'!J$22=Report!$A$25,Report!$A$19,'Fuel Equipment'!J$22),Report!$A$18:$L$34,'Actual-CO2 Calculations'!$AK11,FALSE)),0),0)</f>
        <v>0</v>
      </c>
      <c r="K8" s="19">
        <f>IF(AND('Fuel Equipment'!K$44&gt;0,'Fuel Equipment'!K$45&gt;0),IF(AND($A8&gt;='Fuel Equipment'!K$17,$A8&lt;='Fuel Equipment'!K$18),('Fuel Equipment'!K$19*'Fuel Equipment'!K$20*'Fuel Equipment'!K$21)*('Fuel Equipment'!K$45-'Fuel Equipment'!K$44)*
(VLOOKUP(IF('Fuel Equipment'!K$22=Report!$A$25,Report!$A$19,'Fuel Equipment'!K$22),Report!$A$18:$L$34,'Actual-CO2 Calculations'!$AK11,FALSE)),0),0)</f>
        <v>0</v>
      </c>
      <c r="L8" s="19">
        <f>IF(AND('Fuel Equipment'!L$44&gt;0,'Fuel Equipment'!L$45&gt;0),IF(AND($A8&gt;='Fuel Equipment'!L$17,$A8&lt;='Fuel Equipment'!L$18),('Fuel Equipment'!L$19*'Fuel Equipment'!L$20*'Fuel Equipment'!L$21)*('Fuel Equipment'!L$45-'Fuel Equipment'!L$44)*
(VLOOKUP(IF('Fuel Equipment'!L$22=Report!$A$25,Report!$A$19,'Fuel Equipment'!L$22),Report!$A$18:$L$34,'Actual-CO2 Calculations'!$AK11,FALSE)),0),0)</f>
        <v>0</v>
      </c>
      <c r="M8" s="19">
        <f>IF(AND('Fuel Equipment'!M$44&gt;0,'Fuel Equipment'!M$45&gt;0),IF(AND($A8&gt;='Fuel Equipment'!M$17,$A8&lt;='Fuel Equipment'!M$18),('Fuel Equipment'!M$19*'Fuel Equipment'!M$20*'Fuel Equipment'!M$21)*('Fuel Equipment'!M$45-'Fuel Equipment'!M$44)*
(VLOOKUP(IF('Fuel Equipment'!M$22=Report!$A$25,Report!$A$19,'Fuel Equipment'!M$22),Report!$A$18:$L$34,'Actual-CO2 Calculations'!$AK11,FALSE)),0),0)</f>
        <v>0</v>
      </c>
      <c r="N8" s="19">
        <f>IF(AND('Fuel Equipment'!N$44&gt;0,'Fuel Equipment'!N$45&gt;0),IF(AND($A8&gt;='Fuel Equipment'!N$17,$A8&lt;='Fuel Equipment'!N$18),('Fuel Equipment'!N$19*'Fuel Equipment'!N$20*'Fuel Equipment'!N$21)*('Fuel Equipment'!N$45-'Fuel Equipment'!N$44)*
(VLOOKUP(IF('Fuel Equipment'!N$22=Report!$A$25,Report!$A$19,'Fuel Equipment'!N$22),Report!$A$18:$L$34,'Actual-CO2 Calculations'!$AK11,FALSE)),0),0)</f>
        <v>0</v>
      </c>
      <c r="O8" s="19">
        <f>IF(AND('Fuel Equipment'!O$44&gt;0,'Fuel Equipment'!O$45&gt;0),IF(AND($A8&gt;='Fuel Equipment'!O$17,$A8&lt;='Fuel Equipment'!O$18),('Fuel Equipment'!O$19*'Fuel Equipment'!O$20*'Fuel Equipment'!O$21)*('Fuel Equipment'!O$45-'Fuel Equipment'!O$44)*
(VLOOKUP(IF('Fuel Equipment'!O$22=Report!$A$25,Report!$A$19,'Fuel Equipment'!O$22),Report!$A$18:$L$34,'Actual-CO2 Calculations'!$AK11,FALSE)),0),0)</f>
        <v>0</v>
      </c>
      <c r="P8" s="19">
        <f>IF(AND('Fuel Equipment'!P$44&gt;0,'Fuel Equipment'!P$45&gt;0),IF(AND($A8&gt;='Fuel Equipment'!P$17,$A8&lt;='Fuel Equipment'!P$18),('Fuel Equipment'!P$19*'Fuel Equipment'!P$20*'Fuel Equipment'!P$21)*('Fuel Equipment'!P$45-'Fuel Equipment'!P$44)*
(VLOOKUP(IF('Fuel Equipment'!P$22=Report!$A$25,Report!$A$19,'Fuel Equipment'!P$22),Report!$A$18:$L$34,'Actual-CO2 Calculations'!$AK11,FALSE)),0),0)</f>
        <v>0</v>
      </c>
      <c r="Q8" s="19">
        <f>IF(AND('Fuel Equipment'!Q$44&gt;0,'Fuel Equipment'!Q$45&gt;0),IF(AND($A8&gt;='Fuel Equipment'!Q$17,$A8&lt;='Fuel Equipment'!Q$18),('Fuel Equipment'!Q$19*'Fuel Equipment'!Q$20*'Fuel Equipment'!Q$21)*('Fuel Equipment'!Q$45-'Fuel Equipment'!Q$44)*
(VLOOKUP(IF('Fuel Equipment'!Q$22=Report!$A$25,Report!$A$19,'Fuel Equipment'!Q$22),Report!$A$18:$L$34,'Actual-CO2 Calculations'!$AK11,FALSE)),0),0)</f>
        <v>0</v>
      </c>
      <c r="R8" s="19">
        <f>IF(AND('Fuel Equipment'!R$44&gt;0,'Fuel Equipment'!R$45&gt;0),IF(AND($A8&gt;='Fuel Equipment'!R$17,$A8&lt;='Fuel Equipment'!R$18),('Fuel Equipment'!R$19*'Fuel Equipment'!R$20*'Fuel Equipment'!R$21)*('Fuel Equipment'!R$45-'Fuel Equipment'!R$44)*
(VLOOKUP(IF('Fuel Equipment'!R$22=Report!$A$25,Report!$A$19,'Fuel Equipment'!R$22),Report!$A$18:$L$34,'Actual-CO2 Calculations'!$AK11,FALSE)),0),0)</f>
        <v>0</v>
      </c>
      <c r="S8" s="19">
        <f>IF(AND('Fuel Equipment'!S$44&gt;0,'Fuel Equipment'!S$45&gt;0),IF(AND($A8&gt;='Fuel Equipment'!S$17,$A8&lt;='Fuel Equipment'!S$18),('Fuel Equipment'!S$19*'Fuel Equipment'!S$20*'Fuel Equipment'!S$21)*('Fuel Equipment'!S$45-'Fuel Equipment'!S$44)*
(VLOOKUP(IF('Fuel Equipment'!S$22=Report!$A$25,Report!$A$19,'Fuel Equipment'!S$22),Report!$A$18:$L$34,'Actual-CO2 Calculations'!$AK11,FALSE)),0),0)</f>
        <v>0</v>
      </c>
      <c r="V8" s="671">
        <f t="shared" si="0"/>
        <v>0</v>
      </c>
    </row>
    <row r="9" spans="1:22">
      <c r="A9" s="21" t="s">
        <v>38</v>
      </c>
      <c r="B9" s="19">
        <f>IF(AND('Fuel Equipment'!B$44&gt;0,'Fuel Equipment'!B$45&gt;0),IF(AND($A9&gt;='Fuel Equipment'!B$17,$A9&lt;='Fuel Equipment'!B$18),('Fuel Equipment'!B$19*'Fuel Equipment'!B$20*'Fuel Equipment'!B$21)*('Fuel Equipment'!B$45-'Fuel Equipment'!B$44)*
(VLOOKUP(IF('Fuel Equipment'!B$22=Report!$A$25,Report!$A$19,'Fuel Equipment'!B$22),Report!$A$18:$L$34,'Actual-CO2 Calculations'!$AK12,FALSE)),0),0)</f>
        <v>0</v>
      </c>
      <c r="C9" s="19">
        <f>IF(AND('Fuel Equipment'!C$44&gt;0,'Fuel Equipment'!C$45&gt;0),IF(AND($A9&gt;='Fuel Equipment'!C$17,$A9&lt;='Fuel Equipment'!C$18),('Fuel Equipment'!C$19*'Fuel Equipment'!C$20*'Fuel Equipment'!C$21)*('Fuel Equipment'!C$45-'Fuel Equipment'!C$44)*
(VLOOKUP(IF('Fuel Equipment'!C$22=Report!$A$25,Report!$A$19,'Fuel Equipment'!C$22),Report!$A$18:$L$34,'Actual-CO2 Calculations'!$AK12,FALSE)),0),0)</f>
        <v>0</v>
      </c>
      <c r="D9" s="19">
        <f>IF(AND('Fuel Equipment'!D$44&gt;0,'Fuel Equipment'!D$45&gt;0),IF(AND($A9&gt;='Fuel Equipment'!D$17,$A9&lt;='Fuel Equipment'!D$18),('Fuel Equipment'!D$19*'Fuel Equipment'!D$20*'Fuel Equipment'!D$21)*('Fuel Equipment'!D$45-'Fuel Equipment'!D$44)*
(VLOOKUP(IF('Fuel Equipment'!D$22=Report!$A$25,Report!$A$19,'Fuel Equipment'!D$22),Report!$A$18:$L$34,'Actual-CO2 Calculations'!$AK12,FALSE)),0),0)</f>
        <v>0</v>
      </c>
      <c r="E9" s="19">
        <f>IF(AND('Fuel Equipment'!E$44&gt;0,'Fuel Equipment'!E$45&gt;0),IF(AND($A9&gt;='Fuel Equipment'!E$17,$A9&lt;='Fuel Equipment'!E$18),('Fuel Equipment'!E$19*'Fuel Equipment'!E$20*'Fuel Equipment'!E$21)*('Fuel Equipment'!E$45-'Fuel Equipment'!E$44)*
(VLOOKUP(IF('Fuel Equipment'!E$22=Report!$A$25,Report!$A$19,'Fuel Equipment'!E$22),Report!$A$18:$L$34,'Actual-CO2 Calculations'!$AK12,FALSE)),0),0)</f>
        <v>0</v>
      </c>
      <c r="F9" s="19">
        <f>IF(AND('Fuel Equipment'!F$44&gt;0,'Fuel Equipment'!F$45&gt;0),IF(AND($A9&gt;='Fuel Equipment'!F$17,$A9&lt;='Fuel Equipment'!F$18),('Fuel Equipment'!F$19*'Fuel Equipment'!F$20*'Fuel Equipment'!F$21)*('Fuel Equipment'!F$45-'Fuel Equipment'!F$44)*
(VLOOKUP(IF('Fuel Equipment'!F$22=Report!$A$25,Report!$A$19,'Fuel Equipment'!F$22),Report!$A$18:$L$34,'Actual-CO2 Calculations'!$AK12,FALSE)),0),0)</f>
        <v>0</v>
      </c>
      <c r="G9" s="19">
        <f>IF(AND('Fuel Equipment'!G$44&gt;0,'Fuel Equipment'!G$45&gt;0),IF(AND($A9&gt;='Fuel Equipment'!G$17,$A9&lt;='Fuel Equipment'!G$18),('Fuel Equipment'!G$19*'Fuel Equipment'!G$20*'Fuel Equipment'!G$21)*('Fuel Equipment'!G$45-'Fuel Equipment'!G$44)*
(VLOOKUP(IF('Fuel Equipment'!G$22=Report!$A$25,Report!$A$19,'Fuel Equipment'!G$22),Report!$A$18:$L$34,'Actual-CO2 Calculations'!$AK12,FALSE)),0),0)</f>
        <v>0</v>
      </c>
      <c r="H9" s="19">
        <f>IF(AND('Fuel Equipment'!H$44&gt;0,'Fuel Equipment'!H$45&gt;0),IF(AND($A9&gt;='Fuel Equipment'!H$17,$A9&lt;='Fuel Equipment'!H$18),('Fuel Equipment'!H$19*'Fuel Equipment'!H$20*'Fuel Equipment'!H$21)*('Fuel Equipment'!H$45-'Fuel Equipment'!H$44)*
(VLOOKUP(IF('Fuel Equipment'!H$22=Report!$A$25,Report!$A$19,'Fuel Equipment'!H$22),Report!$A$18:$L$34,'Actual-CO2 Calculations'!$AK12,FALSE)),0),0)</f>
        <v>0</v>
      </c>
      <c r="I9" s="19">
        <f>IF(AND('Fuel Equipment'!I$44&gt;0,'Fuel Equipment'!I$45&gt;0),IF(AND($A9&gt;='Fuel Equipment'!I$17,$A9&lt;='Fuel Equipment'!I$18),('Fuel Equipment'!I$19*'Fuel Equipment'!I$20*'Fuel Equipment'!I$21)*('Fuel Equipment'!I$45-'Fuel Equipment'!I$44)*
(VLOOKUP(IF('Fuel Equipment'!I$22=Report!$A$25,Report!$A$19,'Fuel Equipment'!I$22),Report!$A$18:$L$34,'Actual-CO2 Calculations'!$AK12,FALSE)),0),0)</f>
        <v>0</v>
      </c>
      <c r="J9" s="19">
        <f>IF(AND('Fuel Equipment'!J$44&gt;0,'Fuel Equipment'!J$45&gt;0),IF(AND($A9&gt;='Fuel Equipment'!J$17,$A9&lt;='Fuel Equipment'!J$18),('Fuel Equipment'!J$19*'Fuel Equipment'!J$20*'Fuel Equipment'!J$21)*('Fuel Equipment'!J$45-'Fuel Equipment'!J$44)*
(VLOOKUP(IF('Fuel Equipment'!J$22=Report!$A$25,Report!$A$19,'Fuel Equipment'!J$22),Report!$A$18:$L$34,'Actual-CO2 Calculations'!$AK12,FALSE)),0),0)</f>
        <v>0</v>
      </c>
      <c r="K9" s="19">
        <f>IF(AND('Fuel Equipment'!K$44&gt;0,'Fuel Equipment'!K$45&gt;0),IF(AND($A9&gt;='Fuel Equipment'!K$17,$A9&lt;='Fuel Equipment'!K$18),('Fuel Equipment'!K$19*'Fuel Equipment'!K$20*'Fuel Equipment'!K$21)*('Fuel Equipment'!K$45-'Fuel Equipment'!K$44)*
(VLOOKUP(IF('Fuel Equipment'!K$22=Report!$A$25,Report!$A$19,'Fuel Equipment'!K$22),Report!$A$18:$L$34,'Actual-CO2 Calculations'!$AK12,FALSE)),0),0)</f>
        <v>0</v>
      </c>
      <c r="L9" s="19">
        <f>IF(AND('Fuel Equipment'!L$44&gt;0,'Fuel Equipment'!L$45&gt;0),IF(AND($A9&gt;='Fuel Equipment'!L$17,$A9&lt;='Fuel Equipment'!L$18),('Fuel Equipment'!L$19*'Fuel Equipment'!L$20*'Fuel Equipment'!L$21)*('Fuel Equipment'!L$45-'Fuel Equipment'!L$44)*
(VLOOKUP(IF('Fuel Equipment'!L$22=Report!$A$25,Report!$A$19,'Fuel Equipment'!L$22),Report!$A$18:$L$34,'Actual-CO2 Calculations'!$AK12,FALSE)),0),0)</f>
        <v>0</v>
      </c>
      <c r="M9" s="19">
        <f>IF(AND('Fuel Equipment'!M$44&gt;0,'Fuel Equipment'!M$45&gt;0),IF(AND($A9&gt;='Fuel Equipment'!M$17,$A9&lt;='Fuel Equipment'!M$18),('Fuel Equipment'!M$19*'Fuel Equipment'!M$20*'Fuel Equipment'!M$21)*('Fuel Equipment'!M$45-'Fuel Equipment'!M$44)*
(VLOOKUP(IF('Fuel Equipment'!M$22=Report!$A$25,Report!$A$19,'Fuel Equipment'!M$22),Report!$A$18:$L$34,'Actual-CO2 Calculations'!$AK12,FALSE)),0),0)</f>
        <v>0</v>
      </c>
      <c r="N9" s="19">
        <f>IF(AND('Fuel Equipment'!N$44&gt;0,'Fuel Equipment'!N$45&gt;0),IF(AND($A9&gt;='Fuel Equipment'!N$17,$A9&lt;='Fuel Equipment'!N$18),('Fuel Equipment'!N$19*'Fuel Equipment'!N$20*'Fuel Equipment'!N$21)*('Fuel Equipment'!N$45-'Fuel Equipment'!N$44)*
(VLOOKUP(IF('Fuel Equipment'!N$22=Report!$A$25,Report!$A$19,'Fuel Equipment'!N$22),Report!$A$18:$L$34,'Actual-CO2 Calculations'!$AK12,FALSE)),0),0)</f>
        <v>0</v>
      </c>
      <c r="O9" s="19">
        <f>IF(AND('Fuel Equipment'!O$44&gt;0,'Fuel Equipment'!O$45&gt;0),IF(AND($A9&gt;='Fuel Equipment'!O$17,$A9&lt;='Fuel Equipment'!O$18),('Fuel Equipment'!O$19*'Fuel Equipment'!O$20*'Fuel Equipment'!O$21)*('Fuel Equipment'!O$45-'Fuel Equipment'!O$44)*
(VLOOKUP(IF('Fuel Equipment'!O$22=Report!$A$25,Report!$A$19,'Fuel Equipment'!O$22),Report!$A$18:$L$34,'Actual-CO2 Calculations'!$AK12,FALSE)),0),0)</f>
        <v>0</v>
      </c>
      <c r="P9" s="19">
        <f>IF(AND('Fuel Equipment'!P$44&gt;0,'Fuel Equipment'!P$45&gt;0),IF(AND($A9&gt;='Fuel Equipment'!P$17,$A9&lt;='Fuel Equipment'!P$18),('Fuel Equipment'!P$19*'Fuel Equipment'!P$20*'Fuel Equipment'!P$21)*('Fuel Equipment'!P$45-'Fuel Equipment'!P$44)*
(VLOOKUP(IF('Fuel Equipment'!P$22=Report!$A$25,Report!$A$19,'Fuel Equipment'!P$22),Report!$A$18:$L$34,'Actual-CO2 Calculations'!$AK12,FALSE)),0),0)</f>
        <v>0</v>
      </c>
      <c r="Q9" s="19">
        <f>IF(AND('Fuel Equipment'!Q$44&gt;0,'Fuel Equipment'!Q$45&gt;0),IF(AND($A9&gt;='Fuel Equipment'!Q$17,$A9&lt;='Fuel Equipment'!Q$18),('Fuel Equipment'!Q$19*'Fuel Equipment'!Q$20*'Fuel Equipment'!Q$21)*('Fuel Equipment'!Q$45-'Fuel Equipment'!Q$44)*
(VLOOKUP(IF('Fuel Equipment'!Q$22=Report!$A$25,Report!$A$19,'Fuel Equipment'!Q$22),Report!$A$18:$L$34,'Actual-CO2 Calculations'!$AK12,FALSE)),0),0)</f>
        <v>0</v>
      </c>
      <c r="R9" s="19">
        <f>IF(AND('Fuel Equipment'!R$44&gt;0,'Fuel Equipment'!R$45&gt;0),IF(AND($A9&gt;='Fuel Equipment'!R$17,$A9&lt;='Fuel Equipment'!R$18),('Fuel Equipment'!R$19*'Fuel Equipment'!R$20*'Fuel Equipment'!R$21)*('Fuel Equipment'!R$45-'Fuel Equipment'!R$44)*
(VLOOKUP(IF('Fuel Equipment'!R$22=Report!$A$25,Report!$A$19,'Fuel Equipment'!R$22),Report!$A$18:$L$34,'Actual-CO2 Calculations'!$AK12,FALSE)),0),0)</f>
        <v>0</v>
      </c>
      <c r="S9" s="19">
        <f>IF(AND('Fuel Equipment'!S$44&gt;0,'Fuel Equipment'!S$45&gt;0),IF(AND($A9&gt;='Fuel Equipment'!S$17,$A9&lt;='Fuel Equipment'!S$18),('Fuel Equipment'!S$19*'Fuel Equipment'!S$20*'Fuel Equipment'!S$21)*('Fuel Equipment'!S$45-'Fuel Equipment'!S$44)*
(VLOOKUP(IF('Fuel Equipment'!S$22=Report!$A$25,Report!$A$19,'Fuel Equipment'!S$22),Report!$A$18:$L$34,'Actual-CO2 Calculations'!$AK12,FALSE)),0),0)</f>
        <v>0</v>
      </c>
      <c r="V9" s="671">
        <f t="shared" si="0"/>
        <v>0</v>
      </c>
    </row>
    <row r="10" spans="1:22">
      <c r="A10" s="21" t="s">
        <v>39</v>
      </c>
      <c r="B10" s="19">
        <f>IF(AND('Fuel Equipment'!B$44&gt;0,'Fuel Equipment'!B$45&gt;0),IF(AND($A10&gt;='Fuel Equipment'!B$17,$A10&lt;='Fuel Equipment'!B$18),('Fuel Equipment'!B$19*'Fuel Equipment'!B$20*'Fuel Equipment'!B$21)*('Fuel Equipment'!B$45-'Fuel Equipment'!B$44)*
(VLOOKUP(IF('Fuel Equipment'!B$22=Report!$A$25,Report!$A$19,'Fuel Equipment'!B$22),Report!$A$18:$L$34,'Actual-CO2 Calculations'!$AK13,FALSE)),0),0)</f>
        <v>0</v>
      </c>
      <c r="C10" s="19">
        <f>IF(AND('Fuel Equipment'!C$44&gt;0,'Fuel Equipment'!C$45&gt;0),IF(AND($A10&gt;='Fuel Equipment'!C$17,$A10&lt;='Fuel Equipment'!C$18),('Fuel Equipment'!C$19*'Fuel Equipment'!C$20*'Fuel Equipment'!C$21)*('Fuel Equipment'!C$45-'Fuel Equipment'!C$44)*
(VLOOKUP(IF('Fuel Equipment'!C$22=Report!$A$25,Report!$A$19,'Fuel Equipment'!C$22),Report!$A$18:$L$34,'Actual-CO2 Calculations'!$AK13,FALSE)),0),0)</f>
        <v>0</v>
      </c>
      <c r="D10" s="19">
        <f>IF(AND('Fuel Equipment'!D$44&gt;0,'Fuel Equipment'!D$45&gt;0),IF(AND($A10&gt;='Fuel Equipment'!D$17,$A10&lt;='Fuel Equipment'!D$18),('Fuel Equipment'!D$19*'Fuel Equipment'!D$20*'Fuel Equipment'!D$21)*('Fuel Equipment'!D$45-'Fuel Equipment'!D$44)*
(VLOOKUP(IF('Fuel Equipment'!D$22=Report!$A$25,Report!$A$19,'Fuel Equipment'!D$22),Report!$A$18:$L$34,'Actual-CO2 Calculations'!$AK13,FALSE)),0),0)</f>
        <v>0</v>
      </c>
      <c r="E10" s="19">
        <f>IF(AND('Fuel Equipment'!E$44&gt;0,'Fuel Equipment'!E$45&gt;0),IF(AND($A10&gt;='Fuel Equipment'!E$17,$A10&lt;='Fuel Equipment'!E$18),('Fuel Equipment'!E$19*'Fuel Equipment'!E$20*'Fuel Equipment'!E$21)*('Fuel Equipment'!E$45-'Fuel Equipment'!E$44)*
(VLOOKUP(IF('Fuel Equipment'!E$22=Report!$A$25,Report!$A$19,'Fuel Equipment'!E$22),Report!$A$18:$L$34,'Actual-CO2 Calculations'!$AK13,FALSE)),0),0)</f>
        <v>0</v>
      </c>
      <c r="F10" s="19">
        <f>IF(AND('Fuel Equipment'!F$44&gt;0,'Fuel Equipment'!F$45&gt;0),IF(AND($A10&gt;='Fuel Equipment'!F$17,$A10&lt;='Fuel Equipment'!F$18),('Fuel Equipment'!F$19*'Fuel Equipment'!F$20*'Fuel Equipment'!F$21)*('Fuel Equipment'!F$45-'Fuel Equipment'!F$44)*
(VLOOKUP(IF('Fuel Equipment'!F$22=Report!$A$25,Report!$A$19,'Fuel Equipment'!F$22),Report!$A$18:$L$34,'Actual-CO2 Calculations'!$AK13,FALSE)),0),0)</f>
        <v>0</v>
      </c>
      <c r="G10" s="19">
        <f>IF(AND('Fuel Equipment'!G$44&gt;0,'Fuel Equipment'!G$45&gt;0),IF(AND($A10&gt;='Fuel Equipment'!G$17,$A10&lt;='Fuel Equipment'!G$18),('Fuel Equipment'!G$19*'Fuel Equipment'!G$20*'Fuel Equipment'!G$21)*('Fuel Equipment'!G$45-'Fuel Equipment'!G$44)*
(VLOOKUP(IF('Fuel Equipment'!G$22=Report!$A$25,Report!$A$19,'Fuel Equipment'!G$22),Report!$A$18:$L$34,'Actual-CO2 Calculations'!$AK13,FALSE)),0),0)</f>
        <v>0</v>
      </c>
      <c r="H10" s="19">
        <f>IF(AND('Fuel Equipment'!H$44&gt;0,'Fuel Equipment'!H$45&gt;0),IF(AND($A10&gt;='Fuel Equipment'!H$17,$A10&lt;='Fuel Equipment'!H$18),('Fuel Equipment'!H$19*'Fuel Equipment'!H$20*'Fuel Equipment'!H$21)*('Fuel Equipment'!H$45-'Fuel Equipment'!H$44)*
(VLOOKUP(IF('Fuel Equipment'!H$22=Report!$A$25,Report!$A$19,'Fuel Equipment'!H$22),Report!$A$18:$L$34,'Actual-CO2 Calculations'!$AK13,FALSE)),0),0)</f>
        <v>0</v>
      </c>
      <c r="I10" s="19">
        <f>IF(AND('Fuel Equipment'!I$44&gt;0,'Fuel Equipment'!I$45&gt;0),IF(AND($A10&gt;='Fuel Equipment'!I$17,$A10&lt;='Fuel Equipment'!I$18),('Fuel Equipment'!I$19*'Fuel Equipment'!I$20*'Fuel Equipment'!I$21)*('Fuel Equipment'!I$45-'Fuel Equipment'!I$44)*
(VLOOKUP(IF('Fuel Equipment'!I$22=Report!$A$25,Report!$A$19,'Fuel Equipment'!I$22),Report!$A$18:$L$34,'Actual-CO2 Calculations'!$AK13,FALSE)),0),0)</f>
        <v>0</v>
      </c>
      <c r="J10" s="19">
        <f>IF(AND('Fuel Equipment'!J$44&gt;0,'Fuel Equipment'!J$45&gt;0),IF(AND($A10&gt;='Fuel Equipment'!J$17,$A10&lt;='Fuel Equipment'!J$18),('Fuel Equipment'!J$19*'Fuel Equipment'!J$20*'Fuel Equipment'!J$21)*('Fuel Equipment'!J$45-'Fuel Equipment'!J$44)*
(VLOOKUP(IF('Fuel Equipment'!J$22=Report!$A$25,Report!$A$19,'Fuel Equipment'!J$22),Report!$A$18:$L$34,'Actual-CO2 Calculations'!$AK13,FALSE)),0),0)</f>
        <v>0</v>
      </c>
      <c r="K10" s="19">
        <f>IF(AND('Fuel Equipment'!K$44&gt;0,'Fuel Equipment'!K$45&gt;0),IF(AND($A10&gt;='Fuel Equipment'!K$17,$A10&lt;='Fuel Equipment'!K$18),('Fuel Equipment'!K$19*'Fuel Equipment'!K$20*'Fuel Equipment'!K$21)*('Fuel Equipment'!K$45-'Fuel Equipment'!K$44)*
(VLOOKUP(IF('Fuel Equipment'!K$22=Report!$A$25,Report!$A$19,'Fuel Equipment'!K$22),Report!$A$18:$L$34,'Actual-CO2 Calculations'!$AK13,FALSE)),0),0)</f>
        <v>0</v>
      </c>
      <c r="L10" s="19">
        <f>IF(AND('Fuel Equipment'!L$44&gt;0,'Fuel Equipment'!L$45&gt;0),IF(AND($A10&gt;='Fuel Equipment'!L$17,$A10&lt;='Fuel Equipment'!L$18),('Fuel Equipment'!L$19*'Fuel Equipment'!L$20*'Fuel Equipment'!L$21)*('Fuel Equipment'!L$45-'Fuel Equipment'!L$44)*
(VLOOKUP(IF('Fuel Equipment'!L$22=Report!$A$25,Report!$A$19,'Fuel Equipment'!L$22),Report!$A$18:$L$34,'Actual-CO2 Calculations'!$AK13,FALSE)),0),0)</f>
        <v>0</v>
      </c>
      <c r="M10" s="19">
        <f>IF(AND('Fuel Equipment'!M$44&gt;0,'Fuel Equipment'!M$45&gt;0),IF(AND($A10&gt;='Fuel Equipment'!M$17,$A10&lt;='Fuel Equipment'!M$18),('Fuel Equipment'!M$19*'Fuel Equipment'!M$20*'Fuel Equipment'!M$21)*('Fuel Equipment'!M$45-'Fuel Equipment'!M$44)*
(VLOOKUP(IF('Fuel Equipment'!M$22=Report!$A$25,Report!$A$19,'Fuel Equipment'!M$22),Report!$A$18:$L$34,'Actual-CO2 Calculations'!$AK13,FALSE)),0),0)</f>
        <v>0</v>
      </c>
      <c r="N10" s="19">
        <f>IF(AND('Fuel Equipment'!N$44&gt;0,'Fuel Equipment'!N$45&gt;0),IF(AND($A10&gt;='Fuel Equipment'!N$17,$A10&lt;='Fuel Equipment'!N$18),('Fuel Equipment'!N$19*'Fuel Equipment'!N$20*'Fuel Equipment'!N$21)*('Fuel Equipment'!N$45-'Fuel Equipment'!N$44)*
(VLOOKUP(IF('Fuel Equipment'!N$22=Report!$A$25,Report!$A$19,'Fuel Equipment'!N$22),Report!$A$18:$L$34,'Actual-CO2 Calculations'!$AK13,FALSE)),0),0)</f>
        <v>0</v>
      </c>
      <c r="O10" s="19">
        <f>IF(AND('Fuel Equipment'!O$44&gt;0,'Fuel Equipment'!O$45&gt;0),IF(AND($A10&gt;='Fuel Equipment'!O$17,$A10&lt;='Fuel Equipment'!O$18),('Fuel Equipment'!O$19*'Fuel Equipment'!O$20*'Fuel Equipment'!O$21)*('Fuel Equipment'!O$45-'Fuel Equipment'!O$44)*
(VLOOKUP(IF('Fuel Equipment'!O$22=Report!$A$25,Report!$A$19,'Fuel Equipment'!O$22),Report!$A$18:$L$34,'Actual-CO2 Calculations'!$AK13,FALSE)),0),0)</f>
        <v>0</v>
      </c>
      <c r="P10" s="19">
        <f>IF(AND('Fuel Equipment'!P$44&gt;0,'Fuel Equipment'!P$45&gt;0),IF(AND($A10&gt;='Fuel Equipment'!P$17,$A10&lt;='Fuel Equipment'!P$18),('Fuel Equipment'!P$19*'Fuel Equipment'!P$20*'Fuel Equipment'!P$21)*('Fuel Equipment'!P$45-'Fuel Equipment'!P$44)*
(VLOOKUP(IF('Fuel Equipment'!P$22=Report!$A$25,Report!$A$19,'Fuel Equipment'!P$22),Report!$A$18:$L$34,'Actual-CO2 Calculations'!$AK13,FALSE)),0),0)</f>
        <v>0</v>
      </c>
      <c r="Q10" s="19">
        <f>IF(AND('Fuel Equipment'!Q$44&gt;0,'Fuel Equipment'!Q$45&gt;0),IF(AND($A10&gt;='Fuel Equipment'!Q$17,$A10&lt;='Fuel Equipment'!Q$18),('Fuel Equipment'!Q$19*'Fuel Equipment'!Q$20*'Fuel Equipment'!Q$21)*('Fuel Equipment'!Q$45-'Fuel Equipment'!Q$44)*
(VLOOKUP(IF('Fuel Equipment'!Q$22=Report!$A$25,Report!$A$19,'Fuel Equipment'!Q$22),Report!$A$18:$L$34,'Actual-CO2 Calculations'!$AK13,FALSE)),0),0)</f>
        <v>0</v>
      </c>
      <c r="R10" s="19">
        <f>IF(AND('Fuel Equipment'!R$44&gt;0,'Fuel Equipment'!R$45&gt;0),IF(AND($A10&gt;='Fuel Equipment'!R$17,$A10&lt;='Fuel Equipment'!R$18),('Fuel Equipment'!R$19*'Fuel Equipment'!R$20*'Fuel Equipment'!R$21)*('Fuel Equipment'!R$45-'Fuel Equipment'!R$44)*
(VLOOKUP(IF('Fuel Equipment'!R$22=Report!$A$25,Report!$A$19,'Fuel Equipment'!R$22),Report!$A$18:$L$34,'Actual-CO2 Calculations'!$AK13,FALSE)),0),0)</f>
        <v>0</v>
      </c>
      <c r="S10" s="19">
        <f>IF(AND('Fuel Equipment'!S$44&gt;0,'Fuel Equipment'!S$45&gt;0),IF(AND($A10&gt;='Fuel Equipment'!S$17,$A10&lt;='Fuel Equipment'!S$18),('Fuel Equipment'!S$19*'Fuel Equipment'!S$20*'Fuel Equipment'!S$21)*('Fuel Equipment'!S$45-'Fuel Equipment'!S$44)*
(VLOOKUP(IF('Fuel Equipment'!S$22=Report!$A$25,Report!$A$19,'Fuel Equipment'!S$22),Report!$A$18:$L$34,'Actual-CO2 Calculations'!$AK13,FALSE)),0),0)</f>
        <v>0</v>
      </c>
      <c r="V10" s="671">
        <f t="shared" si="0"/>
        <v>0</v>
      </c>
    </row>
    <row r="11" spans="1:22">
      <c r="A11" s="19" t="s">
        <v>25</v>
      </c>
      <c r="B11" s="19">
        <f>IF(AND('Fuel Equipment'!B$44&gt;0,'Fuel Equipment'!B$45&gt;0),IF(AND($A11&gt;='Fuel Equipment'!B$17,$A11&lt;='Fuel Equipment'!B$18),('Fuel Equipment'!B$19*'Fuel Equipment'!B$20*'Fuel Equipment'!B$21)*('Fuel Equipment'!B$45-'Fuel Equipment'!B$44)*
(VLOOKUP(IF('Fuel Equipment'!B$22=Report!$A$25,Report!$A$19,'Fuel Equipment'!B$22),Report!$A$18:$L$34,'Actual-CO2 Calculations'!$AK14,FALSE)),0),0)</f>
        <v>0</v>
      </c>
      <c r="C11" s="19">
        <f>IF(AND('Fuel Equipment'!C$44&gt;0,'Fuel Equipment'!C$45&gt;0),IF(AND($A11&gt;='Fuel Equipment'!C$17,$A11&lt;='Fuel Equipment'!C$18),('Fuel Equipment'!C$19*'Fuel Equipment'!C$20*'Fuel Equipment'!C$21)*('Fuel Equipment'!C$45-'Fuel Equipment'!C$44)*
(VLOOKUP(IF('Fuel Equipment'!C$22=Report!$A$25,Report!$A$19,'Fuel Equipment'!C$22),Report!$A$18:$L$34,'Actual-CO2 Calculations'!$AK14,FALSE)),0),0)</f>
        <v>0</v>
      </c>
      <c r="D11" s="19">
        <f>IF(AND('Fuel Equipment'!D$44&gt;0,'Fuel Equipment'!D$45&gt;0),IF(AND($A11&gt;='Fuel Equipment'!D$17,$A11&lt;='Fuel Equipment'!D$18),('Fuel Equipment'!D$19*'Fuel Equipment'!D$20*'Fuel Equipment'!D$21)*('Fuel Equipment'!D$45-'Fuel Equipment'!D$44)*
(VLOOKUP(IF('Fuel Equipment'!D$22=Report!$A$25,Report!$A$19,'Fuel Equipment'!D$22),Report!$A$18:$L$34,'Actual-CO2 Calculations'!$AK14,FALSE)),0),0)</f>
        <v>0</v>
      </c>
      <c r="E11" s="19">
        <f>IF(AND('Fuel Equipment'!E$44&gt;0,'Fuel Equipment'!E$45&gt;0),IF(AND($A11&gt;='Fuel Equipment'!E$17,$A11&lt;='Fuel Equipment'!E$18),('Fuel Equipment'!E$19*'Fuel Equipment'!E$20*'Fuel Equipment'!E$21)*('Fuel Equipment'!E$45-'Fuel Equipment'!E$44)*
(VLOOKUP(IF('Fuel Equipment'!E$22=Report!$A$25,Report!$A$19,'Fuel Equipment'!E$22),Report!$A$18:$L$34,'Actual-CO2 Calculations'!$AK14,FALSE)),0),0)</f>
        <v>0</v>
      </c>
      <c r="F11" s="19">
        <f>IF(AND('Fuel Equipment'!F$44&gt;0,'Fuel Equipment'!F$45&gt;0),IF(AND($A11&gt;='Fuel Equipment'!F$17,$A11&lt;='Fuel Equipment'!F$18),('Fuel Equipment'!F$19*'Fuel Equipment'!F$20*'Fuel Equipment'!F$21)*('Fuel Equipment'!F$45-'Fuel Equipment'!F$44)*
(VLOOKUP(IF('Fuel Equipment'!F$22=Report!$A$25,Report!$A$19,'Fuel Equipment'!F$22),Report!$A$18:$L$34,'Actual-CO2 Calculations'!$AK14,FALSE)),0),0)</f>
        <v>0</v>
      </c>
      <c r="G11" s="19">
        <f>IF(AND('Fuel Equipment'!G$44&gt;0,'Fuel Equipment'!G$45&gt;0),IF(AND($A11&gt;='Fuel Equipment'!G$17,$A11&lt;='Fuel Equipment'!G$18),('Fuel Equipment'!G$19*'Fuel Equipment'!G$20*'Fuel Equipment'!G$21)*('Fuel Equipment'!G$45-'Fuel Equipment'!G$44)*
(VLOOKUP(IF('Fuel Equipment'!G$22=Report!$A$25,Report!$A$19,'Fuel Equipment'!G$22),Report!$A$18:$L$34,'Actual-CO2 Calculations'!$AK14,FALSE)),0),0)</f>
        <v>0</v>
      </c>
      <c r="H11" s="19">
        <f>IF(AND('Fuel Equipment'!H$44&gt;0,'Fuel Equipment'!H$45&gt;0),IF(AND($A11&gt;='Fuel Equipment'!H$17,$A11&lt;='Fuel Equipment'!H$18),('Fuel Equipment'!H$19*'Fuel Equipment'!H$20*'Fuel Equipment'!H$21)*('Fuel Equipment'!H$45-'Fuel Equipment'!H$44)*
(VLOOKUP(IF('Fuel Equipment'!H$22=Report!$A$25,Report!$A$19,'Fuel Equipment'!H$22),Report!$A$18:$L$34,'Actual-CO2 Calculations'!$AK14,FALSE)),0),0)</f>
        <v>0</v>
      </c>
      <c r="I11" s="19">
        <f>IF(AND('Fuel Equipment'!I$44&gt;0,'Fuel Equipment'!I$45&gt;0),IF(AND($A11&gt;='Fuel Equipment'!I$17,$A11&lt;='Fuel Equipment'!I$18),('Fuel Equipment'!I$19*'Fuel Equipment'!I$20*'Fuel Equipment'!I$21)*('Fuel Equipment'!I$45-'Fuel Equipment'!I$44)*
(VLOOKUP(IF('Fuel Equipment'!I$22=Report!$A$25,Report!$A$19,'Fuel Equipment'!I$22),Report!$A$18:$L$34,'Actual-CO2 Calculations'!$AK14,FALSE)),0),0)</f>
        <v>0</v>
      </c>
      <c r="J11" s="19">
        <f>IF(AND('Fuel Equipment'!J$44&gt;0,'Fuel Equipment'!J$45&gt;0),IF(AND($A11&gt;='Fuel Equipment'!J$17,$A11&lt;='Fuel Equipment'!J$18),('Fuel Equipment'!J$19*'Fuel Equipment'!J$20*'Fuel Equipment'!J$21)*('Fuel Equipment'!J$45-'Fuel Equipment'!J$44)*
(VLOOKUP(IF('Fuel Equipment'!J$22=Report!$A$25,Report!$A$19,'Fuel Equipment'!J$22),Report!$A$18:$L$34,'Actual-CO2 Calculations'!$AK14,FALSE)),0),0)</f>
        <v>0</v>
      </c>
      <c r="K11" s="19">
        <f>IF(AND('Fuel Equipment'!K$44&gt;0,'Fuel Equipment'!K$45&gt;0),IF(AND($A11&gt;='Fuel Equipment'!K$17,$A11&lt;='Fuel Equipment'!K$18),('Fuel Equipment'!K$19*'Fuel Equipment'!K$20*'Fuel Equipment'!K$21)*('Fuel Equipment'!K$45-'Fuel Equipment'!K$44)*
(VLOOKUP(IF('Fuel Equipment'!K$22=Report!$A$25,Report!$A$19,'Fuel Equipment'!K$22),Report!$A$18:$L$34,'Actual-CO2 Calculations'!$AK14,FALSE)),0),0)</f>
        <v>0</v>
      </c>
      <c r="L11" s="19">
        <f>IF(AND('Fuel Equipment'!L$44&gt;0,'Fuel Equipment'!L$45&gt;0),IF(AND($A11&gt;='Fuel Equipment'!L$17,$A11&lt;='Fuel Equipment'!L$18),('Fuel Equipment'!L$19*'Fuel Equipment'!L$20*'Fuel Equipment'!L$21)*('Fuel Equipment'!L$45-'Fuel Equipment'!L$44)*
(VLOOKUP(IF('Fuel Equipment'!L$22=Report!$A$25,Report!$A$19,'Fuel Equipment'!L$22),Report!$A$18:$L$34,'Actual-CO2 Calculations'!$AK14,FALSE)),0),0)</f>
        <v>0</v>
      </c>
      <c r="M11" s="19">
        <f>IF(AND('Fuel Equipment'!M$44&gt;0,'Fuel Equipment'!M$45&gt;0),IF(AND($A11&gt;='Fuel Equipment'!M$17,$A11&lt;='Fuel Equipment'!M$18),('Fuel Equipment'!M$19*'Fuel Equipment'!M$20*'Fuel Equipment'!M$21)*('Fuel Equipment'!M$45-'Fuel Equipment'!M$44)*
(VLOOKUP(IF('Fuel Equipment'!M$22=Report!$A$25,Report!$A$19,'Fuel Equipment'!M$22),Report!$A$18:$L$34,'Actual-CO2 Calculations'!$AK14,FALSE)),0),0)</f>
        <v>0</v>
      </c>
      <c r="N11" s="19">
        <f>IF(AND('Fuel Equipment'!N$44&gt;0,'Fuel Equipment'!N$45&gt;0),IF(AND($A11&gt;='Fuel Equipment'!N$17,$A11&lt;='Fuel Equipment'!N$18),('Fuel Equipment'!N$19*'Fuel Equipment'!N$20*'Fuel Equipment'!N$21)*('Fuel Equipment'!N$45-'Fuel Equipment'!N$44)*
(VLOOKUP(IF('Fuel Equipment'!N$22=Report!$A$25,Report!$A$19,'Fuel Equipment'!N$22),Report!$A$18:$L$34,'Actual-CO2 Calculations'!$AK14,FALSE)),0),0)</f>
        <v>0</v>
      </c>
      <c r="O11" s="19">
        <f>IF(AND('Fuel Equipment'!O$44&gt;0,'Fuel Equipment'!O$45&gt;0),IF(AND($A11&gt;='Fuel Equipment'!O$17,$A11&lt;='Fuel Equipment'!O$18),('Fuel Equipment'!O$19*'Fuel Equipment'!O$20*'Fuel Equipment'!O$21)*('Fuel Equipment'!O$45-'Fuel Equipment'!O$44)*
(VLOOKUP(IF('Fuel Equipment'!O$22=Report!$A$25,Report!$A$19,'Fuel Equipment'!O$22),Report!$A$18:$L$34,'Actual-CO2 Calculations'!$AK14,FALSE)),0),0)</f>
        <v>0</v>
      </c>
      <c r="P11" s="19">
        <f>IF(AND('Fuel Equipment'!P$44&gt;0,'Fuel Equipment'!P$45&gt;0),IF(AND($A11&gt;='Fuel Equipment'!P$17,$A11&lt;='Fuel Equipment'!P$18),('Fuel Equipment'!P$19*'Fuel Equipment'!P$20*'Fuel Equipment'!P$21)*('Fuel Equipment'!P$45-'Fuel Equipment'!P$44)*
(VLOOKUP(IF('Fuel Equipment'!P$22=Report!$A$25,Report!$A$19,'Fuel Equipment'!P$22),Report!$A$18:$L$34,'Actual-CO2 Calculations'!$AK14,FALSE)),0),0)</f>
        <v>0</v>
      </c>
      <c r="Q11" s="19">
        <f>IF(AND('Fuel Equipment'!Q$44&gt;0,'Fuel Equipment'!Q$45&gt;0),IF(AND($A11&gt;='Fuel Equipment'!Q$17,$A11&lt;='Fuel Equipment'!Q$18),('Fuel Equipment'!Q$19*'Fuel Equipment'!Q$20*'Fuel Equipment'!Q$21)*('Fuel Equipment'!Q$45-'Fuel Equipment'!Q$44)*
(VLOOKUP(IF('Fuel Equipment'!Q$22=Report!$A$25,Report!$A$19,'Fuel Equipment'!Q$22),Report!$A$18:$L$34,'Actual-CO2 Calculations'!$AK14,FALSE)),0),0)</f>
        <v>0</v>
      </c>
      <c r="R11" s="19">
        <f>IF(AND('Fuel Equipment'!R$44&gt;0,'Fuel Equipment'!R$45&gt;0),IF(AND($A11&gt;='Fuel Equipment'!R$17,$A11&lt;='Fuel Equipment'!R$18),('Fuel Equipment'!R$19*'Fuel Equipment'!R$20*'Fuel Equipment'!R$21)*('Fuel Equipment'!R$45-'Fuel Equipment'!R$44)*
(VLOOKUP(IF('Fuel Equipment'!R$22=Report!$A$25,Report!$A$19,'Fuel Equipment'!R$22),Report!$A$18:$L$34,'Actual-CO2 Calculations'!$AK14,FALSE)),0),0)</f>
        <v>0</v>
      </c>
      <c r="S11" s="19">
        <f>IF(AND('Fuel Equipment'!S$44&gt;0,'Fuel Equipment'!S$45&gt;0),IF(AND($A11&gt;='Fuel Equipment'!S$17,$A11&lt;='Fuel Equipment'!S$18),('Fuel Equipment'!S$19*'Fuel Equipment'!S$20*'Fuel Equipment'!S$21)*('Fuel Equipment'!S$45-'Fuel Equipment'!S$44)*
(VLOOKUP(IF('Fuel Equipment'!S$22=Report!$A$25,Report!$A$19,'Fuel Equipment'!S$22),Report!$A$18:$L$34,'Actual-CO2 Calculations'!$AK14,FALSE)),0),0)</f>
        <v>0</v>
      </c>
      <c r="V11" s="671">
        <f t="shared" si="0"/>
        <v>0</v>
      </c>
    </row>
    <row r="12" spans="1:22">
      <c r="A12" s="19" t="s">
        <v>26</v>
      </c>
      <c r="B12" s="19">
        <f>IF(AND('Fuel Equipment'!B$44&gt;0,'Fuel Equipment'!B$45&gt;0),IF(AND($A12&gt;='Fuel Equipment'!B$17,$A12&lt;='Fuel Equipment'!B$18),('Fuel Equipment'!B$19*'Fuel Equipment'!B$20*'Fuel Equipment'!B$21)*('Fuel Equipment'!B$45-'Fuel Equipment'!B$44)*
(VLOOKUP(IF('Fuel Equipment'!B$22=Report!$A$25,Report!$A$19,'Fuel Equipment'!B$22),Report!$A$18:$L$34,'Actual-CO2 Calculations'!$AK15,FALSE)),0),0)</f>
        <v>0</v>
      </c>
      <c r="C12" s="19">
        <f>IF(AND('Fuel Equipment'!C$44&gt;0,'Fuel Equipment'!C$45&gt;0),IF(AND($A12&gt;='Fuel Equipment'!C$17,$A12&lt;='Fuel Equipment'!C$18),('Fuel Equipment'!C$19*'Fuel Equipment'!C$20*'Fuel Equipment'!C$21)*('Fuel Equipment'!C$45-'Fuel Equipment'!C$44)*
(VLOOKUP(IF('Fuel Equipment'!C$22=Report!$A$25,Report!$A$19,'Fuel Equipment'!C$22),Report!$A$18:$L$34,'Actual-CO2 Calculations'!$AK15,FALSE)),0),0)</f>
        <v>0</v>
      </c>
      <c r="D12" s="19">
        <f>IF(AND('Fuel Equipment'!D$44&gt;0,'Fuel Equipment'!D$45&gt;0),IF(AND($A12&gt;='Fuel Equipment'!D$17,$A12&lt;='Fuel Equipment'!D$18),('Fuel Equipment'!D$19*'Fuel Equipment'!D$20*'Fuel Equipment'!D$21)*('Fuel Equipment'!D$45-'Fuel Equipment'!D$44)*
(VLOOKUP(IF('Fuel Equipment'!D$22=Report!$A$25,Report!$A$19,'Fuel Equipment'!D$22),Report!$A$18:$L$34,'Actual-CO2 Calculations'!$AK15,FALSE)),0),0)</f>
        <v>0</v>
      </c>
      <c r="E12" s="19">
        <f>IF(AND('Fuel Equipment'!E$44&gt;0,'Fuel Equipment'!E$45&gt;0),IF(AND($A12&gt;='Fuel Equipment'!E$17,$A12&lt;='Fuel Equipment'!E$18),('Fuel Equipment'!E$19*'Fuel Equipment'!E$20*'Fuel Equipment'!E$21)*('Fuel Equipment'!E$45-'Fuel Equipment'!E$44)*
(VLOOKUP(IF('Fuel Equipment'!E$22=Report!$A$25,Report!$A$19,'Fuel Equipment'!E$22),Report!$A$18:$L$34,'Actual-CO2 Calculations'!$AK15,FALSE)),0),0)</f>
        <v>0</v>
      </c>
      <c r="F12" s="19">
        <f>IF(AND('Fuel Equipment'!F$44&gt;0,'Fuel Equipment'!F$45&gt;0),IF(AND($A12&gt;='Fuel Equipment'!F$17,$A12&lt;='Fuel Equipment'!F$18),('Fuel Equipment'!F$19*'Fuel Equipment'!F$20*'Fuel Equipment'!F$21)*('Fuel Equipment'!F$45-'Fuel Equipment'!F$44)*
(VLOOKUP(IF('Fuel Equipment'!F$22=Report!$A$25,Report!$A$19,'Fuel Equipment'!F$22),Report!$A$18:$L$34,'Actual-CO2 Calculations'!$AK15,FALSE)),0),0)</f>
        <v>0</v>
      </c>
      <c r="G12" s="19">
        <f>IF(AND('Fuel Equipment'!G$44&gt;0,'Fuel Equipment'!G$45&gt;0),IF(AND($A12&gt;='Fuel Equipment'!G$17,$A12&lt;='Fuel Equipment'!G$18),('Fuel Equipment'!G$19*'Fuel Equipment'!G$20*'Fuel Equipment'!G$21)*('Fuel Equipment'!G$45-'Fuel Equipment'!G$44)*
(VLOOKUP(IF('Fuel Equipment'!G$22=Report!$A$25,Report!$A$19,'Fuel Equipment'!G$22),Report!$A$18:$L$34,'Actual-CO2 Calculations'!$AK15,FALSE)),0),0)</f>
        <v>0</v>
      </c>
      <c r="H12" s="19">
        <f>IF(AND('Fuel Equipment'!H$44&gt;0,'Fuel Equipment'!H$45&gt;0),IF(AND($A12&gt;='Fuel Equipment'!H$17,$A12&lt;='Fuel Equipment'!H$18),('Fuel Equipment'!H$19*'Fuel Equipment'!H$20*'Fuel Equipment'!H$21)*('Fuel Equipment'!H$45-'Fuel Equipment'!H$44)*
(VLOOKUP(IF('Fuel Equipment'!H$22=Report!$A$25,Report!$A$19,'Fuel Equipment'!H$22),Report!$A$18:$L$34,'Actual-CO2 Calculations'!$AK15,FALSE)),0),0)</f>
        <v>0</v>
      </c>
      <c r="I12" s="19">
        <f>IF(AND('Fuel Equipment'!I$44&gt;0,'Fuel Equipment'!I$45&gt;0),IF(AND($A12&gt;='Fuel Equipment'!I$17,$A12&lt;='Fuel Equipment'!I$18),('Fuel Equipment'!I$19*'Fuel Equipment'!I$20*'Fuel Equipment'!I$21)*('Fuel Equipment'!I$45-'Fuel Equipment'!I$44)*
(VLOOKUP(IF('Fuel Equipment'!I$22=Report!$A$25,Report!$A$19,'Fuel Equipment'!I$22),Report!$A$18:$L$34,'Actual-CO2 Calculations'!$AK15,FALSE)),0),0)</f>
        <v>0</v>
      </c>
      <c r="J12" s="19">
        <f>IF(AND('Fuel Equipment'!J$44&gt;0,'Fuel Equipment'!J$45&gt;0),IF(AND($A12&gt;='Fuel Equipment'!J$17,$A12&lt;='Fuel Equipment'!J$18),('Fuel Equipment'!J$19*'Fuel Equipment'!J$20*'Fuel Equipment'!J$21)*('Fuel Equipment'!J$45-'Fuel Equipment'!J$44)*
(VLOOKUP(IF('Fuel Equipment'!J$22=Report!$A$25,Report!$A$19,'Fuel Equipment'!J$22),Report!$A$18:$L$34,'Actual-CO2 Calculations'!$AK15,FALSE)),0),0)</f>
        <v>0</v>
      </c>
      <c r="K12" s="19">
        <f>IF(AND('Fuel Equipment'!K$44&gt;0,'Fuel Equipment'!K$45&gt;0),IF(AND($A12&gt;='Fuel Equipment'!K$17,$A12&lt;='Fuel Equipment'!K$18),('Fuel Equipment'!K$19*'Fuel Equipment'!K$20*'Fuel Equipment'!K$21)*('Fuel Equipment'!K$45-'Fuel Equipment'!K$44)*
(VLOOKUP(IF('Fuel Equipment'!K$22=Report!$A$25,Report!$A$19,'Fuel Equipment'!K$22),Report!$A$18:$L$34,'Actual-CO2 Calculations'!$AK15,FALSE)),0),0)</f>
        <v>0</v>
      </c>
      <c r="L12" s="19">
        <f>IF(AND('Fuel Equipment'!L$44&gt;0,'Fuel Equipment'!L$45&gt;0),IF(AND($A12&gt;='Fuel Equipment'!L$17,$A12&lt;='Fuel Equipment'!L$18),('Fuel Equipment'!L$19*'Fuel Equipment'!L$20*'Fuel Equipment'!L$21)*('Fuel Equipment'!L$45-'Fuel Equipment'!L$44)*
(VLOOKUP(IF('Fuel Equipment'!L$22=Report!$A$25,Report!$A$19,'Fuel Equipment'!L$22),Report!$A$18:$L$34,'Actual-CO2 Calculations'!$AK15,FALSE)),0),0)</f>
        <v>0</v>
      </c>
      <c r="M12" s="19">
        <f>IF(AND('Fuel Equipment'!M$44&gt;0,'Fuel Equipment'!M$45&gt;0),IF(AND($A12&gt;='Fuel Equipment'!M$17,$A12&lt;='Fuel Equipment'!M$18),('Fuel Equipment'!M$19*'Fuel Equipment'!M$20*'Fuel Equipment'!M$21)*('Fuel Equipment'!M$45-'Fuel Equipment'!M$44)*
(VLOOKUP(IF('Fuel Equipment'!M$22=Report!$A$25,Report!$A$19,'Fuel Equipment'!M$22),Report!$A$18:$L$34,'Actual-CO2 Calculations'!$AK15,FALSE)),0),0)</f>
        <v>0</v>
      </c>
      <c r="N12" s="19">
        <f>IF(AND('Fuel Equipment'!N$44&gt;0,'Fuel Equipment'!N$45&gt;0),IF(AND($A12&gt;='Fuel Equipment'!N$17,$A12&lt;='Fuel Equipment'!N$18),('Fuel Equipment'!N$19*'Fuel Equipment'!N$20*'Fuel Equipment'!N$21)*('Fuel Equipment'!N$45-'Fuel Equipment'!N$44)*
(VLOOKUP(IF('Fuel Equipment'!N$22=Report!$A$25,Report!$A$19,'Fuel Equipment'!N$22),Report!$A$18:$L$34,'Actual-CO2 Calculations'!$AK15,FALSE)),0),0)</f>
        <v>0</v>
      </c>
      <c r="O12" s="19">
        <f>IF(AND('Fuel Equipment'!O$44&gt;0,'Fuel Equipment'!O$45&gt;0),IF(AND($A12&gt;='Fuel Equipment'!O$17,$A12&lt;='Fuel Equipment'!O$18),('Fuel Equipment'!O$19*'Fuel Equipment'!O$20*'Fuel Equipment'!O$21)*('Fuel Equipment'!O$45-'Fuel Equipment'!O$44)*
(VLOOKUP(IF('Fuel Equipment'!O$22=Report!$A$25,Report!$A$19,'Fuel Equipment'!O$22),Report!$A$18:$L$34,'Actual-CO2 Calculations'!$AK15,FALSE)),0),0)</f>
        <v>0</v>
      </c>
      <c r="P12" s="19">
        <f>IF(AND('Fuel Equipment'!P$44&gt;0,'Fuel Equipment'!P$45&gt;0),IF(AND($A12&gt;='Fuel Equipment'!P$17,$A12&lt;='Fuel Equipment'!P$18),('Fuel Equipment'!P$19*'Fuel Equipment'!P$20*'Fuel Equipment'!P$21)*('Fuel Equipment'!P$45-'Fuel Equipment'!P$44)*
(VLOOKUP(IF('Fuel Equipment'!P$22=Report!$A$25,Report!$A$19,'Fuel Equipment'!P$22),Report!$A$18:$L$34,'Actual-CO2 Calculations'!$AK15,FALSE)),0),0)</f>
        <v>0</v>
      </c>
      <c r="Q12" s="19">
        <f>IF(AND('Fuel Equipment'!Q$44&gt;0,'Fuel Equipment'!Q$45&gt;0),IF(AND($A12&gt;='Fuel Equipment'!Q$17,$A12&lt;='Fuel Equipment'!Q$18),('Fuel Equipment'!Q$19*'Fuel Equipment'!Q$20*'Fuel Equipment'!Q$21)*('Fuel Equipment'!Q$45-'Fuel Equipment'!Q$44)*
(VLOOKUP(IF('Fuel Equipment'!Q$22=Report!$A$25,Report!$A$19,'Fuel Equipment'!Q$22),Report!$A$18:$L$34,'Actual-CO2 Calculations'!$AK15,FALSE)),0),0)</f>
        <v>0</v>
      </c>
      <c r="R12" s="19">
        <f>IF(AND('Fuel Equipment'!R$44&gt;0,'Fuel Equipment'!R$45&gt;0),IF(AND($A12&gt;='Fuel Equipment'!R$17,$A12&lt;='Fuel Equipment'!R$18),('Fuel Equipment'!R$19*'Fuel Equipment'!R$20*'Fuel Equipment'!R$21)*('Fuel Equipment'!R$45-'Fuel Equipment'!R$44)*
(VLOOKUP(IF('Fuel Equipment'!R$22=Report!$A$25,Report!$A$19,'Fuel Equipment'!R$22),Report!$A$18:$L$34,'Actual-CO2 Calculations'!$AK15,FALSE)),0),0)</f>
        <v>0</v>
      </c>
      <c r="S12" s="19">
        <f>IF(AND('Fuel Equipment'!S$44&gt;0,'Fuel Equipment'!S$45&gt;0),IF(AND($A12&gt;='Fuel Equipment'!S$17,$A12&lt;='Fuel Equipment'!S$18),('Fuel Equipment'!S$19*'Fuel Equipment'!S$20*'Fuel Equipment'!S$21)*('Fuel Equipment'!S$45-'Fuel Equipment'!S$44)*
(VLOOKUP(IF('Fuel Equipment'!S$22=Report!$A$25,Report!$A$19,'Fuel Equipment'!S$22),Report!$A$18:$L$34,'Actual-CO2 Calculations'!$AK15,FALSE)),0),0)</f>
        <v>0</v>
      </c>
      <c r="V12" s="671">
        <f t="shared" si="0"/>
        <v>0</v>
      </c>
    </row>
    <row r="13" spans="1:22">
      <c r="A13" s="19" t="s">
        <v>27</v>
      </c>
      <c r="B13" s="19">
        <f>IF(AND('Fuel Equipment'!B$44&gt;0,'Fuel Equipment'!B$45&gt;0),IF(AND($A13&gt;='Fuel Equipment'!B$17,$A13&lt;='Fuel Equipment'!B$18),('Fuel Equipment'!B$19*'Fuel Equipment'!B$20*'Fuel Equipment'!B$21)*('Fuel Equipment'!B$45-'Fuel Equipment'!B$44)*
(VLOOKUP(IF('Fuel Equipment'!B$22=Report!$A$25,Report!$A$19,'Fuel Equipment'!B$22),Report!$A$18:$L$34,'Actual-CO2 Calculations'!$AK16,FALSE)),0),0)</f>
        <v>0</v>
      </c>
      <c r="C13" s="19">
        <f>IF(AND('Fuel Equipment'!C$44&gt;0,'Fuel Equipment'!C$45&gt;0),IF(AND($A13&gt;='Fuel Equipment'!C$17,$A13&lt;='Fuel Equipment'!C$18),('Fuel Equipment'!C$19*'Fuel Equipment'!C$20*'Fuel Equipment'!C$21)*('Fuel Equipment'!C$45-'Fuel Equipment'!C$44)*
(VLOOKUP(IF('Fuel Equipment'!C$22=Report!$A$25,Report!$A$19,'Fuel Equipment'!C$22),Report!$A$18:$L$34,'Actual-CO2 Calculations'!$AK16,FALSE)),0),0)</f>
        <v>0</v>
      </c>
      <c r="D13" s="19">
        <f>IF(AND('Fuel Equipment'!D$44&gt;0,'Fuel Equipment'!D$45&gt;0),IF(AND($A13&gt;='Fuel Equipment'!D$17,$A13&lt;='Fuel Equipment'!D$18),('Fuel Equipment'!D$19*'Fuel Equipment'!D$20*'Fuel Equipment'!D$21)*('Fuel Equipment'!D$45-'Fuel Equipment'!D$44)*
(VLOOKUP(IF('Fuel Equipment'!D$22=Report!$A$25,Report!$A$19,'Fuel Equipment'!D$22),Report!$A$18:$L$34,'Actual-CO2 Calculations'!$AK16,FALSE)),0),0)</f>
        <v>0</v>
      </c>
      <c r="E13" s="19">
        <f>IF(AND('Fuel Equipment'!E$44&gt;0,'Fuel Equipment'!E$45&gt;0),IF(AND($A13&gt;='Fuel Equipment'!E$17,$A13&lt;='Fuel Equipment'!E$18),('Fuel Equipment'!E$19*'Fuel Equipment'!E$20*'Fuel Equipment'!E$21)*('Fuel Equipment'!E$45-'Fuel Equipment'!E$44)*
(VLOOKUP(IF('Fuel Equipment'!E$22=Report!$A$25,Report!$A$19,'Fuel Equipment'!E$22),Report!$A$18:$L$34,'Actual-CO2 Calculations'!$AK16,FALSE)),0),0)</f>
        <v>0</v>
      </c>
      <c r="F13" s="19">
        <f>IF(AND('Fuel Equipment'!F$44&gt;0,'Fuel Equipment'!F$45&gt;0),IF(AND($A13&gt;='Fuel Equipment'!F$17,$A13&lt;='Fuel Equipment'!F$18),('Fuel Equipment'!F$19*'Fuel Equipment'!F$20*'Fuel Equipment'!F$21)*('Fuel Equipment'!F$45-'Fuel Equipment'!F$44)*
(VLOOKUP(IF('Fuel Equipment'!F$22=Report!$A$25,Report!$A$19,'Fuel Equipment'!F$22),Report!$A$18:$L$34,'Actual-CO2 Calculations'!$AK16,FALSE)),0),0)</f>
        <v>0</v>
      </c>
      <c r="G13" s="19">
        <f>IF(AND('Fuel Equipment'!G$44&gt;0,'Fuel Equipment'!G$45&gt;0),IF(AND($A13&gt;='Fuel Equipment'!G$17,$A13&lt;='Fuel Equipment'!G$18),('Fuel Equipment'!G$19*'Fuel Equipment'!G$20*'Fuel Equipment'!G$21)*('Fuel Equipment'!G$45-'Fuel Equipment'!G$44)*
(VLOOKUP(IF('Fuel Equipment'!G$22=Report!$A$25,Report!$A$19,'Fuel Equipment'!G$22),Report!$A$18:$L$34,'Actual-CO2 Calculations'!$AK16,FALSE)),0),0)</f>
        <v>0</v>
      </c>
      <c r="H13" s="19">
        <f>IF(AND('Fuel Equipment'!H$44&gt;0,'Fuel Equipment'!H$45&gt;0),IF(AND($A13&gt;='Fuel Equipment'!H$17,$A13&lt;='Fuel Equipment'!H$18),('Fuel Equipment'!H$19*'Fuel Equipment'!H$20*'Fuel Equipment'!H$21)*('Fuel Equipment'!H$45-'Fuel Equipment'!H$44)*
(VLOOKUP(IF('Fuel Equipment'!H$22=Report!$A$25,Report!$A$19,'Fuel Equipment'!H$22),Report!$A$18:$L$34,'Actual-CO2 Calculations'!$AK16,FALSE)),0),0)</f>
        <v>0</v>
      </c>
      <c r="I13" s="19">
        <f>IF(AND('Fuel Equipment'!I$44&gt;0,'Fuel Equipment'!I$45&gt;0),IF(AND($A13&gt;='Fuel Equipment'!I$17,$A13&lt;='Fuel Equipment'!I$18),('Fuel Equipment'!I$19*'Fuel Equipment'!I$20*'Fuel Equipment'!I$21)*('Fuel Equipment'!I$45-'Fuel Equipment'!I$44)*
(VLOOKUP(IF('Fuel Equipment'!I$22=Report!$A$25,Report!$A$19,'Fuel Equipment'!I$22),Report!$A$18:$L$34,'Actual-CO2 Calculations'!$AK16,FALSE)),0),0)</f>
        <v>0</v>
      </c>
      <c r="J13" s="19">
        <f>IF(AND('Fuel Equipment'!J$44&gt;0,'Fuel Equipment'!J$45&gt;0),IF(AND($A13&gt;='Fuel Equipment'!J$17,$A13&lt;='Fuel Equipment'!J$18),('Fuel Equipment'!J$19*'Fuel Equipment'!J$20*'Fuel Equipment'!J$21)*('Fuel Equipment'!J$45-'Fuel Equipment'!J$44)*
(VLOOKUP(IF('Fuel Equipment'!J$22=Report!$A$25,Report!$A$19,'Fuel Equipment'!J$22),Report!$A$18:$L$34,'Actual-CO2 Calculations'!$AK16,FALSE)),0),0)</f>
        <v>0</v>
      </c>
      <c r="K13" s="19">
        <f>IF(AND('Fuel Equipment'!K$44&gt;0,'Fuel Equipment'!K$45&gt;0),IF(AND($A13&gt;='Fuel Equipment'!K$17,$A13&lt;='Fuel Equipment'!K$18),('Fuel Equipment'!K$19*'Fuel Equipment'!K$20*'Fuel Equipment'!K$21)*('Fuel Equipment'!K$45-'Fuel Equipment'!K$44)*
(VLOOKUP(IF('Fuel Equipment'!K$22=Report!$A$25,Report!$A$19,'Fuel Equipment'!K$22),Report!$A$18:$L$34,'Actual-CO2 Calculations'!$AK16,FALSE)),0),0)</f>
        <v>0</v>
      </c>
      <c r="L13" s="19">
        <f>IF(AND('Fuel Equipment'!L$44&gt;0,'Fuel Equipment'!L$45&gt;0),IF(AND($A13&gt;='Fuel Equipment'!L$17,$A13&lt;='Fuel Equipment'!L$18),('Fuel Equipment'!L$19*'Fuel Equipment'!L$20*'Fuel Equipment'!L$21)*('Fuel Equipment'!L$45-'Fuel Equipment'!L$44)*
(VLOOKUP(IF('Fuel Equipment'!L$22=Report!$A$25,Report!$A$19,'Fuel Equipment'!L$22),Report!$A$18:$L$34,'Actual-CO2 Calculations'!$AK16,FALSE)),0),0)</f>
        <v>0</v>
      </c>
      <c r="M13" s="19">
        <f>IF(AND('Fuel Equipment'!M$44&gt;0,'Fuel Equipment'!M$45&gt;0),IF(AND($A13&gt;='Fuel Equipment'!M$17,$A13&lt;='Fuel Equipment'!M$18),('Fuel Equipment'!M$19*'Fuel Equipment'!M$20*'Fuel Equipment'!M$21)*('Fuel Equipment'!M$45-'Fuel Equipment'!M$44)*
(VLOOKUP(IF('Fuel Equipment'!M$22=Report!$A$25,Report!$A$19,'Fuel Equipment'!M$22),Report!$A$18:$L$34,'Actual-CO2 Calculations'!$AK16,FALSE)),0),0)</f>
        <v>0</v>
      </c>
      <c r="N13" s="19">
        <f>IF(AND('Fuel Equipment'!N$44&gt;0,'Fuel Equipment'!N$45&gt;0),IF(AND($A13&gt;='Fuel Equipment'!N$17,$A13&lt;='Fuel Equipment'!N$18),('Fuel Equipment'!N$19*'Fuel Equipment'!N$20*'Fuel Equipment'!N$21)*('Fuel Equipment'!N$45-'Fuel Equipment'!N$44)*
(VLOOKUP(IF('Fuel Equipment'!N$22=Report!$A$25,Report!$A$19,'Fuel Equipment'!N$22),Report!$A$18:$L$34,'Actual-CO2 Calculations'!$AK16,FALSE)),0),0)</f>
        <v>0</v>
      </c>
      <c r="O13" s="19">
        <f>IF(AND('Fuel Equipment'!O$44&gt;0,'Fuel Equipment'!O$45&gt;0),IF(AND($A13&gt;='Fuel Equipment'!O$17,$A13&lt;='Fuel Equipment'!O$18),('Fuel Equipment'!O$19*'Fuel Equipment'!O$20*'Fuel Equipment'!O$21)*('Fuel Equipment'!O$45-'Fuel Equipment'!O$44)*
(VLOOKUP(IF('Fuel Equipment'!O$22=Report!$A$25,Report!$A$19,'Fuel Equipment'!O$22),Report!$A$18:$L$34,'Actual-CO2 Calculations'!$AK16,FALSE)),0),0)</f>
        <v>0</v>
      </c>
      <c r="P13" s="19">
        <f>IF(AND('Fuel Equipment'!P$44&gt;0,'Fuel Equipment'!P$45&gt;0),IF(AND($A13&gt;='Fuel Equipment'!P$17,$A13&lt;='Fuel Equipment'!P$18),('Fuel Equipment'!P$19*'Fuel Equipment'!P$20*'Fuel Equipment'!P$21)*('Fuel Equipment'!P$45-'Fuel Equipment'!P$44)*
(VLOOKUP(IF('Fuel Equipment'!P$22=Report!$A$25,Report!$A$19,'Fuel Equipment'!P$22),Report!$A$18:$L$34,'Actual-CO2 Calculations'!$AK16,FALSE)),0),0)</f>
        <v>0</v>
      </c>
      <c r="Q13" s="19">
        <f>IF(AND('Fuel Equipment'!Q$44&gt;0,'Fuel Equipment'!Q$45&gt;0),IF(AND($A13&gt;='Fuel Equipment'!Q$17,$A13&lt;='Fuel Equipment'!Q$18),('Fuel Equipment'!Q$19*'Fuel Equipment'!Q$20*'Fuel Equipment'!Q$21)*('Fuel Equipment'!Q$45-'Fuel Equipment'!Q$44)*
(VLOOKUP(IF('Fuel Equipment'!Q$22=Report!$A$25,Report!$A$19,'Fuel Equipment'!Q$22),Report!$A$18:$L$34,'Actual-CO2 Calculations'!$AK16,FALSE)),0),0)</f>
        <v>0</v>
      </c>
      <c r="R13" s="19">
        <f>IF(AND('Fuel Equipment'!R$44&gt;0,'Fuel Equipment'!R$45&gt;0),IF(AND($A13&gt;='Fuel Equipment'!R$17,$A13&lt;='Fuel Equipment'!R$18),('Fuel Equipment'!R$19*'Fuel Equipment'!R$20*'Fuel Equipment'!R$21)*('Fuel Equipment'!R$45-'Fuel Equipment'!R$44)*
(VLOOKUP(IF('Fuel Equipment'!R$22=Report!$A$25,Report!$A$19,'Fuel Equipment'!R$22),Report!$A$18:$L$34,'Actual-CO2 Calculations'!$AK16,FALSE)),0),0)</f>
        <v>0</v>
      </c>
      <c r="S13" s="19">
        <f>IF(AND('Fuel Equipment'!S$44&gt;0,'Fuel Equipment'!S$45&gt;0),IF(AND($A13&gt;='Fuel Equipment'!S$17,$A13&lt;='Fuel Equipment'!S$18),('Fuel Equipment'!S$19*'Fuel Equipment'!S$20*'Fuel Equipment'!S$21)*('Fuel Equipment'!S$45-'Fuel Equipment'!S$44)*
(VLOOKUP(IF('Fuel Equipment'!S$22=Report!$A$25,Report!$A$19,'Fuel Equipment'!S$22),Report!$A$18:$L$34,'Actual-CO2 Calculations'!$AK16,FALSE)),0),0)</f>
        <v>0</v>
      </c>
      <c r="V13" s="671">
        <f t="shared" si="0"/>
        <v>0</v>
      </c>
    </row>
    <row r="14" spans="1:22">
      <c r="A14" s="19" t="s">
        <v>24</v>
      </c>
      <c r="B14" s="19">
        <f>IF(AND('Fuel Equipment'!B$44&gt;0,'Fuel Equipment'!B$45&gt;0),IF(AND($A14&gt;='Fuel Equipment'!B$17,$A14&lt;='Fuel Equipment'!B$18),('Fuel Equipment'!B$19*'Fuel Equipment'!B$20*'Fuel Equipment'!B$21)*('Fuel Equipment'!B$45-'Fuel Equipment'!B$44)*
(VLOOKUP(IF('Fuel Equipment'!B$22=Report!$A$25,Report!$A$19,'Fuel Equipment'!B$22),Report!$A$18:$L$34,'Actual-CO2 Calculations'!$AK17,FALSE)),0),0)</f>
        <v>0</v>
      </c>
      <c r="C14" s="19">
        <f>IF(AND('Fuel Equipment'!C$44&gt;0,'Fuel Equipment'!C$45&gt;0),IF(AND($A14&gt;='Fuel Equipment'!C$17,$A14&lt;='Fuel Equipment'!C$18),('Fuel Equipment'!C$19*'Fuel Equipment'!C$20*'Fuel Equipment'!C$21)*('Fuel Equipment'!C$45-'Fuel Equipment'!C$44)*
(VLOOKUP(IF('Fuel Equipment'!C$22=Report!$A$25,Report!$A$19,'Fuel Equipment'!C$22),Report!$A$18:$L$34,'Actual-CO2 Calculations'!$AK17,FALSE)),0),0)</f>
        <v>0</v>
      </c>
      <c r="D14" s="19">
        <f>IF(AND('Fuel Equipment'!D$44&gt;0,'Fuel Equipment'!D$45&gt;0),IF(AND($A14&gt;='Fuel Equipment'!D$17,$A14&lt;='Fuel Equipment'!D$18),('Fuel Equipment'!D$19*'Fuel Equipment'!D$20*'Fuel Equipment'!D$21)*('Fuel Equipment'!D$45-'Fuel Equipment'!D$44)*
(VLOOKUP(IF('Fuel Equipment'!D$22=Report!$A$25,Report!$A$19,'Fuel Equipment'!D$22),Report!$A$18:$L$34,'Actual-CO2 Calculations'!$AK17,FALSE)),0),0)</f>
        <v>0</v>
      </c>
      <c r="E14" s="19">
        <f>IF(AND('Fuel Equipment'!E$44&gt;0,'Fuel Equipment'!E$45&gt;0),IF(AND($A14&gt;='Fuel Equipment'!E$17,$A14&lt;='Fuel Equipment'!E$18),('Fuel Equipment'!E$19*'Fuel Equipment'!E$20*'Fuel Equipment'!E$21)*('Fuel Equipment'!E$45-'Fuel Equipment'!E$44)*
(VLOOKUP(IF('Fuel Equipment'!E$22=Report!$A$25,Report!$A$19,'Fuel Equipment'!E$22),Report!$A$18:$L$34,'Actual-CO2 Calculations'!$AK17,FALSE)),0),0)</f>
        <v>0</v>
      </c>
      <c r="F14" s="19">
        <f>IF(AND('Fuel Equipment'!F$44&gt;0,'Fuel Equipment'!F$45&gt;0),IF(AND($A14&gt;='Fuel Equipment'!F$17,$A14&lt;='Fuel Equipment'!F$18),('Fuel Equipment'!F$19*'Fuel Equipment'!F$20*'Fuel Equipment'!F$21)*('Fuel Equipment'!F$45-'Fuel Equipment'!F$44)*
(VLOOKUP(IF('Fuel Equipment'!F$22=Report!$A$25,Report!$A$19,'Fuel Equipment'!F$22),Report!$A$18:$L$34,'Actual-CO2 Calculations'!$AK17,FALSE)),0),0)</f>
        <v>0</v>
      </c>
      <c r="G14" s="19">
        <f>IF(AND('Fuel Equipment'!G$44&gt;0,'Fuel Equipment'!G$45&gt;0),IF(AND($A14&gt;='Fuel Equipment'!G$17,$A14&lt;='Fuel Equipment'!G$18),('Fuel Equipment'!G$19*'Fuel Equipment'!G$20*'Fuel Equipment'!G$21)*('Fuel Equipment'!G$45-'Fuel Equipment'!G$44)*
(VLOOKUP(IF('Fuel Equipment'!G$22=Report!$A$25,Report!$A$19,'Fuel Equipment'!G$22),Report!$A$18:$L$34,'Actual-CO2 Calculations'!$AK17,FALSE)),0),0)</f>
        <v>0</v>
      </c>
      <c r="H14" s="19">
        <f>IF(AND('Fuel Equipment'!H$44&gt;0,'Fuel Equipment'!H$45&gt;0),IF(AND($A14&gt;='Fuel Equipment'!H$17,$A14&lt;='Fuel Equipment'!H$18),('Fuel Equipment'!H$19*'Fuel Equipment'!H$20*'Fuel Equipment'!H$21)*('Fuel Equipment'!H$45-'Fuel Equipment'!H$44)*
(VLOOKUP(IF('Fuel Equipment'!H$22=Report!$A$25,Report!$A$19,'Fuel Equipment'!H$22),Report!$A$18:$L$34,'Actual-CO2 Calculations'!$AK17,FALSE)),0),0)</f>
        <v>0</v>
      </c>
      <c r="I14" s="19">
        <f>IF(AND('Fuel Equipment'!I$44&gt;0,'Fuel Equipment'!I$45&gt;0),IF(AND($A14&gt;='Fuel Equipment'!I$17,$A14&lt;='Fuel Equipment'!I$18),('Fuel Equipment'!I$19*'Fuel Equipment'!I$20*'Fuel Equipment'!I$21)*('Fuel Equipment'!I$45-'Fuel Equipment'!I$44)*
(VLOOKUP(IF('Fuel Equipment'!I$22=Report!$A$25,Report!$A$19,'Fuel Equipment'!I$22),Report!$A$18:$L$34,'Actual-CO2 Calculations'!$AK17,FALSE)),0),0)</f>
        <v>0</v>
      </c>
      <c r="J14" s="19">
        <f>IF(AND('Fuel Equipment'!J$44&gt;0,'Fuel Equipment'!J$45&gt;0),IF(AND($A14&gt;='Fuel Equipment'!J$17,$A14&lt;='Fuel Equipment'!J$18),('Fuel Equipment'!J$19*'Fuel Equipment'!J$20*'Fuel Equipment'!J$21)*('Fuel Equipment'!J$45-'Fuel Equipment'!J$44)*
(VLOOKUP(IF('Fuel Equipment'!J$22=Report!$A$25,Report!$A$19,'Fuel Equipment'!J$22),Report!$A$18:$L$34,'Actual-CO2 Calculations'!$AK17,FALSE)),0),0)</f>
        <v>0</v>
      </c>
      <c r="K14" s="19">
        <f>IF(AND('Fuel Equipment'!K$44&gt;0,'Fuel Equipment'!K$45&gt;0),IF(AND($A14&gt;='Fuel Equipment'!K$17,$A14&lt;='Fuel Equipment'!K$18),('Fuel Equipment'!K$19*'Fuel Equipment'!K$20*'Fuel Equipment'!K$21)*('Fuel Equipment'!K$45-'Fuel Equipment'!K$44)*
(VLOOKUP(IF('Fuel Equipment'!K$22=Report!$A$25,Report!$A$19,'Fuel Equipment'!K$22),Report!$A$18:$L$34,'Actual-CO2 Calculations'!$AK17,FALSE)),0),0)</f>
        <v>0</v>
      </c>
      <c r="L14" s="19">
        <f>IF(AND('Fuel Equipment'!L$44&gt;0,'Fuel Equipment'!L$45&gt;0),IF(AND($A14&gt;='Fuel Equipment'!L$17,$A14&lt;='Fuel Equipment'!L$18),('Fuel Equipment'!L$19*'Fuel Equipment'!L$20*'Fuel Equipment'!L$21)*('Fuel Equipment'!L$45-'Fuel Equipment'!L$44)*
(VLOOKUP(IF('Fuel Equipment'!L$22=Report!$A$25,Report!$A$19,'Fuel Equipment'!L$22),Report!$A$18:$L$34,'Actual-CO2 Calculations'!$AK17,FALSE)),0),0)</f>
        <v>0</v>
      </c>
      <c r="M14" s="19">
        <f>IF(AND('Fuel Equipment'!M$44&gt;0,'Fuel Equipment'!M$45&gt;0),IF(AND($A14&gt;='Fuel Equipment'!M$17,$A14&lt;='Fuel Equipment'!M$18),('Fuel Equipment'!M$19*'Fuel Equipment'!M$20*'Fuel Equipment'!M$21)*('Fuel Equipment'!M$45-'Fuel Equipment'!M$44)*
(VLOOKUP(IF('Fuel Equipment'!M$22=Report!$A$25,Report!$A$19,'Fuel Equipment'!M$22),Report!$A$18:$L$34,'Actual-CO2 Calculations'!$AK17,FALSE)),0),0)</f>
        <v>0</v>
      </c>
      <c r="N14" s="19">
        <f>IF(AND('Fuel Equipment'!N$44&gt;0,'Fuel Equipment'!N$45&gt;0),IF(AND($A14&gt;='Fuel Equipment'!N$17,$A14&lt;='Fuel Equipment'!N$18),('Fuel Equipment'!N$19*'Fuel Equipment'!N$20*'Fuel Equipment'!N$21)*('Fuel Equipment'!N$45-'Fuel Equipment'!N$44)*
(VLOOKUP(IF('Fuel Equipment'!N$22=Report!$A$25,Report!$A$19,'Fuel Equipment'!N$22),Report!$A$18:$L$34,'Actual-CO2 Calculations'!$AK17,FALSE)),0),0)</f>
        <v>0</v>
      </c>
      <c r="O14" s="19">
        <f>IF(AND('Fuel Equipment'!O$44&gt;0,'Fuel Equipment'!O$45&gt;0),IF(AND($A14&gt;='Fuel Equipment'!O$17,$A14&lt;='Fuel Equipment'!O$18),('Fuel Equipment'!O$19*'Fuel Equipment'!O$20*'Fuel Equipment'!O$21)*('Fuel Equipment'!O$45-'Fuel Equipment'!O$44)*
(VLOOKUP(IF('Fuel Equipment'!O$22=Report!$A$25,Report!$A$19,'Fuel Equipment'!O$22),Report!$A$18:$L$34,'Actual-CO2 Calculations'!$AK17,FALSE)),0),0)</f>
        <v>0</v>
      </c>
      <c r="P14" s="19">
        <f>IF(AND('Fuel Equipment'!P$44&gt;0,'Fuel Equipment'!P$45&gt;0),IF(AND($A14&gt;='Fuel Equipment'!P$17,$A14&lt;='Fuel Equipment'!P$18),('Fuel Equipment'!P$19*'Fuel Equipment'!P$20*'Fuel Equipment'!P$21)*('Fuel Equipment'!P$45-'Fuel Equipment'!P$44)*
(VLOOKUP(IF('Fuel Equipment'!P$22=Report!$A$25,Report!$A$19,'Fuel Equipment'!P$22),Report!$A$18:$L$34,'Actual-CO2 Calculations'!$AK17,FALSE)),0),0)</f>
        <v>0</v>
      </c>
      <c r="Q14" s="19">
        <f>IF(AND('Fuel Equipment'!Q$44&gt;0,'Fuel Equipment'!Q$45&gt;0),IF(AND($A14&gt;='Fuel Equipment'!Q$17,$A14&lt;='Fuel Equipment'!Q$18),('Fuel Equipment'!Q$19*'Fuel Equipment'!Q$20*'Fuel Equipment'!Q$21)*('Fuel Equipment'!Q$45-'Fuel Equipment'!Q$44)*
(VLOOKUP(IF('Fuel Equipment'!Q$22=Report!$A$25,Report!$A$19,'Fuel Equipment'!Q$22),Report!$A$18:$L$34,'Actual-CO2 Calculations'!$AK17,FALSE)),0),0)</f>
        <v>0</v>
      </c>
      <c r="R14" s="19">
        <f>IF(AND('Fuel Equipment'!R$44&gt;0,'Fuel Equipment'!R$45&gt;0),IF(AND($A14&gt;='Fuel Equipment'!R$17,$A14&lt;='Fuel Equipment'!R$18),('Fuel Equipment'!R$19*'Fuel Equipment'!R$20*'Fuel Equipment'!R$21)*('Fuel Equipment'!R$45-'Fuel Equipment'!R$44)*
(VLOOKUP(IF('Fuel Equipment'!R$22=Report!$A$25,Report!$A$19,'Fuel Equipment'!R$22),Report!$A$18:$L$34,'Actual-CO2 Calculations'!$AK17,FALSE)),0),0)</f>
        <v>0</v>
      </c>
      <c r="S14" s="19">
        <f>IF(AND('Fuel Equipment'!S$44&gt;0,'Fuel Equipment'!S$45&gt;0),IF(AND($A14&gt;='Fuel Equipment'!S$17,$A14&lt;='Fuel Equipment'!S$18),('Fuel Equipment'!S$19*'Fuel Equipment'!S$20*'Fuel Equipment'!S$21)*('Fuel Equipment'!S$45-'Fuel Equipment'!S$44)*
(VLOOKUP(IF('Fuel Equipment'!S$22=Report!$A$25,Report!$A$19,'Fuel Equipment'!S$22),Report!$A$18:$L$34,'Actual-CO2 Calculations'!$AK17,FALSE)),0),0)</f>
        <v>0</v>
      </c>
      <c r="V14" s="671">
        <f t="shared" si="0"/>
        <v>0</v>
      </c>
    </row>
    <row r="15" spans="1:22">
      <c r="A15" s="21" t="s">
        <v>40</v>
      </c>
      <c r="B15" s="19">
        <f>IF(AND('Fuel Equipment'!B$44&gt;0,'Fuel Equipment'!B$45&gt;0),IF(AND($A15&gt;='Fuel Equipment'!B$17,$A15&lt;='Fuel Equipment'!B$18),('Fuel Equipment'!B$19*'Fuel Equipment'!B$20*'Fuel Equipment'!B$21)*('Fuel Equipment'!B$45-'Fuel Equipment'!B$44)*
(VLOOKUP(IF('Fuel Equipment'!B$22=Report!$A$25,Report!$A$19,'Fuel Equipment'!B$22),Report!$A$18:$L$34,'Actual-CO2 Calculations'!$AK18,FALSE)),0),0)</f>
        <v>0</v>
      </c>
      <c r="C15" s="19">
        <f>IF(AND('Fuel Equipment'!C$44&gt;0,'Fuel Equipment'!C$45&gt;0),IF(AND($A15&gt;='Fuel Equipment'!C$17,$A15&lt;='Fuel Equipment'!C$18),('Fuel Equipment'!C$19*'Fuel Equipment'!C$20*'Fuel Equipment'!C$21)*('Fuel Equipment'!C$45-'Fuel Equipment'!C$44)*
(VLOOKUP(IF('Fuel Equipment'!C$22=Report!$A$25,Report!$A$19,'Fuel Equipment'!C$22),Report!$A$18:$L$34,'Actual-CO2 Calculations'!$AK18,FALSE)),0),0)</f>
        <v>0</v>
      </c>
      <c r="D15" s="19">
        <f>IF(AND('Fuel Equipment'!D$44&gt;0,'Fuel Equipment'!D$45&gt;0),IF(AND($A15&gt;='Fuel Equipment'!D$17,$A15&lt;='Fuel Equipment'!D$18),('Fuel Equipment'!D$19*'Fuel Equipment'!D$20*'Fuel Equipment'!D$21)*('Fuel Equipment'!D$45-'Fuel Equipment'!D$44)*
(VLOOKUP(IF('Fuel Equipment'!D$22=Report!$A$25,Report!$A$19,'Fuel Equipment'!D$22),Report!$A$18:$L$34,'Actual-CO2 Calculations'!$AK18,FALSE)),0),0)</f>
        <v>0</v>
      </c>
      <c r="E15" s="19">
        <f>IF(AND('Fuel Equipment'!E$44&gt;0,'Fuel Equipment'!E$45&gt;0),IF(AND($A15&gt;='Fuel Equipment'!E$17,$A15&lt;='Fuel Equipment'!E$18),('Fuel Equipment'!E$19*'Fuel Equipment'!E$20*'Fuel Equipment'!E$21)*('Fuel Equipment'!E$45-'Fuel Equipment'!E$44)*
(VLOOKUP(IF('Fuel Equipment'!E$22=Report!$A$25,Report!$A$19,'Fuel Equipment'!E$22),Report!$A$18:$L$34,'Actual-CO2 Calculations'!$AK18,FALSE)),0),0)</f>
        <v>0</v>
      </c>
      <c r="F15" s="19">
        <f>IF(AND('Fuel Equipment'!F$44&gt;0,'Fuel Equipment'!F$45&gt;0),IF(AND($A15&gt;='Fuel Equipment'!F$17,$A15&lt;='Fuel Equipment'!F$18),('Fuel Equipment'!F$19*'Fuel Equipment'!F$20*'Fuel Equipment'!F$21)*('Fuel Equipment'!F$45-'Fuel Equipment'!F$44)*
(VLOOKUP(IF('Fuel Equipment'!F$22=Report!$A$25,Report!$A$19,'Fuel Equipment'!F$22),Report!$A$18:$L$34,'Actual-CO2 Calculations'!$AK18,FALSE)),0),0)</f>
        <v>0</v>
      </c>
      <c r="G15" s="19">
        <f>IF(AND('Fuel Equipment'!G$44&gt;0,'Fuel Equipment'!G$45&gt;0),IF(AND($A15&gt;='Fuel Equipment'!G$17,$A15&lt;='Fuel Equipment'!G$18),('Fuel Equipment'!G$19*'Fuel Equipment'!G$20*'Fuel Equipment'!G$21)*('Fuel Equipment'!G$45-'Fuel Equipment'!G$44)*
(VLOOKUP(IF('Fuel Equipment'!G$22=Report!$A$25,Report!$A$19,'Fuel Equipment'!G$22),Report!$A$18:$L$34,'Actual-CO2 Calculations'!$AK18,FALSE)),0),0)</f>
        <v>0</v>
      </c>
      <c r="H15" s="19">
        <f>IF(AND('Fuel Equipment'!H$44&gt;0,'Fuel Equipment'!H$45&gt;0),IF(AND($A15&gt;='Fuel Equipment'!H$17,$A15&lt;='Fuel Equipment'!H$18),('Fuel Equipment'!H$19*'Fuel Equipment'!H$20*'Fuel Equipment'!H$21)*('Fuel Equipment'!H$45-'Fuel Equipment'!H$44)*
(VLOOKUP(IF('Fuel Equipment'!H$22=Report!$A$25,Report!$A$19,'Fuel Equipment'!H$22),Report!$A$18:$L$34,'Actual-CO2 Calculations'!$AK18,FALSE)),0),0)</f>
        <v>0</v>
      </c>
      <c r="I15" s="19">
        <f>IF(AND('Fuel Equipment'!I$44&gt;0,'Fuel Equipment'!I$45&gt;0),IF(AND($A15&gt;='Fuel Equipment'!I$17,$A15&lt;='Fuel Equipment'!I$18),('Fuel Equipment'!I$19*'Fuel Equipment'!I$20*'Fuel Equipment'!I$21)*('Fuel Equipment'!I$45-'Fuel Equipment'!I$44)*
(VLOOKUP(IF('Fuel Equipment'!I$22=Report!$A$25,Report!$A$19,'Fuel Equipment'!I$22),Report!$A$18:$L$34,'Actual-CO2 Calculations'!$AK18,FALSE)),0),0)</f>
        <v>0</v>
      </c>
      <c r="J15" s="19">
        <f>IF(AND('Fuel Equipment'!J$44&gt;0,'Fuel Equipment'!J$45&gt;0),IF(AND($A15&gt;='Fuel Equipment'!J$17,$A15&lt;='Fuel Equipment'!J$18),('Fuel Equipment'!J$19*'Fuel Equipment'!J$20*'Fuel Equipment'!J$21)*('Fuel Equipment'!J$45-'Fuel Equipment'!J$44)*
(VLOOKUP(IF('Fuel Equipment'!J$22=Report!$A$25,Report!$A$19,'Fuel Equipment'!J$22),Report!$A$18:$L$34,'Actual-CO2 Calculations'!$AK18,FALSE)),0),0)</f>
        <v>0</v>
      </c>
      <c r="K15" s="19">
        <f>IF(AND('Fuel Equipment'!K$44&gt;0,'Fuel Equipment'!K$45&gt;0),IF(AND($A15&gt;='Fuel Equipment'!K$17,$A15&lt;='Fuel Equipment'!K$18),('Fuel Equipment'!K$19*'Fuel Equipment'!K$20*'Fuel Equipment'!K$21)*('Fuel Equipment'!K$45-'Fuel Equipment'!K$44)*
(VLOOKUP(IF('Fuel Equipment'!K$22=Report!$A$25,Report!$A$19,'Fuel Equipment'!K$22),Report!$A$18:$L$34,'Actual-CO2 Calculations'!$AK18,FALSE)),0),0)</f>
        <v>0</v>
      </c>
      <c r="L15" s="19">
        <f>IF(AND('Fuel Equipment'!L$44&gt;0,'Fuel Equipment'!L$45&gt;0),IF(AND($A15&gt;='Fuel Equipment'!L$17,$A15&lt;='Fuel Equipment'!L$18),('Fuel Equipment'!L$19*'Fuel Equipment'!L$20*'Fuel Equipment'!L$21)*('Fuel Equipment'!L$45-'Fuel Equipment'!L$44)*
(VLOOKUP(IF('Fuel Equipment'!L$22=Report!$A$25,Report!$A$19,'Fuel Equipment'!L$22),Report!$A$18:$L$34,'Actual-CO2 Calculations'!$AK18,FALSE)),0),0)</f>
        <v>0</v>
      </c>
      <c r="M15" s="19">
        <f>IF(AND('Fuel Equipment'!M$44&gt;0,'Fuel Equipment'!M$45&gt;0),IF(AND($A15&gt;='Fuel Equipment'!M$17,$A15&lt;='Fuel Equipment'!M$18),('Fuel Equipment'!M$19*'Fuel Equipment'!M$20*'Fuel Equipment'!M$21)*('Fuel Equipment'!M$45-'Fuel Equipment'!M$44)*
(VLOOKUP(IF('Fuel Equipment'!M$22=Report!$A$25,Report!$A$19,'Fuel Equipment'!M$22),Report!$A$18:$L$34,'Actual-CO2 Calculations'!$AK18,FALSE)),0),0)</f>
        <v>0</v>
      </c>
      <c r="N15" s="19">
        <f>IF(AND('Fuel Equipment'!N$44&gt;0,'Fuel Equipment'!N$45&gt;0),IF(AND($A15&gt;='Fuel Equipment'!N$17,$A15&lt;='Fuel Equipment'!N$18),('Fuel Equipment'!N$19*'Fuel Equipment'!N$20*'Fuel Equipment'!N$21)*('Fuel Equipment'!N$45-'Fuel Equipment'!N$44)*
(VLOOKUP(IF('Fuel Equipment'!N$22=Report!$A$25,Report!$A$19,'Fuel Equipment'!N$22),Report!$A$18:$L$34,'Actual-CO2 Calculations'!$AK18,FALSE)),0),0)</f>
        <v>0</v>
      </c>
      <c r="O15" s="19">
        <f>IF(AND('Fuel Equipment'!O$44&gt;0,'Fuel Equipment'!O$45&gt;0),IF(AND($A15&gt;='Fuel Equipment'!O$17,$A15&lt;='Fuel Equipment'!O$18),('Fuel Equipment'!O$19*'Fuel Equipment'!O$20*'Fuel Equipment'!O$21)*('Fuel Equipment'!O$45-'Fuel Equipment'!O$44)*
(VLOOKUP(IF('Fuel Equipment'!O$22=Report!$A$25,Report!$A$19,'Fuel Equipment'!O$22),Report!$A$18:$L$34,'Actual-CO2 Calculations'!$AK18,FALSE)),0),0)</f>
        <v>0</v>
      </c>
      <c r="P15" s="19">
        <f>IF(AND('Fuel Equipment'!P$44&gt;0,'Fuel Equipment'!P$45&gt;0),IF(AND($A15&gt;='Fuel Equipment'!P$17,$A15&lt;='Fuel Equipment'!P$18),('Fuel Equipment'!P$19*'Fuel Equipment'!P$20*'Fuel Equipment'!P$21)*('Fuel Equipment'!P$45-'Fuel Equipment'!P$44)*
(VLOOKUP(IF('Fuel Equipment'!P$22=Report!$A$25,Report!$A$19,'Fuel Equipment'!P$22),Report!$A$18:$L$34,'Actual-CO2 Calculations'!$AK18,FALSE)),0),0)</f>
        <v>0</v>
      </c>
      <c r="Q15" s="19">
        <f>IF(AND('Fuel Equipment'!Q$44&gt;0,'Fuel Equipment'!Q$45&gt;0),IF(AND($A15&gt;='Fuel Equipment'!Q$17,$A15&lt;='Fuel Equipment'!Q$18),('Fuel Equipment'!Q$19*'Fuel Equipment'!Q$20*'Fuel Equipment'!Q$21)*('Fuel Equipment'!Q$45-'Fuel Equipment'!Q$44)*
(VLOOKUP(IF('Fuel Equipment'!Q$22=Report!$A$25,Report!$A$19,'Fuel Equipment'!Q$22),Report!$A$18:$L$34,'Actual-CO2 Calculations'!$AK18,FALSE)),0),0)</f>
        <v>0</v>
      </c>
      <c r="R15" s="19">
        <f>IF(AND('Fuel Equipment'!R$44&gt;0,'Fuel Equipment'!R$45&gt;0),IF(AND($A15&gt;='Fuel Equipment'!R$17,$A15&lt;='Fuel Equipment'!R$18),('Fuel Equipment'!R$19*'Fuel Equipment'!R$20*'Fuel Equipment'!R$21)*('Fuel Equipment'!R$45-'Fuel Equipment'!R$44)*
(VLOOKUP(IF('Fuel Equipment'!R$22=Report!$A$25,Report!$A$19,'Fuel Equipment'!R$22),Report!$A$18:$L$34,'Actual-CO2 Calculations'!$AK18,FALSE)),0),0)</f>
        <v>0</v>
      </c>
      <c r="S15" s="19">
        <f>IF(AND('Fuel Equipment'!S$44&gt;0,'Fuel Equipment'!S$45&gt;0),IF(AND($A15&gt;='Fuel Equipment'!S$17,$A15&lt;='Fuel Equipment'!S$18),('Fuel Equipment'!S$19*'Fuel Equipment'!S$20*'Fuel Equipment'!S$21)*('Fuel Equipment'!S$45-'Fuel Equipment'!S$44)*
(VLOOKUP(IF('Fuel Equipment'!S$22=Report!$A$25,Report!$A$19,'Fuel Equipment'!S$22),Report!$A$18:$L$34,'Actual-CO2 Calculations'!$AK18,FALSE)),0),0)</f>
        <v>0</v>
      </c>
      <c r="V15" s="671">
        <f t="shared" si="0"/>
        <v>0</v>
      </c>
    </row>
    <row r="16" spans="1:22">
      <c r="A16" s="21" t="s">
        <v>41</v>
      </c>
      <c r="B16" s="19">
        <f>IF(AND('Fuel Equipment'!B$44&gt;0,'Fuel Equipment'!B$45&gt;0),IF(AND($A16&gt;='Fuel Equipment'!B$17,$A16&lt;='Fuel Equipment'!B$18),('Fuel Equipment'!B$19*'Fuel Equipment'!B$20*'Fuel Equipment'!B$21)*('Fuel Equipment'!B$45-'Fuel Equipment'!B$44)*
(VLOOKUP(IF('Fuel Equipment'!B$22=Report!$A$25,Report!$A$19,'Fuel Equipment'!B$22),Report!$A$18:$L$34,'Actual-CO2 Calculations'!$AK19,FALSE)),0),0)</f>
        <v>0</v>
      </c>
      <c r="C16" s="19">
        <f>IF(AND('Fuel Equipment'!C$44&gt;0,'Fuel Equipment'!C$45&gt;0),IF(AND($A16&gt;='Fuel Equipment'!C$17,$A16&lt;='Fuel Equipment'!C$18),('Fuel Equipment'!C$19*'Fuel Equipment'!C$20*'Fuel Equipment'!C$21)*('Fuel Equipment'!C$45-'Fuel Equipment'!C$44)*
(VLOOKUP(IF('Fuel Equipment'!C$22=Report!$A$25,Report!$A$19,'Fuel Equipment'!C$22),Report!$A$18:$L$34,'Actual-CO2 Calculations'!$AK19,FALSE)),0),0)</f>
        <v>0</v>
      </c>
      <c r="D16" s="19">
        <f>IF(AND('Fuel Equipment'!D$44&gt;0,'Fuel Equipment'!D$45&gt;0),IF(AND($A16&gt;='Fuel Equipment'!D$17,$A16&lt;='Fuel Equipment'!D$18),('Fuel Equipment'!D$19*'Fuel Equipment'!D$20*'Fuel Equipment'!D$21)*('Fuel Equipment'!D$45-'Fuel Equipment'!D$44)*
(VLOOKUP(IF('Fuel Equipment'!D$22=Report!$A$25,Report!$A$19,'Fuel Equipment'!D$22),Report!$A$18:$L$34,'Actual-CO2 Calculations'!$AK19,FALSE)),0),0)</f>
        <v>0</v>
      </c>
      <c r="E16" s="19">
        <f>IF(AND('Fuel Equipment'!E$44&gt;0,'Fuel Equipment'!E$45&gt;0),IF(AND($A16&gt;='Fuel Equipment'!E$17,$A16&lt;='Fuel Equipment'!E$18),('Fuel Equipment'!E$19*'Fuel Equipment'!E$20*'Fuel Equipment'!E$21)*('Fuel Equipment'!E$45-'Fuel Equipment'!E$44)*
(VLOOKUP(IF('Fuel Equipment'!E$22=Report!$A$25,Report!$A$19,'Fuel Equipment'!E$22),Report!$A$18:$L$34,'Actual-CO2 Calculations'!$AK19,FALSE)),0),0)</f>
        <v>0</v>
      </c>
      <c r="F16" s="19">
        <f>IF(AND('Fuel Equipment'!F$44&gt;0,'Fuel Equipment'!F$45&gt;0),IF(AND($A16&gt;='Fuel Equipment'!F$17,$A16&lt;='Fuel Equipment'!F$18),('Fuel Equipment'!F$19*'Fuel Equipment'!F$20*'Fuel Equipment'!F$21)*('Fuel Equipment'!F$45-'Fuel Equipment'!F$44)*
(VLOOKUP(IF('Fuel Equipment'!F$22=Report!$A$25,Report!$A$19,'Fuel Equipment'!F$22),Report!$A$18:$L$34,'Actual-CO2 Calculations'!$AK19,FALSE)),0),0)</f>
        <v>0</v>
      </c>
      <c r="G16" s="19">
        <f>IF(AND('Fuel Equipment'!G$44&gt;0,'Fuel Equipment'!G$45&gt;0),IF(AND($A16&gt;='Fuel Equipment'!G$17,$A16&lt;='Fuel Equipment'!G$18),('Fuel Equipment'!G$19*'Fuel Equipment'!G$20*'Fuel Equipment'!G$21)*('Fuel Equipment'!G$45-'Fuel Equipment'!G$44)*
(VLOOKUP(IF('Fuel Equipment'!G$22=Report!$A$25,Report!$A$19,'Fuel Equipment'!G$22),Report!$A$18:$L$34,'Actual-CO2 Calculations'!$AK19,FALSE)),0),0)</f>
        <v>0</v>
      </c>
      <c r="H16" s="19">
        <f>IF(AND('Fuel Equipment'!H$44&gt;0,'Fuel Equipment'!H$45&gt;0),IF(AND($A16&gt;='Fuel Equipment'!H$17,$A16&lt;='Fuel Equipment'!H$18),('Fuel Equipment'!H$19*'Fuel Equipment'!H$20*'Fuel Equipment'!H$21)*('Fuel Equipment'!H$45-'Fuel Equipment'!H$44)*
(VLOOKUP(IF('Fuel Equipment'!H$22=Report!$A$25,Report!$A$19,'Fuel Equipment'!H$22),Report!$A$18:$L$34,'Actual-CO2 Calculations'!$AK19,FALSE)),0),0)</f>
        <v>0</v>
      </c>
      <c r="I16" s="19">
        <f>IF(AND('Fuel Equipment'!I$44&gt;0,'Fuel Equipment'!I$45&gt;0),IF(AND($A16&gt;='Fuel Equipment'!I$17,$A16&lt;='Fuel Equipment'!I$18),('Fuel Equipment'!I$19*'Fuel Equipment'!I$20*'Fuel Equipment'!I$21)*('Fuel Equipment'!I$45-'Fuel Equipment'!I$44)*
(VLOOKUP(IF('Fuel Equipment'!I$22=Report!$A$25,Report!$A$19,'Fuel Equipment'!I$22),Report!$A$18:$L$34,'Actual-CO2 Calculations'!$AK19,FALSE)),0),0)</f>
        <v>0</v>
      </c>
      <c r="J16" s="19">
        <f>IF(AND('Fuel Equipment'!J$44&gt;0,'Fuel Equipment'!J$45&gt;0),IF(AND($A16&gt;='Fuel Equipment'!J$17,$A16&lt;='Fuel Equipment'!J$18),('Fuel Equipment'!J$19*'Fuel Equipment'!J$20*'Fuel Equipment'!J$21)*('Fuel Equipment'!J$45-'Fuel Equipment'!J$44)*
(VLOOKUP(IF('Fuel Equipment'!J$22=Report!$A$25,Report!$A$19,'Fuel Equipment'!J$22),Report!$A$18:$L$34,'Actual-CO2 Calculations'!$AK19,FALSE)),0),0)</f>
        <v>0</v>
      </c>
      <c r="K16" s="19">
        <f>IF(AND('Fuel Equipment'!K$44&gt;0,'Fuel Equipment'!K$45&gt;0),IF(AND($A16&gt;='Fuel Equipment'!K$17,$A16&lt;='Fuel Equipment'!K$18),('Fuel Equipment'!K$19*'Fuel Equipment'!K$20*'Fuel Equipment'!K$21)*('Fuel Equipment'!K$45-'Fuel Equipment'!K$44)*
(VLOOKUP(IF('Fuel Equipment'!K$22=Report!$A$25,Report!$A$19,'Fuel Equipment'!K$22),Report!$A$18:$L$34,'Actual-CO2 Calculations'!$AK19,FALSE)),0),0)</f>
        <v>0</v>
      </c>
      <c r="L16" s="19">
        <f>IF(AND('Fuel Equipment'!L$44&gt;0,'Fuel Equipment'!L$45&gt;0),IF(AND($A16&gt;='Fuel Equipment'!L$17,$A16&lt;='Fuel Equipment'!L$18),('Fuel Equipment'!L$19*'Fuel Equipment'!L$20*'Fuel Equipment'!L$21)*('Fuel Equipment'!L$45-'Fuel Equipment'!L$44)*
(VLOOKUP(IF('Fuel Equipment'!L$22=Report!$A$25,Report!$A$19,'Fuel Equipment'!L$22),Report!$A$18:$L$34,'Actual-CO2 Calculations'!$AK19,FALSE)),0),0)</f>
        <v>0</v>
      </c>
      <c r="M16" s="19">
        <f>IF(AND('Fuel Equipment'!M$44&gt;0,'Fuel Equipment'!M$45&gt;0),IF(AND($A16&gt;='Fuel Equipment'!M$17,$A16&lt;='Fuel Equipment'!M$18),('Fuel Equipment'!M$19*'Fuel Equipment'!M$20*'Fuel Equipment'!M$21)*('Fuel Equipment'!M$45-'Fuel Equipment'!M$44)*
(VLOOKUP(IF('Fuel Equipment'!M$22=Report!$A$25,Report!$A$19,'Fuel Equipment'!M$22),Report!$A$18:$L$34,'Actual-CO2 Calculations'!$AK19,FALSE)),0),0)</f>
        <v>0</v>
      </c>
      <c r="N16" s="19">
        <f>IF(AND('Fuel Equipment'!N$44&gt;0,'Fuel Equipment'!N$45&gt;0),IF(AND($A16&gt;='Fuel Equipment'!N$17,$A16&lt;='Fuel Equipment'!N$18),('Fuel Equipment'!N$19*'Fuel Equipment'!N$20*'Fuel Equipment'!N$21)*('Fuel Equipment'!N$45-'Fuel Equipment'!N$44)*
(VLOOKUP(IF('Fuel Equipment'!N$22=Report!$A$25,Report!$A$19,'Fuel Equipment'!N$22),Report!$A$18:$L$34,'Actual-CO2 Calculations'!$AK19,FALSE)),0),0)</f>
        <v>0</v>
      </c>
      <c r="O16" s="19">
        <f>IF(AND('Fuel Equipment'!O$44&gt;0,'Fuel Equipment'!O$45&gt;0),IF(AND($A16&gt;='Fuel Equipment'!O$17,$A16&lt;='Fuel Equipment'!O$18),('Fuel Equipment'!O$19*'Fuel Equipment'!O$20*'Fuel Equipment'!O$21)*('Fuel Equipment'!O$45-'Fuel Equipment'!O$44)*
(VLOOKUP(IF('Fuel Equipment'!O$22=Report!$A$25,Report!$A$19,'Fuel Equipment'!O$22),Report!$A$18:$L$34,'Actual-CO2 Calculations'!$AK19,FALSE)),0),0)</f>
        <v>0</v>
      </c>
      <c r="P16" s="19">
        <f>IF(AND('Fuel Equipment'!P$44&gt;0,'Fuel Equipment'!P$45&gt;0),IF(AND($A16&gt;='Fuel Equipment'!P$17,$A16&lt;='Fuel Equipment'!P$18),('Fuel Equipment'!P$19*'Fuel Equipment'!P$20*'Fuel Equipment'!P$21)*('Fuel Equipment'!P$45-'Fuel Equipment'!P$44)*
(VLOOKUP(IF('Fuel Equipment'!P$22=Report!$A$25,Report!$A$19,'Fuel Equipment'!P$22),Report!$A$18:$L$34,'Actual-CO2 Calculations'!$AK19,FALSE)),0),0)</f>
        <v>0</v>
      </c>
      <c r="Q16" s="19">
        <f>IF(AND('Fuel Equipment'!Q$44&gt;0,'Fuel Equipment'!Q$45&gt;0),IF(AND($A16&gt;='Fuel Equipment'!Q$17,$A16&lt;='Fuel Equipment'!Q$18),('Fuel Equipment'!Q$19*'Fuel Equipment'!Q$20*'Fuel Equipment'!Q$21)*('Fuel Equipment'!Q$45-'Fuel Equipment'!Q$44)*
(VLOOKUP(IF('Fuel Equipment'!Q$22=Report!$A$25,Report!$A$19,'Fuel Equipment'!Q$22),Report!$A$18:$L$34,'Actual-CO2 Calculations'!$AK19,FALSE)),0),0)</f>
        <v>0</v>
      </c>
      <c r="R16" s="19">
        <f>IF(AND('Fuel Equipment'!R$44&gt;0,'Fuel Equipment'!R$45&gt;0),IF(AND($A16&gt;='Fuel Equipment'!R$17,$A16&lt;='Fuel Equipment'!R$18),('Fuel Equipment'!R$19*'Fuel Equipment'!R$20*'Fuel Equipment'!R$21)*('Fuel Equipment'!R$45-'Fuel Equipment'!R$44)*
(VLOOKUP(IF('Fuel Equipment'!R$22=Report!$A$25,Report!$A$19,'Fuel Equipment'!R$22),Report!$A$18:$L$34,'Actual-CO2 Calculations'!$AK19,FALSE)),0),0)</f>
        <v>0</v>
      </c>
      <c r="S16" s="19">
        <f>IF(AND('Fuel Equipment'!S$44&gt;0,'Fuel Equipment'!S$45&gt;0),IF(AND($A16&gt;='Fuel Equipment'!S$17,$A16&lt;='Fuel Equipment'!S$18),('Fuel Equipment'!S$19*'Fuel Equipment'!S$20*'Fuel Equipment'!S$21)*('Fuel Equipment'!S$45-'Fuel Equipment'!S$44)*
(VLOOKUP(IF('Fuel Equipment'!S$22=Report!$A$25,Report!$A$19,'Fuel Equipment'!S$22),Report!$A$18:$L$34,'Actual-CO2 Calculations'!$AK19,FALSE)),0),0)</f>
        <v>0</v>
      </c>
      <c r="V16" s="671">
        <f t="shared" si="0"/>
        <v>0</v>
      </c>
    </row>
    <row r="17" spans="1:22">
      <c r="A17" s="21" t="s">
        <v>42</v>
      </c>
      <c r="B17" s="19">
        <f>IF(AND('Fuel Equipment'!B$44&gt;0,'Fuel Equipment'!B$45&gt;0),IF(AND($A17&gt;='Fuel Equipment'!B$17,$A17&lt;='Fuel Equipment'!B$18),('Fuel Equipment'!B$19*'Fuel Equipment'!B$20*'Fuel Equipment'!B$21)*('Fuel Equipment'!B$45-'Fuel Equipment'!B$44)*
(VLOOKUP(IF('Fuel Equipment'!B$22=Report!$A$25,Report!$A$19,'Fuel Equipment'!B$22),Report!$A$18:$L$34,'Actual-CO2 Calculations'!$AK20,FALSE)),0),0)</f>
        <v>0</v>
      </c>
      <c r="C17" s="19">
        <f>IF(AND('Fuel Equipment'!C$44&gt;0,'Fuel Equipment'!C$45&gt;0),IF(AND($A17&gt;='Fuel Equipment'!C$17,$A17&lt;='Fuel Equipment'!C$18),('Fuel Equipment'!C$19*'Fuel Equipment'!C$20*'Fuel Equipment'!C$21)*('Fuel Equipment'!C$45-'Fuel Equipment'!C$44)*
(VLOOKUP(IF('Fuel Equipment'!C$22=Report!$A$25,Report!$A$19,'Fuel Equipment'!C$22),Report!$A$18:$L$34,'Actual-CO2 Calculations'!$AK20,FALSE)),0),0)</f>
        <v>0</v>
      </c>
      <c r="D17" s="19">
        <f>IF(AND('Fuel Equipment'!D$44&gt;0,'Fuel Equipment'!D$45&gt;0),IF(AND($A17&gt;='Fuel Equipment'!D$17,$A17&lt;='Fuel Equipment'!D$18),('Fuel Equipment'!D$19*'Fuel Equipment'!D$20*'Fuel Equipment'!D$21)*('Fuel Equipment'!D$45-'Fuel Equipment'!D$44)*
(VLOOKUP(IF('Fuel Equipment'!D$22=Report!$A$25,Report!$A$19,'Fuel Equipment'!D$22),Report!$A$18:$L$34,'Actual-CO2 Calculations'!$AK20,FALSE)),0),0)</f>
        <v>0</v>
      </c>
      <c r="E17" s="19">
        <f>IF(AND('Fuel Equipment'!E$44&gt;0,'Fuel Equipment'!E$45&gt;0),IF(AND($A17&gt;='Fuel Equipment'!E$17,$A17&lt;='Fuel Equipment'!E$18),('Fuel Equipment'!E$19*'Fuel Equipment'!E$20*'Fuel Equipment'!E$21)*('Fuel Equipment'!E$45-'Fuel Equipment'!E$44)*
(VLOOKUP(IF('Fuel Equipment'!E$22=Report!$A$25,Report!$A$19,'Fuel Equipment'!E$22),Report!$A$18:$L$34,'Actual-CO2 Calculations'!$AK20,FALSE)),0),0)</f>
        <v>0</v>
      </c>
      <c r="F17" s="19">
        <f>IF(AND('Fuel Equipment'!F$44&gt;0,'Fuel Equipment'!F$45&gt;0),IF(AND($A17&gt;='Fuel Equipment'!F$17,$A17&lt;='Fuel Equipment'!F$18),('Fuel Equipment'!F$19*'Fuel Equipment'!F$20*'Fuel Equipment'!F$21)*('Fuel Equipment'!F$45-'Fuel Equipment'!F$44)*
(VLOOKUP(IF('Fuel Equipment'!F$22=Report!$A$25,Report!$A$19,'Fuel Equipment'!F$22),Report!$A$18:$L$34,'Actual-CO2 Calculations'!$AK20,FALSE)),0),0)</f>
        <v>0</v>
      </c>
      <c r="G17" s="19">
        <f>IF(AND('Fuel Equipment'!G$44&gt;0,'Fuel Equipment'!G$45&gt;0),IF(AND($A17&gt;='Fuel Equipment'!G$17,$A17&lt;='Fuel Equipment'!G$18),('Fuel Equipment'!G$19*'Fuel Equipment'!G$20*'Fuel Equipment'!G$21)*('Fuel Equipment'!G$45-'Fuel Equipment'!G$44)*
(VLOOKUP(IF('Fuel Equipment'!G$22=Report!$A$25,Report!$A$19,'Fuel Equipment'!G$22),Report!$A$18:$L$34,'Actual-CO2 Calculations'!$AK20,FALSE)),0),0)</f>
        <v>0</v>
      </c>
      <c r="H17" s="19">
        <f>IF(AND('Fuel Equipment'!H$44&gt;0,'Fuel Equipment'!H$45&gt;0),IF(AND($A17&gt;='Fuel Equipment'!H$17,$A17&lt;='Fuel Equipment'!H$18),('Fuel Equipment'!H$19*'Fuel Equipment'!H$20*'Fuel Equipment'!H$21)*('Fuel Equipment'!H$45-'Fuel Equipment'!H$44)*
(VLOOKUP(IF('Fuel Equipment'!H$22=Report!$A$25,Report!$A$19,'Fuel Equipment'!H$22),Report!$A$18:$L$34,'Actual-CO2 Calculations'!$AK20,FALSE)),0),0)</f>
        <v>0</v>
      </c>
      <c r="I17" s="19">
        <f>IF(AND('Fuel Equipment'!I$44&gt;0,'Fuel Equipment'!I$45&gt;0),IF(AND($A17&gt;='Fuel Equipment'!I$17,$A17&lt;='Fuel Equipment'!I$18),('Fuel Equipment'!I$19*'Fuel Equipment'!I$20*'Fuel Equipment'!I$21)*('Fuel Equipment'!I$45-'Fuel Equipment'!I$44)*
(VLOOKUP(IF('Fuel Equipment'!I$22=Report!$A$25,Report!$A$19,'Fuel Equipment'!I$22),Report!$A$18:$L$34,'Actual-CO2 Calculations'!$AK20,FALSE)),0),0)</f>
        <v>0</v>
      </c>
      <c r="J17" s="19">
        <f>IF(AND('Fuel Equipment'!J$44&gt;0,'Fuel Equipment'!J$45&gt;0),IF(AND($A17&gt;='Fuel Equipment'!J$17,$A17&lt;='Fuel Equipment'!J$18),('Fuel Equipment'!J$19*'Fuel Equipment'!J$20*'Fuel Equipment'!J$21)*('Fuel Equipment'!J$45-'Fuel Equipment'!J$44)*
(VLOOKUP(IF('Fuel Equipment'!J$22=Report!$A$25,Report!$A$19,'Fuel Equipment'!J$22),Report!$A$18:$L$34,'Actual-CO2 Calculations'!$AK20,FALSE)),0),0)</f>
        <v>0</v>
      </c>
      <c r="K17" s="19">
        <f>IF(AND('Fuel Equipment'!K$44&gt;0,'Fuel Equipment'!K$45&gt;0),IF(AND($A17&gt;='Fuel Equipment'!K$17,$A17&lt;='Fuel Equipment'!K$18),('Fuel Equipment'!K$19*'Fuel Equipment'!K$20*'Fuel Equipment'!K$21)*('Fuel Equipment'!K$45-'Fuel Equipment'!K$44)*
(VLOOKUP(IF('Fuel Equipment'!K$22=Report!$A$25,Report!$A$19,'Fuel Equipment'!K$22),Report!$A$18:$L$34,'Actual-CO2 Calculations'!$AK20,FALSE)),0),0)</f>
        <v>0</v>
      </c>
      <c r="L17" s="19">
        <f>IF(AND('Fuel Equipment'!L$44&gt;0,'Fuel Equipment'!L$45&gt;0),IF(AND($A17&gt;='Fuel Equipment'!L$17,$A17&lt;='Fuel Equipment'!L$18),('Fuel Equipment'!L$19*'Fuel Equipment'!L$20*'Fuel Equipment'!L$21)*('Fuel Equipment'!L$45-'Fuel Equipment'!L$44)*
(VLOOKUP(IF('Fuel Equipment'!L$22=Report!$A$25,Report!$A$19,'Fuel Equipment'!L$22),Report!$A$18:$L$34,'Actual-CO2 Calculations'!$AK20,FALSE)),0),0)</f>
        <v>0</v>
      </c>
      <c r="M17" s="19">
        <f>IF(AND('Fuel Equipment'!M$44&gt;0,'Fuel Equipment'!M$45&gt;0),IF(AND($A17&gt;='Fuel Equipment'!M$17,$A17&lt;='Fuel Equipment'!M$18),('Fuel Equipment'!M$19*'Fuel Equipment'!M$20*'Fuel Equipment'!M$21)*('Fuel Equipment'!M$45-'Fuel Equipment'!M$44)*
(VLOOKUP(IF('Fuel Equipment'!M$22=Report!$A$25,Report!$A$19,'Fuel Equipment'!M$22),Report!$A$18:$L$34,'Actual-CO2 Calculations'!$AK20,FALSE)),0),0)</f>
        <v>0</v>
      </c>
      <c r="N17" s="19">
        <f>IF(AND('Fuel Equipment'!N$44&gt;0,'Fuel Equipment'!N$45&gt;0),IF(AND($A17&gt;='Fuel Equipment'!N$17,$A17&lt;='Fuel Equipment'!N$18),('Fuel Equipment'!N$19*'Fuel Equipment'!N$20*'Fuel Equipment'!N$21)*('Fuel Equipment'!N$45-'Fuel Equipment'!N$44)*
(VLOOKUP(IF('Fuel Equipment'!N$22=Report!$A$25,Report!$A$19,'Fuel Equipment'!N$22),Report!$A$18:$L$34,'Actual-CO2 Calculations'!$AK20,FALSE)),0),0)</f>
        <v>0</v>
      </c>
      <c r="O17" s="19">
        <f>IF(AND('Fuel Equipment'!O$44&gt;0,'Fuel Equipment'!O$45&gt;0),IF(AND($A17&gt;='Fuel Equipment'!O$17,$A17&lt;='Fuel Equipment'!O$18),('Fuel Equipment'!O$19*'Fuel Equipment'!O$20*'Fuel Equipment'!O$21)*('Fuel Equipment'!O$45-'Fuel Equipment'!O$44)*
(VLOOKUP(IF('Fuel Equipment'!O$22=Report!$A$25,Report!$A$19,'Fuel Equipment'!O$22),Report!$A$18:$L$34,'Actual-CO2 Calculations'!$AK20,FALSE)),0),0)</f>
        <v>0</v>
      </c>
      <c r="P17" s="19">
        <f>IF(AND('Fuel Equipment'!P$44&gt;0,'Fuel Equipment'!P$45&gt;0),IF(AND($A17&gt;='Fuel Equipment'!P$17,$A17&lt;='Fuel Equipment'!P$18),('Fuel Equipment'!P$19*'Fuel Equipment'!P$20*'Fuel Equipment'!P$21)*('Fuel Equipment'!P$45-'Fuel Equipment'!P$44)*
(VLOOKUP(IF('Fuel Equipment'!P$22=Report!$A$25,Report!$A$19,'Fuel Equipment'!P$22),Report!$A$18:$L$34,'Actual-CO2 Calculations'!$AK20,FALSE)),0),0)</f>
        <v>0</v>
      </c>
      <c r="Q17" s="19">
        <f>IF(AND('Fuel Equipment'!Q$44&gt;0,'Fuel Equipment'!Q$45&gt;0),IF(AND($A17&gt;='Fuel Equipment'!Q$17,$A17&lt;='Fuel Equipment'!Q$18),('Fuel Equipment'!Q$19*'Fuel Equipment'!Q$20*'Fuel Equipment'!Q$21)*('Fuel Equipment'!Q$45-'Fuel Equipment'!Q$44)*
(VLOOKUP(IF('Fuel Equipment'!Q$22=Report!$A$25,Report!$A$19,'Fuel Equipment'!Q$22),Report!$A$18:$L$34,'Actual-CO2 Calculations'!$AK20,FALSE)),0),0)</f>
        <v>0</v>
      </c>
      <c r="R17" s="19">
        <f>IF(AND('Fuel Equipment'!R$44&gt;0,'Fuel Equipment'!R$45&gt;0),IF(AND($A17&gt;='Fuel Equipment'!R$17,$A17&lt;='Fuel Equipment'!R$18),('Fuel Equipment'!R$19*'Fuel Equipment'!R$20*'Fuel Equipment'!R$21)*('Fuel Equipment'!R$45-'Fuel Equipment'!R$44)*
(VLOOKUP(IF('Fuel Equipment'!R$22=Report!$A$25,Report!$A$19,'Fuel Equipment'!R$22),Report!$A$18:$L$34,'Actual-CO2 Calculations'!$AK20,FALSE)),0),0)</f>
        <v>0</v>
      </c>
      <c r="S17" s="19">
        <f>IF(AND('Fuel Equipment'!S$44&gt;0,'Fuel Equipment'!S$45&gt;0),IF(AND($A17&gt;='Fuel Equipment'!S$17,$A17&lt;='Fuel Equipment'!S$18),('Fuel Equipment'!S$19*'Fuel Equipment'!S$20*'Fuel Equipment'!S$21)*('Fuel Equipment'!S$45-'Fuel Equipment'!S$44)*
(VLOOKUP(IF('Fuel Equipment'!S$22=Report!$A$25,Report!$A$19,'Fuel Equipment'!S$22),Report!$A$18:$L$34,'Actual-CO2 Calculations'!$AK20,FALSE)),0),0)</f>
        <v>0</v>
      </c>
      <c r="V17" s="671">
        <f t="shared" si="0"/>
        <v>0</v>
      </c>
    </row>
    <row r="18" spans="1:22">
      <c r="A18" s="21" t="s">
        <v>43</v>
      </c>
      <c r="B18" s="19">
        <f>IF(AND('Fuel Equipment'!B$44&gt;0,'Fuel Equipment'!B$45&gt;0),IF(AND($A18&gt;='Fuel Equipment'!B$17,$A18&lt;='Fuel Equipment'!B$18),('Fuel Equipment'!B$19*'Fuel Equipment'!B$20*'Fuel Equipment'!B$21)*('Fuel Equipment'!B$45-'Fuel Equipment'!B$44)*
(VLOOKUP(IF('Fuel Equipment'!B$22=Report!$A$25,Report!$A$19,'Fuel Equipment'!B$22),Report!$A$18:$L$34,'Actual-CO2 Calculations'!$AK21,FALSE)),0),0)</f>
        <v>0</v>
      </c>
      <c r="C18" s="19">
        <f>IF(AND('Fuel Equipment'!C$44&gt;0,'Fuel Equipment'!C$45&gt;0),IF(AND($A18&gt;='Fuel Equipment'!C$17,$A18&lt;='Fuel Equipment'!C$18),('Fuel Equipment'!C$19*'Fuel Equipment'!C$20*'Fuel Equipment'!C$21)*('Fuel Equipment'!C$45-'Fuel Equipment'!C$44)*
(VLOOKUP(IF('Fuel Equipment'!C$22=Report!$A$25,Report!$A$19,'Fuel Equipment'!C$22),Report!$A$18:$L$34,'Actual-CO2 Calculations'!$AK21,FALSE)),0),0)</f>
        <v>0</v>
      </c>
      <c r="D18" s="19">
        <f>IF(AND('Fuel Equipment'!D$44&gt;0,'Fuel Equipment'!D$45&gt;0),IF(AND($A18&gt;='Fuel Equipment'!D$17,$A18&lt;='Fuel Equipment'!D$18),('Fuel Equipment'!D$19*'Fuel Equipment'!D$20*'Fuel Equipment'!D$21)*('Fuel Equipment'!D$45-'Fuel Equipment'!D$44)*
(VLOOKUP(IF('Fuel Equipment'!D$22=Report!$A$25,Report!$A$19,'Fuel Equipment'!D$22),Report!$A$18:$L$34,'Actual-CO2 Calculations'!$AK21,FALSE)),0),0)</f>
        <v>0</v>
      </c>
      <c r="E18" s="19">
        <f>IF(AND('Fuel Equipment'!E$44&gt;0,'Fuel Equipment'!E$45&gt;0),IF(AND($A18&gt;='Fuel Equipment'!E$17,$A18&lt;='Fuel Equipment'!E$18),('Fuel Equipment'!E$19*'Fuel Equipment'!E$20*'Fuel Equipment'!E$21)*('Fuel Equipment'!E$45-'Fuel Equipment'!E$44)*
(VLOOKUP(IF('Fuel Equipment'!E$22=Report!$A$25,Report!$A$19,'Fuel Equipment'!E$22),Report!$A$18:$L$34,'Actual-CO2 Calculations'!$AK21,FALSE)),0),0)</f>
        <v>0</v>
      </c>
      <c r="F18" s="19">
        <f>IF(AND('Fuel Equipment'!F$44&gt;0,'Fuel Equipment'!F$45&gt;0),IF(AND($A18&gt;='Fuel Equipment'!F$17,$A18&lt;='Fuel Equipment'!F$18),('Fuel Equipment'!F$19*'Fuel Equipment'!F$20*'Fuel Equipment'!F$21)*('Fuel Equipment'!F$45-'Fuel Equipment'!F$44)*
(VLOOKUP(IF('Fuel Equipment'!F$22=Report!$A$25,Report!$A$19,'Fuel Equipment'!F$22),Report!$A$18:$L$34,'Actual-CO2 Calculations'!$AK21,FALSE)),0),0)</f>
        <v>0</v>
      </c>
      <c r="G18" s="19">
        <f>IF(AND('Fuel Equipment'!G$44&gt;0,'Fuel Equipment'!G$45&gt;0),IF(AND($A18&gt;='Fuel Equipment'!G$17,$A18&lt;='Fuel Equipment'!G$18),('Fuel Equipment'!G$19*'Fuel Equipment'!G$20*'Fuel Equipment'!G$21)*('Fuel Equipment'!G$45-'Fuel Equipment'!G$44)*
(VLOOKUP(IF('Fuel Equipment'!G$22=Report!$A$25,Report!$A$19,'Fuel Equipment'!G$22),Report!$A$18:$L$34,'Actual-CO2 Calculations'!$AK21,FALSE)),0),0)</f>
        <v>0</v>
      </c>
      <c r="H18" s="19">
        <f>IF(AND('Fuel Equipment'!H$44&gt;0,'Fuel Equipment'!H$45&gt;0),IF(AND($A18&gt;='Fuel Equipment'!H$17,$A18&lt;='Fuel Equipment'!H$18),('Fuel Equipment'!H$19*'Fuel Equipment'!H$20*'Fuel Equipment'!H$21)*('Fuel Equipment'!H$45-'Fuel Equipment'!H$44)*
(VLOOKUP(IF('Fuel Equipment'!H$22=Report!$A$25,Report!$A$19,'Fuel Equipment'!H$22),Report!$A$18:$L$34,'Actual-CO2 Calculations'!$AK21,FALSE)),0),0)</f>
        <v>0</v>
      </c>
      <c r="I18" s="19">
        <f>IF(AND('Fuel Equipment'!I$44&gt;0,'Fuel Equipment'!I$45&gt;0),IF(AND($A18&gt;='Fuel Equipment'!I$17,$A18&lt;='Fuel Equipment'!I$18),('Fuel Equipment'!I$19*'Fuel Equipment'!I$20*'Fuel Equipment'!I$21)*('Fuel Equipment'!I$45-'Fuel Equipment'!I$44)*
(VLOOKUP(IF('Fuel Equipment'!I$22=Report!$A$25,Report!$A$19,'Fuel Equipment'!I$22),Report!$A$18:$L$34,'Actual-CO2 Calculations'!$AK21,FALSE)),0),0)</f>
        <v>0</v>
      </c>
      <c r="J18" s="19">
        <f>IF(AND('Fuel Equipment'!J$44&gt;0,'Fuel Equipment'!J$45&gt;0),IF(AND($A18&gt;='Fuel Equipment'!J$17,$A18&lt;='Fuel Equipment'!J$18),('Fuel Equipment'!J$19*'Fuel Equipment'!J$20*'Fuel Equipment'!J$21)*('Fuel Equipment'!J$45-'Fuel Equipment'!J$44)*
(VLOOKUP(IF('Fuel Equipment'!J$22=Report!$A$25,Report!$A$19,'Fuel Equipment'!J$22),Report!$A$18:$L$34,'Actual-CO2 Calculations'!$AK21,FALSE)),0),0)</f>
        <v>0</v>
      </c>
      <c r="K18" s="19">
        <f>IF(AND('Fuel Equipment'!K$44&gt;0,'Fuel Equipment'!K$45&gt;0),IF(AND($A18&gt;='Fuel Equipment'!K$17,$A18&lt;='Fuel Equipment'!K$18),('Fuel Equipment'!K$19*'Fuel Equipment'!K$20*'Fuel Equipment'!K$21)*('Fuel Equipment'!K$45-'Fuel Equipment'!K$44)*
(VLOOKUP(IF('Fuel Equipment'!K$22=Report!$A$25,Report!$A$19,'Fuel Equipment'!K$22),Report!$A$18:$L$34,'Actual-CO2 Calculations'!$AK21,FALSE)),0),0)</f>
        <v>0</v>
      </c>
      <c r="L18" s="19">
        <f>IF(AND('Fuel Equipment'!L$44&gt;0,'Fuel Equipment'!L$45&gt;0),IF(AND($A18&gt;='Fuel Equipment'!L$17,$A18&lt;='Fuel Equipment'!L$18),('Fuel Equipment'!L$19*'Fuel Equipment'!L$20*'Fuel Equipment'!L$21)*('Fuel Equipment'!L$45-'Fuel Equipment'!L$44)*
(VLOOKUP(IF('Fuel Equipment'!L$22=Report!$A$25,Report!$A$19,'Fuel Equipment'!L$22),Report!$A$18:$L$34,'Actual-CO2 Calculations'!$AK21,FALSE)),0),0)</f>
        <v>0</v>
      </c>
      <c r="M18" s="19">
        <f>IF(AND('Fuel Equipment'!M$44&gt;0,'Fuel Equipment'!M$45&gt;0),IF(AND($A18&gt;='Fuel Equipment'!M$17,$A18&lt;='Fuel Equipment'!M$18),('Fuel Equipment'!M$19*'Fuel Equipment'!M$20*'Fuel Equipment'!M$21)*('Fuel Equipment'!M$45-'Fuel Equipment'!M$44)*
(VLOOKUP(IF('Fuel Equipment'!M$22=Report!$A$25,Report!$A$19,'Fuel Equipment'!M$22),Report!$A$18:$L$34,'Actual-CO2 Calculations'!$AK21,FALSE)),0),0)</f>
        <v>0</v>
      </c>
      <c r="N18" s="19">
        <f>IF(AND('Fuel Equipment'!N$44&gt;0,'Fuel Equipment'!N$45&gt;0),IF(AND($A18&gt;='Fuel Equipment'!N$17,$A18&lt;='Fuel Equipment'!N$18),('Fuel Equipment'!N$19*'Fuel Equipment'!N$20*'Fuel Equipment'!N$21)*('Fuel Equipment'!N$45-'Fuel Equipment'!N$44)*
(VLOOKUP(IF('Fuel Equipment'!N$22=Report!$A$25,Report!$A$19,'Fuel Equipment'!N$22),Report!$A$18:$L$34,'Actual-CO2 Calculations'!$AK21,FALSE)),0),0)</f>
        <v>0</v>
      </c>
      <c r="O18" s="19">
        <f>IF(AND('Fuel Equipment'!O$44&gt;0,'Fuel Equipment'!O$45&gt;0),IF(AND($A18&gt;='Fuel Equipment'!O$17,$A18&lt;='Fuel Equipment'!O$18),('Fuel Equipment'!O$19*'Fuel Equipment'!O$20*'Fuel Equipment'!O$21)*('Fuel Equipment'!O$45-'Fuel Equipment'!O$44)*
(VLOOKUP(IF('Fuel Equipment'!O$22=Report!$A$25,Report!$A$19,'Fuel Equipment'!O$22),Report!$A$18:$L$34,'Actual-CO2 Calculations'!$AK21,FALSE)),0),0)</f>
        <v>0</v>
      </c>
      <c r="P18" s="19">
        <f>IF(AND('Fuel Equipment'!P$44&gt;0,'Fuel Equipment'!P$45&gt;0),IF(AND($A18&gt;='Fuel Equipment'!P$17,$A18&lt;='Fuel Equipment'!P$18),('Fuel Equipment'!P$19*'Fuel Equipment'!P$20*'Fuel Equipment'!P$21)*('Fuel Equipment'!P$45-'Fuel Equipment'!P$44)*
(VLOOKUP(IF('Fuel Equipment'!P$22=Report!$A$25,Report!$A$19,'Fuel Equipment'!P$22),Report!$A$18:$L$34,'Actual-CO2 Calculations'!$AK21,FALSE)),0),0)</f>
        <v>0</v>
      </c>
      <c r="Q18" s="19">
        <f>IF(AND('Fuel Equipment'!Q$44&gt;0,'Fuel Equipment'!Q$45&gt;0),IF(AND($A18&gt;='Fuel Equipment'!Q$17,$A18&lt;='Fuel Equipment'!Q$18),('Fuel Equipment'!Q$19*'Fuel Equipment'!Q$20*'Fuel Equipment'!Q$21)*('Fuel Equipment'!Q$45-'Fuel Equipment'!Q$44)*
(VLOOKUP(IF('Fuel Equipment'!Q$22=Report!$A$25,Report!$A$19,'Fuel Equipment'!Q$22),Report!$A$18:$L$34,'Actual-CO2 Calculations'!$AK21,FALSE)),0),0)</f>
        <v>0</v>
      </c>
      <c r="R18" s="19">
        <f>IF(AND('Fuel Equipment'!R$44&gt;0,'Fuel Equipment'!R$45&gt;0),IF(AND($A18&gt;='Fuel Equipment'!R$17,$A18&lt;='Fuel Equipment'!R$18),('Fuel Equipment'!R$19*'Fuel Equipment'!R$20*'Fuel Equipment'!R$21)*('Fuel Equipment'!R$45-'Fuel Equipment'!R$44)*
(VLOOKUP(IF('Fuel Equipment'!R$22=Report!$A$25,Report!$A$19,'Fuel Equipment'!R$22),Report!$A$18:$L$34,'Actual-CO2 Calculations'!$AK21,FALSE)),0),0)</f>
        <v>0</v>
      </c>
      <c r="S18" s="19">
        <f>IF(AND('Fuel Equipment'!S$44&gt;0,'Fuel Equipment'!S$45&gt;0),IF(AND($A18&gt;='Fuel Equipment'!S$17,$A18&lt;='Fuel Equipment'!S$18),('Fuel Equipment'!S$19*'Fuel Equipment'!S$20*'Fuel Equipment'!S$21)*('Fuel Equipment'!S$45-'Fuel Equipment'!S$44)*
(VLOOKUP(IF('Fuel Equipment'!S$22=Report!$A$25,Report!$A$19,'Fuel Equipment'!S$22),Report!$A$18:$L$34,'Actual-CO2 Calculations'!$AK21,FALSE)),0),0)</f>
        <v>0</v>
      </c>
      <c r="V18" s="671">
        <f t="shared" si="0"/>
        <v>0</v>
      </c>
    </row>
    <row r="19" spans="1:22">
      <c r="A19" s="21" t="s">
        <v>44</v>
      </c>
      <c r="B19" s="19">
        <f>IF(AND('Fuel Equipment'!B$44&gt;0,'Fuel Equipment'!B$45&gt;0),IF(AND($A19&gt;='Fuel Equipment'!B$17,$A19&lt;='Fuel Equipment'!B$18),('Fuel Equipment'!B$19*'Fuel Equipment'!B$20*'Fuel Equipment'!B$21)*('Fuel Equipment'!B$45-'Fuel Equipment'!B$44)*
(VLOOKUP(IF('Fuel Equipment'!B$22=Report!$A$25,Report!$A$19,'Fuel Equipment'!B$22),Report!$A$18:$L$34,'Actual-CO2 Calculations'!$AK22,FALSE)),0),0)</f>
        <v>0</v>
      </c>
      <c r="C19" s="19">
        <f>IF(AND('Fuel Equipment'!C$44&gt;0,'Fuel Equipment'!C$45&gt;0),IF(AND($A19&gt;='Fuel Equipment'!C$17,$A19&lt;='Fuel Equipment'!C$18),('Fuel Equipment'!C$19*'Fuel Equipment'!C$20*'Fuel Equipment'!C$21)*('Fuel Equipment'!C$45-'Fuel Equipment'!C$44)*
(VLOOKUP(IF('Fuel Equipment'!C$22=Report!$A$25,Report!$A$19,'Fuel Equipment'!C$22),Report!$A$18:$L$34,'Actual-CO2 Calculations'!$AK22,FALSE)),0),0)</f>
        <v>0</v>
      </c>
      <c r="D19" s="19">
        <f>IF(AND('Fuel Equipment'!D$44&gt;0,'Fuel Equipment'!D$45&gt;0),IF(AND($A19&gt;='Fuel Equipment'!D$17,$A19&lt;='Fuel Equipment'!D$18),('Fuel Equipment'!D$19*'Fuel Equipment'!D$20*'Fuel Equipment'!D$21)*('Fuel Equipment'!D$45-'Fuel Equipment'!D$44)*
(VLOOKUP(IF('Fuel Equipment'!D$22=Report!$A$25,Report!$A$19,'Fuel Equipment'!D$22),Report!$A$18:$L$34,'Actual-CO2 Calculations'!$AK22,FALSE)),0),0)</f>
        <v>0</v>
      </c>
      <c r="E19" s="19">
        <f>IF(AND('Fuel Equipment'!E$44&gt;0,'Fuel Equipment'!E$45&gt;0),IF(AND($A19&gt;='Fuel Equipment'!E$17,$A19&lt;='Fuel Equipment'!E$18),('Fuel Equipment'!E$19*'Fuel Equipment'!E$20*'Fuel Equipment'!E$21)*('Fuel Equipment'!E$45-'Fuel Equipment'!E$44)*
(VLOOKUP(IF('Fuel Equipment'!E$22=Report!$A$25,Report!$A$19,'Fuel Equipment'!E$22),Report!$A$18:$L$34,'Actual-CO2 Calculations'!$AK22,FALSE)),0),0)</f>
        <v>0</v>
      </c>
      <c r="F19" s="19">
        <f>IF(AND('Fuel Equipment'!F$44&gt;0,'Fuel Equipment'!F$45&gt;0),IF(AND($A19&gt;='Fuel Equipment'!F$17,$A19&lt;='Fuel Equipment'!F$18),('Fuel Equipment'!F$19*'Fuel Equipment'!F$20*'Fuel Equipment'!F$21)*('Fuel Equipment'!F$45-'Fuel Equipment'!F$44)*
(VLOOKUP(IF('Fuel Equipment'!F$22=Report!$A$25,Report!$A$19,'Fuel Equipment'!F$22),Report!$A$18:$L$34,'Actual-CO2 Calculations'!$AK22,FALSE)),0),0)</f>
        <v>0</v>
      </c>
      <c r="G19" s="19">
        <f>IF(AND('Fuel Equipment'!G$44&gt;0,'Fuel Equipment'!G$45&gt;0),IF(AND($A19&gt;='Fuel Equipment'!G$17,$A19&lt;='Fuel Equipment'!G$18),('Fuel Equipment'!G$19*'Fuel Equipment'!G$20*'Fuel Equipment'!G$21)*('Fuel Equipment'!G$45-'Fuel Equipment'!G$44)*
(VLOOKUP(IF('Fuel Equipment'!G$22=Report!$A$25,Report!$A$19,'Fuel Equipment'!G$22),Report!$A$18:$L$34,'Actual-CO2 Calculations'!$AK22,FALSE)),0),0)</f>
        <v>0</v>
      </c>
      <c r="H19" s="19">
        <f>IF(AND('Fuel Equipment'!H$44&gt;0,'Fuel Equipment'!H$45&gt;0),IF(AND($A19&gt;='Fuel Equipment'!H$17,$A19&lt;='Fuel Equipment'!H$18),('Fuel Equipment'!H$19*'Fuel Equipment'!H$20*'Fuel Equipment'!H$21)*('Fuel Equipment'!H$45-'Fuel Equipment'!H$44)*
(VLOOKUP(IF('Fuel Equipment'!H$22=Report!$A$25,Report!$A$19,'Fuel Equipment'!H$22),Report!$A$18:$L$34,'Actual-CO2 Calculations'!$AK22,FALSE)),0),0)</f>
        <v>0</v>
      </c>
      <c r="I19" s="19">
        <f>IF(AND('Fuel Equipment'!I$44&gt;0,'Fuel Equipment'!I$45&gt;0),IF(AND($A19&gt;='Fuel Equipment'!I$17,$A19&lt;='Fuel Equipment'!I$18),('Fuel Equipment'!I$19*'Fuel Equipment'!I$20*'Fuel Equipment'!I$21)*('Fuel Equipment'!I$45-'Fuel Equipment'!I$44)*
(VLOOKUP(IF('Fuel Equipment'!I$22=Report!$A$25,Report!$A$19,'Fuel Equipment'!I$22),Report!$A$18:$L$34,'Actual-CO2 Calculations'!$AK22,FALSE)),0),0)</f>
        <v>0</v>
      </c>
      <c r="J19" s="19">
        <f>IF(AND('Fuel Equipment'!J$44&gt;0,'Fuel Equipment'!J$45&gt;0),IF(AND($A19&gt;='Fuel Equipment'!J$17,$A19&lt;='Fuel Equipment'!J$18),('Fuel Equipment'!J$19*'Fuel Equipment'!J$20*'Fuel Equipment'!J$21)*('Fuel Equipment'!J$45-'Fuel Equipment'!J$44)*
(VLOOKUP(IF('Fuel Equipment'!J$22=Report!$A$25,Report!$A$19,'Fuel Equipment'!J$22),Report!$A$18:$L$34,'Actual-CO2 Calculations'!$AK22,FALSE)),0),0)</f>
        <v>0</v>
      </c>
      <c r="K19" s="19">
        <f>IF(AND('Fuel Equipment'!K$44&gt;0,'Fuel Equipment'!K$45&gt;0),IF(AND($A19&gt;='Fuel Equipment'!K$17,$A19&lt;='Fuel Equipment'!K$18),('Fuel Equipment'!K$19*'Fuel Equipment'!K$20*'Fuel Equipment'!K$21)*('Fuel Equipment'!K$45-'Fuel Equipment'!K$44)*
(VLOOKUP(IF('Fuel Equipment'!K$22=Report!$A$25,Report!$A$19,'Fuel Equipment'!K$22),Report!$A$18:$L$34,'Actual-CO2 Calculations'!$AK22,FALSE)),0),0)</f>
        <v>0</v>
      </c>
      <c r="L19" s="19">
        <f>IF(AND('Fuel Equipment'!L$44&gt;0,'Fuel Equipment'!L$45&gt;0),IF(AND($A19&gt;='Fuel Equipment'!L$17,$A19&lt;='Fuel Equipment'!L$18),('Fuel Equipment'!L$19*'Fuel Equipment'!L$20*'Fuel Equipment'!L$21)*('Fuel Equipment'!L$45-'Fuel Equipment'!L$44)*
(VLOOKUP(IF('Fuel Equipment'!L$22=Report!$A$25,Report!$A$19,'Fuel Equipment'!L$22),Report!$A$18:$L$34,'Actual-CO2 Calculations'!$AK22,FALSE)),0),0)</f>
        <v>0</v>
      </c>
      <c r="M19" s="19">
        <f>IF(AND('Fuel Equipment'!M$44&gt;0,'Fuel Equipment'!M$45&gt;0),IF(AND($A19&gt;='Fuel Equipment'!M$17,$A19&lt;='Fuel Equipment'!M$18),('Fuel Equipment'!M$19*'Fuel Equipment'!M$20*'Fuel Equipment'!M$21)*('Fuel Equipment'!M$45-'Fuel Equipment'!M$44)*
(VLOOKUP(IF('Fuel Equipment'!M$22=Report!$A$25,Report!$A$19,'Fuel Equipment'!M$22),Report!$A$18:$L$34,'Actual-CO2 Calculations'!$AK22,FALSE)),0),0)</f>
        <v>0</v>
      </c>
      <c r="N19" s="19">
        <f>IF(AND('Fuel Equipment'!N$44&gt;0,'Fuel Equipment'!N$45&gt;0),IF(AND($A19&gt;='Fuel Equipment'!N$17,$A19&lt;='Fuel Equipment'!N$18),('Fuel Equipment'!N$19*'Fuel Equipment'!N$20*'Fuel Equipment'!N$21)*('Fuel Equipment'!N$45-'Fuel Equipment'!N$44)*
(VLOOKUP(IF('Fuel Equipment'!N$22=Report!$A$25,Report!$A$19,'Fuel Equipment'!N$22),Report!$A$18:$L$34,'Actual-CO2 Calculations'!$AK22,FALSE)),0),0)</f>
        <v>0</v>
      </c>
      <c r="O19" s="19">
        <f>IF(AND('Fuel Equipment'!O$44&gt;0,'Fuel Equipment'!O$45&gt;0),IF(AND($A19&gt;='Fuel Equipment'!O$17,$A19&lt;='Fuel Equipment'!O$18),('Fuel Equipment'!O$19*'Fuel Equipment'!O$20*'Fuel Equipment'!O$21)*('Fuel Equipment'!O$45-'Fuel Equipment'!O$44)*
(VLOOKUP(IF('Fuel Equipment'!O$22=Report!$A$25,Report!$A$19,'Fuel Equipment'!O$22),Report!$A$18:$L$34,'Actual-CO2 Calculations'!$AK22,FALSE)),0),0)</f>
        <v>0</v>
      </c>
      <c r="P19" s="19">
        <f>IF(AND('Fuel Equipment'!P$44&gt;0,'Fuel Equipment'!P$45&gt;0),IF(AND($A19&gt;='Fuel Equipment'!P$17,$A19&lt;='Fuel Equipment'!P$18),('Fuel Equipment'!P$19*'Fuel Equipment'!P$20*'Fuel Equipment'!P$21)*('Fuel Equipment'!P$45-'Fuel Equipment'!P$44)*
(VLOOKUP(IF('Fuel Equipment'!P$22=Report!$A$25,Report!$A$19,'Fuel Equipment'!P$22),Report!$A$18:$L$34,'Actual-CO2 Calculations'!$AK22,FALSE)),0),0)</f>
        <v>0</v>
      </c>
      <c r="Q19" s="19">
        <f>IF(AND('Fuel Equipment'!Q$44&gt;0,'Fuel Equipment'!Q$45&gt;0),IF(AND($A19&gt;='Fuel Equipment'!Q$17,$A19&lt;='Fuel Equipment'!Q$18),('Fuel Equipment'!Q$19*'Fuel Equipment'!Q$20*'Fuel Equipment'!Q$21)*('Fuel Equipment'!Q$45-'Fuel Equipment'!Q$44)*
(VLOOKUP(IF('Fuel Equipment'!Q$22=Report!$A$25,Report!$A$19,'Fuel Equipment'!Q$22),Report!$A$18:$L$34,'Actual-CO2 Calculations'!$AK22,FALSE)),0),0)</f>
        <v>0</v>
      </c>
      <c r="R19" s="19">
        <f>IF(AND('Fuel Equipment'!R$44&gt;0,'Fuel Equipment'!R$45&gt;0),IF(AND($A19&gt;='Fuel Equipment'!R$17,$A19&lt;='Fuel Equipment'!R$18),('Fuel Equipment'!R$19*'Fuel Equipment'!R$20*'Fuel Equipment'!R$21)*('Fuel Equipment'!R$45-'Fuel Equipment'!R$44)*
(VLOOKUP(IF('Fuel Equipment'!R$22=Report!$A$25,Report!$A$19,'Fuel Equipment'!R$22),Report!$A$18:$L$34,'Actual-CO2 Calculations'!$AK22,FALSE)),0),0)</f>
        <v>0</v>
      </c>
      <c r="S19" s="19">
        <f>IF(AND('Fuel Equipment'!S$44&gt;0,'Fuel Equipment'!S$45&gt;0),IF(AND($A19&gt;='Fuel Equipment'!S$17,$A19&lt;='Fuel Equipment'!S$18),('Fuel Equipment'!S$19*'Fuel Equipment'!S$20*'Fuel Equipment'!S$21)*('Fuel Equipment'!S$45-'Fuel Equipment'!S$44)*
(VLOOKUP(IF('Fuel Equipment'!S$22=Report!$A$25,Report!$A$19,'Fuel Equipment'!S$22),Report!$A$18:$L$34,'Actual-CO2 Calculations'!$AK22,FALSE)),0),0)</f>
        <v>0</v>
      </c>
      <c r="V19" s="671">
        <f t="shared" si="0"/>
        <v>0</v>
      </c>
    </row>
    <row r="20" spans="1:22">
      <c r="A20" s="21" t="s">
        <v>45</v>
      </c>
      <c r="B20" s="19">
        <f>IF(AND('Fuel Equipment'!B$44&gt;0,'Fuel Equipment'!B$45&gt;0),IF(AND($A20&gt;='Fuel Equipment'!B$17,$A20&lt;='Fuel Equipment'!B$18),('Fuel Equipment'!B$19*'Fuel Equipment'!B$20*'Fuel Equipment'!B$21)*('Fuel Equipment'!B$45-'Fuel Equipment'!B$44)*
(VLOOKUP(IF('Fuel Equipment'!B$22=Report!$A$25,Report!$A$19,'Fuel Equipment'!B$22),Report!$A$18:$L$34,'Actual-CO2 Calculations'!$AK23,FALSE)),0),0)</f>
        <v>0</v>
      </c>
      <c r="C20" s="19">
        <f>IF(AND('Fuel Equipment'!C$44&gt;0,'Fuel Equipment'!C$45&gt;0),IF(AND($A20&gt;='Fuel Equipment'!C$17,$A20&lt;='Fuel Equipment'!C$18),('Fuel Equipment'!C$19*'Fuel Equipment'!C$20*'Fuel Equipment'!C$21)*('Fuel Equipment'!C$45-'Fuel Equipment'!C$44)*
(VLOOKUP(IF('Fuel Equipment'!C$22=Report!$A$25,Report!$A$19,'Fuel Equipment'!C$22),Report!$A$18:$L$34,'Actual-CO2 Calculations'!$AK23,FALSE)),0),0)</f>
        <v>0</v>
      </c>
      <c r="D20" s="19">
        <f>IF(AND('Fuel Equipment'!D$44&gt;0,'Fuel Equipment'!D$45&gt;0),IF(AND($A20&gt;='Fuel Equipment'!D$17,$A20&lt;='Fuel Equipment'!D$18),('Fuel Equipment'!D$19*'Fuel Equipment'!D$20*'Fuel Equipment'!D$21)*('Fuel Equipment'!D$45-'Fuel Equipment'!D$44)*
(VLOOKUP(IF('Fuel Equipment'!D$22=Report!$A$25,Report!$A$19,'Fuel Equipment'!D$22),Report!$A$18:$L$34,'Actual-CO2 Calculations'!$AK23,FALSE)),0),0)</f>
        <v>0</v>
      </c>
      <c r="E20" s="19">
        <f>IF(AND('Fuel Equipment'!E$44&gt;0,'Fuel Equipment'!E$45&gt;0),IF(AND($A20&gt;='Fuel Equipment'!E$17,$A20&lt;='Fuel Equipment'!E$18),('Fuel Equipment'!E$19*'Fuel Equipment'!E$20*'Fuel Equipment'!E$21)*('Fuel Equipment'!E$45-'Fuel Equipment'!E$44)*
(VLOOKUP(IF('Fuel Equipment'!E$22=Report!$A$25,Report!$A$19,'Fuel Equipment'!E$22),Report!$A$18:$L$34,'Actual-CO2 Calculations'!$AK23,FALSE)),0),0)</f>
        <v>0</v>
      </c>
      <c r="F20" s="19">
        <f>IF(AND('Fuel Equipment'!F$44&gt;0,'Fuel Equipment'!F$45&gt;0),IF(AND($A20&gt;='Fuel Equipment'!F$17,$A20&lt;='Fuel Equipment'!F$18),('Fuel Equipment'!F$19*'Fuel Equipment'!F$20*'Fuel Equipment'!F$21)*('Fuel Equipment'!F$45-'Fuel Equipment'!F$44)*
(VLOOKUP(IF('Fuel Equipment'!F$22=Report!$A$25,Report!$A$19,'Fuel Equipment'!F$22),Report!$A$18:$L$34,'Actual-CO2 Calculations'!$AK23,FALSE)),0),0)</f>
        <v>0</v>
      </c>
      <c r="G20" s="19">
        <f>IF(AND('Fuel Equipment'!G$44&gt;0,'Fuel Equipment'!G$45&gt;0),IF(AND($A20&gt;='Fuel Equipment'!G$17,$A20&lt;='Fuel Equipment'!G$18),('Fuel Equipment'!G$19*'Fuel Equipment'!G$20*'Fuel Equipment'!G$21)*('Fuel Equipment'!G$45-'Fuel Equipment'!G$44)*
(VLOOKUP(IF('Fuel Equipment'!G$22=Report!$A$25,Report!$A$19,'Fuel Equipment'!G$22),Report!$A$18:$L$34,'Actual-CO2 Calculations'!$AK23,FALSE)),0),0)</f>
        <v>0</v>
      </c>
      <c r="H20" s="19">
        <f>IF(AND('Fuel Equipment'!H$44&gt;0,'Fuel Equipment'!H$45&gt;0),IF(AND($A20&gt;='Fuel Equipment'!H$17,$A20&lt;='Fuel Equipment'!H$18),('Fuel Equipment'!H$19*'Fuel Equipment'!H$20*'Fuel Equipment'!H$21)*('Fuel Equipment'!H$45-'Fuel Equipment'!H$44)*
(VLOOKUP(IF('Fuel Equipment'!H$22=Report!$A$25,Report!$A$19,'Fuel Equipment'!H$22),Report!$A$18:$L$34,'Actual-CO2 Calculations'!$AK23,FALSE)),0),0)</f>
        <v>0</v>
      </c>
      <c r="I20" s="19">
        <f>IF(AND('Fuel Equipment'!I$44&gt;0,'Fuel Equipment'!I$45&gt;0),IF(AND($A20&gt;='Fuel Equipment'!I$17,$A20&lt;='Fuel Equipment'!I$18),('Fuel Equipment'!I$19*'Fuel Equipment'!I$20*'Fuel Equipment'!I$21)*('Fuel Equipment'!I$45-'Fuel Equipment'!I$44)*
(VLOOKUP(IF('Fuel Equipment'!I$22=Report!$A$25,Report!$A$19,'Fuel Equipment'!I$22),Report!$A$18:$L$34,'Actual-CO2 Calculations'!$AK23,FALSE)),0),0)</f>
        <v>0</v>
      </c>
      <c r="J20" s="19">
        <f>IF(AND('Fuel Equipment'!J$44&gt;0,'Fuel Equipment'!J$45&gt;0),IF(AND($A20&gt;='Fuel Equipment'!J$17,$A20&lt;='Fuel Equipment'!J$18),('Fuel Equipment'!J$19*'Fuel Equipment'!J$20*'Fuel Equipment'!J$21)*('Fuel Equipment'!J$45-'Fuel Equipment'!J$44)*
(VLOOKUP(IF('Fuel Equipment'!J$22=Report!$A$25,Report!$A$19,'Fuel Equipment'!J$22),Report!$A$18:$L$34,'Actual-CO2 Calculations'!$AK23,FALSE)),0),0)</f>
        <v>0</v>
      </c>
      <c r="K20" s="19">
        <f>IF(AND('Fuel Equipment'!K$44&gt;0,'Fuel Equipment'!K$45&gt;0),IF(AND($A20&gt;='Fuel Equipment'!K$17,$A20&lt;='Fuel Equipment'!K$18),('Fuel Equipment'!K$19*'Fuel Equipment'!K$20*'Fuel Equipment'!K$21)*('Fuel Equipment'!K$45-'Fuel Equipment'!K$44)*
(VLOOKUP(IF('Fuel Equipment'!K$22=Report!$A$25,Report!$A$19,'Fuel Equipment'!K$22),Report!$A$18:$L$34,'Actual-CO2 Calculations'!$AK23,FALSE)),0),0)</f>
        <v>0</v>
      </c>
      <c r="L20" s="19">
        <f>IF(AND('Fuel Equipment'!L$44&gt;0,'Fuel Equipment'!L$45&gt;0),IF(AND($A20&gt;='Fuel Equipment'!L$17,$A20&lt;='Fuel Equipment'!L$18),('Fuel Equipment'!L$19*'Fuel Equipment'!L$20*'Fuel Equipment'!L$21)*('Fuel Equipment'!L$45-'Fuel Equipment'!L$44)*
(VLOOKUP(IF('Fuel Equipment'!L$22=Report!$A$25,Report!$A$19,'Fuel Equipment'!L$22),Report!$A$18:$L$34,'Actual-CO2 Calculations'!$AK23,FALSE)),0),0)</f>
        <v>0</v>
      </c>
      <c r="M20" s="19">
        <f>IF(AND('Fuel Equipment'!M$44&gt;0,'Fuel Equipment'!M$45&gt;0),IF(AND($A20&gt;='Fuel Equipment'!M$17,$A20&lt;='Fuel Equipment'!M$18),('Fuel Equipment'!M$19*'Fuel Equipment'!M$20*'Fuel Equipment'!M$21)*('Fuel Equipment'!M$45-'Fuel Equipment'!M$44)*
(VLOOKUP(IF('Fuel Equipment'!M$22=Report!$A$25,Report!$A$19,'Fuel Equipment'!M$22),Report!$A$18:$L$34,'Actual-CO2 Calculations'!$AK23,FALSE)),0),0)</f>
        <v>0</v>
      </c>
      <c r="N20" s="19">
        <f>IF(AND('Fuel Equipment'!N$44&gt;0,'Fuel Equipment'!N$45&gt;0),IF(AND($A20&gt;='Fuel Equipment'!N$17,$A20&lt;='Fuel Equipment'!N$18),('Fuel Equipment'!N$19*'Fuel Equipment'!N$20*'Fuel Equipment'!N$21)*('Fuel Equipment'!N$45-'Fuel Equipment'!N$44)*
(VLOOKUP(IF('Fuel Equipment'!N$22=Report!$A$25,Report!$A$19,'Fuel Equipment'!N$22),Report!$A$18:$L$34,'Actual-CO2 Calculations'!$AK23,FALSE)),0),0)</f>
        <v>0</v>
      </c>
      <c r="O20" s="19">
        <f>IF(AND('Fuel Equipment'!O$44&gt;0,'Fuel Equipment'!O$45&gt;0),IF(AND($A20&gt;='Fuel Equipment'!O$17,$A20&lt;='Fuel Equipment'!O$18),('Fuel Equipment'!O$19*'Fuel Equipment'!O$20*'Fuel Equipment'!O$21)*('Fuel Equipment'!O$45-'Fuel Equipment'!O$44)*
(VLOOKUP(IF('Fuel Equipment'!O$22=Report!$A$25,Report!$A$19,'Fuel Equipment'!O$22),Report!$A$18:$L$34,'Actual-CO2 Calculations'!$AK23,FALSE)),0),0)</f>
        <v>0</v>
      </c>
      <c r="P20" s="19">
        <f>IF(AND('Fuel Equipment'!P$44&gt;0,'Fuel Equipment'!P$45&gt;0),IF(AND($A20&gt;='Fuel Equipment'!P$17,$A20&lt;='Fuel Equipment'!P$18),('Fuel Equipment'!P$19*'Fuel Equipment'!P$20*'Fuel Equipment'!P$21)*('Fuel Equipment'!P$45-'Fuel Equipment'!P$44)*
(VLOOKUP(IF('Fuel Equipment'!P$22=Report!$A$25,Report!$A$19,'Fuel Equipment'!P$22),Report!$A$18:$L$34,'Actual-CO2 Calculations'!$AK23,FALSE)),0),0)</f>
        <v>0</v>
      </c>
      <c r="Q20" s="19">
        <f>IF(AND('Fuel Equipment'!Q$44&gt;0,'Fuel Equipment'!Q$45&gt;0),IF(AND($A20&gt;='Fuel Equipment'!Q$17,$A20&lt;='Fuel Equipment'!Q$18),('Fuel Equipment'!Q$19*'Fuel Equipment'!Q$20*'Fuel Equipment'!Q$21)*('Fuel Equipment'!Q$45-'Fuel Equipment'!Q$44)*
(VLOOKUP(IF('Fuel Equipment'!Q$22=Report!$A$25,Report!$A$19,'Fuel Equipment'!Q$22),Report!$A$18:$L$34,'Actual-CO2 Calculations'!$AK23,FALSE)),0),0)</f>
        <v>0</v>
      </c>
      <c r="R20" s="19">
        <f>IF(AND('Fuel Equipment'!R$44&gt;0,'Fuel Equipment'!R$45&gt;0),IF(AND($A20&gt;='Fuel Equipment'!R$17,$A20&lt;='Fuel Equipment'!R$18),('Fuel Equipment'!R$19*'Fuel Equipment'!R$20*'Fuel Equipment'!R$21)*('Fuel Equipment'!R$45-'Fuel Equipment'!R$44)*
(VLOOKUP(IF('Fuel Equipment'!R$22=Report!$A$25,Report!$A$19,'Fuel Equipment'!R$22),Report!$A$18:$L$34,'Actual-CO2 Calculations'!$AK23,FALSE)),0),0)</f>
        <v>0</v>
      </c>
      <c r="S20" s="19">
        <f>IF(AND('Fuel Equipment'!S$44&gt;0,'Fuel Equipment'!S$45&gt;0),IF(AND($A20&gt;='Fuel Equipment'!S$17,$A20&lt;='Fuel Equipment'!S$18),('Fuel Equipment'!S$19*'Fuel Equipment'!S$20*'Fuel Equipment'!S$21)*('Fuel Equipment'!S$45-'Fuel Equipment'!S$44)*
(VLOOKUP(IF('Fuel Equipment'!S$22=Report!$A$25,Report!$A$19,'Fuel Equipment'!S$22),Report!$A$18:$L$34,'Actual-CO2 Calculations'!$AK23,FALSE)),0),0)</f>
        <v>0</v>
      </c>
      <c r="V20" s="671">
        <f t="shared" si="0"/>
        <v>0</v>
      </c>
    </row>
    <row r="21" spans="1:22">
      <c r="A21" s="21" t="s">
        <v>46</v>
      </c>
      <c r="B21" s="19">
        <f>IF(AND('Fuel Equipment'!B$44&gt;0,'Fuel Equipment'!B$45&gt;0),IF(AND($A21&gt;='Fuel Equipment'!B$17,$A21&lt;='Fuel Equipment'!B$18),('Fuel Equipment'!B$19*'Fuel Equipment'!B$20*'Fuel Equipment'!B$21)*('Fuel Equipment'!B$45-'Fuel Equipment'!B$44)*
(VLOOKUP(IF('Fuel Equipment'!B$22=Report!$A$25,Report!$A$19,'Fuel Equipment'!B$22),Report!$A$18:$L$34,'Actual-CO2 Calculations'!$AK24,FALSE)),0),0)</f>
        <v>0</v>
      </c>
      <c r="C21" s="19">
        <f>IF(AND('Fuel Equipment'!C$44&gt;0,'Fuel Equipment'!C$45&gt;0),IF(AND($A21&gt;='Fuel Equipment'!C$17,$A21&lt;='Fuel Equipment'!C$18),('Fuel Equipment'!C$19*'Fuel Equipment'!C$20*'Fuel Equipment'!C$21)*('Fuel Equipment'!C$45-'Fuel Equipment'!C$44)*
(VLOOKUP(IF('Fuel Equipment'!C$22=Report!$A$25,Report!$A$19,'Fuel Equipment'!C$22),Report!$A$18:$L$34,'Actual-CO2 Calculations'!$AK24,FALSE)),0),0)</f>
        <v>0</v>
      </c>
      <c r="D21" s="19">
        <f>IF(AND('Fuel Equipment'!D$44&gt;0,'Fuel Equipment'!D$45&gt;0),IF(AND($A21&gt;='Fuel Equipment'!D$17,$A21&lt;='Fuel Equipment'!D$18),('Fuel Equipment'!D$19*'Fuel Equipment'!D$20*'Fuel Equipment'!D$21)*('Fuel Equipment'!D$45-'Fuel Equipment'!D$44)*
(VLOOKUP(IF('Fuel Equipment'!D$22=Report!$A$25,Report!$A$19,'Fuel Equipment'!D$22),Report!$A$18:$L$34,'Actual-CO2 Calculations'!$AK24,FALSE)),0),0)</f>
        <v>0</v>
      </c>
      <c r="E21" s="19">
        <f>IF(AND('Fuel Equipment'!E$44&gt;0,'Fuel Equipment'!E$45&gt;0),IF(AND($A21&gt;='Fuel Equipment'!E$17,$A21&lt;='Fuel Equipment'!E$18),('Fuel Equipment'!E$19*'Fuel Equipment'!E$20*'Fuel Equipment'!E$21)*('Fuel Equipment'!E$45-'Fuel Equipment'!E$44)*
(VLOOKUP(IF('Fuel Equipment'!E$22=Report!$A$25,Report!$A$19,'Fuel Equipment'!E$22),Report!$A$18:$L$34,'Actual-CO2 Calculations'!$AK24,FALSE)),0),0)</f>
        <v>0</v>
      </c>
      <c r="F21" s="19">
        <f>IF(AND('Fuel Equipment'!F$44&gt;0,'Fuel Equipment'!F$45&gt;0),IF(AND($A21&gt;='Fuel Equipment'!F$17,$A21&lt;='Fuel Equipment'!F$18),('Fuel Equipment'!F$19*'Fuel Equipment'!F$20*'Fuel Equipment'!F$21)*('Fuel Equipment'!F$45-'Fuel Equipment'!F$44)*
(VLOOKUP(IF('Fuel Equipment'!F$22=Report!$A$25,Report!$A$19,'Fuel Equipment'!F$22),Report!$A$18:$L$34,'Actual-CO2 Calculations'!$AK24,FALSE)),0),0)</f>
        <v>0</v>
      </c>
      <c r="G21" s="19">
        <f>IF(AND('Fuel Equipment'!G$44&gt;0,'Fuel Equipment'!G$45&gt;0),IF(AND($A21&gt;='Fuel Equipment'!G$17,$A21&lt;='Fuel Equipment'!G$18),('Fuel Equipment'!G$19*'Fuel Equipment'!G$20*'Fuel Equipment'!G$21)*('Fuel Equipment'!G$45-'Fuel Equipment'!G$44)*
(VLOOKUP(IF('Fuel Equipment'!G$22=Report!$A$25,Report!$A$19,'Fuel Equipment'!G$22),Report!$A$18:$L$34,'Actual-CO2 Calculations'!$AK24,FALSE)),0),0)</f>
        <v>0</v>
      </c>
      <c r="H21" s="19">
        <f>IF(AND('Fuel Equipment'!H$44&gt;0,'Fuel Equipment'!H$45&gt;0),IF(AND($A21&gt;='Fuel Equipment'!H$17,$A21&lt;='Fuel Equipment'!H$18),('Fuel Equipment'!H$19*'Fuel Equipment'!H$20*'Fuel Equipment'!H$21)*('Fuel Equipment'!H$45-'Fuel Equipment'!H$44)*
(VLOOKUP(IF('Fuel Equipment'!H$22=Report!$A$25,Report!$A$19,'Fuel Equipment'!H$22),Report!$A$18:$L$34,'Actual-CO2 Calculations'!$AK24,FALSE)),0),0)</f>
        <v>0</v>
      </c>
      <c r="I21" s="19">
        <f>IF(AND('Fuel Equipment'!I$44&gt;0,'Fuel Equipment'!I$45&gt;0),IF(AND($A21&gt;='Fuel Equipment'!I$17,$A21&lt;='Fuel Equipment'!I$18),('Fuel Equipment'!I$19*'Fuel Equipment'!I$20*'Fuel Equipment'!I$21)*('Fuel Equipment'!I$45-'Fuel Equipment'!I$44)*
(VLOOKUP(IF('Fuel Equipment'!I$22=Report!$A$25,Report!$A$19,'Fuel Equipment'!I$22),Report!$A$18:$L$34,'Actual-CO2 Calculations'!$AK24,FALSE)),0),0)</f>
        <v>0</v>
      </c>
      <c r="J21" s="19">
        <f>IF(AND('Fuel Equipment'!J$44&gt;0,'Fuel Equipment'!J$45&gt;0),IF(AND($A21&gt;='Fuel Equipment'!J$17,$A21&lt;='Fuel Equipment'!J$18),('Fuel Equipment'!J$19*'Fuel Equipment'!J$20*'Fuel Equipment'!J$21)*('Fuel Equipment'!J$45-'Fuel Equipment'!J$44)*
(VLOOKUP(IF('Fuel Equipment'!J$22=Report!$A$25,Report!$A$19,'Fuel Equipment'!J$22),Report!$A$18:$L$34,'Actual-CO2 Calculations'!$AK24,FALSE)),0),0)</f>
        <v>0</v>
      </c>
      <c r="K21" s="19">
        <f>IF(AND('Fuel Equipment'!K$44&gt;0,'Fuel Equipment'!K$45&gt;0),IF(AND($A21&gt;='Fuel Equipment'!K$17,$A21&lt;='Fuel Equipment'!K$18),('Fuel Equipment'!K$19*'Fuel Equipment'!K$20*'Fuel Equipment'!K$21)*('Fuel Equipment'!K$45-'Fuel Equipment'!K$44)*
(VLOOKUP(IF('Fuel Equipment'!K$22=Report!$A$25,Report!$A$19,'Fuel Equipment'!K$22),Report!$A$18:$L$34,'Actual-CO2 Calculations'!$AK24,FALSE)),0),0)</f>
        <v>0</v>
      </c>
      <c r="L21" s="19">
        <f>IF(AND('Fuel Equipment'!L$44&gt;0,'Fuel Equipment'!L$45&gt;0),IF(AND($A21&gt;='Fuel Equipment'!L$17,$A21&lt;='Fuel Equipment'!L$18),('Fuel Equipment'!L$19*'Fuel Equipment'!L$20*'Fuel Equipment'!L$21)*('Fuel Equipment'!L$45-'Fuel Equipment'!L$44)*
(VLOOKUP(IF('Fuel Equipment'!L$22=Report!$A$25,Report!$A$19,'Fuel Equipment'!L$22),Report!$A$18:$L$34,'Actual-CO2 Calculations'!$AK24,FALSE)),0),0)</f>
        <v>0</v>
      </c>
      <c r="M21" s="19">
        <f>IF(AND('Fuel Equipment'!M$44&gt;0,'Fuel Equipment'!M$45&gt;0),IF(AND($A21&gt;='Fuel Equipment'!M$17,$A21&lt;='Fuel Equipment'!M$18),('Fuel Equipment'!M$19*'Fuel Equipment'!M$20*'Fuel Equipment'!M$21)*('Fuel Equipment'!M$45-'Fuel Equipment'!M$44)*
(VLOOKUP(IF('Fuel Equipment'!M$22=Report!$A$25,Report!$A$19,'Fuel Equipment'!M$22),Report!$A$18:$L$34,'Actual-CO2 Calculations'!$AK24,FALSE)),0),0)</f>
        <v>0</v>
      </c>
      <c r="N21" s="19">
        <f>IF(AND('Fuel Equipment'!N$44&gt;0,'Fuel Equipment'!N$45&gt;0),IF(AND($A21&gt;='Fuel Equipment'!N$17,$A21&lt;='Fuel Equipment'!N$18),('Fuel Equipment'!N$19*'Fuel Equipment'!N$20*'Fuel Equipment'!N$21)*('Fuel Equipment'!N$45-'Fuel Equipment'!N$44)*
(VLOOKUP(IF('Fuel Equipment'!N$22=Report!$A$25,Report!$A$19,'Fuel Equipment'!N$22),Report!$A$18:$L$34,'Actual-CO2 Calculations'!$AK24,FALSE)),0),0)</f>
        <v>0</v>
      </c>
      <c r="O21" s="19">
        <f>IF(AND('Fuel Equipment'!O$44&gt;0,'Fuel Equipment'!O$45&gt;0),IF(AND($A21&gt;='Fuel Equipment'!O$17,$A21&lt;='Fuel Equipment'!O$18),('Fuel Equipment'!O$19*'Fuel Equipment'!O$20*'Fuel Equipment'!O$21)*('Fuel Equipment'!O$45-'Fuel Equipment'!O$44)*
(VLOOKUP(IF('Fuel Equipment'!O$22=Report!$A$25,Report!$A$19,'Fuel Equipment'!O$22),Report!$A$18:$L$34,'Actual-CO2 Calculations'!$AK24,FALSE)),0),0)</f>
        <v>0</v>
      </c>
      <c r="P21" s="19">
        <f>IF(AND('Fuel Equipment'!P$44&gt;0,'Fuel Equipment'!P$45&gt;0),IF(AND($A21&gt;='Fuel Equipment'!P$17,$A21&lt;='Fuel Equipment'!P$18),('Fuel Equipment'!P$19*'Fuel Equipment'!P$20*'Fuel Equipment'!P$21)*('Fuel Equipment'!P$45-'Fuel Equipment'!P$44)*
(VLOOKUP(IF('Fuel Equipment'!P$22=Report!$A$25,Report!$A$19,'Fuel Equipment'!P$22),Report!$A$18:$L$34,'Actual-CO2 Calculations'!$AK24,FALSE)),0),0)</f>
        <v>0</v>
      </c>
      <c r="Q21" s="19">
        <f>IF(AND('Fuel Equipment'!Q$44&gt;0,'Fuel Equipment'!Q$45&gt;0),IF(AND($A21&gt;='Fuel Equipment'!Q$17,$A21&lt;='Fuel Equipment'!Q$18),('Fuel Equipment'!Q$19*'Fuel Equipment'!Q$20*'Fuel Equipment'!Q$21)*('Fuel Equipment'!Q$45-'Fuel Equipment'!Q$44)*
(VLOOKUP(IF('Fuel Equipment'!Q$22=Report!$A$25,Report!$A$19,'Fuel Equipment'!Q$22),Report!$A$18:$L$34,'Actual-CO2 Calculations'!$AK24,FALSE)),0),0)</f>
        <v>0</v>
      </c>
      <c r="R21" s="19">
        <f>IF(AND('Fuel Equipment'!R$44&gt;0,'Fuel Equipment'!R$45&gt;0),IF(AND($A21&gt;='Fuel Equipment'!R$17,$A21&lt;='Fuel Equipment'!R$18),('Fuel Equipment'!R$19*'Fuel Equipment'!R$20*'Fuel Equipment'!R$21)*('Fuel Equipment'!R$45-'Fuel Equipment'!R$44)*
(VLOOKUP(IF('Fuel Equipment'!R$22=Report!$A$25,Report!$A$19,'Fuel Equipment'!R$22),Report!$A$18:$L$34,'Actual-CO2 Calculations'!$AK24,FALSE)),0),0)</f>
        <v>0</v>
      </c>
      <c r="S21" s="19">
        <f>IF(AND('Fuel Equipment'!S$44&gt;0,'Fuel Equipment'!S$45&gt;0),IF(AND($A21&gt;='Fuel Equipment'!S$17,$A21&lt;='Fuel Equipment'!S$18),('Fuel Equipment'!S$19*'Fuel Equipment'!S$20*'Fuel Equipment'!S$21)*('Fuel Equipment'!S$45-'Fuel Equipment'!S$44)*
(VLOOKUP(IF('Fuel Equipment'!S$22=Report!$A$25,Report!$A$19,'Fuel Equipment'!S$22),Report!$A$18:$L$34,'Actual-CO2 Calculations'!$AK24,FALSE)),0),0)</f>
        <v>0</v>
      </c>
      <c r="V21" s="671">
        <f t="shared" si="0"/>
        <v>0</v>
      </c>
    </row>
    <row r="22" spans="1:22">
      <c r="A22" s="21" t="s">
        <v>47</v>
      </c>
      <c r="B22" s="19">
        <f>IF(AND('Fuel Equipment'!B$44&gt;0,'Fuel Equipment'!B$45&gt;0),IF(AND($A22&gt;='Fuel Equipment'!B$17,$A22&lt;='Fuel Equipment'!B$18),('Fuel Equipment'!B$19*'Fuel Equipment'!B$20*'Fuel Equipment'!B$21)*('Fuel Equipment'!B$45-'Fuel Equipment'!B$44)*
(VLOOKUP(IF('Fuel Equipment'!B$22=Report!$A$25,Report!$A$19,'Fuel Equipment'!B$22),Report!$A$18:$L$34,'Actual-CO2 Calculations'!$AK25,FALSE)),0),0)</f>
        <v>0</v>
      </c>
      <c r="C22" s="19">
        <f>IF(AND('Fuel Equipment'!C$44&gt;0,'Fuel Equipment'!C$45&gt;0),IF(AND($A22&gt;='Fuel Equipment'!C$17,$A22&lt;='Fuel Equipment'!C$18),('Fuel Equipment'!C$19*'Fuel Equipment'!C$20*'Fuel Equipment'!C$21)*('Fuel Equipment'!C$45-'Fuel Equipment'!C$44)*
(VLOOKUP(IF('Fuel Equipment'!C$22=Report!$A$25,Report!$A$19,'Fuel Equipment'!C$22),Report!$A$18:$L$34,'Actual-CO2 Calculations'!$AK25,FALSE)),0),0)</f>
        <v>0</v>
      </c>
      <c r="D22" s="19">
        <f>IF(AND('Fuel Equipment'!D$44&gt;0,'Fuel Equipment'!D$45&gt;0),IF(AND($A22&gt;='Fuel Equipment'!D$17,$A22&lt;='Fuel Equipment'!D$18),('Fuel Equipment'!D$19*'Fuel Equipment'!D$20*'Fuel Equipment'!D$21)*('Fuel Equipment'!D$45-'Fuel Equipment'!D$44)*
(VLOOKUP(IF('Fuel Equipment'!D$22=Report!$A$25,Report!$A$19,'Fuel Equipment'!D$22),Report!$A$18:$L$34,'Actual-CO2 Calculations'!$AK25,FALSE)),0),0)</f>
        <v>0</v>
      </c>
      <c r="E22" s="19">
        <f>IF(AND('Fuel Equipment'!E$44&gt;0,'Fuel Equipment'!E$45&gt;0),IF(AND($A22&gt;='Fuel Equipment'!E$17,$A22&lt;='Fuel Equipment'!E$18),('Fuel Equipment'!E$19*'Fuel Equipment'!E$20*'Fuel Equipment'!E$21)*('Fuel Equipment'!E$45-'Fuel Equipment'!E$44)*
(VLOOKUP(IF('Fuel Equipment'!E$22=Report!$A$25,Report!$A$19,'Fuel Equipment'!E$22),Report!$A$18:$L$34,'Actual-CO2 Calculations'!$AK25,FALSE)),0),0)</f>
        <v>0</v>
      </c>
      <c r="F22" s="19">
        <f>IF(AND('Fuel Equipment'!F$44&gt;0,'Fuel Equipment'!F$45&gt;0),IF(AND($A22&gt;='Fuel Equipment'!F$17,$A22&lt;='Fuel Equipment'!F$18),('Fuel Equipment'!F$19*'Fuel Equipment'!F$20*'Fuel Equipment'!F$21)*('Fuel Equipment'!F$45-'Fuel Equipment'!F$44)*
(VLOOKUP(IF('Fuel Equipment'!F$22=Report!$A$25,Report!$A$19,'Fuel Equipment'!F$22),Report!$A$18:$L$34,'Actual-CO2 Calculations'!$AK25,FALSE)),0),0)</f>
        <v>0</v>
      </c>
      <c r="G22" s="19">
        <f>IF(AND('Fuel Equipment'!G$44&gt;0,'Fuel Equipment'!G$45&gt;0),IF(AND($A22&gt;='Fuel Equipment'!G$17,$A22&lt;='Fuel Equipment'!G$18),('Fuel Equipment'!G$19*'Fuel Equipment'!G$20*'Fuel Equipment'!G$21)*('Fuel Equipment'!G$45-'Fuel Equipment'!G$44)*
(VLOOKUP(IF('Fuel Equipment'!G$22=Report!$A$25,Report!$A$19,'Fuel Equipment'!G$22),Report!$A$18:$L$34,'Actual-CO2 Calculations'!$AK25,FALSE)),0),0)</f>
        <v>0</v>
      </c>
      <c r="H22" s="19">
        <f>IF(AND('Fuel Equipment'!H$44&gt;0,'Fuel Equipment'!H$45&gt;0),IF(AND($A22&gt;='Fuel Equipment'!H$17,$A22&lt;='Fuel Equipment'!H$18),('Fuel Equipment'!H$19*'Fuel Equipment'!H$20*'Fuel Equipment'!H$21)*('Fuel Equipment'!H$45-'Fuel Equipment'!H$44)*
(VLOOKUP(IF('Fuel Equipment'!H$22=Report!$A$25,Report!$A$19,'Fuel Equipment'!H$22),Report!$A$18:$L$34,'Actual-CO2 Calculations'!$AK25,FALSE)),0),0)</f>
        <v>0</v>
      </c>
      <c r="I22" s="19">
        <f>IF(AND('Fuel Equipment'!I$44&gt;0,'Fuel Equipment'!I$45&gt;0),IF(AND($A22&gt;='Fuel Equipment'!I$17,$A22&lt;='Fuel Equipment'!I$18),('Fuel Equipment'!I$19*'Fuel Equipment'!I$20*'Fuel Equipment'!I$21)*('Fuel Equipment'!I$45-'Fuel Equipment'!I$44)*
(VLOOKUP(IF('Fuel Equipment'!I$22=Report!$A$25,Report!$A$19,'Fuel Equipment'!I$22),Report!$A$18:$L$34,'Actual-CO2 Calculations'!$AK25,FALSE)),0),0)</f>
        <v>0</v>
      </c>
      <c r="J22" s="19">
        <f>IF(AND('Fuel Equipment'!J$44&gt;0,'Fuel Equipment'!J$45&gt;0),IF(AND($A22&gt;='Fuel Equipment'!J$17,$A22&lt;='Fuel Equipment'!J$18),('Fuel Equipment'!J$19*'Fuel Equipment'!J$20*'Fuel Equipment'!J$21)*('Fuel Equipment'!J$45-'Fuel Equipment'!J$44)*
(VLOOKUP(IF('Fuel Equipment'!J$22=Report!$A$25,Report!$A$19,'Fuel Equipment'!J$22),Report!$A$18:$L$34,'Actual-CO2 Calculations'!$AK25,FALSE)),0),0)</f>
        <v>0</v>
      </c>
      <c r="K22" s="19">
        <f>IF(AND('Fuel Equipment'!K$44&gt;0,'Fuel Equipment'!K$45&gt;0),IF(AND($A22&gt;='Fuel Equipment'!K$17,$A22&lt;='Fuel Equipment'!K$18),('Fuel Equipment'!K$19*'Fuel Equipment'!K$20*'Fuel Equipment'!K$21)*('Fuel Equipment'!K$45-'Fuel Equipment'!K$44)*
(VLOOKUP(IF('Fuel Equipment'!K$22=Report!$A$25,Report!$A$19,'Fuel Equipment'!K$22),Report!$A$18:$L$34,'Actual-CO2 Calculations'!$AK25,FALSE)),0),0)</f>
        <v>0</v>
      </c>
      <c r="L22" s="19">
        <f>IF(AND('Fuel Equipment'!L$44&gt;0,'Fuel Equipment'!L$45&gt;0),IF(AND($A22&gt;='Fuel Equipment'!L$17,$A22&lt;='Fuel Equipment'!L$18),('Fuel Equipment'!L$19*'Fuel Equipment'!L$20*'Fuel Equipment'!L$21)*('Fuel Equipment'!L$45-'Fuel Equipment'!L$44)*
(VLOOKUP(IF('Fuel Equipment'!L$22=Report!$A$25,Report!$A$19,'Fuel Equipment'!L$22),Report!$A$18:$L$34,'Actual-CO2 Calculations'!$AK25,FALSE)),0),0)</f>
        <v>0</v>
      </c>
      <c r="M22" s="19">
        <f>IF(AND('Fuel Equipment'!M$44&gt;0,'Fuel Equipment'!M$45&gt;0),IF(AND($A22&gt;='Fuel Equipment'!M$17,$A22&lt;='Fuel Equipment'!M$18),('Fuel Equipment'!M$19*'Fuel Equipment'!M$20*'Fuel Equipment'!M$21)*('Fuel Equipment'!M$45-'Fuel Equipment'!M$44)*
(VLOOKUP(IF('Fuel Equipment'!M$22=Report!$A$25,Report!$A$19,'Fuel Equipment'!M$22),Report!$A$18:$L$34,'Actual-CO2 Calculations'!$AK25,FALSE)),0),0)</f>
        <v>0</v>
      </c>
      <c r="N22" s="19">
        <f>IF(AND('Fuel Equipment'!N$44&gt;0,'Fuel Equipment'!N$45&gt;0),IF(AND($A22&gt;='Fuel Equipment'!N$17,$A22&lt;='Fuel Equipment'!N$18),('Fuel Equipment'!N$19*'Fuel Equipment'!N$20*'Fuel Equipment'!N$21)*('Fuel Equipment'!N$45-'Fuel Equipment'!N$44)*
(VLOOKUP(IF('Fuel Equipment'!N$22=Report!$A$25,Report!$A$19,'Fuel Equipment'!N$22),Report!$A$18:$L$34,'Actual-CO2 Calculations'!$AK25,FALSE)),0),0)</f>
        <v>0</v>
      </c>
      <c r="O22" s="19">
        <f>IF(AND('Fuel Equipment'!O$44&gt;0,'Fuel Equipment'!O$45&gt;0),IF(AND($A22&gt;='Fuel Equipment'!O$17,$A22&lt;='Fuel Equipment'!O$18),('Fuel Equipment'!O$19*'Fuel Equipment'!O$20*'Fuel Equipment'!O$21)*('Fuel Equipment'!O$45-'Fuel Equipment'!O$44)*
(VLOOKUP(IF('Fuel Equipment'!O$22=Report!$A$25,Report!$A$19,'Fuel Equipment'!O$22),Report!$A$18:$L$34,'Actual-CO2 Calculations'!$AK25,FALSE)),0),0)</f>
        <v>0</v>
      </c>
      <c r="P22" s="19">
        <f>IF(AND('Fuel Equipment'!P$44&gt;0,'Fuel Equipment'!P$45&gt;0),IF(AND($A22&gt;='Fuel Equipment'!P$17,$A22&lt;='Fuel Equipment'!P$18),('Fuel Equipment'!P$19*'Fuel Equipment'!P$20*'Fuel Equipment'!P$21)*('Fuel Equipment'!P$45-'Fuel Equipment'!P$44)*
(VLOOKUP(IF('Fuel Equipment'!P$22=Report!$A$25,Report!$A$19,'Fuel Equipment'!P$22),Report!$A$18:$L$34,'Actual-CO2 Calculations'!$AK25,FALSE)),0),0)</f>
        <v>0</v>
      </c>
      <c r="Q22" s="19">
        <f>IF(AND('Fuel Equipment'!Q$44&gt;0,'Fuel Equipment'!Q$45&gt;0),IF(AND($A22&gt;='Fuel Equipment'!Q$17,$A22&lt;='Fuel Equipment'!Q$18),('Fuel Equipment'!Q$19*'Fuel Equipment'!Q$20*'Fuel Equipment'!Q$21)*('Fuel Equipment'!Q$45-'Fuel Equipment'!Q$44)*
(VLOOKUP(IF('Fuel Equipment'!Q$22=Report!$A$25,Report!$A$19,'Fuel Equipment'!Q$22),Report!$A$18:$L$34,'Actual-CO2 Calculations'!$AK25,FALSE)),0),0)</f>
        <v>0</v>
      </c>
      <c r="R22" s="19">
        <f>IF(AND('Fuel Equipment'!R$44&gt;0,'Fuel Equipment'!R$45&gt;0),IF(AND($A22&gt;='Fuel Equipment'!R$17,$A22&lt;='Fuel Equipment'!R$18),('Fuel Equipment'!R$19*'Fuel Equipment'!R$20*'Fuel Equipment'!R$21)*('Fuel Equipment'!R$45-'Fuel Equipment'!R$44)*
(VLOOKUP(IF('Fuel Equipment'!R$22=Report!$A$25,Report!$A$19,'Fuel Equipment'!R$22),Report!$A$18:$L$34,'Actual-CO2 Calculations'!$AK25,FALSE)),0),0)</f>
        <v>0</v>
      </c>
      <c r="S22" s="19">
        <f>IF(AND('Fuel Equipment'!S$44&gt;0,'Fuel Equipment'!S$45&gt;0),IF(AND($A22&gt;='Fuel Equipment'!S$17,$A22&lt;='Fuel Equipment'!S$18),('Fuel Equipment'!S$19*'Fuel Equipment'!S$20*'Fuel Equipment'!S$21)*('Fuel Equipment'!S$45-'Fuel Equipment'!S$44)*
(VLOOKUP(IF('Fuel Equipment'!S$22=Report!$A$25,Report!$A$19,'Fuel Equipment'!S$22),Report!$A$18:$L$34,'Actual-CO2 Calculations'!$AK25,FALSE)),0),0)</f>
        <v>0</v>
      </c>
      <c r="V22" s="671">
        <f t="shared" si="0"/>
        <v>0</v>
      </c>
    </row>
    <row r="23" spans="1:22">
      <c r="A23" s="21" t="s">
        <v>48</v>
      </c>
      <c r="B23" s="19">
        <f>IF(AND('Fuel Equipment'!B$44&gt;0,'Fuel Equipment'!B$45&gt;0),IF(AND($A23&gt;='Fuel Equipment'!B$17,$A23&lt;='Fuel Equipment'!B$18),('Fuel Equipment'!B$19*'Fuel Equipment'!B$20*'Fuel Equipment'!B$21)*('Fuel Equipment'!B$45-'Fuel Equipment'!B$44)*
(VLOOKUP(IF('Fuel Equipment'!B$22=Report!$A$25,Report!$A$19,'Fuel Equipment'!B$22),Report!$A$18:$L$34,'Actual-CO2 Calculations'!$AK26,FALSE)),0),0)</f>
        <v>0</v>
      </c>
      <c r="C23" s="19">
        <f>IF(AND('Fuel Equipment'!C$44&gt;0,'Fuel Equipment'!C$45&gt;0),IF(AND($A23&gt;='Fuel Equipment'!C$17,$A23&lt;='Fuel Equipment'!C$18),('Fuel Equipment'!C$19*'Fuel Equipment'!C$20*'Fuel Equipment'!C$21)*('Fuel Equipment'!C$45-'Fuel Equipment'!C$44)*
(VLOOKUP(IF('Fuel Equipment'!C$22=Report!$A$25,Report!$A$19,'Fuel Equipment'!C$22),Report!$A$18:$L$34,'Actual-CO2 Calculations'!$AK26,FALSE)),0),0)</f>
        <v>0</v>
      </c>
      <c r="D23" s="19">
        <f>IF(AND('Fuel Equipment'!D$44&gt;0,'Fuel Equipment'!D$45&gt;0),IF(AND($A23&gt;='Fuel Equipment'!D$17,$A23&lt;='Fuel Equipment'!D$18),('Fuel Equipment'!D$19*'Fuel Equipment'!D$20*'Fuel Equipment'!D$21)*('Fuel Equipment'!D$45-'Fuel Equipment'!D$44)*
(VLOOKUP(IF('Fuel Equipment'!D$22=Report!$A$25,Report!$A$19,'Fuel Equipment'!D$22),Report!$A$18:$L$34,'Actual-CO2 Calculations'!$AK26,FALSE)),0),0)</f>
        <v>0</v>
      </c>
      <c r="E23" s="19">
        <f>IF(AND('Fuel Equipment'!E$44&gt;0,'Fuel Equipment'!E$45&gt;0),IF(AND($A23&gt;='Fuel Equipment'!E$17,$A23&lt;='Fuel Equipment'!E$18),('Fuel Equipment'!E$19*'Fuel Equipment'!E$20*'Fuel Equipment'!E$21)*('Fuel Equipment'!E$45-'Fuel Equipment'!E$44)*
(VLOOKUP(IF('Fuel Equipment'!E$22=Report!$A$25,Report!$A$19,'Fuel Equipment'!E$22),Report!$A$18:$L$34,'Actual-CO2 Calculations'!$AK26,FALSE)),0),0)</f>
        <v>0</v>
      </c>
      <c r="F23" s="19">
        <f>IF(AND('Fuel Equipment'!F$44&gt;0,'Fuel Equipment'!F$45&gt;0),IF(AND($A23&gt;='Fuel Equipment'!F$17,$A23&lt;='Fuel Equipment'!F$18),('Fuel Equipment'!F$19*'Fuel Equipment'!F$20*'Fuel Equipment'!F$21)*('Fuel Equipment'!F$45-'Fuel Equipment'!F$44)*
(VLOOKUP(IF('Fuel Equipment'!F$22=Report!$A$25,Report!$A$19,'Fuel Equipment'!F$22),Report!$A$18:$L$34,'Actual-CO2 Calculations'!$AK26,FALSE)),0),0)</f>
        <v>0</v>
      </c>
      <c r="G23" s="19">
        <f>IF(AND('Fuel Equipment'!G$44&gt;0,'Fuel Equipment'!G$45&gt;0),IF(AND($A23&gt;='Fuel Equipment'!G$17,$A23&lt;='Fuel Equipment'!G$18),('Fuel Equipment'!G$19*'Fuel Equipment'!G$20*'Fuel Equipment'!G$21)*('Fuel Equipment'!G$45-'Fuel Equipment'!G$44)*
(VLOOKUP(IF('Fuel Equipment'!G$22=Report!$A$25,Report!$A$19,'Fuel Equipment'!G$22),Report!$A$18:$L$34,'Actual-CO2 Calculations'!$AK26,FALSE)),0),0)</f>
        <v>0</v>
      </c>
      <c r="H23" s="19">
        <f>IF(AND('Fuel Equipment'!H$44&gt;0,'Fuel Equipment'!H$45&gt;0),IF(AND($A23&gt;='Fuel Equipment'!H$17,$A23&lt;='Fuel Equipment'!H$18),('Fuel Equipment'!H$19*'Fuel Equipment'!H$20*'Fuel Equipment'!H$21)*('Fuel Equipment'!H$45-'Fuel Equipment'!H$44)*
(VLOOKUP(IF('Fuel Equipment'!H$22=Report!$A$25,Report!$A$19,'Fuel Equipment'!H$22),Report!$A$18:$L$34,'Actual-CO2 Calculations'!$AK26,FALSE)),0),0)</f>
        <v>0</v>
      </c>
      <c r="I23" s="19">
        <f>IF(AND('Fuel Equipment'!I$44&gt;0,'Fuel Equipment'!I$45&gt;0),IF(AND($A23&gt;='Fuel Equipment'!I$17,$A23&lt;='Fuel Equipment'!I$18),('Fuel Equipment'!I$19*'Fuel Equipment'!I$20*'Fuel Equipment'!I$21)*('Fuel Equipment'!I$45-'Fuel Equipment'!I$44)*
(VLOOKUP(IF('Fuel Equipment'!I$22=Report!$A$25,Report!$A$19,'Fuel Equipment'!I$22),Report!$A$18:$L$34,'Actual-CO2 Calculations'!$AK26,FALSE)),0),0)</f>
        <v>0</v>
      </c>
      <c r="J23" s="19">
        <f>IF(AND('Fuel Equipment'!J$44&gt;0,'Fuel Equipment'!J$45&gt;0),IF(AND($A23&gt;='Fuel Equipment'!J$17,$A23&lt;='Fuel Equipment'!J$18),('Fuel Equipment'!J$19*'Fuel Equipment'!J$20*'Fuel Equipment'!J$21)*('Fuel Equipment'!J$45-'Fuel Equipment'!J$44)*
(VLOOKUP(IF('Fuel Equipment'!J$22=Report!$A$25,Report!$A$19,'Fuel Equipment'!J$22),Report!$A$18:$L$34,'Actual-CO2 Calculations'!$AK26,FALSE)),0),0)</f>
        <v>0</v>
      </c>
      <c r="K23" s="19">
        <f>IF(AND('Fuel Equipment'!K$44&gt;0,'Fuel Equipment'!K$45&gt;0),IF(AND($A23&gt;='Fuel Equipment'!K$17,$A23&lt;='Fuel Equipment'!K$18),('Fuel Equipment'!K$19*'Fuel Equipment'!K$20*'Fuel Equipment'!K$21)*('Fuel Equipment'!K$45-'Fuel Equipment'!K$44)*
(VLOOKUP(IF('Fuel Equipment'!K$22=Report!$A$25,Report!$A$19,'Fuel Equipment'!K$22),Report!$A$18:$L$34,'Actual-CO2 Calculations'!$AK26,FALSE)),0),0)</f>
        <v>0</v>
      </c>
      <c r="L23" s="19">
        <f>IF(AND('Fuel Equipment'!L$44&gt;0,'Fuel Equipment'!L$45&gt;0),IF(AND($A23&gt;='Fuel Equipment'!L$17,$A23&lt;='Fuel Equipment'!L$18),('Fuel Equipment'!L$19*'Fuel Equipment'!L$20*'Fuel Equipment'!L$21)*('Fuel Equipment'!L$45-'Fuel Equipment'!L$44)*
(VLOOKUP(IF('Fuel Equipment'!L$22=Report!$A$25,Report!$A$19,'Fuel Equipment'!L$22),Report!$A$18:$L$34,'Actual-CO2 Calculations'!$AK26,FALSE)),0),0)</f>
        <v>0</v>
      </c>
      <c r="M23" s="19">
        <f>IF(AND('Fuel Equipment'!M$44&gt;0,'Fuel Equipment'!M$45&gt;0),IF(AND($A23&gt;='Fuel Equipment'!M$17,$A23&lt;='Fuel Equipment'!M$18),('Fuel Equipment'!M$19*'Fuel Equipment'!M$20*'Fuel Equipment'!M$21)*('Fuel Equipment'!M$45-'Fuel Equipment'!M$44)*
(VLOOKUP(IF('Fuel Equipment'!M$22=Report!$A$25,Report!$A$19,'Fuel Equipment'!M$22),Report!$A$18:$L$34,'Actual-CO2 Calculations'!$AK26,FALSE)),0),0)</f>
        <v>0</v>
      </c>
      <c r="N23" s="19">
        <f>IF(AND('Fuel Equipment'!N$44&gt;0,'Fuel Equipment'!N$45&gt;0),IF(AND($A23&gt;='Fuel Equipment'!N$17,$A23&lt;='Fuel Equipment'!N$18),('Fuel Equipment'!N$19*'Fuel Equipment'!N$20*'Fuel Equipment'!N$21)*('Fuel Equipment'!N$45-'Fuel Equipment'!N$44)*
(VLOOKUP(IF('Fuel Equipment'!N$22=Report!$A$25,Report!$A$19,'Fuel Equipment'!N$22),Report!$A$18:$L$34,'Actual-CO2 Calculations'!$AK26,FALSE)),0),0)</f>
        <v>0</v>
      </c>
      <c r="O23" s="19">
        <f>IF(AND('Fuel Equipment'!O$44&gt;0,'Fuel Equipment'!O$45&gt;0),IF(AND($A23&gt;='Fuel Equipment'!O$17,$A23&lt;='Fuel Equipment'!O$18),('Fuel Equipment'!O$19*'Fuel Equipment'!O$20*'Fuel Equipment'!O$21)*('Fuel Equipment'!O$45-'Fuel Equipment'!O$44)*
(VLOOKUP(IF('Fuel Equipment'!O$22=Report!$A$25,Report!$A$19,'Fuel Equipment'!O$22),Report!$A$18:$L$34,'Actual-CO2 Calculations'!$AK26,FALSE)),0),0)</f>
        <v>0</v>
      </c>
      <c r="P23" s="19">
        <f>IF(AND('Fuel Equipment'!P$44&gt;0,'Fuel Equipment'!P$45&gt;0),IF(AND($A23&gt;='Fuel Equipment'!P$17,$A23&lt;='Fuel Equipment'!P$18),('Fuel Equipment'!P$19*'Fuel Equipment'!P$20*'Fuel Equipment'!P$21)*('Fuel Equipment'!P$45-'Fuel Equipment'!P$44)*
(VLOOKUP(IF('Fuel Equipment'!P$22=Report!$A$25,Report!$A$19,'Fuel Equipment'!P$22),Report!$A$18:$L$34,'Actual-CO2 Calculations'!$AK26,FALSE)),0),0)</f>
        <v>0</v>
      </c>
      <c r="Q23" s="19">
        <f>IF(AND('Fuel Equipment'!Q$44&gt;0,'Fuel Equipment'!Q$45&gt;0),IF(AND($A23&gt;='Fuel Equipment'!Q$17,$A23&lt;='Fuel Equipment'!Q$18),('Fuel Equipment'!Q$19*'Fuel Equipment'!Q$20*'Fuel Equipment'!Q$21)*('Fuel Equipment'!Q$45-'Fuel Equipment'!Q$44)*
(VLOOKUP(IF('Fuel Equipment'!Q$22=Report!$A$25,Report!$A$19,'Fuel Equipment'!Q$22),Report!$A$18:$L$34,'Actual-CO2 Calculations'!$AK26,FALSE)),0),0)</f>
        <v>0</v>
      </c>
      <c r="R23" s="19">
        <f>IF(AND('Fuel Equipment'!R$44&gt;0,'Fuel Equipment'!R$45&gt;0),IF(AND($A23&gt;='Fuel Equipment'!R$17,$A23&lt;='Fuel Equipment'!R$18),('Fuel Equipment'!R$19*'Fuel Equipment'!R$20*'Fuel Equipment'!R$21)*('Fuel Equipment'!R$45-'Fuel Equipment'!R$44)*
(VLOOKUP(IF('Fuel Equipment'!R$22=Report!$A$25,Report!$A$19,'Fuel Equipment'!R$22),Report!$A$18:$L$34,'Actual-CO2 Calculations'!$AK26,FALSE)),0),0)</f>
        <v>0</v>
      </c>
      <c r="S23" s="19">
        <f>IF(AND('Fuel Equipment'!S$44&gt;0,'Fuel Equipment'!S$45&gt;0),IF(AND($A23&gt;='Fuel Equipment'!S$17,$A23&lt;='Fuel Equipment'!S$18),('Fuel Equipment'!S$19*'Fuel Equipment'!S$20*'Fuel Equipment'!S$21)*('Fuel Equipment'!S$45-'Fuel Equipment'!S$44)*
(VLOOKUP(IF('Fuel Equipment'!S$22=Report!$A$25,Report!$A$19,'Fuel Equipment'!S$22),Report!$A$18:$L$34,'Actual-CO2 Calculations'!$AK26,FALSE)),0),0)</f>
        <v>0</v>
      </c>
      <c r="V23" s="671">
        <f t="shared" si="0"/>
        <v>0</v>
      </c>
    </row>
    <row r="24" spans="1:22">
      <c r="A24" s="19" t="s">
        <v>0</v>
      </c>
      <c r="B24" s="19">
        <f>IF(AND('Fuel Equipment'!B$44&gt;0,'Fuel Equipment'!B$45&gt;0),IF(AND($A24&gt;='Fuel Equipment'!B$17,$A24&lt;='Fuel Equipment'!B$18),('Fuel Equipment'!B$19*'Fuel Equipment'!B$20*'Fuel Equipment'!B$21)*('Fuel Equipment'!B$45-'Fuel Equipment'!B$44)*
(VLOOKUP(IF('Fuel Equipment'!B$22=Report!$A$25,Report!$A$19,'Fuel Equipment'!B$22),Report!$A$18:$L$34,'Actual-CO2 Calculations'!$AK27,FALSE)),0),0)</f>
        <v>0</v>
      </c>
      <c r="C24" s="19">
        <f>IF(AND('Fuel Equipment'!C$44&gt;0,'Fuel Equipment'!C$45&gt;0),IF(AND($A24&gt;='Fuel Equipment'!C$17,$A24&lt;='Fuel Equipment'!C$18),('Fuel Equipment'!C$19*'Fuel Equipment'!C$20*'Fuel Equipment'!C$21)*('Fuel Equipment'!C$45-'Fuel Equipment'!C$44)*
(VLOOKUP(IF('Fuel Equipment'!C$22=Report!$A$25,Report!$A$19,'Fuel Equipment'!C$22),Report!$A$18:$L$34,'Actual-CO2 Calculations'!$AK27,FALSE)),0),0)</f>
        <v>0</v>
      </c>
      <c r="D24" s="19">
        <f>IF(AND('Fuel Equipment'!D$44&gt;0,'Fuel Equipment'!D$45&gt;0),IF(AND($A24&gt;='Fuel Equipment'!D$17,$A24&lt;='Fuel Equipment'!D$18),('Fuel Equipment'!D$19*'Fuel Equipment'!D$20*'Fuel Equipment'!D$21)*('Fuel Equipment'!D$45-'Fuel Equipment'!D$44)*
(VLOOKUP(IF('Fuel Equipment'!D$22=Report!$A$25,Report!$A$19,'Fuel Equipment'!D$22),Report!$A$18:$L$34,'Actual-CO2 Calculations'!$AK27,FALSE)),0),0)</f>
        <v>0</v>
      </c>
      <c r="E24" s="19">
        <f>IF(AND('Fuel Equipment'!E$44&gt;0,'Fuel Equipment'!E$45&gt;0),IF(AND($A24&gt;='Fuel Equipment'!E$17,$A24&lt;='Fuel Equipment'!E$18),('Fuel Equipment'!E$19*'Fuel Equipment'!E$20*'Fuel Equipment'!E$21)*('Fuel Equipment'!E$45-'Fuel Equipment'!E$44)*
(VLOOKUP(IF('Fuel Equipment'!E$22=Report!$A$25,Report!$A$19,'Fuel Equipment'!E$22),Report!$A$18:$L$34,'Actual-CO2 Calculations'!$AK27,FALSE)),0),0)</f>
        <v>0</v>
      </c>
      <c r="F24" s="19">
        <f>IF(AND('Fuel Equipment'!F$44&gt;0,'Fuel Equipment'!F$45&gt;0),IF(AND($A24&gt;='Fuel Equipment'!F$17,$A24&lt;='Fuel Equipment'!F$18),('Fuel Equipment'!F$19*'Fuel Equipment'!F$20*'Fuel Equipment'!F$21)*('Fuel Equipment'!F$45-'Fuel Equipment'!F$44)*
(VLOOKUP(IF('Fuel Equipment'!F$22=Report!$A$25,Report!$A$19,'Fuel Equipment'!F$22),Report!$A$18:$L$34,'Actual-CO2 Calculations'!$AK27,FALSE)),0),0)</f>
        <v>0</v>
      </c>
      <c r="G24" s="19">
        <f>IF(AND('Fuel Equipment'!G$44&gt;0,'Fuel Equipment'!G$45&gt;0),IF(AND($A24&gt;='Fuel Equipment'!G$17,$A24&lt;='Fuel Equipment'!G$18),('Fuel Equipment'!G$19*'Fuel Equipment'!G$20*'Fuel Equipment'!G$21)*('Fuel Equipment'!G$45-'Fuel Equipment'!G$44)*
(VLOOKUP(IF('Fuel Equipment'!G$22=Report!$A$25,Report!$A$19,'Fuel Equipment'!G$22),Report!$A$18:$L$34,'Actual-CO2 Calculations'!$AK27,FALSE)),0),0)</f>
        <v>0</v>
      </c>
      <c r="H24" s="19">
        <f>IF(AND('Fuel Equipment'!H$44&gt;0,'Fuel Equipment'!H$45&gt;0),IF(AND($A24&gt;='Fuel Equipment'!H$17,$A24&lt;='Fuel Equipment'!H$18),('Fuel Equipment'!H$19*'Fuel Equipment'!H$20*'Fuel Equipment'!H$21)*('Fuel Equipment'!H$45-'Fuel Equipment'!H$44)*
(VLOOKUP(IF('Fuel Equipment'!H$22=Report!$A$25,Report!$A$19,'Fuel Equipment'!H$22),Report!$A$18:$L$34,'Actual-CO2 Calculations'!$AK27,FALSE)),0),0)</f>
        <v>0</v>
      </c>
      <c r="I24" s="19">
        <f>IF(AND('Fuel Equipment'!I$44&gt;0,'Fuel Equipment'!I$45&gt;0),IF(AND($A24&gt;='Fuel Equipment'!I$17,$A24&lt;='Fuel Equipment'!I$18),('Fuel Equipment'!I$19*'Fuel Equipment'!I$20*'Fuel Equipment'!I$21)*('Fuel Equipment'!I$45-'Fuel Equipment'!I$44)*
(VLOOKUP(IF('Fuel Equipment'!I$22=Report!$A$25,Report!$A$19,'Fuel Equipment'!I$22),Report!$A$18:$L$34,'Actual-CO2 Calculations'!$AK27,FALSE)),0),0)</f>
        <v>0</v>
      </c>
      <c r="J24" s="19">
        <f>IF(AND('Fuel Equipment'!J$44&gt;0,'Fuel Equipment'!J$45&gt;0),IF(AND($A24&gt;='Fuel Equipment'!J$17,$A24&lt;='Fuel Equipment'!J$18),('Fuel Equipment'!J$19*'Fuel Equipment'!J$20*'Fuel Equipment'!J$21)*('Fuel Equipment'!J$45-'Fuel Equipment'!J$44)*
(VLOOKUP(IF('Fuel Equipment'!J$22=Report!$A$25,Report!$A$19,'Fuel Equipment'!J$22),Report!$A$18:$L$34,'Actual-CO2 Calculations'!$AK27,FALSE)),0),0)</f>
        <v>0</v>
      </c>
      <c r="K24" s="19">
        <f>IF(AND('Fuel Equipment'!K$44&gt;0,'Fuel Equipment'!K$45&gt;0),IF(AND($A24&gt;='Fuel Equipment'!K$17,$A24&lt;='Fuel Equipment'!K$18),('Fuel Equipment'!K$19*'Fuel Equipment'!K$20*'Fuel Equipment'!K$21)*('Fuel Equipment'!K$45-'Fuel Equipment'!K$44)*
(VLOOKUP(IF('Fuel Equipment'!K$22=Report!$A$25,Report!$A$19,'Fuel Equipment'!K$22),Report!$A$18:$L$34,'Actual-CO2 Calculations'!$AK27,FALSE)),0),0)</f>
        <v>0</v>
      </c>
      <c r="L24" s="19">
        <f>IF(AND('Fuel Equipment'!L$44&gt;0,'Fuel Equipment'!L$45&gt;0),IF(AND($A24&gt;='Fuel Equipment'!L$17,$A24&lt;='Fuel Equipment'!L$18),('Fuel Equipment'!L$19*'Fuel Equipment'!L$20*'Fuel Equipment'!L$21)*('Fuel Equipment'!L$45-'Fuel Equipment'!L$44)*
(VLOOKUP(IF('Fuel Equipment'!L$22=Report!$A$25,Report!$A$19,'Fuel Equipment'!L$22),Report!$A$18:$L$34,'Actual-CO2 Calculations'!$AK27,FALSE)),0),0)</f>
        <v>0</v>
      </c>
      <c r="M24" s="19">
        <f>IF(AND('Fuel Equipment'!M$44&gt;0,'Fuel Equipment'!M$45&gt;0),IF(AND($A24&gt;='Fuel Equipment'!M$17,$A24&lt;='Fuel Equipment'!M$18),('Fuel Equipment'!M$19*'Fuel Equipment'!M$20*'Fuel Equipment'!M$21)*('Fuel Equipment'!M$45-'Fuel Equipment'!M$44)*
(VLOOKUP(IF('Fuel Equipment'!M$22=Report!$A$25,Report!$A$19,'Fuel Equipment'!M$22),Report!$A$18:$L$34,'Actual-CO2 Calculations'!$AK27,FALSE)),0),0)</f>
        <v>0</v>
      </c>
      <c r="N24" s="19">
        <f>IF(AND('Fuel Equipment'!N$44&gt;0,'Fuel Equipment'!N$45&gt;0),IF(AND($A24&gt;='Fuel Equipment'!N$17,$A24&lt;='Fuel Equipment'!N$18),('Fuel Equipment'!N$19*'Fuel Equipment'!N$20*'Fuel Equipment'!N$21)*('Fuel Equipment'!N$45-'Fuel Equipment'!N$44)*
(VLOOKUP(IF('Fuel Equipment'!N$22=Report!$A$25,Report!$A$19,'Fuel Equipment'!N$22),Report!$A$18:$L$34,'Actual-CO2 Calculations'!$AK27,FALSE)),0),0)</f>
        <v>0</v>
      </c>
      <c r="O24" s="19">
        <f>IF(AND('Fuel Equipment'!O$44&gt;0,'Fuel Equipment'!O$45&gt;0),IF(AND($A24&gt;='Fuel Equipment'!O$17,$A24&lt;='Fuel Equipment'!O$18),('Fuel Equipment'!O$19*'Fuel Equipment'!O$20*'Fuel Equipment'!O$21)*('Fuel Equipment'!O$45-'Fuel Equipment'!O$44)*
(VLOOKUP(IF('Fuel Equipment'!O$22=Report!$A$25,Report!$A$19,'Fuel Equipment'!O$22),Report!$A$18:$L$34,'Actual-CO2 Calculations'!$AK27,FALSE)),0),0)</f>
        <v>0</v>
      </c>
      <c r="P24" s="19">
        <f>IF(AND('Fuel Equipment'!P$44&gt;0,'Fuel Equipment'!P$45&gt;0),IF(AND($A24&gt;='Fuel Equipment'!P$17,$A24&lt;='Fuel Equipment'!P$18),('Fuel Equipment'!P$19*'Fuel Equipment'!P$20*'Fuel Equipment'!P$21)*('Fuel Equipment'!P$45-'Fuel Equipment'!P$44)*
(VLOOKUP(IF('Fuel Equipment'!P$22=Report!$A$25,Report!$A$19,'Fuel Equipment'!P$22),Report!$A$18:$L$34,'Actual-CO2 Calculations'!$AK27,FALSE)),0),0)</f>
        <v>0</v>
      </c>
      <c r="Q24" s="19">
        <f>IF(AND('Fuel Equipment'!Q$44&gt;0,'Fuel Equipment'!Q$45&gt;0),IF(AND($A24&gt;='Fuel Equipment'!Q$17,$A24&lt;='Fuel Equipment'!Q$18),('Fuel Equipment'!Q$19*'Fuel Equipment'!Q$20*'Fuel Equipment'!Q$21)*('Fuel Equipment'!Q$45-'Fuel Equipment'!Q$44)*
(VLOOKUP(IF('Fuel Equipment'!Q$22=Report!$A$25,Report!$A$19,'Fuel Equipment'!Q$22),Report!$A$18:$L$34,'Actual-CO2 Calculations'!$AK27,FALSE)),0),0)</f>
        <v>0</v>
      </c>
      <c r="R24" s="19">
        <f>IF(AND('Fuel Equipment'!R$44&gt;0,'Fuel Equipment'!R$45&gt;0),IF(AND($A24&gt;='Fuel Equipment'!R$17,$A24&lt;='Fuel Equipment'!R$18),('Fuel Equipment'!R$19*'Fuel Equipment'!R$20*'Fuel Equipment'!R$21)*('Fuel Equipment'!R$45-'Fuel Equipment'!R$44)*
(VLOOKUP(IF('Fuel Equipment'!R$22=Report!$A$25,Report!$A$19,'Fuel Equipment'!R$22),Report!$A$18:$L$34,'Actual-CO2 Calculations'!$AK27,FALSE)),0),0)</f>
        <v>0</v>
      </c>
      <c r="S24" s="19">
        <f>IF(AND('Fuel Equipment'!S$44&gt;0,'Fuel Equipment'!S$45&gt;0),IF(AND($A24&gt;='Fuel Equipment'!S$17,$A24&lt;='Fuel Equipment'!S$18),('Fuel Equipment'!S$19*'Fuel Equipment'!S$20*'Fuel Equipment'!S$21)*('Fuel Equipment'!S$45-'Fuel Equipment'!S$44)*
(VLOOKUP(IF('Fuel Equipment'!S$22=Report!$A$25,Report!$A$19,'Fuel Equipment'!S$22),Report!$A$18:$L$34,'Actual-CO2 Calculations'!$AK27,FALSE)),0),0)</f>
        <v>0</v>
      </c>
      <c r="V24" s="671">
        <f t="shared" si="0"/>
        <v>0</v>
      </c>
    </row>
    <row r="25" spans="1:22">
      <c r="A25" s="19" t="s">
        <v>1</v>
      </c>
      <c r="B25" s="19">
        <f>IF(AND('Fuel Equipment'!B$44&gt;0,'Fuel Equipment'!B$45&gt;0),IF(AND($A25&gt;='Fuel Equipment'!B$17,$A25&lt;='Fuel Equipment'!B$18),('Fuel Equipment'!B$19*'Fuel Equipment'!B$20*'Fuel Equipment'!B$21)*('Fuel Equipment'!B$45-'Fuel Equipment'!B$44)*
(VLOOKUP(IF('Fuel Equipment'!B$22=Report!$A$25,Report!$A$19,'Fuel Equipment'!B$22),Report!$A$18:$L$34,'Actual-CO2 Calculations'!$AK28,FALSE)),0),0)</f>
        <v>0</v>
      </c>
      <c r="C25" s="19">
        <f>IF(AND('Fuel Equipment'!C$44&gt;0,'Fuel Equipment'!C$45&gt;0),IF(AND($A25&gt;='Fuel Equipment'!C$17,$A25&lt;='Fuel Equipment'!C$18),('Fuel Equipment'!C$19*'Fuel Equipment'!C$20*'Fuel Equipment'!C$21)*('Fuel Equipment'!C$45-'Fuel Equipment'!C$44)*
(VLOOKUP(IF('Fuel Equipment'!C$22=Report!$A$25,Report!$A$19,'Fuel Equipment'!C$22),Report!$A$18:$L$34,'Actual-CO2 Calculations'!$AK28,FALSE)),0),0)</f>
        <v>0</v>
      </c>
      <c r="D25" s="19">
        <f>IF(AND('Fuel Equipment'!D$44&gt;0,'Fuel Equipment'!D$45&gt;0),IF(AND($A25&gt;='Fuel Equipment'!D$17,$A25&lt;='Fuel Equipment'!D$18),('Fuel Equipment'!D$19*'Fuel Equipment'!D$20*'Fuel Equipment'!D$21)*('Fuel Equipment'!D$45-'Fuel Equipment'!D$44)*
(VLOOKUP(IF('Fuel Equipment'!D$22=Report!$A$25,Report!$A$19,'Fuel Equipment'!D$22),Report!$A$18:$L$34,'Actual-CO2 Calculations'!$AK28,FALSE)),0),0)</f>
        <v>0</v>
      </c>
      <c r="E25" s="19">
        <f>IF(AND('Fuel Equipment'!E$44&gt;0,'Fuel Equipment'!E$45&gt;0),IF(AND($A25&gt;='Fuel Equipment'!E$17,$A25&lt;='Fuel Equipment'!E$18),('Fuel Equipment'!E$19*'Fuel Equipment'!E$20*'Fuel Equipment'!E$21)*('Fuel Equipment'!E$45-'Fuel Equipment'!E$44)*
(VLOOKUP(IF('Fuel Equipment'!E$22=Report!$A$25,Report!$A$19,'Fuel Equipment'!E$22),Report!$A$18:$L$34,'Actual-CO2 Calculations'!$AK28,FALSE)),0),0)</f>
        <v>0</v>
      </c>
      <c r="F25" s="19">
        <f>IF(AND('Fuel Equipment'!F$44&gt;0,'Fuel Equipment'!F$45&gt;0),IF(AND($A25&gt;='Fuel Equipment'!F$17,$A25&lt;='Fuel Equipment'!F$18),('Fuel Equipment'!F$19*'Fuel Equipment'!F$20*'Fuel Equipment'!F$21)*('Fuel Equipment'!F$45-'Fuel Equipment'!F$44)*
(VLOOKUP(IF('Fuel Equipment'!F$22=Report!$A$25,Report!$A$19,'Fuel Equipment'!F$22),Report!$A$18:$L$34,'Actual-CO2 Calculations'!$AK28,FALSE)),0),0)</f>
        <v>0</v>
      </c>
      <c r="G25" s="19">
        <f>IF(AND('Fuel Equipment'!G$44&gt;0,'Fuel Equipment'!G$45&gt;0),IF(AND($A25&gt;='Fuel Equipment'!G$17,$A25&lt;='Fuel Equipment'!G$18),('Fuel Equipment'!G$19*'Fuel Equipment'!G$20*'Fuel Equipment'!G$21)*('Fuel Equipment'!G$45-'Fuel Equipment'!G$44)*
(VLOOKUP(IF('Fuel Equipment'!G$22=Report!$A$25,Report!$A$19,'Fuel Equipment'!G$22),Report!$A$18:$L$34,'Actual-CO2 Calculations'!$AK28,FALSE)),0),0)</f>
        <v>0</v>
      </c>
      <c r="H25" s="19">
        <f>IF(AND('Fuel Equipment'!H$44&gt;0,'Fuel Equipment'!H$45&gt;0),IF(AND($A25&gt;='Fuel Equipment'!H$17,$A25&lt;='Fuel Equipment'!H$18),('Fuel Equipment'!H$19*'Fuel Equipment'!H$20*'Fuel Equipment'!H$21)*('Fuel Equipment'!H$45-'Fuel Equipment'!H$44)*
(VLOOKUP(IF('Fuel Equipment'!H$22=Report!$A$25,Report!$A$19,'Fuel Equipment'!H$22),Report!$A$18:$L$34,'Actual-CO2 Calculations'!$AK28,FALSE)),0),0)</f>
        <v>0</v>
      </c>
      <c r="I25" s="19">
        <f>IF(AND('Fuel Equipment'!I$44&gt;0,'Fuel Equipment'!I$45&gt;0),IF(AND($A25&gt;='Fuel Equipment'!I$17,$A25&lt;='Fuel Equipment'!I$18),('Fuel Equipment'!I$19*'Fuel Equipment'!I$20*'Fuel Equipment'!I$21)*('Fuel Equipment'!I$45-'Fuel Equipment'!I$44)*
(VLOOKUP(IF('Fuel Equipment'!I$22=Report!$A$25,Report!$A$19,'Fuel Equipment'!I$22),Report!$A$18:$L$34,'Actual-CO2 Calculations'!$AK28,FALSE)),0),0)</f>
        <v>0</v>
      </c>
      <c r="J25" s="19">
        <f>IF(AND('Fuel Equipment'!J$44&gt;0,'Fuel Equipment'!J$45&gt;0),IF(AND($A25&gt;='Fuel Equipment'!J$17,$A25&lt;='Fuel Equipment'!J$18),('Fuel Equipment'!J$19*'Fuel Equipment'!J$20*'Fuel Equipment'!J$21)*('Fuel Equipment'!J$45-'Fuel Equipment'!J$44)*
(VLOOKUP(IF('Fuel Equipment'!J$22=Report!$A$25,Report!$A$19,'Fuel Equipment'!J$22),Report!$A$18:$L$34,'Actual-CO2 Calculations'!$AK28,FALSE)),0),0)</f>
        <v>0</v>
      </c>
      <c r="K25" s="19">
        <f>IF(AND('Fuel Equipment'!K$44&gt;0,'Fuel Equipment'!K$45&gt;0),IF(AND($A25&gt;='Fuel Equipment'!K$17,$A25&lt;='Fuel Equipment'!K$18),('Fuel Equipment'!K$19*'Fuel Equipment'!K$20*'Fuel Equipment'!K$21)*('Fuel Equipment'!K$45-'Fuel Equipment'!K$44)*
(VLOOKUP(IF('Fuel Equipment'!K$22=Report!$A$25,Report!$A$19,'Fuel Equipment'!K$22),Report!$A$18:$L$34,'Actual-CO2 Calculations'!$AK28,FALSE)),0),0)</f>
        <v>0</v>
      </c>
      <c r="L25" s="19">
        <f>IF(AND('Fuel Equipment'!L$44&gt;0,'Fuel Equipment'!L$45&gt;0),IF(AND($A25&gt;='Fuel Equipment'!L$17,$A25&lt;='Fuel Equipment'!L$18),('Fuel Equipment'!L$19*'Fuel Equipment'!L$20*'Fuel Equipment'!L$21)*('Fuel Equipment'!L$45-'Fuel Equipment'!L$44)*
(VLOOKUP(IF('Fuel Equipment'!L$22=Report!$A$25,Report!$A$19,'Fuel Equipment'!L$22),Report!$A$18:$L$34,'Actual-CO2 Calculations'!$AK28,FALSE)),0),0)</f>
        <v>0</v>
      </c>
      <c r="M25" s="19">
        <f>IF(AND('Fuel Equipment'!M$44&gt;0,'Fuel Equipment'!M$45&gt;0),IF(AND($A25&gt;='Fuel Equipment'!M$17,$A25&lt;='Fuel Equipment'!M$18),('Fuel Equipment'!M$19*'Fuel Equipment'!M$20*'Fuel Equipment'!M$21)*('Fuel Equipment'!M$45-'Fuel Equipment'!M$44)*
(VLOOKUP(IF('Fuel Equipment'!M$22=Report!$A$25,Report!$A$19,'Fuel Equipment'!M$22),Report!$A$18:$L$34,'Actual-CO2 Calculations'!$AK28,FALSE)),0),0)</f>
        <v>0</v>
      </c>
      <c r="N25" s="19">
        <f>IF(AND('Fuel Equipment'!N$44&gt;0,'Fuel Equipment'!N$45&gt;0),IF(AND($A25&gt;='Fuel Equipment'!N$17,$A25&lt;='Fuel Equipment'!N$18),('Fuel Equipment'!N$19*'Fuel Equipment'!N$20*'Fuel Equipment'!N$21)*('Fuel Equipment'!N$45-'Fuel Equipment'!N$44)*
(VLOOKUP(IF('Fuel Equipment'!N$22=Report!$A$25,Report!$A$19,'Fuel Equipment'!N$22),Report!$A$18:$L$34,'Actual-CO2 Calculations'!$AK28,FALSE)),0),0)</f>
        <v>0</v>
      </c>
      <c r="O25" s="19">
        <f>IF(AND('Fuel Equipment'!O$44&gt;0,'Fuel Equipment'!O$45&gt;0),IF(AND($A25&gt;='Fuel Equipment'!O$17,$A25&lt;='Fuel Equipment'!O$18),('Fuel Equipment'!O$19*'Fuel Equipment'!O$20*'Fuel Equipment'!O$21)*('Fuel Equipment'!O$45-'Fuel Equipment'!O$44)*
(VLOOKUP(IF('Fuel Equipment'!O$22=Report!$A$25,Report!$A$19,'Fuel Equipment'!O$22),Report!$A$18:$L$34,'Actual-CO2 Calculations'!$AK28,FALSE)),0),0)</f>
        <v>0</v>
      </c>
      <c r="P25" s="19">
        <f>IF(AND('Fuel Equipment'!P$44&gt;0,'Fuel Equipment'!P$45&gt;0),IF(AND($A25&gt;='Fuel Equipment'!P$17,$A25&lt;='Fuel Equipment'!P$18),('Fuel Equipment'!P$19*'Fuel Equipment'!P$20*'Fuel Equipment'!P$21)*('Fuel Equipment'!P$45-'Fuel Equipment'!P$44)*
(VLOOKUP(IF('Fuel Equipment'!P$22=Report!$A$25,Report!$A$19,'Fuel Equipment'!P$22),Report!$A$18:$L$34,'Actual-CO2 Calculations'!$AK28,FALSE)),0),0)</f>
        <v>0</v>
      </c>
      <c r="Q25" s="19">
        <f>IF(AND('Fuel Equipment'!Q$44&gt;0,'Fuel Equipment'!Q$45&gt;0),IF(AND($A25&gt;='Fuel Equipment'!Q$17,$A25&lt;='Fuel Equipment'!Q$18),('Fuel Equipment'!Q$19*'Fuel Equipment'!Q$20*'Fuel Equipment'!Q$21)*('Fuel Equipment'!Q$45-'Fuel Equipment'!Q$44)*
(VLOOKUP(IF('Fuel Equipment'!Q$22=Report!$A$25,Report!$A$19,'Fuel Equipment'!Q$22),Report!$A$18:$L$34,'Actual-CO2 Calculations'!$AK28,FALSE)),0),0)</f>
        <v>0</v>
      </c>
      <c r="R25" s="19">
        <f>IF(AND('Fuel Equipment'!R$44&gt;0,'Fuel Equipment'!R$45&gt;0),IF(AND($A25&gt;='Fuel Equipment'!R$17,$A25&lt;='Fuel Equipment'!R$18),('Fuel Equipment'!R$19*'Fuel Equipment'!R$20*'Fuel Equipment'!R$21)*('Fuel Equipment'!R$45-'Fuel Equipment'!R$44)*
(VLOOKUP(IF('Fuel Equipment'!R$22=Report!$A$25,Report!$A$19,'Fuel Equipment'!R$22),Report!$A$18:$L$34,'Actual-CO2 Calculations'!$AK28,FALSE)),0),0)</f>
        <v>0</v>
      </c>
      <c r="S25" s="19">
        <f>IF(AND('Fuel Equipment'!S$44&gt;0,'Fuel Equipment'!S$45&gt;0),IF(AND($A25&gt;='Fuel Equipment'!S$17,$A25&lt;='Fuel Equipment'!S$18),('Fuel Equipment'!S$19*'Fuel Equipment'!S$20*'Fuel Equipment'!S$21)*('Fuel Equipment'!S$45-'Fuel Equipment'!S$44)*
(VLOOKUP(IF('Fuel Equipment'!S$22=Report!$A$25,Report!$A$19,'Fuel Equipment'!S$22),Report!$A$18:$L$34,'Actual-CO2 Calculations'!$AK28,FALSE)),0),0)</f>
        <v>0</v>
      </c>
      <c r="V25" s="671">
        <f t="shared" si="0"/>
        <v>0</v>
      </c>
    </row>
    <row r="26" spans="1:22">
      <c r="A26" s="19" t="s">
        <v>2</v>
      </c>
      <c r="B26" s="19">
        <f>IF(AND('Fuel Equipment'!B$44&gt;0,'Fuel Equipment'!B$45&gt;0),IF(AND($A26&gt;='Fuel Equipment'!B$17,$A26&lt;='Fuel Equipment'!B$18),('Fuel Equipment'!B$19*'Fuel Equipment'!B$20*'Fuel Equipment'!B$21)*('Fuel Equipment'!B$45-'Fuel Equipment'!B$44)*
(VLOOKUP(IF('Fuel Equipment'!B$22=Report!$A$25,Report!$A$19,'Fuel Equipment'!B$22),Report!$A$18:$L$34,'Actual-CO2 Calculations'!$AK29,FALSE)),0),0)</f>
        <v>0</v>
      </c>
      <c r="C26" s="19">
        <f>IF(AND('Fuel Equipment'!C$44&gt;0,'Fuel Equipment'!C$45&gt;0),IF(AND($A26&gt;='Fuel Equipment'!C$17,$A26&lt;='Fuel Equipment'!C$18),('Fuel Equipment'!C$19*'Fuel Equipment'!C$20*'Fuel Equipment'!C$21)*('Fuel Equipment'!C$45-'Fuel Equipment'!C$44)*
(VLOOKUP(IF('Fuel Equipment'!C$22=Report!$A$25,Report!$A$19,'Fuel Equipment'!C$22),Report!$A$18:$L$34,'Actual-CO2 Calculations'!$AK29,FALSE)),0),0)</f>
        <v>0</v>
      </c>
      <c r="D26" s="19">
        <f>IF(AND('Fuel Equipment'!D$44&gt;0,'Fuel Equipment'!D$45&gt;0),IF(AND($A26&gt;='Fuel Equipment'!D$17,$A26&lt;='Fuel Equipment'!D$18),('Fuel Equipment'!D$19*'Fuel Equipment'!D$20*'Fuel Equipment'!D$21)*('Fuel Equipment'!D$45-'Fuel Equipment'!D$44)*
(VLOOKUP(IF('Fuel Equipment'!D$22=Report!$A$25,Report!$A$19,'Fuel Equipment'!D$22),Report!$A$18:$L$34,'Actual-CO2 Calculations'!$AK29,FALSE)),0),0)</f>
        <v>0</v>
      </c>
      <c r="E26" s="19">
        <f>IF(AND('Fuel Equipment'!E$44&gt;0,'Fuel Equipment'!E$45&gt;0),IF(AND($A26&gt;='Fuel Equipment'!E$17,$A26&lt;='Fuel Equipment'!E$18),('Fuel Equipment'!E$19*'Fuel Equipment'!E$20*'Fuel Equipment'!E$21)*('Fuel Equipment'!E$45-'Fuel Equipment'!E$44)*
(VLOOKUP(IF('Fuel Equipment'!E$22=Report!$A$25,Report!$A$19,'Fuel Equipment'!E$22),Report!$A$18:$L$34,'Actual-CO2 Calculations'!$AK29,FALSE)),0),0)</f>
        <v>0</v>
      </c>
      <c r="F26" s="19">
        <f>IF(AND('Fuel Equipment'!F$44&gt;0,'Fuel Equipment'!F$45&gt;0),IF(AND($A26&gt;='Fuel Equipment'!F$17,$A26&lt;='Fuel Equipment'!F$18),('Fuel Equipment'!F$19*'Fuel Equipment'!F$20*'Fuel Equipment'!F$21)*('Fuel Equipment'!F$45-'Fuel Equipment'!F$44)*
(VLOOKUP(IF('Fuel Equipment'!F$22=Report!$A$25,Report!$A$19,'Fuel Equipment'!F$22),Report!$A$18:$L$34,'Actual-CO2 Calculations'!$AK29,FALSE)),0),0)</f>
        <v>0</v>
      </c>
      <c r="G26" s="19">
        <f>IF(AND('Fuel Equipment'!G$44&gt;0,'Fuel Equipment'!G$45&gt;0),IF(AND($A26&gt;='Fuel Equipment'!G$17,$A26&lt;='Fuel Equipment'!G$18),('Fuel Equipment'!G$19*'Fuel Equipment'!G$20*'Fuel Equipment'!G$21)*('Fuel Equipment'!G$45-'Fuel Equipment'!G$44)*
(VLOOKUP(IF('Fuel Equipment'!G$22=Report!$A$25,Report!$A$19,'Fuel Equipment'!G$22),Report!$A$18:$L$34,'Actual-CO2 Calculations'!$AK29,FALSE)),0),0)</f>
        <v>0</v>
      </c>
      <c r="H26" s="19">
        <f>IF(AND('Fuel Equipment'!H$44&gt;0,'Fuel Equipment'!H$45&gt;0),IF(AND($A26&gt;='Fuel Equipment'!H$17,$A26&lt;='Fuel Equipment'!H$18),('Fuel Equipment'!H$19*'Fuel Equipment'!H$20*'Fuel Equipment'!H$21)*('Fuel Equipment'!H$45-'Fuel Equipment'!H$44)*
(VLOOKUP(IF('Fuel Equipment'!H$22=Report!$A$25,Report!$A$19,'Fuel Equipment'!H$22),Report!$A$18:$L$34,'Actual-CO2 Calculations'!$AK29,FALSE)),0),0)</f>
        <v>0</v>
      </c>
      <c r="I26" s="19">
        <f>IF(AND('Fuel Equipment'!I$44&gt;0,'Fuel Equipment'!I$45&gt;0),IF(AND($A26&gt;='Fuel Equipment'!I$17,$A26&lt;='Fuel Equipment'!I$18),('Fuel Equipment'!I$19*'Fuel Equipment'!I$20*'Fuel Equipment'!I$21)*('Fuel Equipment'!I$45-'Fuel Equipment'!I$44)*
(VLOOKUP(IF('Fuel Equipment'!I$22=Report!$A$25,Report!$A$19,'Fuel Equipment'!I$22),Report!$A$18:$L$34,'Actual-CO2 Calculations'!$AK29,FALSE)),0),0)</f>
        <v>0</v>
      </c>
      <c r="J26" s="19">
        <f>IF(AND('Fuel Equipment'!J$44&gt;0,'Fuel Equipment'!J$45&gt;0),IF(AND($A26&gt;='Fuel Equipment'!J$17,$A26&lt;='Fuel Equipment'!J$18),('Fuel Equipment'!J$19*'Fuel Equipment'!J$20*'Fuel Equipment'!J$21)*('Fuel Equipment'!J$45-'Fuel Equipment'!J$44)*
(VLOOKUP(IF('Fuel Equipment'!J$22=Report!$A$25,Report!$A$19,'Fuel Equipment'!J$22),Report!$A$18:$L$34,'Actual-CO2 Calculations'!$AK29,FALSE)),0),0)</f>
        <v>0</v>
      </c>
      <c r="K26" s="19">
        <f>IF(AND('Fuel Equipment'!K$44&gt;0,'Fuel Equipment'!K$45&gt;0),IF(AND($A26&gt;='Fuel Equipment'!K$17,$A26&lt;='Fuel Equipment'!K$18),('Fuel Equipment'!K$19*'Fuel Equipment'!K$20*'Fuel Equipment'!K$21)*('Fuel Equipment'!K$45-'Fuel Equipment'!K$44)*
(VLOOKUP(IF('Fuel Equipment'!K$22=Report!$A$25,Report!$A$19,'Fuel Equipment'!K$22),Report!$A$18:$L$34,'Actual-CO2 Calculations'!$AK29,FALSE)),0),0)</f>
        <v>0</v>
      </c>
      <c r="L26" s="19">
        <f>IF(AND('Fuel Equipment'!L$44&gt;0,'Fuel Equipment'!L$45&gt;0),IF(AND($A26&gt;='Fuel Equipment'!L$17,$A26&lt;='Fuel Equipment'!L$18),('Fuel Equipment'!L$19*'Fuel Equipment'!L$20*'Fuel Equipment'!L$21)*('Fuel Equipment'!L$45-'Fuel Equipment'!L$44)*
(VLOOKUP(IF('Fuel Equipment'!L$22=Report!$A$25,Report!$A$19,'Fuel Equipment'!L$22),Report!$A$18:$L$34,'Actual-CO2 Calculations'!$AK29,FALSE)),0),0)</f>
        <v>0</v>
      </c>
      <c r="M26" s="19">
        <f>IF(AND('Fuel Equipment'!M$44&gt;0,'Fuel Equipment'!M$45&gt;0),IF(AND($A26&gt;='Fuel Equipment'!M$17,$A26&lt;='Fuel Equipment'!M$18),('Fuel Equipment'!M$19*'Fuel Equipment'!M$20*'Fuel Equipment'!M$21)*('Fuel Equipment'!M$45-'Fuel Equipment'!M$44)*
(VLOOKUP(IF('Fuel Equipment'!M$22=Report!$A$25,Report!$A$19,'Fuel Equipment'!M$22),Report!$A$18:$L$34,'Actual-CO2 Calculations'!$AK29,FALSE)),0),0)</f>
        <v>0</v>
      </c>
      <c r="N26" s="19">
        <f>IF(AND('Fuel Equipment'!N$44&gt;0,'Fuel Equipment'!N$45&gt;0),IF(AND($A26&gt;='Fuel Equipment'!N$17,$A26&lt;='Fuel Equipment'!N$18),('Fuel Equipment'!N$19*'Fuel Equipment'!N$20*'Fuel Equipment'!N$21)*('Fuel Equipment'!N$45-'Fuel Equipment'!N$44)*
(VLOOKUP(IF('Fuel Equipment'!N$22=Report!$A$25,Report!$A$19,'Fuel Equipment'!N$22),Report!$A$18:$L$34,'Actual-CO2 Calculations'!$AK29,FALSE)),0),0)</f>
        <v>0</v>
      </c>
      <c r="O26" s="19">
        <f>IF(AND('Fuel Equipment'!O$44&gt;0,'Fuel Equipment'!O$45&gt;0),IF(AND($A26&gt;='Fuel Equipment'!O$17,$A26&lt;='Fuel Equipment'!O$18),('Fuel Equipment'!O$19*'Fuel Equipment'!O$20*'Fuel Equipment'!O$21)*('Fuel Equipment'!O$45-'Fuel Equipment'!O$44)*
(VLOOKUP(IF('Fuel Equipment'!O$22=Report!$A$25,Report!$A$19,'Fuel Equipment'!O$22),Report!$A$18:$L$34,'Actual-CO2 Calculations'!$AK29,FALSE)),0),0)</f>
        <v>0</v>
      </c>
      <c r="P26" s="19">
        <f>IF(AND('Fuel Equipment'!P$44&gt;0,'Fuel Equipment'!P$45&gt;0),IF(AND($A26&gt;='Fuel Equipment'!P$17,$A26&lt;='Fuel Equipment'!P$18),('Fuel Equipment'!P$19*'Fuel Equipment'!P$20*'Fuel Equipment'!P$21)*('Fuel Equipment'!P$45-'Fuel Equipment'!P$44)*
(VLOOKUP(IF('Fuel Equipment'!P$22=Report!$A$25,Report!$A$19,'Fuel Equipment'!P$22),Report!$A$18:$L$34,'Actual-CO2 Calculations'!$AK29,FALSE)),0),0)</f>
        <v>0</v>
      </c>
      <c r="Q26" s="19">
        <f>IF(AND('Fuel Equipment'!Q$44&gt;0,'Fuel Equipment'!Q$45&gt;0),IF(AND($A26&gt;='Fuel Equipment'!Q$17,$A26&lt;='Fuel Equipment'!Q$18),('Fuel Equipment'!Q$19*'Fuel Equipment'!Q$20*'Fuel Equipment'!Q$21)*('Fuel Equipment'!Q$45-'Fuel Equipment'!Q$44)*
(VLOOKUP(IF('Fuel Equipment'!Q$22=Report!$A$25,Report!$A$19,'Fuel Equipment'!Q$22),Report!$A$18:$L$34,'Actual-CO2 Calculations'!$AK29,FALSE)),0),0)</f>
        <v>0</v>
      </c>
      <c r="R26" s="19">
        <f>IF(AND('Fuel Equipment'!R$44&gt;0,'Fuel Equipment'!R$45&gt;0),IF(AND($A26&gt;='Fuel Equipment'!R$17,$A26&lt;='Fuel Equipment'!R$18),('Fuel Equipment'!R$19*'Fuel Equipment'!R$20*'Fuel Equipment'!R$21)*('Fuel Equipment'!R$45-'Fuel Equipment'!R$44)*
(VLOOKUP(IF('Fuel Equipment'!R$22=Report!$A$25,Report!$A$19,'Fuel Equipment'!R$22),Report!$A$18:$L$34,'Actual-CO2 Calculations'!$AK29,FALSE)),0),0)</f>
        <v>0</v>
      </c>
      <c r="S26" s="19">
        <f>IF(AND('Fuel Equipment'!S$44&gt;0,'Fuel Equipment'!S$45&gt;0),IF(AND($A26&gt;='Fuel Equipment'!S$17,$A26&lt;='Fuel Equipment'!S$18),('Fuel Equipment'!S$19*'Fuel Equipment'!S$20*'Fuel Equipment'!S$21)*('Fuel Equipment'!S$45-'Fuel Equipment'!S$44)*
(VLOOKUP(IF('Fuel Equipment'!S$22=Report!$A$25,Report!$A$19,'Fuel Equipment'!S$22),Report!$A$18:$L$34,'Actual-CO2 Calculations'!$AK29,FALSE)),0),0)</f>
        <v>0</v>
      </c>
      <c r="V26" s="671">
        <f t="shared" si="0"/>
        <v>0</v>
      </c>
    </row>
    <row r="27" spans="1:22">
      <c r="A27" s="19" t="s">
        <v>3</v>
      </c>
      <c r="B27" s="19">
        <f>IF(AND('Fuel Equipment'!B$44&gt;0,'Fuel Equipment'!B$45&gt;0),IF(AND($A27&gt;='Fuel Equipment'!B$17,$A27&lt;='Fuel Equipment'!B$18),('Fuel Equipment'!B$19*'Fuel Equipment'!B$20*'Fuel Equipment'!B$21)*('Fuel Equipment'!B$45-'Fuel Equipment'!B$44)*
(VLOOKUP(IF('Fuel Equipment'!B$22=Report!$A$25,Report!$A$19,'Fuel Equipment'!B$22),Report!$A$18:$L$34,'Actual-CO2 Calculations'!$AK30,FALSE)),0),0)</f>
        <v>0</v>
      </c>
      <c r="C27" s="19">
        <f>IF(AND('Fuel Equipment'!C$44&gt;0,'Fuel Equipment'!C$45&gt;0),IF(AND($A27&gt;='Fuel Equipment'!C$17,$A27&lt;='Fuel Equipment'!C$18),('Fuel Equipment'!C$19*'Fuel Equipment'!C$20*'Fuel Equipment'!C$21)*('Fuel Equipment'!C$45-'Fuel Equipment'!C$44)*
(VLOOKUP(IF('Fuel Equipment'!C$22=Report!$A$25,Report!$A$19,'Fuel Equipment'!C$22),Report!$A$18:$L$34,'Actual-CO2 Calculations'!$AK30,FALSE)),0),0)</f>
        <v>0</v>
      </c>
      <c r="D27" s="19">
        <f>IF(AND('Fuel Equipment'!D$44&gt;0,'Fuel Equipment'!D$45&gt;0),IF(AND($A27&gt;='Fuel Equipment'!D$17,$A27&lt;='Fuel Equipment'!D$18),('Fuel Equipment'!D$19*'Fuel Equipment'!D$20*'Fuel Equipment'!D$21)*('Fuel Equipment'!D$45-'Fuel Equipment'!D$44)*
(VLOOKUP(IF('Fuel Equipment'!D$22=Report!$A$25,Report!$A$19,'Fuel Equipment'!D$22),Report!$A$18:$L$34,'Actual-CO2 Calculations'!$AK30,FALSE)),0),0)</f>
        <v>0</v>
      </c>
      <c r="E27" s="19">
        <f>IF(AND('Fuel Equipment'!E$44&gt;0,'Fuel Equipment'!E$45&gt;0),IF(AND($A27&gt;='Fuel Equipment'!E$17,$A27&lt;='Fuel Equipment'!E$18),('Fuel Equipment'!E$19*'Fuel Equipment'!E$20*'Fuel Equipment'!E$21)*('Fuel Equipment'!E$45-'Fuel Equipment'!E$44)*
(VLOOKUP(IF('Fuel Equipment'!E$22=Report!$A$25,Report!$A$19,'Fuel Equipment'!E$22),Report!$A$18:$L$34,'Actual-CO2 Calculations'!$AK30,FALSE)),0),0)</f>
        <v>0</v>
      </c>
      <c r="F27" s="19">
        <f>IF(AND('Fuel Equipment'!F$44&gt;0,'Fuel Equipment'!F$45&gt;0),IF(AND($A27&gt;='Fuel Equipment'!F$17,$A27&lt;='Fuel Equipment'!F$18),('Fuel Equipment'!F$19*'Fuel Equipment'!F$20*'Fuel Equipment'!F$21)*('Fuel Equipment'!F$45-'Fuel Equipment'!F$44)*
(VLOOKUP(IF('Fuel Equipment'!F$22=Report!$A$25,Report!$A$19,'Fuel Equipment'!F$22),Report!$A$18:$L$34,'Actual-CO2 Calculations'!$AK30,FALSE)),0),0)</f>
        <v>0</v>
      </c>
      <c r="G27" s="19">
        <f>IF(AND('Fuel Equipment'!G$44&gt;0,'Fuel Equipment'!G$45&gt;0),IF(AND($A27&gt;='Fuel Equipment'!G$17,$A27&lt;='Fuel Equipment'!G$18),('Fuel Equipment'!G$19*'Fuel Equipment'!G$20*'Fuel Equipment'!G$21)*('Fuel Equipment'!G$45-'Fuel Equipment'!G$44)*
(VLOOKUP(IF('Fuel Equipment'!G$22=Report!$A$25,Report!$A$19,'Fuel Equipment'!G$22),Report!$A$18:$L$34,'Actual-CO2 Calculations'!$AK30,FALSE)),0),0)</f>
        <v>0</v>
      </c>
      <c r="H27" s="19">
        <f>IF(AND('Fuel Equipment'!H$44&gt;0,'Fuel Equipment'!H$45&gt;0),IF(AND($A27&gt;='Fuel Equipment'!H$17,$A27&lt;='Fuel Equipment'!H$18),('Fuel Equipment'!H$19*'Fuel Equipment'!H$20*'Fuel Equipment'!H$21)*('Fuel Equipment'!H$45-'Fuel Equipment'!H$44)*
(VLOOKUP(IF('Fuel Equipment'!H$22=Report!$A$25,Report!$A$19,'Fuel Equipment'!H$22),Report!$A$18:$L$34,'Actual-CO2 Calculations'!$AK30,FALSE)),0),0)</f>
        <v>0</v>
      </c>
      <c r="I27" s="19">
        <f>IF(AND('Fuel Equipment'!I$44&gt;0,'Fuel Equipment'!I$45&gt;0),IF(AND($A27&gt;='Fuel Equipment'!I$17,$A27&lt;='Fuel Equipment'!I$18),('Fuel Equipment'!I$19*'Fuel Equipment'!I$20*'Fuel Equipment'!I$21)*('Fuel Equipment'!I$45-'Fuel Equipment'!I$44)*
(VLOOKUP(IF('Fuel Equipment'!I$22=Report!$A$25,Report!$A$19,'Fuel Equipment'!I$22),Report!$A$18:$L$34,'Actual-CO2 Calculations'!$AK30,FALSE)),0),0)</f>
        <v>0</v>
      </c>
      <c r="J27" s="19">
        <f>IF(AND('Fuel Equipment'!J$44&gt;0,'Fuel Equipment'!J$45&gt;0),IF(AND($A27&gt;='Fuel Equipment'!J$17,$A27&lt;='Fuel Equipment'!J$18),('Fuel Equipment'!J$19*'Fuel Equipment'!J$20*'Fuel Equipment'!J$21)*('Fuel Equipment'!J$45-'Fuel Equipment'!J$44)*
(VLOOKUP(IF('Fuel Equipment'!J$22=Report!$A$25,Report!$A$19,'Fuel Equipment'!J$22),Report!$A$18:$L$34,'Actual-CO2 Calculations'!$AK30,FALSE)),0),0)</f>
        <v>0</v>
      </c>
      <c r="K27" s="19">
        <f>IF(AND('Fuel Equipment'!K$44&gt;0,'Fuel Equipment'!K$45&gt;0),IF(AND($A27&gt;='Fuel Equipment'!K$17,$A27&lt;='Fuel Equipment'!K$18),('Fuel Equipment'!K$19*'Fuel Equipment'!K$20*'Fuel Equipment'!K$21)*('Fuel Equipment'!K$45-'Fuel Equipment'!K$44)*
(VLOOKUP(IF('Fuel Equipment'!K$22=Report!$A$25,Report!$A$19,'Fuel Equipment'!K$22),Report!$A$18:$L$34,'Actual-CO2 Calculations'!$AK30,FALSE)),0),0)</f>
        <v>0</v>
      </c>
      <c r="L27" s="19">
        <f>IF(AND('Fuel Equipment'!L$44&gt;0,'Fuel Equipment'!L$45&gt;0),IF(AND($A27&gt;='Fuel Equipment'!L$17,$A27&lt;='Fuel Equipment'!L$18),('Fuel Equipment'!L$19*'Fuel Equipment'!L$20*'Fuel Equipment'!L$21)*('Fuel Equipment'!L$45-'Fuel Equipment'!L$44)*
(VLOOKUP(IF('Fuel Equipment'!L$22=Report!$A$25,Report!$A$19,'Fuel Equipment'!L$22),Report!$A$18:$L$34,'Actual-CO2 Calculations'!$AK30,FALSE)),0),0)</f>
        <v>0</v>
      </c>
      <c r="M27" s="19">
        <f>IF(AND('Fuel Equipment'!M$44&gt;0,'Fuel Equipment'!M$45&gt;0),IF(AND($A27&gt;='Fuel Equipment'!M$17,$A27&lt;='Fuel Equipment'!M$18),('Fuel Equipment'!M$19*'Fuel Equipment'!M$20*'Fuel Equipment'!M$21)*('Fuel Equipment'!M$45-'Fuel Equipment'!M$44)*
(VLOOKUP(IF('Fuel Equipment'!M$22=Report!$A$25,Report!$A$19,'Fuel Equipment'!M$22),Report!$A$18:$L$34,'Actual-CO2 Calculations'!$AK30,FALSE)),0),0)</f>
        <v>0</v>
      </c>
      <c r="N27" s="19">
        <f>IF(AND('Fuel Equipment'!N$44&gt;0,'Fuel Equipment'!N$45&gt;0),IF(AND($A27&gt;='Fuel Equipment'!N$17,$A27&lt;='Fuel Equipment'!N$18),('Fuel Equipment'!N$19*'Fuel Equipment'!N$20*'Fuel Equipment'!N$21)*('Fuel Equipment'!N$45-'Fuel Equipment'!N$44)*
(VLOOKUP(IF('Fuel Equipment'!N$22=Report!$A$25,Report!$A$19,'Fuel Equipment'!N$22),Report!$A$18:$L$34,'Actual-CO2 Calculations'!$AK30,FALSE)),0),0)</f>
        <v>0</v>
      </c>
      <c r="O27" s="19">
        <f>IF(AND('Fuel Equipment'!O$44&gt;0,'Fuel Equipment'!O$45&gt;0),IF(AND($A27&gt;='Fuel Equipment'!O$17,$A27&lt;='Fuel Equipment'!O$18),('Fuel Equipment'!O$19*'Fuel Equipment'!O$20*'Fuel Equipment'!O$21)*('Fuel Equipment'!O$45-'Fuel Equipment'!O$44)*
(VLOOKUP(IF('Fuel Equipment'!O$22=Report!$A$25,Report!$A$19,'Fuel Equipment'!O$22),Report!$A$18:$L$34,'Actual-CO2 Calculations'!$AK30,FALSE)),0),0)</f>
        <v>0</v>
      </c>
      <c r="P27" s="19">
        <f>IF(AND('Fuel Equipment'!P$44&gt;0,'Fuel Equipment'!P$45&gt;0),IF(AND($A27&gt;='Fuel Equipment'!P$17,$A27&lt;='Fuel Equipment'!P$18),('Fuel Equipment'!P$19*'Fuel Equipment'!P$20*'Fuel Equipment'!P$21)*('Fuel Equipment'!P$45-'Fuel Equipment'!P$44)*
(VLOOKUP(IF('Fuel Equipment'!P$22=Report!$A$25,Report!$A$19,'Fuel Equipment'!P$22),Report!$A$18:$L$34,'Actual-CO2 Calculations'!$AK30,FALSE)),0),0)</f>
        <v>0</v>
      </c>
      <c r="Q27" s="19">
        <f>IF(AND('Fuel Equipment'!Q$44&gt;0,'Fuel Equipment'!Q$45&gt;0),IF(AND($A27&gt;='Fuel Equipment'!Q$17,$A27&lt;='Fuel Equipment'!Q$18),('Fuel Equipment'!Q$19*'Fuel Equipment'!Q$20*'Fuel Equipment'!Q$21)*('Fuel Equipment'!Q$45-'Fuel Equipment'!Q$44)*
(VLOOKUP(IF('Fuel Equipment'!Q$22=Report!$A$25,Report!$A$19,'Fuel Equipment'!Q$22),Report!$A$18:$L$34,'Actual-CO2 Calculations'!$AK30,FALSE)),0),0)</f>
        <v>0</v>
      </c>
      <c r="R27" s="19">
        <f>IF(AND('Fuel Equipment'!R$44&gt;0,'Fuel Equipment'!R$45&gt;0),IF(AND($A27&gt;='Fuel Equipment'!R$17,$A27&lt;='Fuel Equipment'!R$18),('Fuel Equipment'!R$19*'Fuel Equipment'!R$20*'Fuel Equipment'!R$21)*('Fuel Equipment'!R$45-'Fuel Equipment'!R$44)*
(VLOOKUP(IF('Fuel Equipment'!R$22=Report!$A$25,Report!$A$19,'Fuel Equipment'!R$22),Report!$A$18:$L$34,'Actual-CO2 Calculations'!$AK30,FALSE)),0),0)</f>
        <v>0</v>
      </c>
      <c r="S27" s="19">
        <f>IF(AND('Fuel Equipment'!S$44&gt;0,'Fuel Equipment'!S$45&gt;0),IF(AND($A27&gt;='Fuel Equipment'!S$17,$A27&lt;='Fuel Equipment'!S$18),('Fuel Equipment'!S$19*'Fuel Equipment'!S$20*'Fuel Equipment'!S$21)*('Fuel Equipment'!S$45-'Fuel Equipment'!S$44)*
(VLOOKUP(IF('Fuel Equipment'!S$22=Report!$A$25,Report!$A$19,'Fuel Equipment'!S$22),Report!$A$18:$L$34,'Actual-CO2 Calculations'!$AK30,FALSE)),0),0)</f>
        <v>0</v>
      </c>
      <c r="V27" s="671">
        <f t="shared" si="0"/>
        <v>0</v>
      </c>
    </row>
    <row r="28" spans="1:22">
      <c r="A28" s="21" t="s">
        <v>49</v>
      </c>
      <c r="B28" s="19">
        <f>IF(AND('Fuel Equipment'!B$44&gt;0,'Fuel Equipment'!B$45&gt;0),IF(AND($A28&gt;='Fuel Equipment'!B$17,$A28&lt;='Fuel Equipment'!B$18),('Fuel Equipment'!B$19*'Fuel Equipment'!B$20*'Fuel Equipment'!B$21)*('Fuel Equipment'!B$45-'Fuel Equipment'!B$44)*
(VLOOKUP(IF('Fuel Equipment'!B$22=Report!$A$25,Report!$A$19,'Fuel Equipment'!B$22),Report!$A$18:$L$34,'Actual-CO2 Calculations'!$AK31,FALSE)),0),0)</f>
        <v>0</v>
      </c>
      <c r="C28" s="19">
        <f>IF(AND('Fuel Equipment'!C$44&gt;0,'Fuel Equipment'!C$45&gt;0),IF(AND($A28&gt;='Fuel Equipment'!C$17,$A28&lt;='Fuel Equipment'!C$18),('Fuel Equipment'!C$19*'Fuel Equipment'!C$20*'Fuel Equipment'!C$21)*('Fuel Equipment'!C$45-'Fuel Equipment'!C$44)*
(VLOOKUP(IF('Fuel Equipment'!C$22=Report!$A$25,Report!$A$19,'Fuel Equipment'!C$22),Report!$A$18:$L$34,'Actual-CO2 Calculations'!$AK31,FALSE)),0),0)</f>
        <v>0</v>
      </c>
      <c r="D28" s="19">
        <f>IF(AND('Fuel Equipment'!D$44&gt;0,'Fuel Equipment'!D$45&gt;0),IF(AND($A28&gt;='Fuel Equipment'!D$17,$A28&lt;='Fuel Equipment'!D$18),('Fuel Equipment'!D$19*'Fuel Equipment'!D$20*'Fuel Equipment'!D$21)*('Fuel Equipment'!D$45-'Fuel Equipment'!D$44)*
(VLOOKUP(IF('Fuel Equipment'!D$22=Report!$A$25,Report!$A$19,'Fuel Equipment'!D$22),Report!$A$18:$L$34,'Actual-CO2 Calculations'!$AK31,FALSE)),0),0)</f>
        <v>0</v>
      </c>
      <c r="E28" s="19">
        <f>IF(AND('Fuel Equipment'!E$44&gt;0,'Fuel Equipment'!E$45&gt;0),IF(AND($A28&gt;='Fuel Equipment'!E$17,$A28&lt;='Fuel Equipment'!E$18),('Fuel Equipment'!E$19*'Fuel Equipment'!E$20*'Fuel Equipment'!E$21)*('Fuel Equipment'!E$45-'Fuel Equipment'!E$44)*
(VLOOKUP(IF('Fuel Equipment'!E$22=Report!$A$25,Report!$A$19,'Fuel Equipment'!E$22),Report!$A$18:$L$34,'Actual-CO2 Calculations'!$AK31,FALSE)),0),0)</f>
        <v>0</v>
      </c>
      <c r="F28" s="19">
        <f>IF(AND('Fuel Equipment'!F$44&gt;0,'Fuel Equipment'!F$45&gt;0),IF(AND($A28&gt;='Fuel Equipment'!F$17,$A28&lt;='Fuel Equipment'!F$18),('Fuel Equipment'!F$19*'Fuel Equipment'!F$20*'Fuel Equipment'!F$21)*('Fuel Equipment'!F$45-'Fuel Equipment'!F$44)*
(VLOOKUP(IF('Fuel Equipment'!F$22=Report!$A$25,Report!$A$19,'Fuel Equipment'!F$22),Report!$A$18:$L$34,'Actual-CO2 Calculations'!$AK31,FALSE)),0),0)</f>
        <v>0</v>
      </c>
      <c r="G28" s="19">
        <f>IF(AND('Fuel Equipment'!G$44&gt;0,'Fuel Equipment'!G$45&gt;0),IF(AND($A28&gt;='Fuel Equipment'!G$17,$A28&lt;='Fuel Equipment'!G$18),('Fuel Equipment'!G$19*'Fuel Equipment'!G$20*'Fuel Equipment'!G$21)*('Fuel Equipment'!G$45-'Fuel Equipment'!G$44)*
(VLOOKUP(IF('Fuel Equipment'!G$22=Report!$A$25,Report!$A$19,'Fuel Equipment'!G$22),Report!$A$18:$L$34,'Actual-CO2 Calculations'!$AK31,FALSE)),0),0)</f>
        <v>0</v>
      </c>
      <c r="H28" s="19">
        <f>IF(AND('Fuel Equipment'!H$44&gt;0,'Fuel Equipment'!H$45&gt;0),IF(AND($A28&gt;='Fuel Equipment'!H$17,$A28&lt;='Fuel Equipment'!H$18),('Fuel Equipment'!H$19*'Fuel Equipment'!H$20*'Fuel Equipment'!H$21)*('Fuel Equipment'!H$45-'Fuel Equipment'!H$44)*
(VLOOKUP(IF('Fuel Equipment'!H$22=Report!$A$25,Report!$A$19,'Fuel Equipment'!H$22),Report!$A$18:$L$34,'Actual-CO2 Calculations'!$AK31,FALSE)),0),0)</f>
        <v>0</v>
      </c>
      <c r="I28" s="19">
        <f>IF(AND('Fuel Equipment'!I$44&gt;0,'Fuel Equipment'!I$45&gt;0),IF(AND($A28&gt;='Fuel Equipment'!I$17,$A28&lt;='Fuel Equipment'!I$18),('Fuel Equipment'!I$19*'Fuel Equipment'!I$20*'Fuel Equipment'!I$21)*('Fuel Equipment'!I$45-'Fuel Equipment'!I$44)*
(VLOOKUP(IF('Fuel Equipment'!I$22=Report!$A$25,Report!$A$19,'Fuel Equipment'!I$22),Report!$A$18:$L$34,'Actual-CO2 Calculations'!$AK31,FALSE)),0),0)</f>
        <v>0</v>
      </c>
      <c r="J28" s="19">
        <f>IF(AND('Fuel Equipment'!J$44&gt;0,'Fuel Equipment'!J$45&gt;0),IF(AND($A28&gt;='Fuel Equipment'!J$17,$A28&lt;='Fuel Equipment'!J$18),('Fuel Equipment'!J$19*'Fuel Equipment'!J$20*'Fuel Equipment'!J$21)*('Fuel Equipment'!J$45-'Fuel Equipment'!J$44)*
(VLOOKUP(IF('Fuel Equipment'!J$22=Report!$A$25,Report!$A$19,'Fuel Equipment'!J$22),Report!$A$18:$L$34,'Actual-CO2 Calculations'!$AK31,FALSE)),0),0)</f>
        <v>0</v>
      </c>
      <c r="K28" s="19">
        <f>IF(AND('Fuel Equipment'!K$44&gt;0,'Fuel Equipment'!K$45&gt;0),IF(AND($A28&gt;='Fuel Equipment'!K$17,$A28&lt;='Fuel Equipment'!K$18),('Fuel Equipment'!K$19*'Fuel Equipment'!K$20*'Fuel Equipment'!K$21)*('Fuel Equipment'!K$45-'Fuel Equipment'!K$44)*
(VLOOKUP(IF('Fuel Equipment'!K$22=Report!$A$25,Report!$A$19,'Fuel Equipment'!K$22),Report!$A$18:$L$34,'Actual-CO2 Calculations'!$AK31,FALSE)),0),0)</f>
        <v>0</v>
      </c>
      <c r="L28" s="19">
        <f>IF(AND('Fuel Equipment'!L$44&gt;0,'Fuel Equipment'!L$45&gt;0),IF(AND($A28&gt;='Fuel Equipment'!L$17,$A28&lt;='Fuel Equipment'!L$18),('Fuel Equipment'!L$19*'Fuel Equipment'!L$20*'Fuel Equipment'!L$21)*('Fuel Equipment'!L$45-'Fuel Equipment'!L$44)*
(VLOOKUP(IF('Fuel Equipment'!L$22=Report!$A$25,Report!$A$19,'Fuel Equipment'!L$22),Report!$A$18:$L$34,'Actual-CO2 Calculations'!$AK31,FALSE)),0),0)</f>
        <v>0</v>
      </c>
      <c r="M28" s="19">
        <f>IF(AND('Fuel Equipment'!M$44&gt;0,'Fuel Equipment'!M$45&gt;0),IF(AND($A28&gt;='Fuel Equipment'!M$17,$A28&lt;='Fuel Equipment'!M$18),('Fuel Equipment'!M$19*'Fuel Equipment'!M$20*'Fuel Equipment'!M$21)*('Fuel Equipment'!M$45-'Fuel Equipment'!M$44)*
(VLOOKUP(IF('Fuel Equipment'!M$22=Report!$A$25,Report!$A$19,'Fuel Equipment'!M$22),Report!$A$18:$L$34,'Actual-CO2 Calculations'!$AK31,FALSE)),0),0)</f>
        <v>0</v>
      </c>
      <c r="N28" s="19">
        <f>IF(AND('Fuel Equipment'!N$44&gt;0,'Fuel Equipment'!N$45&gt;0),IF(AND($A28&gt;='Fuel Equipment'!N$17,$A28&lt;='Fuel Equipment'!N$18),('Fuel Equipment'!N$19*'Fuel Equipment'!N$20*'Fuel Equipment'!N$21)*('Fuel Equipment'!N$45-'Fuel Equipment'!N$44)*
(VLOOKUP(IF('Fuel Equipment'!N$22=Report!$A$25,Report!$A$19,'Fuel Equipment'!N$22),Report!$A$18:$L$34,'Actual-CO2 Calculations'!$AK31,FALSE)),0),0)</f>
        <v>0</v>
      </c>
      <c r="O28" s="19">
        <f>IF(AND('Fuel Equipment'!O$44&gt;0,'Fuel Equipment'!O$45&gt;0),IF(AND($A28&gt;='Fuel Equipment'!O$17,$A28&lt;='Fuel Equipment'!O$18),('Fuel Equipment'!O$19*'Fuel Equipment'!O$20*'Fuel Equipment'!O$21)*('Fuel Equipment'!O$45-'Fuel Equipment'!O$44)*
(VLOOKUP(IF('Fuel Equipment'!O$22=Report!$A$25,Report!$A$19,'Fuel Equipment'!O$22),Report!$A$18:$L$34,'Actual-CO2 Calculations'!$AK31,FALSE)),0),0)</f>
        <v>0</v>
      </c>
      <c r="P28" s="19">
        <f>IF(AND('Fuel Equipment'!P$44&gt;0,'Fuel Equipment'!P$45&gt;0),IF(AND($A28&gt;='Fuel Equipment'!P$17,$A28&lt;='Fuel Equipment'!P$18),('Fuel Equipment'!P$19*'Fuel Equipment'!P$20*'Fuel Equipment'!P$21)*('Fuel Equipment'!P$45-'Fuel Equipment'!P$44)*
(VLOOKUP(IF('Fuel Equipment'!P$22=Report!$A$25,Report!$A$19,'Fuel Equipment'!P$22),Report!$A$18:$L$34,'Actual-CO2 Calculations'!$AK31,FALSE)),0),0)</f>
        <v>0</v>
      </c>
      <c r="Q28" s="19">
        <f>IF(AND('Fuel Equipment'!Q$44&gt;0,'Fuel Equipment'!Q$45&gt;0),IF(AND($A28&gt;='Fuel Equipment'!Q$17,$A28&lt;='Fuel Equipment'!Q$18),('Fuel Equipment'!Q$19*'Fuel Equipment'!Q$20*'Fuel Equipment'!Q$21)*('Fuel Equipment'!Q$45-'Fuel Equipment'!Q$44)*
(VLOOKUP(IF('Fuel Equipment'!Q$22=Report!$A$25,Report!$A$19,'Fuel Equipment'!Q$22),Report!$A$18:$L$34,'Actual-CO2 Calculations'!$AK31,FALSE)),0),0)</f>
        <v>0</v>
      </c>
      <c r="R28" s="19">
        <f>IF(AND('Fuel Equipment'!R$44&gt;0,'Fuel Equipment'!R$45&gt;0),IF(AND($A28&gt;='Fuel Equipment'!R$17,$A28&lt;='Fuel Equipment'!R$18),('Fuel Equipment'!R$19*'Fuel Equipment'!R$20*'Fuel Equipment'!R$21)*('Fuel Equipment'!R$45-'Fuel Equipment'!R$44)*
(VLOOKUP(IF('Fuel Equipment'!R$22=Report!$A$25,Report!$A$19,'Fuel Equipment'!R$22),Report!$A$18:$L$34,'Actual-CO2 Calculations'!$AK31,FALSE)),0),0)</f>
        <v>0</v>
      </c>
      <c r="S28" s="19">
        <f>IF(AND('Fuel Equipment'!S$44&gt;0,'Fuel Equipment'!S$45&gt;0),IF(AND($A28&gt;='Fuel Equipment'!S$17,$A28&lt;='Fuel Equipment'!S$18),('Fuel Equipment'!S$19*'Fuel Equipment'!S$20*'Fuel Equipment'!S$21)*('Fuel Equipment'!S$45-'Fuel Equipment'!S$44)*
(VLOOKUP(IF('Fuel Equipment'!S$22=Report!$A$25,Report!$A$19,'Fuel Equipment'!S$22),Report!$A$18:$L$34,'Actual-CO2 Calculations'!$AK31,FALSE)),0),0)</f>
        <v>0</v>
      </c>
      <c r="V28" s="671">
        <f t="shared" si="0"/>
        <v>0</v>
      </c>
    </row>
    <row r="29" spans="1:22">
      <c r="A29" s="21" t="s">
        <v>50</v>
      </c>
      <c r="B29" s="19">
        <f>IF(AND('Fuel Equipment'!B$44&gt;0,'Fuel Equipment'!B$45&gt;0),IF(AND($A29&gt;='Fuel Equipment'!B$17,$A29&lt;='Fuel Equipment'!B$18),('Fuel Equipment'!B$19*'Fuel Equipment'!B$20*'Fuel Equipment'!B$21)*('Fuel Equipment'!B$45-'Fuel Equipment'!B$44)*
(VLOOKUP(IF('Fuel Equipment'!B$22=Report!$A$25,Report!$A$19,'Fuel Equipment'!B$22),Report!$A$18:$L$34,'Actual-CO2 Calculations'!$AK32,FALSE)),0),0)</f>
        <v>0</v>
      </c>
      <c r="C29" s="19">
        <f>IF(AND('Fuel Equipment'!C$44&gt;0,'Fuel Equipment'!C$45&gt;0),IF(AND($A29&gt;='Fuel Equipment'!C$17,$A29&lt;='Fuel Equipment'!C$18),('Fuel Equipment'!C$19*'Fuel Equipment'!C$20*'Fuel Equipment'!C$21)*('Fuel Equipment'!C$45-'Fuel Equipment'!C$44)*
(VLOOKUP(IF('Fuel Equipment'!C$22=Report!$A$25,Report!$A$19,'Fuel Equipment'!C$22),Report!$A$18:$L$34,'Actual-CO2 Calculations'!$AK32,FALSE)),0),0)</f>
        <v>0</v>
      </c>
      <c r="D29" s="19">
        <f>IF(AND('Fuel Equipment'!D$44&gt;0,'Fuel Equipment'!D$45&gt;0),IF(AND($A29&gt;='Fuel Equipment'!D$17,$A29&lt;='Fuel Equipment'!D$18),('Fuel Equipment'!D$19*'Fuel Equipment'!D$20*'Fuel Equipment'!D$21)*('Fuel Equipment'!D$45-'Fuel Equipment'!D$44)*
(VLOOKUP(IF('Fuel Equipment'!D$22=Report!$A$25,Report!$A$19,'Fuel Equipment'!D$22),Report!$A$18:$L$34,'Actual-CO2 Calculations'!$AK32,FALSE)),0),0)</f>
        <v>0</v>
      </c>
      <c r="E29" s="19">
        <f>IF(AND('Fuel Equipment'!E$44&gt;0,'Fuel Equipment'!E$45&gt;0),IF(AND($A29&gt;='Fuel Equipment'!E$17,$A29&lt;='Fuel Equipment'!E$18),('Fuel Equipment'!E$19*'Fuel Equipment'!E$20*'Fuel Equipment'!E$21)*('Fuel Equipment'!E$45-'Fuel Equipment'!E$44)*
(VLOOKUP(IF('Fuel Equipment'!E$22=Report!$A$25,Report!$A$19,'Fuel Equipment'!E$22),Report!$A$18:$L$34,'Actual-CO2 Calculations'!$AK32,FALSE)),0),0)</f>
        <v>0</v>
      </c>
      <c r="F29" s="19">
        <f>IF(AND('Fuel Equipment'!F$44&gt;0,'Fuel Equipment'!F$45&gt;0),IF(AND($A29&gt;='Fuel Equipment'!F$17,$A29&lt;='Fuel Equipment'!F$18),('Fuel Equipment'!F$19*'Fuel Equipment'!F$20*'Fuel Equipment'!F$21)*('Fuel Equipment'!F$45-'Fuel Equipment'!F$44)*
(VLOOKUP(IF('Fuel Equipment'!F$22=Report!$A$25,Report!$A$19,'Fuel Equipment'!F$22),Report!$A$18:$L$34,'Actual-CO2 Calculations'!$AK32,FALSE)),0),0)</f>
        <v>0</v>
      </c>
      <c r="G29" s="19">
        <f>IF(AND('Fuel Equipment'!G$44&gt;0,'Fuel Equipment'!G$45&gt;0),IF(AND($A29&gt;='Fuel Equipment'!G$17,$A29&lt;='Fuel Equipment'!G$18),('Fuel Equipment'!G$19*'Fuel Equipment'!G$20*'Fuel Equipment'!G$21)*('Fuel Equipment'!G$45-'Fuel Equipment'!G$44)*
(VLOOKUP(IF('Fuel Equipment'!G$22=Report!$A$25,Report!$A$19,'Fuel Equipment'!G$22),Report!$A$18:$L$34,'Actual-CO2 Calculations'!$AK32,FALSE)),0),0)</f>
        <v>0</v>
      </c>
      <c r="H29" s="19">
        <f>IF(AND('Fuel Equipment'!H$44&gt;0,'Fuel Equipment'!H$45&gt;0),IF(AND($A29&gt;='Fuel Equipment'!H$17,$A29&lt;='Fuel Equipment'!H$18),('Fuel Equipment'!H$19*'Fuel Equipment'!H$20*'Fuel Equipment'!H$21)*('Fuel Equipment'!H$45-'Fuel Equipment'!H$44)*
(VLOOKUP(IF('Fuel Equipment'!H$22=Report!$A$25,Report!$A$19,'Fuel Equipment'!H$22),Report!$A$18:$L$34,'Actual-CO2 Calculations'!$AK32,FALSE)),0),0)</f>
        <v>0</v>
      </c>
      <c r="I29" s="19">
        <f>IF(AND('Fuel Equipment'!I$44&gt;0,'Fuel Equipment'!I$45&gt;0),IF(AND($A29&gt;='Fuel Equipment'!I$17,$A29&lt;='Fuel Equipment'!I$18),('Fuel Equipment'!I$19*'Fuel Equipment'!I$20*'Fuel Equipment'!I$21)*('Fuel Equipment'!I$45-'Fuel Equipment'!I$44)*
(VLOOKUP(IF('Fuel Equipment'!I$22=Report!$A$25,Report!$A$19,'Fuel Equipment'!I$22),Report!$A$18:$L$34,'Actual-CO2 Calculations'!$AK32,FALSE)),0),0)</f>
        <v>0</v>
      </c>
      <c r="J29" s="19">
        <f>IF(AND('Fuel Equipment'!J$44&gt;0,'Fuel Equipment'!J$45&gt;0),IF(AND($A29&gt;='Fuel Equipment'!J$17,$A29&lt;='Fuel Equipment'!J$18),('Fuel Equipment'!J$19*'Fuel Equipment'!J$20*'Fuel Equipment'!J$21)*('Fuel Equipment'!J$45-'Fuel Equipment'!J$44)*
(VLOOKUP(IF('Fuel Equipment'!J$22=Report!$A$25,Report!$A$19,'Fuel Equipment'!J$22),Report!$A$18:$L$34,'Actual-CO2 Calculations'!$AK32,FALSE)),0),0)</f>
        <v>0</v>
      </c>
      <c r="K29" s="19">
        <f>IF(AND('Fuel Equipment'!K$44&gt;0,'Fuel Equipment'!K$45&gt;0),IF(AND($A29&gt;='Fuel Equipment'!K$17,$A29&lt;='Fuel Equipment'!K$18),('Fuel Equipment'!K$19*'Fuel Equipment'!K$20*'Fuel Equipment'!K$21)*('Fuel Equipment'!K$45-'Fuel Equipment'!K$44)*
(VLOOKUP(IF('Fuel Equipment'!K$22=Report!$A$25,Report!$A$19,'Fuel Equipment'!K$22),Report!$A$18:$L$34,'Actual-CO2 Calculations'!$AK32,FALSE)),0),0)</f>
        <v>0</v>
      </c>
      <c r="L29" s="19">
        <f>IF(AND('Fuel Equipment'!L$44&gt;0,'Fuel Equipment'!L$45&gt;0),IF(AND($A29&gt;='Fuel Equipment'!L$17,$A29&lt;='Fuel Equipment'!L$18),('Fuel Equipment'!L$19*'Fuel Equipment'!L$20*'Fuel Equipment'!L$21)*('Fuel Equipment'!L$45-'Fuel Equipment'!L$44)*
(VLOOKUP(IF('Fuel Equipment'!L$22=Report!$A$25,Report!$A$19,'Fuel Equipment'!L$22),Report!$A$18:$L$34,'Actual-CO2 Calculations'!$AK32,FALSE)),0),0)</f>
        <v>0</v>
      </c>
      <c r="M29" s="19">
        <f>IF(AND('Fuel Equipment'!M$44&gt;0,'Fuel Equipment'!M$45&gt;0),IF(AND($A29&gt;='Fuel Equipment'!M$17,$A29&lt;='Fuel Equipment'!M$18),('Fuel Equipment'!M$19*'Fuel Equipment'!M$20*'Fuel Equipment'!M$21)*('Fuel Equipment'!M$45-'Fuel Equipment'!M$44)*
(VLOOKUP(IF('Fuel Equipment'!M$22=Report!$A$25,Report!$A$19,'Fuel Equipment'!M$22),Report!$A$18:$L$34,'Actual-CO2 Calculations'!$AK32,FALSE)),0),0)</f>
        <v>0</v>
      </c>
      <c r="N29" s="19">
        <f>IF(AND('Fuel Equipment'!N$44&gt;0,'Fuel Equipment'!N$45&gt;0),IF(AND($A29&gt;='Fuel Equipment'!N$17,$A29&lt;='Fuel Equipment'!N$18),('Fuel Equipment'!N$19*'Fuel Equipment'!N$20*'Fuel Equipment'!N$21)*('Fuel Equipment'!N$45-'Fuel Equipment'!N$44)*
(VLOOKUP(IF('Fuel Equipment'!N$22=Report!$A$25,Report!$A$19,'Fuel Equipment'!N$22),Report!$A$18:$L$34,'Actual-CO2 Calculations'!$AK32,FALSE)),0),0)</f>
        <v>0</v>
      </c>
      <c r="O29" s="19">
        <f>IF(AND('Fuel Equipment'!O$44&gt;0,'Fuel Equipment'!O$45&gt;0),IF(AND($A29&gt;='Fuel Equipment'!O$17,$A29&lt;='Fuel Equipment'!O$18),('Fuel Equipment'!O$19*'Fuel Equipment'!O$20*'Fuel Equipment'!O$21)*('Fuel Equipment'!O$45-'Fuel Equipment'!O$44)*
(VLOOKUP(IF('Fuel Equipment'!O$22=Report!$A$25,Report!$A$19,'Fuel Equipment'!O$22),Report!$A$18:$L$34,'Actual-CO2 Calculations'!$AK32,FALSE)),0),0)</f>
        <v>0</v>
      </c>
      <c r="P29" s="19">
        <f>IF(AND('Fuel Equipment'!P$44&gt;0,'Fuel Equipment'!P$45&gt;0),IF(AND($A29&gt;='Fuel Equipment'!P$17,$A29&lt;='Fuel Equipment'!P$18),('Fuel Equipment'!P$19*'Fuel Equipment'!P$20*'Fuel Equipment'!P$21)*('Fuel Equipment'!P$45-'Fuel Equipment'!P$44)*
(VLOOKUP(IF('Fuel Equipment'!P$22=Report!$A$25,Report!$A$19,'Fuel Equipment'!P$22),Report!$A$18:$L$34,'Actual-CO2 Calculations'!$AK32,FALSE)),0),0)</f>
        <v>0</v>
      </c>
      <c r="Q29" s="19">
        <f>IF(AND('Fuel Equipment'!Q$44&gt;0,'Fuel Equipment'!Q$45&gt;0),IF(AND($A29&gt;='Fuel Equipment'!Q$17,$A29&lt;='Fuel Equipment'!Q$18),('Fuel Equipment'!Q$19*'Fuel Equipment'!Q$20*'Fuel Equipment'!Q$21)*('Fuel Equipment'!Q$45-'Fuel Equipment'!Q$44)*
(VLOOKUP(IF('Fuel Equipment'!Q$22=Report!$A$25,Report!$A$19,'Fuel Equipment'!Q$22),Report!$A$18:$L$34,'Actual-CO2 Calculations'!$AK32,FALSE)),0),0)</f>
        <v>0</v>
      </c>
      <c r="R29" s="19">
        <f>IF(AND('Fuel Equipment'!R$44&gt;0,'Fuel Equipment'!R$45&gt;0),IF(AND($A29&gt;='Fuel Equipment'!R$17,$A29&lt;='Fuel Equipment'!R$18),('Fuel Equipment'!R$19*'Fuel Equipment'!R$20*'Fuel Equipment'!R$21)*('Fuel Equipment'!R$45-'Fuel Equipment'!R$44)*
(VLOOKUP(IF('Fuel Equipment'!R$22=Report!$A$25,Report!$A$19,'Fuel Equipment'!R$22),Report!$A$18:$L$34,'Actual-CO2 Calculations'!$AK32,FALSE)),0),0)</f>
        <v>0</v>
      </c>
      <c r="S29" s="19">
        <f>IF(AND('Fuel Equipment'!S$44&gt;0,'Fuel Equipment'!S$45&gt;0),IF(AND($A29&gt;='Fuel Equipment'!S$17,$A29&lt;='Fuel Equipment'!S$18),('Fuel Equipment'!S$19*'Fuel Equipment'!S$20*'Fuel Equipment'!S$21)*('Fuel Equipment'!S$45-'Fuel Equipment'!S$44)*
(VLOOKUP(IF('Fuel Equipment'!S$22=Report!$A$25,Report!$A$19,'Fuel Equipment'!S$22),Report!$A$18:$L$34,'Actual-CO2 Calculations'!$AK32,FALSE)),0),0)</f>
        <v>0</v>
      </c>
      <c r="V29" s="671">
        <f t="shared" si="0"/>
        <v>0</v>
      </c>
    </row>
    <row r="30" spans="1:22">
      <c r="A30" s="21" t="s">
        <v>51</v>
      </c>
      <c r="B30" s="19">
        <f>IF(AND('Fuel Equipment'!B$44&gt;0,'Fuel Equipment'!B$45&gt;0),IF(AND($A30&gt;='Fuel Equipment'!B$17,$A30&lt;='Fuel Equipment'!B$18),('Fuel Equipment'!B$19*'Fuel Equipment'!B$20*'Fuel Equipment'!B$21)*('Fuel Equipment'!B$45-'Fuel Equipment'!B$44)*
(VLOOKUP(IF('Fuel Equipment'!B$22=Report!$A$25,Report!$A$19,'Fuel Equipment'!B$22),Report!$A$18:$L$34,'Actual-CO2 Calculations'!$AK33,FALSE)),0),0)</f>
        <v>0</v>
      </c>
      <c r="C30" s="19">
        <f>IF(AND('Fuel Equipment'!C$44&gt;0,'Fuel Equipment'!C$45&gt;0),IF(AND($A30&gt;='Fuel Equipment'!C$17,$A30&lt;='Fuel Equipment'!C$18),('Fuel Equipment'!C$19*'Fuel Equipment'!C$20*'Fuel Equipment'!C$21)*('Fuel Equipment'!C$45-'Fuel Equipment'!C$44)*
(VLOOKUP(IF('Fuel Equipment'!C$22=Report!$A$25,Report!$A$19,'Fuel Equipment'!C$22),Report!$A$18:$L$34,'Actual-CO2 Calculations'!$AK33,FALSE)),0),0)</f>
        <v>0</v>
      </c>
      <c r="D30" s="19">
        <f>IF(AND('Fuel Equipment'!D$44&gt;0,'Fuel Equipment'!D$45&gt;0),IF(AND($A30&gt;='Fuel Equipment'!D$17,$A30&lt;='Fuel Equipment'!D$18),('Fuel Equipment'!D$19*'Fuel Equipment'!D$20*'Fuel Equipment'!D$21)*('Fuel Equipment'!D$45-'Fuel Equipment'!D$44)*
(VLOOKUP(IF('Fuel Equipment'!D$22=Report!$A$25,Report!$A$19,'Fuel Equipment'!D$22),Report!$A$18:$L$34,'Actual-CO2 Calculations'!$AK33,FALSE)),0),0)</f>
        <v>0</v>
      </c>
      <c r="E30" s="19">
        <f>IF(AND('Fuel Equipment'!E$44&gt;0,'Fuel Equipment'!E$45&gt;0),IF(AND($A30&gt;='Fuel Equipment'!E$17,$A30&lt;='Fuel Equipment'!E$18),('Fuel Equipment'!E$19*'Fuel Equipment'!E$20*'Fuel Equipment'!E$21)*('Fuel Equipment'!E$45-'Fuel Equipment'!E$44)*
(VLOOKUP(IF('Fuel Equipment'!E$22=Report!$A$25,Report!$A$19,'Fuel Equipment'!E$22),Report!$A$18:$L$34,'Actual-CO2 Calculations'!$AK33,FALSE)),0),0)</f>
        <v>0</v>
      </c>
      <c r="F30" s="19">
        <f>IF(AND('Fuel Equipment'!F$44&gt;0,'Fuel Equipment'!F$45&gt;0),IF(AND($A30&gt;='Fuel Equipment'!F$17,$A30&lt;='Fuel Equipment'!F$18),('Fuel Equipment'!F$19*'Fuel Equipment'!F$20*'Fuel Equipment'!F$21)*('Fuel Equipment'!F$45-'Fuel Equipment'!F$44)*
(VLOOKUP(IF('Fuel Equipment'!F$22=Report!$A$25,Report!$A$19,'Fuel Equipment'!F$22),Report!$A$18:$L$34,'Actual-CO2 Calculations'!$AK33,FALSE)),0),0)</f>
        <v>0</v>
      </c>
      <c r="G30" s="19">
        <f>IF(AND('Fuel Equipment'!G$44&gt;0,'Fuel Equipment'!G$45&gt;0),IF(AND($A30&gt;='Fuel Equipment'!G$17,$A30&lt;='Fuel Equipment'!G$18),('Fuel Equipment'!G$19*'Fuel Equipment'!G$20*'Fuel Equipment'!G$21)*('Fuel Equipment'!G$45-'Fuel Equipment'!G$44)*
(VLOOKUP(IF('Fuel Equipment'!G$22=Report!$A$25,Report!$A$19,'Fuel Equipment'!G$22),Report!$A$18:$L$34,'Actual-CO2 Calculations'!$AK33,FALSE)),0),0)</f>
        <v>0</v>
      </c>
      <c r="H30" s="19">
        <f>IF(AND('Fuel Equipment'!H$44&gt;0,'Fuel Equipment'!H$45&gt;0),IF(AND($A30&gt;='Fuel Equipment'!H$17,$A30&lt;='Fuel Equipment'!H$18),('Fuel Equipment'!H$19*'Fuel Equipment'!H$20*'Fuel Equipment'!H$21)*('Fuel Equipment'!H$45-'Fuel Equipment'!H$44)*
(VLOOKUP(IF('Fuel Equipment'!H$22=Report!$A$25,Report!$A$19,'Fuel Equipment'!H$22),Report!$A$18:$L$34,'Actual-CO2 Calculations'!$AK33,FALSE)),0),0)</f>
        <v>0</v>
      </c>
      <c r="I30" s="19">
        <f>IF(AND('Fuel Equipment'!I$44&gt;0,'Fuel Equipment'!I$45&gt;0),IF(AND($A30&gt;='Fuel Equipment'!I$17,$A30&lt;='Fuel Equipment'!I$18),('Fuel Equipment'!I$19*'Fuel Equipment'!I$20*'Fuel Equipment'!I$21)*('Fuel Equipment'!I$45-'Fuel Equipment'!I$44)*
(VLOOKUP(IF('Fuel Equipment'!I$22=Report!$A$25,Report!$A$19,'Fuel Equipment'!I$22),Report!$A$18:$L$34,'Actual-CO2 Calculations'!$AK33,FALSE)),0),0)</f>
        <v>0</v>
      </c>
      <c r="J30" s="19">
        <f>IF(AND('Fuel Equipment'!J$44&gt;0,'Fuel Equipment'!J$45&gt;0),IF(AND($A30&gt;='Fuel Equipment'!J$17,$A30&lt;='Fuel Equipment'!J$18),('Fuel Equipment'!J$19*'Fuel Equipment'!J$20*'Fuel Equipment'!J$21)*('Fuel Equipment'!J$45-'Fuel Equipment'!J$44)*
(VLOOKUP(IF('Fuel Equipment'!J$22=Report!$A$25,Report!$A$19,'Fuel Equipment'!J$22),Report!$A$18:$L$34,'Actual-CO2 Calculations'!$AK33,FALSE)),0),0)</f>
        <v>0</v>
      </c>
      <c r="K30" s="19">
        <f>IF(AND('Fuel Equipment'!K$44&gt;0,'Fuel Equipment'!K$45&gt;0),IF(AND($A30&gt;='Fuel Equipment'!K$17,$A30&lt;='Fuel Equipment'!K$18),('Fuel Equipment'!K$19*'Fuel Equipment'!K$20*'Fuel Equipment'!K$21)*('Fuel Equipment'!K$45-'Fuel Equipment'!K$44)*
(VLOOKUP(IF('Fuel Equipment'!K$22=Report!$A$25,Report!$A$19,'Fuel Equipment'!K$22),Report!$A$18:$L$34,'Actual-CO2 Calculations'!$AK33,FALSE)),0),0)</f>
        <v>0</v>
      </c>
      <c r="L30" s="19">
        <f>IF(AND('Fuel Equipment'!L$44&gt;0,'Fuel Equipment'!L$45&gt;0),IF(AND($A30&gt;='Fuel Equipment'!L$17,$A30&lt;='Fuel Equipment'!L$18),('Fuel Equipment'!L$19*'Fuel Equipment'!L$20*'Fuel Equipment'!L$21)*('Fuel Equipment'!L$45-'Fuel Equipment'!L$44)*
(VLOOKUP(IF('Fuel Equipment'!L$22=Report!$A$25,Report!$A$19,'Fuel Equipment'!L$22),Report!$A$18:$L$34,'Actual-CO2 Calculations'!$AK33,FALSE)),0),0)</f>
        <v>0</v>
      </c>
      <c r="M30" s="19">
        <f>IF(AND('Fuel Equipment'!M$44&gt;0,'Fuel Equipment'!M$45&gt;0),IF(AND($A30&gt;='Fuel Equipment'!M$17,$A30&lt;='Fuel Equipment'!M$18),('Fuel Equipment'!M$19*'Fuel Equipment'!M$20*'Fuel Equipment'!M$21)*('Fuel Equipment'!M$45-'Fuel Equipment'!M$44)*
(VLOOKUP(IF('Fuel Equipment'!M$22=Report!$A$25,Report!$A$19,'Fuel Equipment'!M$22),Report!$A$18:$L$34,'Actual-CO2 Calculations'!$AK33,FALSE)),0),0)</f>
        <v>0</v>
      </c>
      <c r="N30" s="19">
        <f>IF(AND('Fuel Equipment'!N$44&gt;0,'Fuel Equipment'!N$45&gt;0),IF(AND($A30&gt;='Fuel Equipment'!N$17,$A30&lt;='Fuel Equipment'!N$18),('Fuel Equipment'!N$19*'Fuel Equipment'!N$20*'Fuel Equipment'!N$21)*('Fuel Equipment'!N$45-'Fuel Equipment'!N$44)*
(VLOOKUP(IF('Fuel Equipment'!N$22=Report!$A$25,Report!$A$19,'Fuel Equipment'!N$22),Report!$A$18:$L$34,'Actual-CO2 Calculations'!$AK33,FALSE)),0),0)</f>
        <v>0</v>
      </c>
      <c r="O30" s="19">
        <f>IF(AND('Fuel Equipment'!O$44&gt;0,'Fuel Equipment'!O$45&gt;0),IF(AND($A30&gt;='Fuel Equipment'!O$17,$A30&lt;='Fuel Equipment'!O$18),('Fuel Equipment'!O$19*'Fuel Equipment'!O$20*'Fuel Equipment'!O$21)*('Fuel Equipment'!O$45-'Fuel Equipment'!O$44)*
(VLOOKUP(IF('Fuel Equipment'!O$22=Report!$A$25,Report!$A$19,'Fuel Equipment'!O$22),Report!$A$18:$L$34,'Actual-CO2 Calculations'!$AK33,FALSE)),0),0)</f>
        <v>0</v>
      </c>
      <c r="P30" s="19">
        <f>IF(AND('Fuel Equipment'!P$44&gt;0,'Fuel Equipment'!P$45&gt;0),IF(AND($A30&gt;='Fuel Equipment'!P$17,$A30&lt;='Fuel Equipment'!P$18),('Fuel Equipment'!P$19*'Fuel Equipment'!P$20*'Fuel Equipment'!P$21)*('Fuel Equipment'!P$45-'Fuel Equipment'!P$44)*
(VLOOKUP(IF('Fuel Equipment'!P$22=Report!$A$25,Report!$A$19,'Fuel Equipment'!P$22),Report!$A$18:$L$34,'Actual-CO2 Calculations'!$AK33,FALSE)),0),0)</f>
        <v>0</v>
      </c>
      <c r="Q30" s="19">
        <f>IF(AND('Fuel Equipment'!Q$44&gt;0,'Fuel Equipment'!Q$45&gt;0),IF(AND($A30&gt;='Fuel Equipment'!Q$17,$A30&lt;='Fuel Equipment'!Q$18),('Fuel Equipment'!Q$19*'Fuel Equipment'!Q$20*'Fuel Equipment'!Q$21)*('Fuel Equipment'!Q$45-'Fuel Equipment'!Q$44)*
(VLOOKUP(IF('Fuel Equipment'!Q$22=Report!$A$25,Report!$A$19,'Fuel Equipment'!Q$22),Report!$A$18:$L$34,'Actual-CO2 Calculations'!$AK33,FALSE)),0),0)</f>
        <v>0</v>
      </c>
      <c r="R30" s="19">
        <f>IF(AND('Fuel Equipment'!R$44&gt;0,'Fuel Equipment'!R$45&gt;0),IF(AND($A30&gt;='Fuel Equipment'!R$17,$A30&lt;='Fuel Equipment'!R$18),('Fuel Equipment'!R$19*'Fuel Equipment'!R$20*'Fuel Equipment'!R$21)*('Fuel Equipment'!R$45-'Fuel Equipment'!R$44)*
(VLOOKUP(IF('Fuel Equipment'!R$22=Report!$A$25,Report!$A$19,'Fuel Equipment'!R$22),Report!$A$18:$L$34,'Actual-CO2 Calculations'!$AK33,FALSE)),0),0)</f>
        <v>0</v>
      </c>
      <c r="S30" s="19">
        <f>IF(AND('Fuel Equipment'!S$44&gt;0,'Fuel Equipment'!S$45&gt;0),IF(AND($A30&gt;='Fuel Equipment'!S$17,$A30&lt;='Fuel Equipment'!S$18),('Fuel Equipment'!S$19*'Fuel Equipment'!S$20*'Fuel Equipment'!S$21)*('Fuel Equipment'!S$45-'Fuel Equipment'!S$44)*
(VLOOKUP(IF('Fuel Equipment'!S$22=Report!$A$25,Report!$A$19,'Fuel Equipment'!S$22),Report!$A$18:$L$34,'Actual-CO2 Calculations'!$AK33,FALSE)),0),0)</f>
        <v>0</v>
      </c>
      <c r="V30" s="671">
        <f t="shared" si="0"/>
        <v>0</v>
      </c>
    </row>
    <row r="31" spans="1:22">
      <c r="A31" s="21" t="s">
        <v>52</v>
      </c>
      <c r="B31" s="19">
        <f>IF(AND('Fuel Equipment'!B$44&gt;0,'Fuel Equipment'!B$45&gt;0),IF(AND($A31&gt;='Fuel Equipment'!B$17,$A31&lt;='Fuel Equipment'!B$18),('Fuel Equipment'!B$19*'Fuel Equipment'!B$20*'Fuel Equipment'!B$21)*('Fuel Equipment'!B$45-'Fuel Equipment'!B$44)*
(VLOOKUP(IF('Fuel Equipment'!B$22=Report!$A$25,Report!$A$19,'Fuel Equipment'!B$22),Report!$A$18:$L$34,'Actual-CO2 Calculations'!$AK34,FALSE)),0),0)</f>
        <v>0</v>
      </c>
      <c r="C31" s="19">
        <f>IF(AND('Fuel Equipment'!C$44&gt;0,'Fuel Equipment'!C$45&gt;0),IF(AND($A31&gt;='Fuel Equipment'!C$17,$A31&lt;='Fuel Equipment'!C$18),('Fuel Equipment'!C$19*'Fuel Equipment'!C$20*'Fuel Equipment'!C$21)*('Fuel Equipment'!C$45-'Fuel Equipment'!C$44)*
(VLOOKUP(IF('Fuel Equipment'!C$22=Report!$A$25,Report!$A$19,'Fuel Equipment'!C$22),Report!$A$18:$L$34,'Actual-CO2 Calculations'!$AK34,FALSE)),0),0)</f>
        <v>0</v>
      </c>
      <c r="D31" s="19">
        <f>IF(AND('Fuel Equipment'!D$44&gt;0,'Fuel Equipment'!D$45&gt;0),IF(AND($A31&gt;='Fuel Equipment'!D$17,$A31&lt;='Fuel Equipment'!D$18),('Fuel Equipment'!D$19*'Fuel Equipment'!D$20*'Fuel Equipment'!D$21)*('Fuel Equipment'!D$45-'Fuel Equipment'!D$44)*
(VLOOKUP(IF('Fuel Equipment'!D$22=Report!$A$25,Report!$A$19,'Fuel Equipment'!D$22),Report!$A$18:$L$34,'Actual-CO2 Calculations'!$AK34,FALSE)),0),0)</f>
        <v>0</v>
      </c>
      <c r="E31" s="19">
        <f>IF(AND('Fuel Equipment'!E$44&gt;0,'Fuel Equipment'!E$45&gt;0),IF(AND($A31&gt;='Fuel Equipment'!E$17,$A31&lt;='Fuel Equipment'!E$18),('Fuel Equipment'!E$19*'Fuel Equipment'!E$20*'Fuel Equipment'!E$21)*('Fuel Equipment'!E$45-'Fuel Equipment'!E$44)*
(VLOOKUP(IF('Fuel Equipment'!E$22=Report!$A$25,Report!$A$19,'Fuel Equipment'!E$22),Report!$A$18:$L$34,'Actual-CO2 Calculations'!$AK34,FALSE)),0),0)</f>
        <v>0</v>
      </c>
      <c r="F31" s="19">
        <f>IF(AND('Fuel Equipment'!F$44&gt;0,'Fuel Equipment'!F$45&gt;0),IF(AND($A31&gt;='Fuel Equipment'!F$17,$A31&lt;='Fuel Equipment'!F$18),('Fuel Equipment'!F$19*'Fuel Equipment'!F$20*'Fuel Equipment'!F$21)*('Fuel Equipment'!F$45-'Fuel Equipment'!F$44)*
(VLOOKUP(IF('Fuel Equipment'!F$22=Report!$A$25,Report!$A$19,'Fuel Equipment'!F$22),Report!$A$18:$L$34,'Actual-CO2 Calculations'!$AK34,FALSE)),0),0)</f>
        <v>0</v>
      </c>
      <c r="G31" s="19">
        <f>IF(AND('Fuel Equipment'!G$44&gt;0,'Fuel Equipment'!G$45&gt;0),IF(AND($A31&gt;='Fuel Equipment'!G$17,$A31&lt;='Fuel Equipment'!G$18),('Fuel Equipment'!G$19*'Fuel Equipment'!G$20*'Fuel Equipment'!G$21)*('Fuel Equipment'!G$45-'Fuel Equipment'!G$44)*
(VLOOKUP(IF('Fuel Equipment'!G$22=Report!$A$25,Report!$A$19,'Fuel Equipment'!G$22),Report!$A$18:$L$34,'Actual-CO2 Calculations'!$AK34,FALSE)),0),0)</f>
        <v>0</v>
      </c>
      <c r="H31" s="19">
        <f>IF(AND('Fuel Equipment'!H$44&gt;0,'Fuel Equipment'!H$45&gt;0),IF(AND($A31&gt;='Fuel Equipment'!H$17,$A31&lt;='Fuel Equipment'!H$18),('Fuel Equipment'!H$19*'Fuel Equipment'!H$20*'Fuel Equipment'!H$21)*('Fuel Equipment'!H$45-'Fuel Equipment'!H$44)*
(VLOOKUP(IF('Fuel Equipment'!H$22=Report!$A$25,Report!$A$19,'Fuel Equipment'!H$22),Report!$A$18:$L$34,'Actual-CO2 Calculations'!$AK34,FALSE)),0),0)</f>
        <v>0</v>
      </c>
      <c r="I31" s="19">
        <f>IF(AND('Fuel Equipment'!I$44&gt;0,'Fuel Equipment'!I$45&gt;0),IF(AND($A31&gt;='Fuel Equipment'!I$17,$A31&lt;='Fuel Equipment'!I$18),('Fuel Equipment'!I$19*'Fuel Equipment'!I$20*'Fuel Equipment'!I$21)*('Fuel Equipment'!I$45-'Fuel Equipment'!I$44)*
(VLOOKUP(IF('Fuel Equipment'!I$22=Report!$A$25,Report!$A$19,'Fuel Equipment'!I$22),Report!$A$18:$L$34,'Actual-CO2 Calculations'!$AK34,FALSE)),0),0)</f>
        <v>0</v>
      </c>
      <c r="J31" s="19">
        <f>IF(AND('Fuel Equipment'!J$44&gt;0,'Fuel Equipment'!J$45&gt;0),IF(AND($A31&gt;='Fuel Equipment'!J$17,$A31&lt;='Fuel Equipment'!J$18),('Fuel Equipment'!J$19*'Fuel Equipment'!J$20*'Fuel Equipment'!J$21)*('Fuel Equipment'!J$45-'Fuel Equipment'!J$44)*
(VLOOKUP(IF('Fuel Equipment'!J$22=Report!$A$25,Report!$A$19,'Fuel Equipment'!J$22),Report!$A$18:$L$34,'Actual-CO2 Calculations'!$AK34,FALSE)),0),0)</f>
        <v>0</v>
      </c>
      <c r="K31" s="19">
        <f>IF(AND('Fuel Equipment'!K$44&gt;0,'Fuel Equipment'!K$45&gt;0),IF(AND($A31&gt;='Fuel Equipment'!K$17,$A31&lt;='Fuel Equipment'!K$18),('Fuel Equipment'!K$19*'Fuel Equipment'!K$20*'Fuel Equipment'!K$21)*('Fuel Equipment'!K$45-'Fuel Equipment'!K$44)*
(VLOOKUP(IF('Fuel Equipment'!K$22=Report!$A$25,Report!$A$19,'Fuel Equipment'!K$22),Report!$A$18:$L$34,'Actual-CO2 Calculations'!$AK34,FALSE)),0),0)</f>
        <v>0</v>
      </c>
      <c r="L31" s="19">
        <f>IF(AND('Fuel Equipment'!L$44&gt;0,'Fuel Equipment'!L$45&gt;0),IF(AND($A31&gt;='Fuel Equipment'!L$17,$A31&lt;='Fuel Equipment'!L$18),('Fuel Equipment'!L$19*'Fuel Equipment'!L$20*'Fuel Equipment'!L$21)*('Fuel Equipment'!L$45-'Fuel Equipment'!L$44)*
(VLOOKUP(IF('Fuel Equipment'!L$22=Report!$A$25,Report!$A$19,'Fuel Equipment'!L$22),Report!$A$18:$L$34,'Actual-CO2 Calculations'!$AK34,FALSE)),0),0)</f>
        <v>0</v>
      </c>
      <c r="M31" s="19">
        <f>IF(AND('Fuel Equipment'!M$44&gt;0,'Fuel Equipment'!M$45&gt;0),IF(AND($A31&gt;='Fuel Equipment'!M$17,$A31&lt;='Fuel Equipment'!M$18),('Fuel Equipment'!M$19*'Fuel Equipment'!M$20*'Fuel Equipment'!M$21)*('Fuel Equipment'!M$45-'Fuel Equipment'!M$44)*
(VLOOKUP(IF('Fuel Equipment'!M$22=Report!$A$25,Report!$A$19,'Fuel Equipment'!M$22),Report!$A$18:$L$34,'Actual-CO2 Calculations'!$AK34,FALSE)),0),0)</f>
        <v>0</v>
      </c>
      <c r="N31" s="19">
        <f>IF(AND('Fuel Equipment'!N$44&gt;0,'Fuel Equipment'!N$45&gt;0),IF(AND($A31&gt;='Fuel Equipment'!N$17,$A31&lt;='Fuel Equipment'!N$18),('Fuel Equipment'!N$19*'Fuel Equipment'!N$20*'Fuel Equipment'!N$21)*('Fuel Equipment'!N$45-'Fuel Equipment'!N$44)*
(VLOOKUP(IF('Fuel Equipment'!N$22=Report!$A$25,Report!$A$19,'Fuel Equipment'!N$22),Report!$A$18:$L$34,'Actual-CO2 Calculations'!$AK34,FALSE)),0),0)</f>
        <v>0</v>
      </c>
      <c r="O31" s="19">
        <f>IF(AND('Fuel Equipment'!O$44&gt;0,'Fuel Equipment'!O$45&gt;0),IF(AND($A31&gt;='Fuel Equipment'!O$17,$A31&lt;='Fuel Equipment'!O$18),('Fuel Equipment'!O$19*'Fuel Equipment'!O$20*'Fuel Equipment'!O$21)*('Fuel Equipment'!O$45-'Fuel Equipment'!O$44)*
(VLOOKUP(IF('Fuel Equipment'!O$22=Report!$A$25,Report!$A$19,'Fuel Equipment'!O$22),Report!$A$18:$L$34,'Actual-CO2 Calculations'!$AK34,FALSE)),0),0)</f>
        <v>0</v>
      </c>
      <c r="P31" s="19">
        <f>IF(AND('Fuel Equipment'!P$44&gt;0,'Fuel Equipment'!P$45&gt;0),IF(AND($A31&gt;='Fuel Equipment'!P$17,$A31&lt;='Fuel Equipment'!P$18),('Fuel Equipment'!P$19*'Fuel Equipment'!P$20*'Fuel Equipment'!P$21)*('Fuel Equipment'!P$45-'Fuel Equipment'!P$44)*
(VLOOKUP(IF('Fuel Equipment'!P$22=Report!$A$25,Report!$A$19,'Fuel Equipment'!P$22),Report!$A$18:$L$34,'Actual-CO2 Calculations'!$AK34,FALSE)),0),0)</f>
        <v>0</v>
      </c>
      <c r="Q31" s="19">
        <f>IF(AND('Fuel Equipment'!Q$44&gt;0,'Fuel Equipment'!Q$45&gt;0),IF(AND($A31&gt;='Fuel Equipment'!Q$17,$A31&lt;='Fuel Equipment'!Q$18),('Fuel Equipment'!Q$19*'Fuel Equipment'!Q$20*'Fuel Equipment'!Q$21)*('Fuel Equipment'!Q$45-'Fuel Equipment'!Q$44)*
(VLOOKUP(IF('Fuel Equipment'!Q$22=Report!$A$25,Report!$A$19,'Fuel Equipment'!Q$22),Report!$A$18:$L$34,'Actual-CO2 Calculations'!$AK34,FALSE)),0),0)</f>
        <v>0</v>
      </c>
      <c r="R31" s="19">
        <f>IF(AND('Fuel Equipment'!R$44&gt;0,'Fuel Equipment'!R$45&gt;0),IF(AND($A31&gt;='Fuel Equipment'!R$17,$A31&lt;='Fuel Equipment'!R$18),('Fuel Equipment'!R$19*'Fuel Equipment'!R$20*'Fuel Equipment'!R$21)*('Fuel Equipment'!R$45-'Fuel Equipment'!R$44)*
(VLOOKUP(IF('Fuel Equipment'!R$22=Report!$A$25,Report!$A$19,'Fuel Equipment'!R$22),Report!$A$18:$L$34,'Actual-CO2 Calculations'!$AK34,FALSE)),0),0)</f>
        <v>0</v>
      </c>
      <c r="S31" s="19">
        <f>IF(AND('Fuel Equipment'!S$44&gt;0,'Fuel Equipment'!S$45&gt;0),IF(AND($A31&gt;='Fuel Equipment'!S$17,$A31&lt;='Fuel Equipment'!S$18),('Fuel Equipment'!S$19*'Fuel Equipment'!S$20*'Fuel Equipment'!S$21)*('Fuel Equipment'!S$45-'Fuel Equipment'!S$44)*
(VLOOKUP(IF('Fuel Equipment'!S$22=Report!$A$25,Report!$A$19,'Fuel Equipment'!S$22),Report!$A$18:$L$34,'Actual-CO2 Calculations'!$AK34,FALSE)),0),0)</f>
        <v>0</v>
      </c>
      <c r="V31" s="671">
        <f t="shared" si="0"/>
        <v>0</v>
      </c>
    </row>
    <row r="32" spans="1:22">
      <c r="A32" s="21" t="s">
        <v>53</v>
      </c>
      <c r="B32" s="19">
        <f>IF(AND('Fuel Equipment'!B$44&gt;0,'Fuel Equipment'!B$45&gt;0),IF(AND($A32&gt;='Fuel Equipment'!B$17,$A32&lt;='Fuel Equipment'!B$18),('Fuel Equipment'!B$19*'Fuel Equipment'!B$20*'Fuel Equipment'!B$21)*('Fuel Equipment'!B$45-'Fuel Equipment'!B$44)*
(VLOOKUP(IF('Fuel Equipment'!B$22=Report!$A$25,Report!$A$19,'Fuel Equipment'!B$22),Report!$A$18:$L$34,'Actual-CO2 Calculations'!$AK35,FALSE)),0),0)</f>
        <v>0</v>
      </c>
      <c r="C32" s="19">
        <f>IF(AND('Fuel Equipment'!C$44&gt;0,'Fuel Equipment'!C$45&gt;0),IF(AND($A32&gt;='Fuel Equipment'!C$17,$A32&lt;='Fuel Equipment'!C$18),('Fuel Equipment'!C$19*'Fuel Equipment'!C$20*'Fuel Equipment'!C$21)*('Fuel Equipment'!C$45-'Fuel Equipment'!C$44)*
(VLOOKUP(IF('Fuel Equipment'!C$22=Report!$A$25,Report!$A$19,'Fuel Equipment'!C$22),Report!$A$18:$L$34,'Actual-CO2 Calculations'!$AK35,FALSE)),0),0)</f>
        <v>0</v>
      </c>
      <c r="D32" s="19">
        <f>IF(AND('Fuel Equipment'!D$44&gt;0,'Fuel Equipment'!D$45&gt;0),IF(AND($A32&gt;='Fuel Equipment'!D$17,$A32&lt;='Fuel Equipment'!D$18),('Fuel Equipment'!D$19*'Fuel Equipment'!D$20*'Fuel Equipment'!D$21)*('Fuel Equipment'!D$45-'Fuel Equipment'!D$44)*
(VLOOKUP(IF('Fuel Equipment'!D$22=Report!$A$25,Report!$A$19,'Fuel Equipment'!D$22),Report!$A$18:$L$34,'Actual-CO2 Calculations'!$AK35,FALSE)),0),0)</f>
        <v>0</v>
      </c>
      <c r="E32" s="19">
        <f>IF(AND('Fuel Equipment'!E$44&gt;0,'Fuel Equipment'!E$45&gt;0),IF(AND($A32&gt;='Fuel Equipment'!E$17,$A32&lt;='Fuel Equipment'!E$18),('Fuel Equipment'!E$19*'Fuel Equipment'!E$20*'Fuel Equipment'!E$21)*('Fuel Equipment'!E$45-'Fuel Equipment'!E$44)*
(VLOOKUP(IF('Fuel Equipment'!E$22=Report!$A$25,Report!$A$19,'Fuel Equipment'!E$22),Report!$A$18:$L$34,'Actual-CO2 Calculations'!$AK35,FALSE)),0),0)</f>
        <v>0</v>
      </c>
      <c r="F32" s="19">
        <f>IF(AND('Fuel Equipment'!F$44&gt;0,'Fuel Equipment'!F$45&gt;0),IF(AND($A32&gt;='Fuel Equipment'!F$17,$A32&lt;='Fuel Equipment'!F$18),('Fuel Equipment'!F$19*'Fuel Equipment'!F$20*'Fuel Equipment'!F$21)*('Fuel Equipment'!F$45-'Fuel Equipment'!F$44)*
(VLOOKUP(IF('Fuel Equipment'!F$22=Report!$A$25,Report!$A$19,'Fuel Equipment'!F$22),Report!$A$18:$L$34,'Actual-CO2 Calculations'!$AK35,FALSE)),0),0)</f>
        <v>0</v>
      </c>
      <c r="G32" s="19">
        <f>IF(AND('Fuel Equipment'!G$44&gt;0,'Fuel Equipment'!G$45&gt;0),IF(AND($A32&gt;='Fuel Equipment'!G$17,$A32&lt;='Fuel Equipment'!G$18),('Fuel Equipment'!G$19*'Fuel Equipment'!G$20*'Fuel Equipment'!G$21)*('Fuel Equipment'!G$45-'Fuel Equipment'!G$44)*
(VLOOKUP(IF('Fuel Equipment'!G$22=Report!$A$25,Report!$A$19,'Fuel Equipment'!G$22),Report!$A$18:$L$34,'Actual-CO2 Calculations'!$AK35,FALSE)),0),0)</f>
        <v>0</v>
      </c>
      <c r="H32" s="19">
        <f>IF(AND('Fuel Equipment'!H$44&gt;0,'Fuel Equipment'!H$45&gt;0),IF(AND($A32&gt;='Fuel Equipment'!H$17,$A32&lt;='Fuel Equipment'!H$18),('Fuel Equipment'!H$19*'Fuel Equipment'!H$20*'Fuel Equipment'!H$21)*('Fuel Equipment'!H$45-'Fuel Equipment'!H$44)*
(VLOOKUP(IF('Fuel Equipment'!H$22=Report!$A$25,Report!$A$19,'Fuel Equipment'!H$22),Report!$A$18:$L$34,'Actual-CO2 Calculations'!$AK35,FALSE)),0),0)</f>
        <v>0</v>
      </c>
      <c r="I32" s="19">
        <f>IF(AND('Fuel Equipment'!I$44&gt;0,'Fuel Equipment'!I$45&gt;0),IF(AND($A32&gt;='Fuel Equipment'!I$17,$A32&lt;='Fuel Equipment'!I$18),('Fuel Equipment'!I$19*'Fuel Equipment'!I$20*'Fuel Equipment'!I$21)*('Fuel Equipment'!I$45-'Fuel Equipment'!I$44)*
(VLOOKUP(IF('Fuel Equipment'!I$22=Report!$A$25,Report!$A$19,'Fuel Equipment'!I$22),Report!$A$18:$L$34,'Actual-CO2 Calculations'!$AK35,FALSE)),0),0)</f>
        <v>0</v>
      </c>
      <c r="J32" s="19">
        <f>IF(AND('Fuel Equipment'!J$44&gt;0,'Fuel Equipment'!J$45&gt;0),IF(AND($A32&gt;='Fuel Equipment'!J$17,$A32&lt;='Fuel Equipment'!J$18),('Fuel Equipment'!J$19*'Fuel Equipment'!J$20*'Fuel Equipment'!J$21)*('Fuel Equipment'!J$45-'Fuel Equipment'!J$44)*
(VLOOKUP(IF('Fuel Equipment'!J$22=Report!$A$25,Report!$A$19,'Fuel Equipment'!J$22),Report!$A$18:$L$34,'Actual-CO2 Calculations'!$AK35,FALSE)),0),0)</f>
        <v>0</v>
      </c>
      <c r="K32" s="19">
        <f>IF(AND('Fuel Equipment'!K$44&gt;0,'Fuel Equipment'!K$45&gt;0),IF(AND($A32&gt;='Fuel Equipment'!K$17,$A32&lt;='Fuel Equipment'!K$18),('Fuel Equipment'!K$19*'Fuel Equipment'!K$20*'Fuel Equipment'!K$21)*('Fuel Equipment'!K$45-'Fuel Equipment'!K$44)*
(VLOOKUP(IF('Fuel Equipment'!K$22=Report!$A$25,Report!$A$19,'Fuel Equipment'!K$22),Report!$A$18:$L$34,'Actual-CO2 Calculations'!$AK35,FALSE)),0),0)</f>
        <v>0</v>
      </c>
      <c r="L32" s="19">
        <f>IF(AND('Fuel Equipment'!L$44&gt;0,'Fuel Equipment'!L$45&gt;0),IF(AND($A32&gt;='Fuel Equipment'!L$17,$A32&lt;='Fuel Equipment'!L$18),('Fuel Equipment'!L$19*'Fuel Equipment'!L$20*'Fuel Equipment'!L$21)*('Fuel Equipment'!L$45-'Fuel Equipment'!L$44)*
(VLOOKUP(IF('Fuel Equipment'!L$22=Report!$A$25,Report!$A$19,'Fuel Equipment'!L$22),Report!$A$18:$L$34,'Actual-CO2 Calculations'!$AK35,FALSE)),0),0)</f>
        <v>0</v>
      </c>
      <c r="M32" s="19">
        <f>IF(AND('Fuel Equipment'!M$44&gt;0,'Fuel Equipment'!M$45&gt;0),IF(AND($A32&gt;='Fuel Equipment'!M$17,$A32&lt;='Fuel Equipment'!M$18),('Fuel Equipment'!M$19*'Fuel Equipment'!M$20*'Fuel Equipment'!M$21)*('Fuel Equipment'!M$45-'Fuel Equipment'!M$44)*
(VLOOKUP(IF('Fuel Equipment'!M$22=Report!$A$25,Report!$A$19,'Fuel Equipment'!M$22),Report!$A$18:$L$34,'Actual-CO2 Calculations'!$AK35,FALSE)),0),0)</f>
        <v>0</v>
      </c>
      <c r="N32" s="19">
        <f>IF(AND('Fuel Equipment'!N$44&gt;0,'Fuel Equipment'!N$45&gt;0),IF(AND($A32&gt;='Fuel Equipment'!N$17,$A32&lt;='Fuel Equipment'!N$18),('Fuel Equipment'!N$19*'Fuel Equipment'!N$20*'Fuel Equipment'!N$21)*('Fuel Equipment'!N$45-'Fuel Equipment'!N$44)*
(VLOOKUP(IF('Fuel Equipment'!N$22=Report!$A$25,Report!$A$19,'Fuel Equipment'!N$22),Report!$A$18:$L$34,'Actual-CO2 Calculations'!$AK35,FALSE)),0),0)</f>
        <v>0</v>
      </c>
      <c r="O32" s="19">
        <f>IF(AND('Fuel Equipment'!O$44&gt;0,'Fuel Equipment'!O$45&gt;0),IF(AND($A32&gt;='Fuel Equipment'!O$17,$A32&lt;='Fuel Equipment'!O$18),('Fuel Equipment'!O$19*'Fuel Equipment'!O$20*'Fuel Equipment'!O$21)*('Fuel Equipment'!O$45-'Fuel Equipment'!O$44)*
(VLOOKUP(IF('Fuel Equipment'!O$22=Report!$A$25,Report!$A$19,'Fuel Equipment'!O$22),Report!$A$18:$L$34,'Actual-CO2 Calculations'!$AK35,FALSE)),0),0)</f>
        <v>0</v>
      </c>
      <c r="P32" s="19">
        <f>IF(AND('Fuel Equipment'!P$44&gt;0,'Fuel Equipment'!P$45&gt;0),IF(AND($A32&gt;='Fuel Equipment'!P$17,$A32&lt;='Fuel Equipment'!P$18),('Fuel Equipment'!P$19*'Fuel Equipment'!P$20*'Fuel Equipment'!P$21)*('Fuel Equipment'!P$45-'Fuel Equipment'!P$44)*
(VLOOKUP(IF('Fuel Equipment'!P$22=Report!$A$25,Report!$A$19,'Fuel Equipment'!P$22),Report!$A$18:$L$34,'Actual-CO2 Calculations'!$AK35,FALSE)),0),0)</f>
        <v>0</v>
      </c>
      <c r="Q32" s="19">
        <f>IF(AND('Fuel Equipment'!Q$44&gt;0,'Fuel Equipment'!Q$45&gt;0),IF(AND($A32&gt;='Fuel Equipment'!Q$17,$A32&lt;='Fuel Equipment'!Q$18),('Fuel Equipment'!Q$19*'Fuel Equipment'!Q$20*'Fuel Equipment'!Q$21)*('Fuel Equipment'!Q$45-'Fuel Equipment'!Q$44)*
(VLOOKUP(IF('Fuel Equipment'!Q$22=Report!$A$25,Report!$A$19,'Fuel Equipment'!Q$22),Report!$A$18:$L$34,'Actual-CO2 Calculations'!$AK35,FALSE)),0),0)</f>
        <v>0</v>
      </c>
      <c r="R32" s="19">
        <f>IF(AND('Fuel Equipment'!R$44&gt;0,'Fuel Equipment'!R$45&gt;0),IF(AND($A32&gt;='Fuel Equipment'!R$17,$A32&lt;='Fuel Equipment'!R$18),('Fuel Equipment'!R$19*'Fuel Equipment'!R$20*'Fuel Equipment'!R$21)*('Fuel Equipment'!R$45-'Fuel Equipment'!R$44)*
(VLOOKUP(IF('Fuel Equipment'!R$22=Report!$A$25,Report!$A$19,'Fuel Equipment'!R$22),Report!$A$18:$L$34,'Actual-CO2 Calculations'!$AK35,FALSE)),0),0)</f>
        <v>0</v>
      </c>
      <c r="S32" s="19">
        <f>IF(AND('Fuel Equipment'!S$44&gt;0,'Fuel Equipment'!S$45&gt;0),IF(AND($A32&gt;='Fuel Equipment'!S$17,$A32&lt;='Fuel Equipment'!S$18),('Fuel Equipment'!S$19*'Fuel Equipment'!S$20*'Fuel Equipment'!S$21)*('Fuel Equipment'!S$45-'Fuel Equipment'!S$44)*
(VLOOKUP(IF('Fuel Equipment'!S$22=Report!$A$25,Report!$A$19,'Fuel Equipment'!S$22),Report!$A$18:$L$34,'Actual-CO2 Calculations'!$AK35,FALSE)),0),0)</f>
        <v>0</v>
      </c>
      <c r="V32" s="671">
        <f t="shared" si="0"/>
        <v>0</v>
      </c>
    </row>
    <row r="33" spans="1:22">
      <c r="A33" s="21" t="s">
        <v>54</v>
      </c>
      <c r="B33" s="19">
        <f>IF(AND('Fuel Equipment'!B$44&gt;0,'Fuel Equipment'!B$45&gt;0),IF(AND($A33&gt;='Fuel Equipment'!B$17,$A33&lt;='Fuel Equipment'!B$18),('Fuel Equipment'!B$19*'Fuel Equipment'!B$20*'Fuel Equipment'!B$21)*('Fuel Equipment'!B$45-'Fuel Equipment'!B$44)*
(VLOOKUP(IF('Fuel Equipment'!B$22=Report!$A$25,Report!$A$19,'Fuel Equipment'!B$22),Report!$A$18:$L$34,'Actual-CO2 Calculations'!$AK36,FALSE)),0),0)</f>
        <v>0</v>
      </c>
      <c r="C33" s="19">
        <f>IF(AND('Fuel Equipment'!C$44&gt;0,'Fuel Equipment'!C$45&gt;0),IF(AND($A33&gt;='Fuel Equipment'!C$17,$A33&lt;='Fuel Equipment'!C$18),('Fuel Equipment'!C$19*'Fuel Equipment'!C$20*'Fuel Equipment'!C$21)*('Fuel Equipment'!C$45-'Fuel Equipment'!C$44)*
(VLOOKUP(IF('Fuel Equipment'!C$22=Report!$A$25,Report!$A$19,'Fuel Equipment'!C$22),Report!$A$18:$L$34,'Actual-CO2 Calculations'!$AK36,FALSE)),0),0)</f>
        <v>0</v>
      </c>
      <c r="D33" s="19">
        <f>IF(AND('Fuel Equipment'!D$44&gt;0,'Fuel Equipment'!D$45&gt;0),IF(AND($A33&gt;='Fuel Equipment'!D$17,$A33&lt;='Fuel Equipment'!D$18),('Fuel Equipment'!D$19*'Fuel Equipment'!D$20*'Fuel Equipment'!D$21)*('Fuel Equipment'!D$45-'Fuel Equipment'!D$44)*
(VLOOKUP(IF('Fuel Equipment'!D$22=Report!$A$25,Report!$A$19,'Fuel Equipment'!D$22),Report!$A$18:$L$34,'Actual-CO2 Calculations'!$AK36,FALSE)),0),0)</f>
        <v>0</v>
      </c>
      <c r="E33" s="19">
        <f>IF(AND('Fuel Equipment'!E$44&gt;0,'Fuel Equipment'!E$45&gt;0),IF(AND($A33&gt;='Fuel Equipment'!E$17,$A33&lt;='Fuel Equipment'!E$18),('Fuel Equipment'!E$19*'Fuel Equipment'!E$20*'Fuel Equipment'!E$21)*('Fuel Equipment'!E$45-'Fuel Equipment'!E$44)*
(VLOOKUP(IF('Fuel Equipment'!E$22=Report!$A$25,Report!$A$19,'Fuel Equipment'!E$22),Report!$A$18:$L$34,'Actual-CO2 Calculations'!$AK36,FALSE)),0),0)</f>
        <v>0</v>
      </c>
      <c r="F33" s="19">
        <f>IF(AND('Fuel Equipment'!F$44&gt;0,'Fuel Equipment'!F$45&gt;0),IF(AND($A33&gt;='Fuel Equipment'!F$17,$A33&lt;='Fuel Equipment'!F$18),('Fuel Equipment'!F$19*'Fuel Equipment'!F$20*'Fuel Equipment'!F$21)*('Fuel Equipment'!F$45-'Fuel Equipment'!F$44)*
(VLOOKUP(IF('Fuel Equipment'!F$22=Report!$A$25,Report!$A$19,'Fuel Equipment'!F$22),Report!$A$18:$L$34,'Actual-CO2 Calculations'!$AK36,FALSE)),0),0)</f>
        <v>0</v>
      </c>
      <c r="G33" s="19">
        <f>IF(AND('Fuel Equipment'!G$44&gt;0,'Fuel Equipment'!G$45&gt;0),IF(AND($A33&gt;='Fuel Equipment'!G$17,$A33&lt;='Fuel Equipment'!G$18),('Fuel Equipment'!G$19*'Fuel Equipment'!G$20*'Fuel Equipment'!G$21)*('Fuel Equipment'!G$45-'Fuel Equipment'!G$44)*
(VLOOKUP(IF('Fuel Equipment'!G$22=Report!$A$25,Report!$A$19,'Fuel Equipment'!G$22),Report!$A$18:$L$34,'Actual-CO2 Calculations'!$AK36,FALSE)),0),0)</f>
        <v>0</v>
      </c>
      <c r="H33" s="19">
        <f>IF(AND('Fuel Equipment'!H$44&gt;0,'Fuel Equipment'!H$45&gt;0),IF(AND($A33&gt;='Fuel Equipment'!H$17,$A33&lt;='Fuel Equipment'!H$18),('Fuel Equipment'!H$19*'Fuel Equipment'!H$20*'Fuel Equipment'!H$21)*('Fuel Equipment'!H$45-'Fuel Equipment'!H$44)*
(VLOOKUP(IF('Fuel Equipment'!H$22=Report!$A$25,Report!$A$19,'Fuel Equipment'!H$22),Report!$A$18:$L$34,'Actual-CO2 Calculations'!$AK36,FALSE)),0),0)</f>
        <v>0</v>
      </c>
      <c r="I33" s="19">
        <f>IF(AND('Fuel Equipment'!I$44&gt;0,'Fuel Equipment'!I$45&gt;0),IF(AND($A33&gt;='Fuel Equipment'!I$17,$A33&lt;='Fuel Equipment'!I$18),('Fuel Equipment'!I$19*'Fuel Equipment'!I$20*'Fuel Equipment'!I$21)*('Fuel Equipment'!I$45-'Fuel Equipment'!I$44)*
(VLOOKUP(IF('Fuel Equipment'!I$22=Report!$A$25,Report!$A$19,'Fuel Equipment'!I$22),Report!$A$18:$L$34,'Actual-CO2 Calculations'!$AK36,FALSE)),0),0)</f>
        <v>0</v>
      </c>
      <c r="J33" s="19">
        <f>IF(AND('Fuel Equipment'!J$44&gt;0,'Fuel Equipment'!J$45&gt;0),IF(AND($A33&gt;='Fuel Equipment'!J$17,$A33&lt;='Fuel Equipment'!J$18),('Fuel Equipment'!J$19*'Fuel Equipment'!J$20*'Fuel Equipment'!J$21)*('Fuel Equipment'!J$45-'Fuel Equipment'!J$44)*
(VLOOKUP(IF('Fuel Equipment'!J$22=Report!$A$25,Report!$A$19,'Fuel Equipment'!J$22),Report!$A$18:$L$34,'Actual-CO2 Calculations'!$AK36,FALSE)),0),0)</f>
        <v>0</v>
      </c>
      <c r="K33" s="19">
        <f>IF(AND('Fuel Equipment'!K$44&gt;0,'Fuel Equipment'!K$45&gt;0),IF(AND($A33&gt;='Fuel Equipment'!K$17,$A33&lt;='Fuel Equipment'!K$18),('Fuel Equipment'!K$19*'Fuel Equipment'!K$20*'Fuel Equipment'!K$21)*('Fuel Equipment'!K$45-'Fuel Equipment'!K$44)*
(VLOOKUP(IF('Fuel Equipment'!K$22=Report!$A$25,Report!$A$19,'Fuel Equipment'!K$22),Report!$A$18:$L$34,'Actual-CO2 Calculations'!$AK36,FALSE)),0),0)</f>
        <v>0</v>
      </c>
      <c r="L33" s="19">
        <f>IF(AND('Fuel Equipment'!L$44&gt;0,'Fuel Equipment'!L$45&gt;0),IF(AND($A33&gt;='Fuel Equipment'!L$17,$A33&lt;='Fuel Equipment'!L$18),('Fuel Equipment'!L$19*'Fuel Equipment'!L$20*'Fuel Equipment'!L$21)*('Fuel Equipment'!L$45-'Fuel Equipment'!L$44)*
(VLOOKUP(IF('Fuel Equipment'!L$22=Report!$A$25,Report!$A$19,'Fuel Equipment'!L$22),Report!$A$18:$L$34,'Actual-CO2 Calculations'!$AK36,FALSE)),0),0)</f>
        <v>0</v>
      </c>
      <c r="M33" s="19">
        <f>IF(AND('Fuel Equipment'!M$44&gt;0,'Fuel Equipment'!M$45&gt;0),IF(AND($A33&gt;='Fuel Equipment'!M$17,$A33&lt;='Fuel Equipment'!M$18),('Fuel Equipment'!M$19*'Fuel Equipment'!M$20*'Fuel Equipment'!M$21)*('Fuel Equipment'!M$45-'Fuel Equipment'!M$44)*
(VLOOKUP(IF('Fuel Equipment'!M$22=Report!$A$25,Report!$A$19,'Fuel Equipment'!M$22),Report!$A$18:$L$34,'Actual-CO2 Calculations'!$AK36,FALSE)),0),0)</f>
        <v>0</v>
      </c>
      <c r="N33" s="19">
        <f>IF(AND('Fuel Equipment'!N$44&gt;0,'Fuel Equipment'!N$45&gt;0),IF(AND($A33&gt;='Fuel Equipment'!N$17,$A33&lt;='Fuel Equipment'!N$18),('Fuel Equipment'!N$19*'Fuel Equipment'!N$20*'Fuel Equipment'!N$21)*('Fuel Equipment'!N$45-'Fuel Equipment'!N$44)*
(VLOOKUP(IF('Fuel Equipment'!N$22=Report!$A$25,Report!$A$19,'Fuel Equipment'!N$22),Report!$A$18:$L$34,'Actual-CO2 Calculations'!$AK36,FALSE)),0),0)</f>
        <v>0</v>
      </c>
      <c r="O33" s="19">
        <f>IF(AND('Fuel Equipment'!O$44&gt;0,'Fuel Equipment'!O$45&gt;0),IF(AND($A33&gt;='Fuel Equipment'!O$17,$A33&lt;='Fuel Equipment'!O$18),('Fuel Equipment'!O$19*'Fuel Equipment'!O$20*'Fuel Equipment'!O$21)*('Fuel Equipment'!O$45-'Fuel Equipment'!O$44)*
(VLOOKUP(IF('Fuel Equipment'!O$22=Report!$A$25,Report!$A$19,'Fuel Equipment'!O$22),Report!$A$18:$L$34,'Actual-CO2 Calculations'!$AK36,FALSE)),0),0)</f>
        <v>0</v>
      </c>
      <c r="P33" s="19">
        <f>IF(AND('Fuel Equipment'!P$44&gt;0,'Fuel Equipment'!P$45&gt;0),IF(AND($A33&gt;='Fuel Equipment'!P$17,$A33&lt;='Fuel Equipment'!P$18),('Fuel Equipment'!P$19*'Fuel Equipment'!P$20*'Fuel Equipment'!P$21)*('Fuel Equipment'!P$45-'Fuel Equipment'!P$44)*
(VLOOKUP(IF('Fuel Equipment'!P$22=Report!$A$25,Report!$A$19,'Fuel Equipment'!P$22),Report!$A$18:$L$34,'Actual-CO2 Calculations'!$AK36,FALSE)),0),0)</f>
        <v>0</v>
      </c>
      <c r="Q33" s="19">
        <f>IF(AND('Fuel Equipment'!Q$44&gt;0,'Fuel Equipment'!Q$45&gt;0),IF(AND($A33&gt;='Fuel Equipment'!Q$17,$A33&lt;='Fuel Equipment'!Q$18),('Fuel Equipment'!Q$19*'Fuel Equipment'!Q$20*'Fuel Equipment'!Q$21)*('Fuel Equipment'!Q$45-'Fuel Equipment'!Q$44)*
(VLOOKUP(IF('Fuel Equipment'!Q$22=Report!$A$25,Report!$A$19,'Fuel Equipment'!Q$22),Report!$A$18:$L$34,'Actual-CO2 Calculations'!$AK36,FALSE)),0),0)</f>
        <v>0</v>
      </c>
      <c r="R33" s="19">
        <f>IF(AND('Fuel Equipment'!R$44&gt;0,'Fuel Equipment'!R$45&gt;0),IF(AND($A33&gt;='Fuel Equipment'!R$17,$A33&lt;='Fuel Equipment'!R$18),('Fuel Equipment'!R$19*'Fuel Equipment'!R$20*'Fuel Equipment'!R$21)*('Fuel Equipment'!R$45-'Fuel Equipment'!R$44)*
(VLOOKUP(IF('Fuel Equipment'!R$22=Report!$A$25,Report!$A$19,'Fuel Equipment'!R$22),Report!$A$18:$L$34,'Actual-CO2 Calculations'!$AK36,FALSE)),0),0)</f>
        <v>0</v>
      </c>
      <c r="S33" s="19">
        <f>IF(AND('Fuel Equipment'!S$44&gt;0,'Fuel Equipment'!S$45&gt;0),IF(AND($A33&gt;='Fuel Equipment'!S$17,$A33&lt;='Fuel Equipment'!S$18),('Fuel Equipment'!S$19*'Fuel Equipment'!S$20*'Fuel Equipment'!S$21)*('Fuel Equipment'!S$45-'Fuel Equipment'!S$44)*
(VLOOKUP(IF('Fuel Equipment'!S$22=Report!$A$25,Report!$A$19,'Fuel Equipment'!S$22),Report!$A$18:$L$34,'Actual-CO2 Calculations'!$AK36,FALSE)),0),0)</f>
        <v>0</v>
      </c>
      <c r="V33" s="671">
        <f t="shared" si="0"/>
        <v>0</v>
      </c>
    </row>
    <row r="34" spans="1:22">
      <c r="A34" s="21" t="s">
        <v>55</v>
      </c>
      <c r="B34" s="19">
        <f>IF(AND('Fuel Equipment'!B$44&gt;0,'Fuel Equipment'!B$45&gt;0),IF(AND($A34&gt;='Fuel Equipment'!B$17,$A34&lt;='Fuel Equipment'!B$18),('Fuel Equipment'!B$19*'Fuel Equipment'!B$20*'Fuel Equipment'!B$21)*('Fuel Equipment'!B$45-'Fuel Equipment'!B$44)*
(VLOOKUP(IF('Fuel Equipment'!B$22=Report!$A$25,Report!$A$19,'Fuel Equipment'!B$22),Report!$A$18:$L$34,'Actual-CO2 Calculations'!$AK37,FALSE)),0),0)</f>
        <v>0</v>
      </c>
      <c r="C34" s="19">
        <f>IF(AND('Fuel Equipment'!C$44&gt;0,'Fuel Equipment'!C$45&gt;0),IF(AND($A34&gt;='Fuel Equipment'!C$17,$A34&lt;='Fuel Equipment'!C$18),('Fuel Equipment'!C$19*'Fuel Equipment'!C$20*'Fuel Equipment'!C$21)*('Fuel Equipment'!C$45-'Fuel Equipment'!C$44)*
(VLOOKUP(IF('Fuel Equipment'!C$22=Report!$A$25,Report!$A$19,'Fuel Equipment'!C$22),Report!$A$18:$L$34,'Actual-CO2 Calculations'!$AK37,FALSE)),0),0)</f>
        <v>0</v>
      </c>
      <c r="D34" s="19">
        <f>IF(AND('Fuel Equipment'!D$44&gt;0,'Fuel Equipment'!D$45&gt;0),IF(AND($A34&gt;='Fuel Equipment'!D$17,$A34&lt;='Fuel Equipment'!D$18),('Fuel Equipment'!D$19*'Fuel Equipment'!D$20*'Fuel Equipment'!D$21)*('Fuel Equipment'!D$45-'Fuel Equipment'!D$44)*
(VLOOKUP(IF('Fuel Equipment'!D$22=Report!$A$25,Report!$A$19,'Fuel Equipment'!D$22),Report!$A$18:$L$34,'Actual-CO2 Calculations'!$AK37,FALSE)),0),0)</f>
        <v>0</v>
      </c>
      <c r="E34" s="19">
        <f>IF(AND('Fuel Equipment'!E$44&gt;0,'Fuel Equipment'!E$45&gt;0),IF(AND($A34&gt;='Fuel Equipment'!E$17,$A34&lt;='Fuel Equipment'!E$18),('Fuel Equipment'!E$19*'Fuel Equipment'!E$20*'Fuel Equipment'!E$21)*('Fuel Equipment'!E$45-'Fuel Equipment'!E$44)*
(VLOOKUP(IF('Fuel Equipment'!E$22=Report!$A$25,Report!$A$19,'Fuel Equipment'!E$22),Report!$A$18:$L$34,'Actual-CO2 Calculations'!$AK37,FALSE)),0),0)</f>
        <v>0</v>
      </c>
      <c r="F34" s="19">
        <f>IF(AND('Fuel Equipment'!F$44&gt;0,'Fuel Equipment'!F$45&gt;0),IF(AND($A34&gt;='Fuel Equipment'!F$17,$A34&lt;='Fuel Equipment'!F$18),('Fuel Equipment'!F$19*'Fuel Equipment'!F$20*'Fuel Equipment'!F$21)*('Fuel Equipment'!F$45-'Fuel Equipment'!F$44)*
(VLOOKUP(IF('Fuel Equipment'!F$22=Report!$A$25,Report!$A$19,'Fuel Equipment'!F$22),Report!$A$18:$L$34,'Actual-CO2 Calculations'!$AK37,FALSE)),0),0)</f>
        <v>0</v>
      </c>
      <c r="G34" s="19">
        <f>IF(AND('Fuel Equipment'!G$44&gt;0,'Fuel Equipment'!G$45&gt;0),IF(AND($A34&gt;='Fuel Equipment'!G$17,$A34&lt;='Fuel Equipment'!G$18),('Fuel Equipment'!G$19*'Fuel Equipment'!G$20*'Fuel Equipment'!G$21)*('Fuel Equipment'!G$45-'Fuel Equipment'!G$44)*
(VLOOKUP(IF('Fuel Equipment'!G$22=Report!$A$25,Report!$A$19,'Fuel Equipment'!G$22),Report!$A$18:$L$34,'Actual-CO2 Calculations'!$AK37,FALSE)),0),0)</f>
        <v>0</v>
      </c>
      <c r="H34" s="19">
        <f>IF(AND('Fuel Equipment'!H$44&gt;0,'Fuel Equipment'!H$45&gt;0),IF(AND($A34&gt;='Fuel Equipment'!H$17,$A34&lt;='Fuel Equipment'!H$18),('Fuel Equipment'!H$19*'Fuel Equipment'!H$20*'Fuel Equipment'!H$21)*('Fuel Equipment'!H$45-'Fuel Equipment'!H$44)*
(VLOOKUP(IF('Fuel Equipment'!H$22=Report!$A$25,Report!$A$19,'Fuel Equipment'!H$22),Report!$A$18:$L$34,'Actual-CO2 Calculations'!$AK37,FALSE)),0),0)</f>
        <v>0</v>
      </c>
      <c r="I34" s="19">
        <f>IF(AND('Fuel Equipment'!I$44&gt;0,'Fuel Equipment'!I$45&gt;0),IF(AND($A34&gt;='Fuel Equipment'!I$17,$A34&lt;='Fuel Equipment'!I$18),('Fuel Equipment'!I$19*'Fuel Equipment'!I$20*'Fuel Equipment'!I$21)*('Fuel Equipment'!I$45-'Fuel Equipment'!I$44)*
(VLOOKUP(IF('Fuel Equipment'!I$22=Report!$A$25,Report!$A$19,'Fuel Equipment'!I$22),Report!$A$18:$L$34,'Actual-CO2 Calculations'!$AK37,FALSE)),0),0)</f>
        <v>0</v>
      </c>
      <c r="J34" s="19">
        <f>IF(AND('Fuel Equipment'!J$44&gt;0,'Fuel Equipment'!J$45&gt;0),IF(AND($A34&gt;='Fuel Equipment'!J$17,$A34&lt;='Fuel Equipment'!J$18),('Fuel Equipment'!J$19*'Fuel Equipment'!J$20*'Fuel Equipment'!J$21)*('Fuel Equipment'!J$45-'Fuel Equipment'!J$44)*
(VLOOKUP(IF('Fuel Equipment'!J$22=Report!$A$25,Report!$A$19,'Fuel Equipment'!J$22),Report!$A$18:$L$34,'Actual-CO2 Calculations'!$AK37,FALSE)),0),0)</f>
        <v>0</v>
      </c>
      <c r="K34" s="19">
        <f>IF(AND('Fuel Equipment'!K$44&gt;0,'Fuel Equipment'!K$45&gt;0),IF(AND($A34&gt;='Fuel Equipment'!K$17,$A34&lt;='Fuel Equipment'!K$18),('Fuel Equipment'!K$19*'Fuel Equipment'!K$20*'Fuel Equipment'!K$21)*('Fuel Equipment'!K$45-'Fuel Equipment'!K$44)*
(VLOOKUP(IF('Fuel Equipment'!K$22=Report!$A$25,Report!$A$19,'Fuel Equipment'!K$22),Report!$A$18:$L$34,'Actual-CO2 Calculations'!$AK37,FALSE)),0),0)</f>
        <v>0</v>
      </c>
      <c r="L34" s="19">
        <f>IF(AND('Fuel Equipment'!L$44&gt;0,'Fuel Equipment'!L$45&gt;0),IF(AND($A34&gt;='Fuel Equipment'!L$17,$A34&lt;='Fuel Equipment'!L$18),('Fuel Equipment'!L$19*'Fuel Equipment'!L$20*'Fuel Equipment'!L$21)*('Fuel Equipment'!L$45-'Fuel Equipment'!L$44)*
(VLOOKUP(IF('Fuel Equipment'!L$22=Report!$A$25,Report!$A$19,'Fuel Equipment'!L$22),Report!$A$18:$L$34,'Actual-CO2 Calculations'!$AK37,FALSE)),0),0)</f>
        <v>0</v>
      </c>
      <c r="M34" s="19">
        <f>IF(AND('Fuel Equipment'!M$44&gt;0,'Fuel Equipment'!M$45&gt;0),IF(AND($A34&gt;='Fuel Equipment'!M$17,$A34&lt;='Fuel Equipment'!M$18),('Fuel Equipment'!M$19*'Fuel Equipment'!M$20*'Fuel Equipment'!M$21)*('Fuel Equipment'!M$45-'Fuel Equipment'!M$44)*
(VLOOKUP(IF('Fuel Equipment'!M$22=Report!$A$25,Report!$A$19,'Fuel Equipment'!M$22),Report!$A$18:$L$34,'Actual-CO2 Calculations'!$AK37,FALSE)),0),0)</f>
        <v>0</v>
      </c>
      <c r="N34" s="19">
        <f>IF(AND('Fuel Equipment'!N$44&gt;0,'Fuel Equipment'!N$45&gt;0),IF(AND($A34&gt;='Fuel Equipment'!N$17,$A34&lt;='Fuel Equipment'!N$18),('Fuel Equipment'!N$19*'Fuel Equipment'!N$20*'Fuel Equipment'!N$21)*('Fuel Equipment'!N$45-'Fuel Equipment'!N$44)*
(VLOOKUP(IF('Fuel Equipment'!N$22=Report!$A$25,Report!$A$19,'Fuel Equipment'!N$22),Report!$A$18:$L$34,'Actual-CO2 Calculations'!$AK37,FALSE)),0),0)</f>
        <v>0</v>
      </c>
      <c r="O34" s="19">
        <f>IF(AND('Fuel Equipment'!O$44&gt;0,'Fuel Equipment'!O$45&gt;0),IF(AND($A34&gt;='Fuel Equipment'!O$17,$A34&lt;='Fuel Equipment'!O$18),('Fuel Equipment'!O$19*'Fuel Equipment'!O$20*'Fuel Equipment'!O$21)*('Fuel Equipment'!O$45-'Fuel Equipment'!O$44)*
(VLOOKUP(IF('Fuel Equipment'!O$22=Report!$A$25,Report!$A$19,'Fuel Equipment'!O$22),Report!$A$18:$L$34,'Actual-CO2 Calculations'!$AK37,FALSE)),0),0)</f>
        <v>0</v>
      </c>
      <c r="P34" s="19">
        <f>IF(AND('Fuel Equipment'!P$44&gt;0,'Fuel Equipment'!P$45&gt;0),IF(AND($A34&gt;='Fuel Equipment'!P$17,$A34&lt;='Fuel Equipment'!P$18),('Fuel Equipment'!P$19*'Fuel Equipment'!P$20*'Fuel Equipment'!P$21)*('Fuel Equipment'!P$45-'Fuel Equipment'!P$44)*
(VLOOKUP(IF('Fuel Equipment'!P$22=Report!$A$25,Report!$A$19,'Fuel Equipment'!P$22),Report!$A$18:$L$34,'Actual-CO2 Calculations'!$AK37,FALSE)),0),0)</f>
        <v>0</v>
      </c>
      <c r="Q34" s="19">
        <f>IF(AND('Fuel Equipment'!Q$44&gt;0,'Fuel Equipment'!Q$45&gt;0),IF(AND($A34&gt;='Fuel Equipment'!Q$17,$A34&lt;='Fuel Equipment'!Q$18),('Fuel Equipment'!Q$19*'Fuel Equipment'!Q$20*'Fuel Equipment'!Q$21)*('Fuel Equipment'!Q$45-'Fuel Equipment'!Q$44)*
(VLOOKUP(IF('Fuel Equipment'!Q$22=Report!$A$25,Report!$A$19,'Fuel Equipment'!Q$22),Report!$A$18:$L$34,'Actual-CO2 Calculations'!$AK37,FALSE)),0),0)</f>
        <v>0</v>
      </c>
      <c r="R34" s="19">
        <f>IF(AND('Fuel Equipment'!R$44&gt;0,'Fuel Equipment'!R$45&gt;0),IF(AND($A34&gt;='Fuel Equipment'!R$17,$A34&lt;='Fuel Equipment'!R$18),('Fuel Equipment'!R$19*'Fuel Equipment'!R$20*'Fuel Equipment'!R$21)*('Fuel Equipment'!R$45-'Fuel Equipment'!R$44)*
(VLOOKUP(IF('Fuel Equipment'!R$22=Report!$A$25,Report!$A$19,'Fuel Equipment'!R$22),Report!$A$18:$L$34,'Actual-CO2 Calculations'!$AK37,FALSE)),0),0)</f>
        <v>0</v>
      </c>
      <c r="S34" s="19">
        <f>IF(AND('Fuel Equipment'!S$44&gt;0,'Fuel Equipment'!S$45&gt;0),IF(AND($A34&gt;='Fuel Equipment'!S$17,$A34&lt;='Fuel Equipment'!S$18),('Fuel Equipment'!S$19*'Fuel Equipment'!S$20*'Fuel Equipment'!S$21)*('Fuel Equipment'!S$45-'Fuel Equipment'!S$44)*
(VLOOKUP(IF('Fuel Equipment'!S$22=Report!$A$25,Report!$A$19,'Fuel Equipment'!S$22),Report!$A$18:$L$34,'Actual-CO2 Calculations'!$AK37,FALSE)),0),0)</f>
        <v>0</v>
      </c>
      <c r="V34" s="671">
        <f t="shared" si="0"/>
        <v>0</v>
      </c>
    </row>
    <row r="35" spans="1:22">
      <c r="A35" s="21" t="s">
        <v>56</v>
      </c>
      <c r="B35" s="19">
        <f>IF(AND('Fuel Equipment'!B$44&gt;0,'Fuel Equipment'!B$45&gt;0),IF(AND($A35&gt;='Fuel Equipment'!B$17,$A35&lt;='Fuel Equipment'!B$18),('Fuel Equipment'!B$19*'Fuel Equipment'!B$20*'Fuel Equipment'!B$21)*('Fuel Equipment'!B$45-'Fuel Equipment'!B$44)*
(VLOOKUP(IF('Fuel Equipment'!B$22=Report!$A$25,Report!$A$19,'Fuel Equipment'!B$22),Report!$A$18:$L$34,'Actual-CO2 Calculations'!$AK38,FALSE)),0),0)</f>
        <v>0</v>
      </c>
      <c r="C35" s="19">
        <f>IF(AND('Fuel Equipment'!C$44&gt;0,'Fuel Equipment'!C$45&gt;0),IF(AND($A35&gt;='Fuel Equipment'!C$17,$A35&lt;='Fuel Equipment'!C$18),('Fuel Equipment'!C$19*'Fuel Equipment'!C$20*'Fuel Equipment'!C$21)*('Fuel Equipment'!C$45-'Fuel Equipment'!C$44)*
(VLOOKUP(IF('Fuel Equipment'!C$22=Report!$A$25,Report!$A$19,'Fuel Equipment'!C$22),Report!$A$18:$L$34,'Actual-CO2 Calculations'!$AK38,FALSE)),0),0)</f>
        <v>0</v>
      </c>
      <c r="D35" s="19">
        <f>IF(AND('Fuel Equipment'!D$44&gt;0,'Fuel Equipment'!D$45&gt;0),IF(AND($A35&gt;='Fuel Equipment'!D$17,$A35&lt;='Fuel Equipment'!D$18),('Fuel Equipment'!D$19*'Fuel Equipment'!D$20*'Fuel Equipment'!D$21)*('Fuel Equipment'!D$45-'Fuel Equipment'!D$44)*
(VLOOKUP(IF('Fuel Equipment'!D$22=Report!$A$25,Report!$A$19,'Fuel Equipment'!D$22),Report!$A$18:$L$34,'Actual-CO2 Calculations'!$AK38,FALSE)),0),0)</f>
        <v>0</v>
      </c>
      <c r="E35" s="19">
        <f>IF(AND('Fuel Equipment'!E$44&gt;0,'Fuel Equipment'!E$45&gt;0),IF(AND($A35&gt;='Fuel Equipment'!E$17,$A35&lt;='Fuel Equipment'!E$18),('Fuel Equipment'!E$19*'Fuel Equipment'!E$20*'Fuel Equipment'!E$21)*('Fuel Equipment'!E$45-'Fuel Equipment'!E$44)*
(VLOOKUP(IF('Fuel Equipment'!E$22=Report!$A$25,Report!$A$19,'Fuel Equipment'!E$22),Report!$A$18:$L$34,'Actual-CO2 Calculations'!$AK38,FALSE)),0),0)</f>
        <v>0</v>
      </c>
      <c r="F35" s="19">
        <f>IF(AND('Fuel Equipment'!F$44&gt;0,'Fuel Equipment'!F$45&gt;0),IF(AND($A35&gt;='Fuel Equipment'!F$17,$A35&lt;='Fuel Equipment'!F$18),('Fuel Equipment'!F$19*'Fuel Equipment'!F$20*'Fuel Equipment'!F$21)*('Fuel Equipment'!F$45-'Fuel Equipment'!F$44)*
(VLOOKUP(IF('Fuel Equipment'!F$22=Report!$A$25,Report!$A$19,'Fuel Equipment'!F$22),Report!$A$18:$L$34,'Actual-CO2 Calculations'!$AK38,FALSE)),0),0)</f>
        <v>0</v>
      </c>
      <c r="G35" s="19">
        <f>IF(AND('Fuel Equipment'!G$44&gt;0,'Fuel Equipment'!G$45&gt;0),IF(AND($A35&gt;='Fuel Equipment'!G$17,$A35&lt;='Fuel Equipment'!G$18),('Fuel Equipment'!G$19*'Fuel Equipment'!G$20*'Fuel Equipment'!G$21)*('Fuel Equipment'!G$45-'Fuel Equipment'!G$44)*
(VLOOKUP(IF('Fuel Equipment'!G$22=Report!$A$25,Report!$A$19,'Fuel Equipment'!G$22),Report!$A$18:$L$34,'Actual-CO2 Calculations'!$AK38,FALSE)),0),0)</f>
        <v>0</v>
      </c>
      <c r="H35" s="19">
        <f>IF(AND('Fuel Equipment'!H$44&gt;0,'Fuel Equipment'!H$45&gt;0),IF(AND($A35&gt;='Fuel Equipment'!H$17,$A35&lt;='Fuel Equipment'!H$18),('Fuel Equipment'!H$19*'Fuel Equipment'!H$20*'Fuel Equipment'!H$21)*('Fuel Equipment'!H$45-'Fuel Equipment'!H$44)*
(VLOOKUP(IF('Fuel Equipment'!H$22=Report!$A$25,Report!$A$19,'Fuel Equipment'!H$22),Report!$A$18:$L$34,'Actual-CO2 Calculations'!$AK38,FALSE)),0),0)</f>
        <v>0</v>
      </c>
      <c r="I35" s="19">
        <f>IF(AND('Fuel Equipment'!I$44&gt;0,'Fuel Equipment'!I$45&gt;0),IF(AND($A35&gt;='Fuel Equipment'!I$17,$A35&lt;='Fuel Equipment'!I$18),('Fuel Equipment'!I$19*'Fuel Equipment'!I$20*'Fuel Equipment'!I$21)*('Fuel Equipment'!I$45-'Fuel Equipment'!I$44)*
(VLOOKUP(IF('Fuel Equipment'!I$22=Report!$A$25,Report!$A$19,'Fuel Equipment'!I$22),Report!$A$18:$L$34,'Actual-CO2 Calculations'!$AK38,FALSE)),0),0)</f>
        <v>0</v>
      </c>
      <c r="J35" s="19">
        <f>IF(AND('Fuel Equipment'!J$44&gt;0,'Fuel Equipment'!J$45&gt;0),IF(AND($A35&gt;='Fuel Equipment'!J$17,$A35&lt;='Fuel Equipment'!J$18),('Fuel Equipment'!J$19*'Fuel Equipment'!J$20*'Fuel Equipment'!J$21)*('Fuel Equipment'!J$45-'Fuel Equipment'!J$44)*
(VLOOKUP(IF('Fuel Equipment'!J$22=Report!$A$25,Report!$A$19,'Fuel Equipment'!J$22),Report!$A$18:$L$34,'Actual-CO2 Calculations'!$AK38,FALSE)),0),0)</f>
        <v>0</v>
      </c>
      <c r="K35" s="19">
        <f>IF(AND('Fuel Equipment'!K$44&gt;0,'Fuel Equipment'!K$45&gt;0),IF(AND($A35&gt;='Fuel Equipment'!K$17,$A35&lt;='Fuel Equipment'!K$18),('Fuel Equipment'!K$19*'Fuel Equipment'!K$20*'Fuel Equipment'!K$21)*('Fuel Equipment'!K$45-'Fuel Equipment'!K$44)*
(VLOOKUP(IF('Fuel Equipment'!K$22=Report!$A$25,Report!$A$19,'Fuel Equipment'!K$22),Report!$A$18:$L$34,'Actual-CO2 Calculations'!$AK38,FALSE)),0),0)</f>
        <v>0</v>
      </c>
      <c r="L35" s="19">
        <f>IF(AND('Fuel Equipment'!L$44&gt;0,'Fuel Equipment'!L$45&gt;0),IF(AND($A35&gt;='Fuel Equipment'!L$17,$A35&lt;='Fuel Equipment'!L$18),('Fuel Equipment'!L$19*'Fuel Equipment'!L$20*'Fuel Equipment'!L$21)*('Fuel Equipment'!L$45-'Fuel Equipment'!L$44)*
(VLOOKUP(IF('Fuel Equipment'!L$22=Report!$A$25,Report!$A$19,'Fuel Equipment'!L$22),Report!$A$18:$L$34,'Actual-CO2 Calculations'!$AK38,FALSE)),0),0)</f>
        <v>0</v>
      </c>
      <c r="M35" s="19">
        <f>IF(AND('Fuel Equipment'!M$44&gt;0,'Fuel Equipment'!M$45&gt;0),IF(AND($A35&gt;='Fuel Equipment'!M$17,$A35&lt;='Fuel Equipment'!M$18),('Fuel Equipment'!M$19*'Fuel Equipment'!M$20*'Fuel Equipment'!M$21)*('Fuel Equipment'!M$45-'Fuel Equipment'!M$44)*
(VLOOKUP(IF('Fuel Equipment'!M$22=Report!$A$25,Report!$A$19,'Fuel Equipment'!M$22),Report!$A$18:$L$34,'Actual-CO2 Calculations'!$AK38,FALSE)),0),0)</f>
        <v>0</v>
      </c>
      <c r="N35" s="19">
        <f>IF(AND('Fuel Equipment'!N$44&gt;0,'Fuel Equipment'!N$45&gt;0),IF(AND($A35&gt;='Fuel Equipment'!N$17,$A35&lt;='Fuel Equipment'!N$18),('Fuel Equipment'!N$19*'Fuel Equipment'!N$20*'Fuel Equipment'!N$21)*('Fuel Equipment'!N$45-'Fuel Equipment'!N$44)*
(VLOOKUP(IF('Fuel Equipment'!N$22=Report!$A$25,Report!$A$19,'Fuel Equipment'!N$22),Report!$A$18:$L$34,'Actual-CO2 Calculations'!$AK38,FALSE)),0),0)</f>
        <v>0</v>
      </c>
      <c r="O35" s="19">
        <f>IF(AND('Fuel Equipment'!O$44&gt;0,'Fuel Equipment'!O$45&gt;0),IF(AND($A35&gt;='Fuel Equipment'!O$17,$A35&lt;='Fuel Equipment'!O$18),('Fuel Equipment'!O$19*'Fuel Equipment'!O$20*'Fuel Equipment'!O$21)*('Fuel Equipment'!O$45-'Fuel Equipment'!O$44)*
(VLOOKUP(IF('Fuel Equipment'!O$22=Report!$A$25,Report!$A$19,'Fuel Equipment'!O$22),Report!$A$18:$L$34,'Actual-CO2 Calculations'!$AK38,FALSE)),0),0)</f>
        <v>0</v>
      </c>
      <c r="P35" s="19">
        <f>IF(AND('Fuel Equipment'!P$44&gt;0,'Fuel Equipment'!P$45&gt;0),IF(AND($A35&gt;='Fuel Equipment'!P$17,$A35&lt;='Fuel Equipment'!P$18),('Fuel Equipment'!P$19*'Fuel Equipment'!P$20*'Fuel Equipment'!P$21)*('Fuel Equipment'!P$45-'Fuel Equipment'!P$44)*
(VLOOKUP(IF('Fuel Equipment'!P$22=Report!$A$25,Report!$A$19,'Fuel Equipment'!P$22),Report!$A$18:$L$34,'Actual-CO2 Calculations'!$AK38,FALSE)),0),0)</f>
        <v>0</v>
      </c>
      <c r="Q35" s="19">
        <f>IF(AND('Fuel Equipment'!Q$44&gt;0,'Fuel Equipment'!Q$45&gt;0),IF(AND($A35&gt;='Fuel Equipment'!Q$17,$A35&lt;='Fuel Equipment'!Q$18),('Fuel Equipment'!Q$19*'Fuel Equipment'!Q$20*'Fuel Equipment'!Q$21)*('Fuel Equipment'!Q$45-'Fuel Equipment'!Q$44)*
(VLOOKUP(IF('Fuel Equipment'!Q$22=Report!$A$25,Report!$A$19,'Fuel Equipment'!Q$22),Report!$A$18:$L$34,'Actual-CO2 Calculations'!$AK38,FALSE)),0),0)</f>
        <v>0</v>
      </c>
      <c r="R35" s="19">
        <f>IF(AND('Fuel Equipment'!R$44&gt;0,'Fuel Equipment'!R$45&gt;0),IF(AND($A35&gt;='Fuel Equipment'!R$17,$A35&lt;='Fuel Equipment'!R$18),('Fuel Equipment'!R$19*'Fuel Equipment'!R$20*'Fuel Equipment'!R$21)*('Fuel Equipment'!R$45-'Fuel Equipment'!R$44)*
(VLOOKUP(IF('Fuel Equipment'!R$22=Report!$A$25,Report!$A$19,'Fuel Equipment'!R$22),Report!$A$18:$L$34,'Actual-CO2 Calculations'!$AK38,FALSE)),0),0)</f>
        <v>0</v>
      </c>
      <c r="S35" s="19">
        <f>IF(AND('Fuel Equipment'!S$44&gt;0,'Fuel Equipment'!S$45&gt;0),IF(AND($A35&gt;='Fuel Equipment'!S$17,$A35&lt;='Fuel Equipment'!S$18),('Fuel Equipment'!S$19*'Fuel Equipment'!S$20*'Fuel Equipment'!S$21)*('Fuel Equipment'!S$45-'Fuel Equipment'!S$44)*
(VLOOKUP(IF('Fuel Equipment'!S$22=Report!$A$25,Report!$A$19,'Fuel Equipment'!S$22),Report!$A$18:$L$34,'Actual-CO2 Calculations'!$AK38,FALSE)),0),0)</f>
        <v>0</v>
      </c>
      <c r="V35" s="671">
        <f t="shared" si="0"/>
        <v>0</v>
      </c>
    </row>
    <row r="36" spans="1:22">
      <c r="A36" s="21" t="s">
        <v>57</v>
      </c>
      <c r="B36" s="19">
        <f>IF(AND('Fuel Equipment'!B$44&gt;0,'Fuel Equipment'!B$45&gt;0),IF(AND($A36&gt;='Fuel Equipment'!B$17,$A36&lt;='Fuel Equipment'!B$18),('Fuel Equipment'!B$19*'Fuel Equipment'!B$20*'Fuel Equipment'!B$21)*('Fuel Equipment'!B$45-'Fuel Equipment'!B$44)*
(VLOOKUP(IF('Fuel Equipment'!B$22=Report!$A$25,Report!$A$19,'Fuel Equipment'!B$22),Report!$A$18:$L$34,'Actual-CO2 Calculations'!$AK39,FALSE)),0),0)</f>
        <v>0</v>
      </c>
      <c r="C36" s="19">
        <f>IF(AND('Fuel Equipment'!C$44&gt;0,'Fuel Equipment'!C$45&gt;0),IF(AND($A36&gt;='Fuel Equipment'!C$17,$A36&lt;='Fuel Equipment'!C$18),('Fuel Equipment'!C$19*'Fuel Equipment'!C$20*'Fuel Equipment'!C$21)*('Fuel Equipment'!C$45-'Fuel Equipment'!C$44)*
(VLOOKUP(IF('Fuel Equipment'!C$22=Report!$A$25,Report!$A$19,'Fuel Equipment'!C$22),Report!$A$18:$L$34,'Actual-CO2 Calculations'!$AK39,FALSE)),0),0)</f>
        <v>0</v>
      </c>
      <c r="D36" s="19">
        <f>IF(AND('Fuel Equipment'!D$44&gt;0,'Fuel Equipment'!D$45&gt;0),IF(AND($A36&gt;='Fuel Equipment'!D$17,$A36&lt;='Fuel Equipment'!D$18),('Fuel Equipment'!D$19*'Fuel Equipment'!D$20*'Fuel Equipment'!D$21)*('Fuel Equipment'!D$45-'Fuel Equipment'!D$44)*
(VLOOKUP(IF('Fuel Equipment'!D$22=Report!$A$25,Report!$A$19,'Fuel Equipment'!D$22),Report!$A$18:$L$34,'Actual-CO2 Calculations'!$AK39,FALSE)),0),0)</f>
        <v>0</v>
      </c>
      <c r="E36" s="19">
        <f>IF(AND('Fuel Equipment'!E$44&gt;0,'Fuel Equipment'!E$45&gt;0),IF(AND($A36&gt;='Fuel Equipment'!E$17,$A36&lt;='Fuel Equipment'!E$18),('Fuel Equipment'!E$19*'Fuel Equipment'!E$20*'Fuel Equipment'!E$21)*('Fuel Equipment'!E$45-'Fuel Equipment'!E$44)*
(VLOOKUP(IF('Fuel Equipment'!E$22=Report!$A$25,Report!$A$19,'Fuel Equipment'!E$22),Report!$A$18:$L$34,'Actual-CO2 Calculations'!$AK39,FALSE)),0),0)</f>
        <v>0</v>
      </c>
      <c r="F36" s="19">
        <f>IF(AND('Fuel Equipment'!F$44&gt;0,'Fuel Equipment'!F$45&gt;0),IF(AND($A36&gt;='Fuel Equipment'!F$17,$A36&lt;='Fuel Equipment'!F$18),('Fuel Equipment'!F$19*'Fuel Equipment'!F$20*'Fuel Equipment'!F$21)*('Fuel Equipment'!F$45-'Fuel Equipment'!F$44)*
(VLOOKUP(IF('Fuel Equipment'!F$22=Report!$A$25,Report!$A$19,'Fuel Equipment'!F$22),Report!$A$18:$L$34,'Actual-CO2 Calculations'!$AK39,FALSE)),0),0)</f>
        <v>0</v>
      </c>
      <c r="G36" s="19">
        <f>IF(AND('Fuel Equipment'!G$44&gt;0,'Fuel Equipment'!G$45&gt;0),IF(AND($A36&gt;='Fuel Equipment'!G$17,$A36&lt;='Fuel Equipment'!G$18),('Fuel Equipment'!G$19*'Fuel Equipment'!G$20*'Fuel Equipment'!G$21)*('Fuel Equipment'!G$45-'Fuel Equipment'!G$44)*
(VLOOKUP(IF('Fuel Equipment'!G$22=Report!$A$25,Report!$A$19,'Fuel Equipment'!G$22),Report!$A$18:$L$34,'Actual-CO2 Calculations'!$AK39,FALSE)),0),0)</f>
        <v>0</v>
      </c>
      <c r="H36" s="19">
        <f>IF(AND('Fuel Equipment'!H$44&gt;0,'Fuel Equipment'!H$45&gt;0),IF(AND($A36&gt;='Fuel Equipment'!H$17,$A36&lt;='Fuel Equipment'!H$18),('Fuel Equipment'!H$19*'Fuel Equipment'!H$20*'Fuel Equipment'!H$21)*('Fuel Equipment'!H$45-'Fuel Equipment'!H$44)*
(VLOOKUP(IF('Fuel Equipment'!H$22=Report!$A$25,Report!$A$19,'Fuel Equipment'!H$22),Report!$A$18:$L$34,'Actual-CO2 Calculations'!$AK39,FALSE)),0),0)</f>
        <v>0</v>
      </c>
      <c r="I36" s="19">
        <f>IF(AND('Fuel Equipment'!I$44&gt;0,'Fuel Equipment'!I$45&gt;0),IF(AND($A36&gt;='Fuel Equipment'!I$17,$A36&lt;='Fuel Equipment'!I$18),('Fuel Equipment'!I$19*'Fuel Equipment'!I$20*'Fuel Equipment'!I$21)*('Fuel Equipment'!I$45-'Fuel Equipment'!I$44)*
(VLOOKUP(IF('Fuel Equipment'!I$22=Report!$A$25,Report!$A$19,'Fuel Equipment'!I$22),Report!$A$18:$L$34,'Actual-CO2 Calculations'!$AK39,FALSE)),0),0)</f>
        <v>0</v>
      </c>
      <c r="J36" s="19">
        <f>IF(AND('Fuel Equipment'!J$44&gt;0,'Fuel Equipment'!J$45&gt;0),IF(AND($A36&gt;='Fuel Equipment'!J$17,$A36&lt;='Fuel Equipment'!J$18),('Fuel Equipment'!J$19*'Fuel Equipment'!J$20*'Fuel Equipment'!J$21)*('Fuel Equipment'!J$45-'Fuel Equipment'!J$44)*
(VLOOKUP(IF('Fuel Equipment'!J$22=Report!$A$25,Report!$A$19,'Fuel Equipment'!J$22),Report!$A$18:$L$34,'Actual-CO2 Calculations'!$AK39,FALSE)),0),0)</f>
        <v>0</v>
      </c>
      <c r="K36" s="19">
        <f>IF(AND('Fuel Equipment'!K$44&gt;0,'Fuel Equipment'!K$45&gt;0),IF(AND($A36&gt;='Fuel Equipment'!K$17,$A36&lt;='Fuel Equipment'!K$18),('Fuel Equipment'!K$19*'Fuel Equipment'!K$20*'Fuel Equipment'!K$21)*('Fuel Equipment'!K$45-'Fuel Equipment'!K$44)*
(VLOOKUP(IF('Fuel Equipment'!K$22=Report!$A$25,Report!$A$19,'Fuel Equipment'!K$22),Report!$A$18:$L$34,'Actual-CO2 Calculations'!$AK39,FALSE)),0),0)</f>
        <v>0</v>
      </c>
      <c r="L36" s="19">
        <f>IF(AND('Fuel Equipment'!L$44&gt;0,'Fuel Equipment'!L$45&gt;0),IF(AND($A36&gt;='Fuel Equipment'!L$17,$A36&lt;='Fuel Equipment'!L$18),('Fuel Equipment'!L$19*'Fuel Equipment'!L$20*'Fuel Equipment'!L$21)*('Fuel Equipment'!L$45-'Fuel Equipment'!L$44)*
(VLOOKUP(IF('Fuel Equipment'!L$22=Report!$A$25,Report!$A$19,'Fuel Equipment'!L$22),Report!$A$18:$L$34,'Actual-CO2 Calculations'!$AK39,FALSE)),0),0)</f>
        <v>0</v>
      </c>
      <c r="M36" s="19">
        <f>IF(AND('Fuel Equipment'!M$44&gt;0,'Fuel Equipment'!M$45&gt;0),IF(AND($A36&gt;='Fuel Equipment'!M$17,$A36&lt;='Fuel Equipment'!M$18),('Fuel Equipment'!M$19*'Fuel Equipment'!M$20*'Fuel Equipment'!M$21)*('Fuel Equipment'!M$45-'Fuel Equipment'!M$44)*
(VLOOKUP(IF('Fuel Equipment'!M$22=Report!$A$25,Report!$A$19,'Fuel Equipment'!M$22),Report!$A$18:$L$34,'Actual-CO2 Calculations'!$AK39,FALSE)),0),0)</f>
        <v>0</v>
      </c>
      <c r="N36" s="19">
        <f>IF(AND('Fuel Equipment'!N$44&gt;0,'Fuel Equipment'!N$45&gt;0),IF(AND($A36&gt;='Fuel Equipment'!N$17,$A36&lt;='Fuel Equipment'!N$18),('Fuel Equipment'!N$19*'Fuel Equipment'!N$20*'Fuel Equipment'!N$21)*('Fuel Equipment'!N$45-'Fuel Equipment'!N$44)*
(VLOOKUP(IF('Fuel Equipment'!N$22=Report!$A$25,Report!$A$19,'Fuel Equipment'!N$22),Report!$A$18:$L$34,'Actual-CO2 Calculations'!$AK39,FALSE)),0),0)</f>
        <v>0</v>
      </c>
      <c r="O36" s="19">
        <f>IF(AND('Fuel Equipment'!O$44&gt;0,'Fuel Equipment'!O$45&gt;0),IF(AND($A36&gt;='Fuel Equipment'!O$17,$A36&lt;='Fuel Equipment'!O$18),('Fuel Equipment'!O$19*'Fuel Equipment'!O$20*'Fuel Equipment'!O$21)*('Fuel Equipment'!O$45-'Fuel Equipment'!O$44)*
(VLOOKUP(IF('Fuel Equipment'!O$22=Report!$A$25,Report!$A$19,'Fuel Equipment'!O$22),Report!$A$18:$L$34,'Actual-CO2 Calculations'!$AK39,FALSE)),0),0)</f>
        <v>0</v>
      </c>
      <c r="P36" s="19">
        <f>IF(AND('Fuel Equipment'!P$44&gt;0,'Fuel Equipment'!P$45&gt;0),IF(AND($A36&gt;='Fuel Equipment'!P$17,$A36&lt;='Fuel Equipment'!P$18),('Fuel Equipment'!P$19*'Fuel Equipment'!P$20*'Fuel Equipment'!P$21)*('Fuel Equipment'!P$45-'Fuel Equipment'!P$44)*
(VLOOKUP(IF('Fuel Equipment'!P$22=Report!$A$25,Report!$A$19,'Fuel Equipment'!P$22),Report!$A$18:$L$34,'Actual-CO2 Calculations'!$AK39,FALSE)),0),0)</f>
        <v>0</v>
      </c>
      <c r="Q36" s="19">
        <f>IF(AND('Fuel Equipment'!Q$44&gt;0,'Fuel Equipment'!Q$45&gt;0),IF(AND($A36&gt;='Fuel Equipment'!Q$17,$A36&lt;='Fuel Equipment'!Q$18),('Fuel Equipment'!Q$19*'Fuel Equipment'!Q$20*'Fuel Equipment'!Q$21)*('Fuel Equipment'!Q$45-'Fuel Equipment'!Q$44)*
(VLOOKUP(IF('Fuel Equipment'!Q$22=Report!$A$25,Report!$A$19,'Fuel Equipment'!Q$22),Report!$A$18:$L$34,'Actual-CO2 Calculations'!$AK39,FALSE)),0),0)</f>
        <v>0</v>
      </c>
      <c r="R36" s="19">
        <f>IF(AND('Fuel Equipment'!R$44&gt;0,'Fuel Equipment'!R$45&gt;0),IF(AND($A36&gt;='Fuel Equipment'!R$17,$A36&lt;='Fuel Equipment'!R$18),('Fuel Equipment'!R$19*'Fuel Equipment'!R$20*'Fuel Equipment'!R$21)*('Fuel Equipment'!R$45-'Fuel Equipment'!R$44)*
(VLOOKUP(IF('Fuel Equipment'!R$22=Report!$A$25,Report!$A$19,'Fuel Equipment'!R$22),Report!$A$18:$L$34,'Actual-CO2 Calculations'!$AK39,FALSE)),0),0)</f>
        <v>0</v>
      </c>
      <c r="S36" s="19">
        <f>IF(AND('Fuel Equipment'!S$44&gt;0,'Fuel Equipment'!S$45&gt;0),IF(AND($A36&gt;='Fuel Equipment'!S$17,$A36&lt;='Fuel Equipment'!S$18),('Fuel Equipment'!S$19*'Fuel Equipment'!S$20*'Fuel Equipment'!S$21)*('Fuel Equipment'!S$45-'Fuel Equipment'!S$44)*
(VLOOKUP(IF('Fuel Equipment'!S$22=Report!$A$25,Report!$A$19,'Fuel Equipment'!S$22),Report!$A$18:$L$34,'Actual-CO2 Calculations'!$AK39,FALSE)),0),0)</f>
        <v>0</v>
      </c>
      <c r="V36" s="671">
        <f t="shared" si="0"/>
        <v>0</v>
      </c>
    </row>
    <row r="37" spans="1:22">
      <c r="A37" s="19" t="s">
        <v>4</v>
      </c>
      <c r="B37" s="19">
        <f>IF(AND('Fuel Equipment'!B$44&gt;0,'Fuel Equipment'!B$45&gt;0),IF(AND($A37&gt;='Fuel Equipment'!B$17,$A37&lt;='Fuel Equipment'!B$18),('Fuel Equipment'!B$19*'Fuel Equipment'!B$20*'Fuel Equipment'!B$21)*('Fuel Equipment'!B$45-'Fuel Equipment'!B$44)*
(VLOOKUP(IF('Fuel Equipment'!B$22=Report!$A$25,Report!$A$19,'Fuel Equipment'!B$22),Report!$A$18:$L$34,'Actual-CO2 Calculations'!$AK40,FALSE)),0),0)</f>
        <v>0</v>
      </c>
      <c r="C37" s="19">
        <f>IF(AND('Fuel Equipment'!C$44&gt;0,'Fuel Equipment'!C$45&gt;0),IF(AND($A37&gt;='Fuel Equipment'!C$17,$A37&lt;='Fuel Equipment'!C$18),('Fuel Equipment'!C$19*'Fuel Equipment'!C$20*'Fuel Equipment'!C$21)*('Fuel Equipment'!C$45-'Fuel Equipment'!C$44)*
(VLOOKUP(IF('Fuel Equipment'!C$22=Report!$A$25,Report!$A$19,'Fuel Equipment'!C$22),Report!$A$18:$L$34,'Actual-CO2 Calculations'!$AK40,FALSE)),0),0)</f>
        <v>0</v>
      </c>
      <c r="D37" s="19">
        <f>IF(AND('Fuel Equipment'!D$44&gt;0,'Fuel Equipment'!D$45&gt;0),IF(AND($A37&gt;='Fuel Equipment'!D$17,$A37&lt;='Fuel Equipment'!D$18),('Fuel Equipment'!D$19*'Fuel Equipment'!D$20*'Fuel Equipment'!D$21)*('Fuel Equipment'!D$45-'Fuel Equipment'!D$44)*
(VLOOKUP(IF('Fuel Equipment'!D$22=Report!$A$25,Report!$A$19,'Fuel Equipment'!D$22),Report!$A$18:$L$34,'Actual-CO2 Calculations'!$AK40,FALSE)),0),0)</f>
        <v>0</v>
      </c>
      <c r="E37" s="19">
        <f>IF(AND('Fuel Equipment'!E$44&gt;0,'Fuel Equipment'!E$45&gt;0),IF(AND($A37&gt;='Fuel Equipment'!E$17,$A37&lt;='Fuel Equipment'!E$18),('Fuel Equipment'!E$19*'Fuel Equipment'!E$20*'Fuel Equipment'!E$21)*('Fuel Equipment'!E$45-'Fuel Equipment'!E$44)*
(VLOOKUP(IF('Fuel Equipment'!E$22=Report!$A$25,Report!$A$19,'Fuel Equipment'!E$22),Report!$A$18:$L$34,'Actual-CO2 Calculations'!$AK40,FALSE)),0),0)</f>
        <v>0</v>
      </c>
      <c r="F37" s="19">
        <f>IF(AND('Fuel Equipment'!F$44&gt;0,'Fuel Equipment'!F$45&gt;0),IF(AND($A37&gt;='Fuel Equipment'!F$17,$A37&lt;='Fuel Equipment'!F$18),('Fuel Equipment'!F$19*'Fuel Equipment'!F$20*'Fuel Equipment'!F$21)*('Fuel Equipment'!F$45-'Fuel Equipment'!F$44)*
(VLOOKUP(IF('Fuel Equipment'!F$22=Report!$A$25,Report!$A$19,'Fuel Equipment'!F$22),Report!$A$18:$L$34,'Actual-CO2 Calculations'!$AK40,FALSE)),0),0)</f>
        <v>0</v>
      </c>
      <c r="G37" s="19">
        <f>IF(AND('Fuel Equipment'!G$44&gt;0,'Fuel Equipment'!G$45&gt;0),IF(AND($A37&gt;='Fuel Equipment'!G$17,$A37&lt;='Fuel Equipment'!G$18),('Fuel Equipment'!G$19*'Fuel Equipment'!G$20*'Fuel Equipment'!G$21)*('Fuel Equipment'!G$45-'Fuel Equipment'!G$44)*
(VLOOKUP(IF('Fuel Equipment'!G$22=Report!$A$25,Report!$A$19,'Fuel Equipment'!G$22),Report!$A$18:$L$34,'Actual-CO2 Calculations'!$AK40,FALSE)),0),0)</f>
        <v>0</v>
      </c>
      <c r="H37" s="19">
        <f>IF(AND('Fuel Equipment'!H$44&gt;0,'Fuel Equipment'!H$45&gt;0),IF(AND($A37&gt;='Fuel Equipment'!H$17,$A37&lt;='Fuel Equipment'!H$18),('Fuel Equipment'!H$19*'Fuel Equipment'!H$20*'Fuel Equipment'!H$21)*('Fuel Equipment'!H$45-'Fuel Equipment'!H$44)*
(VLOOKUP(IF('Fuel Equipment'!H$22=Report!$A$25,Report!$A$19,'Fuel Equipment'!H$22),Report!$A$18:$L$34,'Actual-CO2 Calculations'!$AK40,FALSE)),0),0)</f>
        <v>0</v>
      </c>
      <c r="I37" s="19">
        <f>IF(AND('Fuel Equipment'!I$44&gt;0,'Fuel Equipment'!I$45&gt;0),IF(AND($A37&gt;='Fuel Equipment'!I$17,$A37&lt;='Fuel Equipment'!I$18),('Fuel Equipment'!I$19*'Fuel Equipment'!I$20*'Fuel Equipment'!I$21)*('Fuel Equipment'!I$45-'Fuel Equipment'!I$44)*
(VLOOKUP(IF('Fuel Equipment'!I$22=Report!$A$25,Report!$A$19,'Fuel Equipment'!I$22),Report!$A$18:$L$34,'Actual-CO2 Calculations'!$AK40,FALSE)),0),0)</f>
        <v>0</v>
      </c>
      <c r="J37" s="19">
        <f>IF(AND('Fuel Equipment'!J$44&gt;0,'Fuel Equipment'!J$45&gt;0),IF(AND($A37&gt;='Fuel Equipment'!J$17,$A37&lt;='Fuel Equipment'!J$18),('Fuel Equipment'!J$19*'Fuel Equipment'!J$20*'Fuel Equipment'!J$21)*('Fuel Equipment'!J$45-'Fuel Equipment'!J$44)*
(VLOOKUP(IF('Fuel Equipment'!J$22=Report!$A$25,Report!$A$19,'Fuel Equipment'!J$22),Report!$A$18:$L$34,'Actual-CO2 Calculations'!$AK40,FALSE)),0),0)</f>
        <v>0</v>
      </c>
      <c r="K37" s="19">
        <f>IF(AND('Fuel Equipment'!K$44&gt;0,'Fuel Equipment'!K$45&gt;0),IF(AND($A37&gt;='Fuel Equipment'!K$17,$A37&lt;='Fuel Equipment'!K$18),('Fuel Equipment'!K$19*'Fuel Equipment'!K$20*'Fuel Equipment'!K$21)*('Fuel Equipment'!K$45-'Fuel Equipment'!K$44)*
(VLOOKUP(IF('Fuel Equipment'!K$22=Report!$A$25,Report!$A$19,'Fuel Equipment'!K$22),Report!$A$18:$L$34,'Actual-CO2 Calculations'!$AK40,FALSE)),0),0)</f>
        <v>0</v>
      </c>
      <c r="L37" s="19">
        <f>IF(AND('Fuel Equipment'!L$44&gt;0,'Fuel Equipment'!L$45&gt;0),IF(AND($A37&gt;='Fuel Equipment'!L$17,$A37&lt;='Fuel Equipment'!L$18),('Fuel Equipment'!L$19*'Fuel Equipment'!L$20*'Fuel Equipment'!L$21)*('Fuel Equipment'!L$45-'Fuel Equipment'!L$44)*
(VLOOKUP(IF('Fuel Equipment'!L$22=Report!$A$25,Report!$A$19,'Fuel Equipment'!L$22),Report!$A$18:$L$34,'Actual-CO2 Calculations'!$AK40,FALSE)),0),0)</f>
        <v>0</v>
      </c>
      <c r="M37" s="19">
        <f>IF(AND('Fuel Equipment'!M$44&gt;0,'Fuel Equipment'!M$45&gt;0),IF(AND($A37&gt;='Fuel Equipment'!M$17,$A37&lt;='Fuel Equipment'!M$18),('Fuel Equipment'!M$19*'Fuel Equipment'!M$20*'Fuel Equipment'!M$21)*('Fuel Equipment'!M$45-'Fuel Equipment'!M$44)*
(VLOOKUP(IF('Fuel Equipment'!M$22=Report!$A$25,Report!$A$19,'Fuel Equipment'!M$22),Report!$A$18:$L$34,'Actual-CO2 Calculations'!$AK40,FALSE)),0),0)</f>
        <v>0</v>
      </c>
      <c r="N37" s="19">
        <f>IF(AND('Fuel Equipment'!N$44&gt;0,'Fuel Equipment'!N$45&gt;0),IF(AND($A37&gt;='Fuel Equipment'!N$17,$A37&lt;='Fuel Equipment'!N$18),('Fuel Equipment'!N$19*'Fuel Equipment'!N$20*'Fuel Equipment'!N$21)*('Fuel Equipment'!N$45-'Fuel Equipment'!N$44)*
(VLOOKUP(IF('Fuel Equipment'!N$22=Report!$A$25,Report!$A$19,'Fuel Equipment'!N$22),Report!$A$18:$L$34,'Actual-CO2 Calculations'!$AK40,FALSE)),0),0)</f>
        <v>0</v>
      </c>
      <c r="O37" s="19">
        <f>IF(AND('Fuel Equipment'!O$44&gt;0,'Fuel Equipment'!O$45&gt;0),IF(AND($A37&gt;='Fuel Equipment'!O$17,$A37&lt;='Fuel Equipment'!O$18),('Fuel Equipment'!O$19*'Fuel Equipment'!O$20*'Fuel Equipment'!O$21)*('Fuel Equipment'!O$45-'Fuel Equipment'!O$44)*
(VLOOKUP(IF('Fuel Equipment'!O$22=Report!$A$25,Report!$A$19,'Fuel Equipment'!O$22),Report!$A$18:$L$34,'Actual-CO2 Calculations'!$AK40,FALSE)),0),0)</f>
        <v>0</v>
      </c>
      <c r="P37" s="19">
        <f>IF(AND('Fuel Equipment'!P$44&gt;0,'Fuel Equipment'!P$45&gt;0),IF(AND($A37&gt;='Fuel Equipment'!P$17,$A37&lt;='Fuel Equipment'!P$18),('Fuel Equipment'!P$19*'Fuel Equipment'!P$20*'Fuel Equipment'!P$21)*('Fuel Equipment'!P$45-'Fuel Equipment'!P$44)*
(VLOOKUP(IF('Fuel Equipment'!P$22=Report!$A$25,Report!$A$19,'Fuel Equipment'!P$22),Report!$A$18:$L$34,'Actual-CO2 Calculations'!$AK40,FALSE)),0),0)</f>
        <v>0</v>
      </c>
      <c r="Q37" s="19">
        <f>IF(AND('Fuel Equipment'!Q$44&gt;0,'Fuel Equipment'!Q$45&gt;0),IF(AND($A37&gt;='Fuel Equipment'!Q$17,$A37&lt;='Fuel Equipment'!Q$18),('Fuel Equipment'!Q$19*'Fuel Equipment'!Q$20*'Fuel Equipment'!Q$21)*('Fuel Equipment'!Q$45-'Fuel Equipment'!Q$44)*
(VLOOKUP(IF('Fuel Equipment'!Q$22=Report!$A$25,Report!$A$19,'Fuel Equipment'!Q$22),Report!$A$18:$L$34,'Actual-CO2 Calculations'!$AK40,FALSE)),0),0)</f>
        <v>0</v>
      </c>
      <c r="R37" s="19">
        <f>IF(AND('Fuel Equipment'!R$44&gt;0,'Fuel Equipment'!R$45&gt;0),IF(AND($A37&gt;='Fuel Equipment'!R$17,$A37&lt;='Fuel Equipment'!R$18),('Fuel Equipment'!R$19*'Fuel Equipment'!R$20*'Fuel Equipment'!R$21)*('Fuel Equipment'!R$45-'Fuel Equipment'!R$44)*
(VLOOKUP(IF('Fuel Equipment'!R$22=Report!$A$25,Report!$A$19,'Fuel Equipment'!R$22),Report!$A$18:$L$34,'Actual-CO2 Calculations'!$AK40,FALSE)),0),0)</f>
        <v>0</v>
      </c>
      <c r="S37" s="19">
        <f>IF(AND('Fuel Equipment'!S$44&gt;0,'Fuel Equipment'!S$45&gt;0),IF(AND($A37&gt;='Fuel Equipment'!S$17,$A37&lt;='Fuel Equipment'!S$18),('Fuel Equipment'!S$19*'Fuel Equipment'!S$20*'Fuel Equipment'!S$21)*('Fuel Equipment'!S$45-'Fuel Equipment'!S$44)*
(VLOOKUP(IF('Fuel Equipment'!S$22=Report!$A$25,Report!$A$19,'Fuel Equipment'!S$22),Report!$A$18:$L$34,'Actual-CO2 Calculations'!$AK40,FALSE)),0),0)</f>
        <v>0</v>
      </c>
      <c r="V37" s="671">
        <f t="shared" si="0"/>
        <v>0</v>
      </c>
    </row>
    <row r="38" spans="1:22">
      <c r="A38" s="19" t="s">
        <v>5</v>
      </c>
      <c r="B38" s="19">
        <f>IF(AND('Fuel Equipment'!B$44&gt;0,'Fuel Equipment'!B$45&gt;0),IF(AND($A38&gt;='Fuel Equipment'!B$17,$A38&lt;='Fuel Equipment'!B$18),('Fuel Equipment'!B$19*'Fuel Equipment'!B$20*'Fuel Equipment'!B$21)*('Fuel Equipment'!B$45-'Fuel Equipment'!B$44)*
(VLOOKUP(IF('Fuel Equipment'!B$22=Report!$A$25,Report!$A$19,'Fuel Equipment'!B$22),Report!$A$18:$L$34,'Actual-CO2 Calculations'!$AK41,FALSE)),0),0)</f>
        <v>0</v>
      </c>
      <c r="C38" s="19">
        <f>IF(AND('Fuel Equipment'!C$44&gt;0,'Fuel Equipment'!C$45&gt;0),IF(AND($A38&gt;='Fuel Equipment'!C$17,$A38&lt;='Fuel Equipment'!C$18),('Fuel Equipment'!C$19*'Fuel Equipment'!C$20*'Fuel Equipment'!C$21)*('Fuel Equipment'!C$45-'Fuel Equipment'!C$44)*
(VLOOKUP(IF('Fuel Equipment'!C$22=Report!$A$25,Report!$A$19,'Fuel Equipment'!C$22),Report!$A$18:$L$34,'Actual-CO2 Calculations'!$AK41,FALSE)),0),0)</f>
        <v>0</v>
      </c>
      <c r="D38" s="19">
        <f>IF(AND('Fuel Equipment'!D$44&gt;0,'Fuel Equipment'!D$45&gt;0),IF(AND($A38&gt;='Fuel Equipment'!D$17,$A38&lt;='Fuel Equipment'!D$18),('Fuel Equipment'!D$19*'Fuel Equipment'!D$20*'Fuel Equipment'!D$21)*('Fuel Equipment'!D$45-'Fuel Equipment'!D$44)*
(VLOOKUP(IF('Fuel Equipment'!D$22=Report!$A$25,Report!$A$19,'Fuel Equipment'!D$22),Report!$A$18:$L$34,'Actual-CO2 Calculations'!$AK41,FALSE)),0),0)</f>
        <v>0</v>
      </c>
      <c r="E38" s="19">
        <f>IF(AND('Fuel Equipment'!E$44&gt;0,'Fuel Equipment'!E$45&gt;0),IF(AND($A38&gt;='Fuel Equipment'!E$17,$A38&lt;='Fuel Equipment'!E$18),('Fuel Equipment'!E$19*'Fuel Equipment'!E$20*'Fuel Equipment'!E$21)*('Fuel Equipment'!E$45-'Fuel Equipment'!E$44)*
(VLOOKUP(IF('Fuel Equipment'!E$22=Report!$A$25,Report!$A$19,'Fuel Equipment'!E$22),Report!$A$18:$L$34,'Actual-CO2 Calculations'!$AK41,FALSE)),0),0)</f>
        <v>0</v>
      </c>
      <c r="F38" s="19">
        <f>IF(AND('Fuel Equipment'!F$44&gt;0,'Fuel Equipment'!F$45&gt;0),IF(AND($A38&gt;='Fuel Equipment'!F$17,$A38&lt;='Fuel Equipment'!F$18),('Fuel Equipment'!F$19*'Fuel Equipment'!F$20*'Fuel Equipment'!F$21)*('Fuel Equipment'!F$45-'Fuel Equipment'!F$44)*
(VLOOKUP(IF('Fuel Equipment'!F$22=Report!$A$25,Report!$A$19,'Fuel Equipment'!F$22),Report!$A$18:$L$34,'Actual-CO2 Calculations'!$AK41,FALSE)),0),0)</f>
        <v>0</v>
      </c>
      <c r="G38" s="19">
        <f>IF(AND('Fuel Equipment'!G$44&gt;0,'Fuel Equipment'!G$45&gt;0),IF(AND($A38&gt;='Fuel Equipment'!G$17,$A38&lt;='Fuel Equipment'!G$18),('Fuel Equipment'!G$19*'Fuel Equipment'!G$20*'Fuel Equipment'!G$21)*('Fuel Equipment'!G$45-'Fuel Equipment'!G$44)*
(VLOOKUP(IF('Fuel Equipment'!G$22=Report!$A$25,Report!$A$19,'Fuel Equipment'!G$22),Report!$A$18:$L$34,'Actual-CO2 Calculations'!$AK41,FALSE)),0),0)</f>
        <v>0</v>
      </c>
      <c r="H38" s="19">
        <f>IF(AND('Fuel Equipment'!H$44&gt;0,'Fuel Equipment'!H$45&gt;0),IF(AND($A38&gt;='Fuel Equipment'!H$17,$A38&lt;='Fuel Equipment'!H$18),('Fuel Equipment'!H$19*'Fuel Equipment'!H$20*'Fuel Equipment'!H$21)*('Fuel Equipment'!H$45-'Fuel Equipment'!H$44)*
(VLOOKUP(IF('Fuel Equipment'!H$22=Report!$A$25,Report!$A$19,'Fuel Equipment'!H$22),Report!$A$18:$L$34,'Actual-CO2 Calculations'!$AK41,FALSE)),0),0)</f>
        <v>0</v>
      </c>
      <c r="I38" s="19">
        <f>IF(AND('Fuel Equipment'!I$44&gt;0,'Fuel Equipment'!I$45&gt;0),IF(AND($A38&gt;='Fuel Equipment'!I$17,$A38&lt;='Fuel Equipment'!I$18),('Fuel Equipment'!I$19*'Fuel Equipment'!I$20*'Fuel Equipment'!I$21)*('Fuel Equipment'!I$45-'Fuel Equipment'!I$44)*
(VLOOKUP(IF('Fuel Equipment'!I$22=Report!$A$25,Report!$A$19,'Fuel Equipment'!I$22),Report!$A$18:$L$34,'Actual-CO2 Calculations'!$AK41,FALSE)),0),0)</f>
        <v>0</v>
      </c>
      <c r="J38" s="19">
        <f>IF(AND('Fuel Equipment'!J$44&gt;0,'Fuel Equipment'!J$45&gt;0),IF(AND($A38&gt;='Fuel Equipment'!J$17,$A38&lt;='Fuel Equipment'!J$18),('Fuel Equipment'!J$19*'Fuel Equipment'!J$20*'Fuel Equipment'!J$21)*('Fuel Equipment'!J$45-'Fuel Equipment'!J$44)*
(VLOOKUP(IF('Fuel Equipment'!J$22=Report!$A$25,Report!$A$19,'Fuel Equipment'!J$22),Report!$A$18:$L$34,'Actual-CO2 Calculations'!$AK41,FALSE)),0),0)</f>
        <v>0</v>
      </c>
      <c r="K38" s="19">
        <f>IF(AND('Fuel Equipment'!K$44&gt;0,'Fuel Equipment'!K$45&gt;0),IF(AND($A38&gt;='Fuel Equipment'!K$17,$A38&lt;='Fuel Equipment'!K$18),('Fuel Equipment'!K$19*'Fuel Equipment'!K$20*'Fuel Equipment'!K$21)*('Fuel Equipment'!K$45-'Fuel Equipment'!K$44)*
(VLOOKUP(IF('Fuel Equipment'!K$22=Report!$A$25,Report!$A$19,'Fuel Equipment'!K$22),Report!$A$18:$L$34,'Actual-CO2 Calculations'!$AK41,FALSE)),0),0)</f>
        <v>0</v>
      </c>
      <c r="L38" s="19">
        <f>IF(AND('Fuel Equipment'!L$44&gt;0,'Fuel Equipment'!L$45&gt;0),IF(AND($A38&gt;='Fuel Equipment'!L$17,$A38&lt;='Fuel Equipment'!L$18),('Fuel Equipment'!L$19*'Fuel Equipment'!L$20*'Fuel Equipment'!L$21)*('Fuel Equipment'!L$45-'Fuel Equipment'!L$44)*
(VLOOKUP(IF('Fuel Equipment'!L$22=Report!$A$25,Report!$A$19,'Fuel Equipment'!L$22),Report!$A$18:$L$34,'Actual-CO2 Calculations'!$AK41,FALSE)),0),0)</f>
        <v>0</v>
      </c>
      <c r="M38" s="19">
        <f>IF(AND('Fuel Equipment'!M$44&gt;0,'Fuel Equipment'!M$45&gt;0),IF(AND($A38&gt;='Fuel Equipment'!M$17,$A38&lt;='Fuel Equipment'!M$18),('Fuel Equipment'!M$19*'Fuel Equipment'!M$20*'Fuel Equipment'!M$21)*('Fuel Equipment'!M$45-'Fuel Equipment'!M$44)*
(VLOOKUP(IF('Fuel Equipment'!M$22=Report!$A$25,Report!$A$19,'Fuel Equipment'!M$22),Report!$A$18:$L$34,'Actual-CO2 Calculations'!$AK41,FALSE)),0),0)</f>
        <v>0</v>
      </c>
      <c r="N38" s="19">
        <f>IF(AND('Fuel Equipment'!N$44&gt;0,'Fuel Equipment'!N$45&gt;0),IF(AND($A38&gt;='Fuel Equipment'!N$17,$A38&lt;='Fuel Equipment'!N$18),('Fuel Equipment'!N$19*'Fuel Equipment'!N$20*'Fuel Equipment'!N$21)*('Fuel Equipment'!N$45-'Fuel Equipment'!N$44)*
(VLOOKUP(IF('Fuel Equipment'!N$22=Report!$A$25,Report!$A$19,'Fuel Equipment'!N$22),Report!$A$18:$L$34,'Actual-CO2 Calculations'!$AK41,FALSE)),0),0)</f>
        <v>0</v>
      </c>
      <c r="O38" s="19">
        <f>IF(AND('Fuel Equipment'!O$44&gt;0,'Fuel Equipment'!O$45&gt;0),IF(AND($A38&gt;='Fuel Equipment'!O$17,$A38&lt;='Fuel Equipment'!O$18),('Fuel Equipment'!O$19*'Fuel Equipment'!O$20*'Fuel Equipment'!O$21)*('Fuel Equipment'!O$45-'Fuel Equipment'!O$44)*
(VLOOKUP(IF('Fuel Equipment'!O$22=Report!$A$25,Report!$A$19,'Fuel Equipment'!O$22),Report!$A$18:$L$34,'Actual-CO2 Calculations'!$AK41,FALSE)),0),0)</f>
        <v>0</v>
      </c>
      <c r="P38" s="19">
        <f>IF(AND('Fuel Equipment'!P$44&gt;0,'Fuel Equipment'!P$45&gt;0),IF(AND($A38&gt;='Fuel Equipment'!P$17,$A38&lt;='Fuel Equipment'!P$18),('Fuel Equipment'!P$19*'Fuel Equipment'!P$20*'Fuel Equipment'!P$21)*('Fuel Equipment'!P$45-'Fuel Equipment'!P$44)*
(VLOOKUP(IF('Fuel Equipment'!P$22=Report!$A$25,Report!$A$19,'Fuel Equipment'!P$22),Report!$A$18:$L$34,'Actual-CO2 Calculations'!$AK41,FALSE)),0),0)</f>
        <v>0</v>
      </c>
      <c r="Q38" s="19">
        <f>IF(AND('Fuel Equipment'!Q$44&gt;0,'Fuel Equipment'!Q$45&gt;0),IF(AND($A38&gt;='Fuel Equipment'!Q$17,$A38&lt;='Fuel Equipment'!Q$18),('Fuel Equipment'!Q$19*'Fuel Equipment'!Q$20*'Fuel Equipment'!Q$21)*('Fuel Equipment'!Q$45-'Fuel Equipment'!Q$44)*
(VLOOKUP(IF('Fuel Equipment'!Q$22=Report!$A$25,Report!$A$19,'Fuel Equipment'!Q$22),Report!$A$18:$L$34,'Actual-CO2 Calculations'!$AK41,FALSE)),0),0)</f>
        <v>0</v>
      </c>
      <c r="R38" s="19">
        <f>IF(AND('Fuel Equipment'!R$44&gt;0,'Fuel Equipment'!R$45&gt;0),IF(AND($A38&gt;='Fuel Equipment'!R$17,$A38&lt;='Fuel Equipment'!R$18),('Fuel Equipment'!R$19*'Fuel Equipment'!R$20*'Fuel Equipment'!R$21)*('Fuel Equipment'!R$45-'Fuel Equipment'!R$44)*
(VLOOKUP(IF('Fuel Equipment'!R$22=Report!$A$25,Report!$A$19,'Fuel Equipment'!R$22),Report!$A$18:$L$34,'Actual-CO2 Calculations'!$AK41,FALSE)),0),0)</f>
        <v>0</v>
      </c>
      <c r="S38" s="19">
        <f>IF(AND('Fuel Equipment'!S$44&gt;0,'Fuel Equipment'!S$45&gt;0),IF(AND($A38&gt;='Fuel Equipment'!S$17,$A38&lt;='Fuel Equipment'!S$18),('Fuel Equipment'!S$19*'Fuel Equipment'!S$20*'Fuel Equipment'!S$21)*('Fuel Equipment'!S$45-'Fuel Equipment'!S$44)*
(VLOOKUP(IF('Fuel Equipment'!S$22=Report!$A$25,Report!$A$19,'Fuel Equipment'!S$22),Report!$A$18:$L$34,'Actual-CO2 Calculations'!$AK41,FALSE)),0),0)</f>
        <v>0</v>
      </c>
      <c r="V38" s="671">
        <f t="shared" si="0"/>
        <v>0</v>
      </c>
    </row>
    <row r="39" spans="1:22">
      <c r="A39" s="19" t="s">
        <v>6</v>
      </c>
      <c r="B39" s="19">
        <f>IF(AND('Fuel Equipment'!B$44&gt;0,'Fuel Equipment'!B$45&gt;0),IF(AND($A39&gt;='Fuel Equipment'!B$17,$A39&lt;='Fuel Equipment'!B$18),('Fuel Equipment'!B$19*'Fuel Equipment'!B$20*'Fuel Equipment'!B$21)*('Fuel Equipment'!B$45-'Fuel Equipment'!B$44)*
(VLOOKUP(IF('Fuel Equipment'!B$22=Report!$A$25,Report!$A$19,'Fuel Equipment'!B$22),Report!$A$18:$L$34,'Actual-CO2 Calculations'!$AK42,FALSE)),0),0)</f>
        <v>0</v>
      </c>
      <c r="C39" s="19">
        <f>IF(AND('Fuel Equipment'!C$44&gt;0,'Fuel Equipment'!C$45&gt;0),IF(AND($A39&gt;='Fuel Equipment'!C$17,$A39&lt;='Fuel Equipment'!C$18),('Fuel Equipment'!C$19*'Fuel Equipment'!C$20*'Fuel Equipment'!C$21)*('Fuel Equipment'!C$45-'Fuel Equipment'!C$44)*
(VLOOKUP(IF('Fuel Equipment'!C$22=Report!$A$25,Report!$A$19,'Fuel Equipment'!C$22),Report!$A$18:$L$34,'Actual-CO2 Calculations'!$AK42,FALSE)),0),0)</f>
        <v>0</v>
      </c>
      <c r="D39" s="19">
        <f>IF(AND('Fuel Equipment'!D$44&gt;0,'Fuel Equipment'!D$45&gt;0),IF(AND($A39&gt;='Fuel Equipment'!D$17,$A39&lt;='Fuel Equipment'!D$18),('Fuel Equipment'!D$19*'Fuel Equipment'!D$20*'Fuel Equipment'!D$21)*('Fuel Equipment'!D$45-'Fuel Equipment'!D$44)*
(VLOOKUP(IF('Fuel Equipment'!D$22=Report!$A$25,Report!$A$19,'Fuel Equipment'!D$22),Report!$A$18:$L$34,'Actual-CO2 Calculations'!$AK42,FALSE)),0),0)</f>
        <v>0</v>
      </c>
      <c r="E39" s="19">
        <f>IF(AND('Fuel Equipment'!E$44&gt;0,'Fuel Equipment'!E$45&gt;0),IF(AND($A39&gt;='Fuel Equipment'!E$17,$A39&lt;='Fuel Equipment'!E$18),('Fuel Equipment'!E$19*'Fuel Equipment'!E$20*'Fuel Equipment'!E$21)*('Fuel Equipment'!E$45-'Fuel Equipment'!E$44)*
(VLOOKUP(IF('Fuel Equipment'!E$22=Report!$A$25,Report!$A$19,'Fuel Equipment'!E$22),Report!$A$18:$L$34,'Actual-CO2 Calculations'!$AK42,FALSE)),0),0)</f>
        <v>0</v>
      </c>
      <c r="F39" s="19">
        <f>IF(AND('Fuel Equipment'!F$44&gt;0,'Fuel Equipment'!F$45&gt;0),IF(AND($A39&gt;='Fuel Equipment'!F$17,$A39&lt;='Fuel Equipment'!F$18),('Fuel Equipment'!F$19*'Fuel Equipment'!F$20*'Fuel Equipment'!F$21)*('Fuel Equipment'!F$45-'Fuel Equipment'!F$44)*
(VLOOKUP(IF('Fuel Equipment'!F$22=Report!$A$25,Report!$A$19,'Fuel Equipment'!F$22),Report!$A$18:$L$34,'Actual-CO2 Calculations'!$AK42,FALSE)),0),0)</f>
        <v>0</v>
      </c>
      <c r="G39" s="19">
        <f>IF(AND('Fuel Equipment'!G$44&gt;0,'Fuel Equipment'!G$45&gt;0),IF(AND($A39&gt;='Fuel Equipment'!G$17,$A39&lt;='Fuel Equipment'!G$18),('Fuel Equipment'!G$19*'Fuel Equipment'!G$20*'Fuel Equipment'!G$21)*('Fuel Equipment'!G$45-'Fuel Equipment'!G$44)*
(VLOOKUP(IF('Fuel Equipment'!G$22=Report!$A$25,Report!$A$19,'Fuel Equipment'!G$22),Report!$A$18:$L$34,'Actual-CO2 Calculations'!$AK42,FALSE)),0),0)</f>
        <v>0</v>
      </c>
      <c r="H39" s="19">
        <f>IF(AND('Fuel Equipment'!H$44&gt;0,'Fuel Equipment'!H$45&gt;0),IF(AND($A39&gt;='Fuel Equipment'!H$17,$A39&lt;='Fuel Equipment'!H$18),('Fuel Equipment'!H$19*'Fuel Equipment'!H$20*'Fuel Equipment'!H$21)*('Fuel Equipment'!H$45-'Fuel Equipment'!H$44)*
(VLOOKUP(IF('Fuel Equipment'!H$22=Report!$A$25,Report!$A$19,'Fuel Equipment'!H$22),Report!$A$18:$L$34,'Actual-CO2 Calculations'!$AK42,FALSE)),0),0)</f>
        <v>0</v>
      </c>
      <c r="I39" s="19">
        <f>IF(AND('Fuel Equipment'!I$44&gt;0,'Fuel Equipment'!I$45&gt;0),IF(AND($A39&gt;='Fuel Equipment'!I$17,$A39&lt;='Fuel Equipment'!I$18),('Fuel Equipment'!I$19*'Fuel Equipment'!I$20*'Fuel Equipment'!I$21)*('Fuel Equipment'!I$45-'Fuel Equipment'!I$44)*
(VLOOKUP(IF('Fuel Equipment'!I$22=Report!$A$25,Report!$A$19,'Fuel Equipment'!I$22),Report!$A$18:$L$34,'Actual-CO2 Calculations'!$AK42,FALSE)),0),0)</f>
        <v>0</v>
      </c>
      <c r="J39" s="19">
        <f>IF(AND('Fuel Equipment'!J$44&gt;0,'Fuel Equipment'!J$45&gt;0),IF(AND($A39&gt;='Fuel Equipment'!J$17,$A39&lt;='Fuel Equipment'!J$18),('Fuel Equipment'!J$19*'Fuel Equipment'!J$20*'Fuel Equipment'!J$21)*('Fuel Equipment'!J$45-'Fuel Equipment'!J$44)*
(VLOOKUP(IF('Fuel Equipment'!J$22=Report!$A$25,Report!$A$19,'Fuel Equipment'!J$22),Report!$A$18:$L$34,'Actual-CO2 Calculations'!$AK42,FALSE)),0),0)</f>
        <v>0</v>
      </c>
      <c r="K39" s="19">
        <f>IF(AND('Fuel Equipment'!K$44&gt;0,'Fuel Equipment'!K$45&gt;0),IF(AND($A39&gt;='Fuel Equipment'!K$17,$A39&lt;='Fuel Equipment'!K$18),('Fuel Equipment'!K$19*'Fuel Equipment'!K$20*'Fuel Equipment'!K$21)*('Fuel Equipment'!K$45-'Fuel Equipment'!K$44)*
(VLOOKUP(IF('Fuel Equipment'!K$22=Report!$A$25,Report!$A$19,'Fuel Equipment'!K$22),Report!$A$18:$L$34,'Actual-CO2 Calculations'!$AK42,FALSE)),0),0)</f>
        <v>0</v>
      </c>
      <c r="L39" s="19">
        <f>IF(AND('Fuel Equipment'!L$44&gt;0,'Fuel Equipment'!L$45&gt;0),IF(AND($A39&gt;='Fuel Equipment'!L$17,$A39&lt;='Fuel Equipment'!L$18),('Fuel Equipment'!L$19*'Fuel Equipment'!L$20*'Fuel Equipment'!L$21)*('Fuel Equipment'!L$45-'Fuel Equipment'!L$44)*
(VLOOKUP(IF('Fuel Equipment'!L$22=Report!$A$25,Report!$A$19,'Fuel Equipment'!L$22),Report!$A$18:$L$34,'Actual-CO2 Calculations'!$AK42,FALSE)),0),0)</f>
        <v>0</v>
      </c>
      <c r="M39" s="19">
        <f>IF(AND('Fuel Equipment'!M$44&gt;0,'Fuel Equipment'!M$45&gt;0),IF(AND($A39&gt;='Fuel Equipment'!M$17,$A39&lt;='Fuel Equipment'!M$18),('Fuel Equipment'!M$19*'Fuel Equipment'!M$20*'Fuel Equipment'!M$21)*('Fuel Equipment'!M$45-'Fuel Equipment'!M$44)*
(VLOOKUP(IF('Fuel Equipment'!M$22=Report!$A$25,Report!$A$19,'Fuel Equipment'!M$22),Report!$A$18:$L$34,'Actual-CO2 Calculations'!$AK42,FALSE)),0),0)</f>
        <v>0</v>
      </c>
      <c r="N39" s="19">
        <f>IF(AND('Fuel Equipment'!N$44&gt;0,'Fuel Equipment'!N$45&gt;0),IF(AND($A39&gt;='Fuel Equipment'!N$17,$A39&lt;='Fuel Equipment'!N$18),('Fuel Equipment'!N$19*'Fuel Equipment'!N$20*'Fuel Equipment'!N$21)*('Fuel Equipment'!N$45-'Fuel Equipment'!N$44)*
(VLOOKUP(IF('Fuel Equipment'!N$22=Report!$A$25,Report!$A$19,'Fuel Equipment'!N$22),Report!$A$18:$L$34,'Actual-CO2 Calculations'!$AK42,FALSE)),0),0)</f>
        <v>0</v>
      </c>
      <c r="O39" s="19">
        <f>IF(AND('Fuel Equipment'!O$44&gt;0,'Fuel Equipment'!O$45&gt;0),IF(AND($A39&gt;='Fuel Equipment'!O$17,$A39&lt;='Fuel Equipment'!O$18),('Fuel Equipment'!O$19*'Fuel Equipment'!O$20*'Fuel Equipment'!O$21)*('Fuel Equipment'!O$45-'Fuel Equipment'!O$44)*
(VLOOKUP(IF('Fuel Equipment'!O$22=Report!$A$25,Report!$A$19,'Fuel Equipment'!O$22),Report!$A$18:$L$34,'Actual-CO2 Calculations'!$AK42,FALSE)),0),0)</f>
        <v>0</v>
      </c>
      <c r="P39" s="19">
        <f>IF(AND('Fuel Equipment'!P$44&gt;0,'Fuel Equipment'!P$45&gt;0),IF(AND($A39&gt;='Fuel Equipment'!P$17,$A39&lt;='Fuel Equipment'!P$18),('Fuel Equipment'!P$19*'Fuel Equipment'!P$20*'Fuel Equipment'!P$21)*('Fuel Equipment'!P$45-'Fuel Equipment'!P$44)*
(VLOOKUP(IF('Fuel Equipment'!P$22=Report!$A$25,Report!$A$19,'Fuel Equipment'!P$22),Report!$A$18:$L$34,'Actual-CO2 Calculations'!$AK42,FALSE)),0),0)</f>
        <v>0</v>
      </c>
      <c r="Q39" s="19">
        <f>IF(AND('Fuel Equipment'!Q$44&gt;0,'Fuel Equipment'!Q$45&gt;0),IF(AND($A39&gt;='Fuel Equipment'!Q$17,$A39&lt;='Fuel Equipment'!Q$18),('Fuel Equipment'!Q$19*'Fuel Equipment'!Q$20*'Fuel Equipment'!Q$21)*('Fuel Equipment'!Q$45-'Fuel Equipment'!Q$44)*
(VLOOKUP(IF('Fuel Equipment'!Q$22=Report!$A$25,Report!$A$19,'Fuel Equipment'!Q$22),Report!$A$18:$L$34,'Actual-CO2 Calculations'!$AK42,FALSE)),0),0)</f>
        <v>0</v>
      </c>
      <c r="R39" s="19">
        <f>IF(AND('Fuel Equipment'!R$44&gt;0,'Fuel Equipment'!R$45&gt;0),IF(AND($A39&gt;='Fuel Equipment'!R$17,$A39&lt;='Fuel Equipment'!R$18),('Fuel Equipment'!R$19*'Fuel Equipment'!R$20*'Fuel Equipment'!R$21)*('Fuel Equipment'!R$45-'Fuel Equipment'!R$44)*
(VLOOKUP(IF('Fuel Equipment'!R$22=Report!$A$25,Report!$A$19,'Fuel Equipment'!R$22),Report!$A$18:$L$34,'Actual-CO2 Calculations'!$AK42,FALSE)),0),0)</f>
        <v>0</v>
      </c>
      <c r="S39" s="19">
        <f>IF(AND('Fuel Equipment'!S$44&gt;0,'Fuel Equipment'!S$45&gt;0),IF(AND($A39&gt;='Fuel Equipment'!S$17,$A39&lt;='Fuel Equipment'!S$18),('Fuel Equipment'!S$19*'Fuel Equipment'!S$20*'Fuel Equipment'!S$21)*('Fuel Equipment'!S$45-'Fuel Equipment'!S$44)*
(VLOOKUP(IF('Fuel Equipment'!S$22=Report!$A$25,Report!$A$19,'Fuel Equipment'!S$22),Report!$A$18:$L$34,'Actual-CO2 Calculations'!$AK42,FALSE)),0),0)</f>
        <v>0</v>
      </c>
      <c r="V39" s="671">
        <f t="shared" si="0"/>
        <v>0</v>
      </c>
    </row>
    <row r="40" spans="1:22">
      <c r="A40" s="19" t="s">
        <v>7</v>
      </c>
      <c r="B40" s="19">
        <f>IF(AND('Fuel Equipment'!B$44&gt;0,'Fuel Equipment'!B$45&gt;0),IF(AND($A40&gt;='Fuel Equipment'!B$17,$A40&lt;='Fuel Equipment'!B$18),('Fuel Equipment'!B$19*'Fuel Equipment'!B$20*'Fuel Equipment'!B$21)*('Fuel Equipment'!B$45-'Fuel Equipment'!B$44)*
(VLOOKUP(IF('Fuel Equipment'!B$22=Report!$A$25,Report!$A$19,'Fuel Equipment'!B$22),Report!$A$18:$L$34,'Actual-CO2 Calculations'!$AK43,FALSE)),0),0)</f>
        <v>0</v>
      </c>
      <c r="C40" s="19">
        <f>IF(AND('Fuel Equipment'!C$44&gt;0,'Fuel Equipment'!C$45&gt;0),IF(AND($A40&gt;='Fuel Equipment'!C$17,$A40&lt;='Fuel Equipment'!C$18),('Fuel Equipment'!C$19*'Fuel Equipment'!C$20*'Fuel Equipment'!C$21)*('Fuel Equipment'!C$45-'Fuel Equipment'!C$44)*
(VLOOKUP(IF('Fuel Equipment'!C$22=Report!$A$25,Report!$A$19,'Fuel Equipment'!C$22),Report!$A$18:$L$34,'Actual-CO2 Calculations'!$AK43,FALSE)),0),0)</f>
        <v>0</v>
      </c>
      <c r="D40" s="19">
        <f>IF(AND('Fuel Equipment'!D$44&gt;0,'Fuel Equipment'!D$45&gt;0),IF(AND($A40&gt;='Fuel Equipment'!D$17,$A40&lt;='Fuel Equipment'!D$18),('Fuel Equipment'!D$19*'Fuel Equipment'!D$20*'Fuel Equipment'!D$21)*('Fuel Equipment'!D$45-'Fuel Equipment'!D$44)*
(VLOOKUP(IF('Fuel Equipment'!D$22=Report!$A$25,Report!$A$19,'Fuel Equipment'!D$22),Report!$A$18:$L$34,'Actual-CO2 Calculations'!$AK43,FALSE)),0),0)</f>
        <v>0</v>
      </c>
      <c r="E40" s="19">
        <f>IF(AND('Fuel Equipment'!E$44&gt;0,'Fuel Equipment'!E$45&gt;0),IF(AND($A40&gt;='Fuel Equipment'!E$17,$A40&lt;='Fuel Equipment'!E$18),('Fuel Equipment'!E$19*'Fuel Equipment'!E$20*'Fuel Equipment'!E$21)*('Fuel Equipment'!E$45-'Fuel Equipment'!E$44)*
(VLOOKUP(IF('Fuel Equipment'!E$22=Report!$A$25,Report!$A$19,'Fuel Equipment'!E$22),Report!$A$18:$L$34,'Actual-CO2 Calculations'!$AK43,FALSE)),0),0)</f>
        <v>0</v>
      </c>
      <c r="F40" s="19">
        <f>IF(AND('Fuel Equipment'!F$44&gt;0,'Fuel Equipment'!F$45&gt;0),IF(AND($A40&gt;='Fuel Equipment'!F$17,$A40&lt;='Fuel Equipment'!F$18),('Fuel Equipment'!F$19*'Fuel Equipment'!F$20*'Fuel Equipment'!F$21)*('Fuel Equipment'!F$45-'Fuel Equipment'!F$44)*
(VLOOKUP(IF('Fuel Equipment'!F$22=Report!$A$25,Report!$A$19,'Fuel Equipment'!F$22),Report!$A$18:$L$34,'Actual-CO2 Calculations'!$AK43,FALSE)),0),0)</f>
        <v>0</v>
      </c>
      <c r="G40" s="19">
        <f>IF(AND('Fuel Equipment'!G$44&gt;0,'Fuel Equipment'!G$45&gt;0),IF(AND($A40&gt;='Fuel Equipment'!G$17,$A40&lt;='Fuel Equipment'!G$18),('Fuel Equipment'!G$19*'Fuel Equipment'!G$20*'Fuel Equipment'!G$21)*('Fuel Equipment'!G$45-'Fuel Equipment'!G$44)*
(VLOOKUP(IF('Fuel Equipment'!G$22=Report!$A$25,Report!$A$19,'Fuel Equipment'!G$22),Report!$A$18:$L$34,'Actual-CO2 Calculations'!$AK43,FALSE)),0),0)</f>
        <v>0</v>
      </c>
      <c r="H40" s="19">
        <f>IF(AND('Fuel Equipment'!H$44&gt;0,'Fuel Equipment'!H$45&gt;0),IF(AND($A40&gt;='Fuel Equipment'!H$17,$A40&lt;='Fuel Equipment'!H$18),('Fuel Equipment'!H$19*'Fuel Equipment'!H$20*'Fuel Equipment'!H$21)*('Fuel Equipment'!H$45-'Fuel Equipment'!H$44)*
(VLOOKUP(IF('Fuel Equipment'!H$22=Report!$A$25,Report!$A$19,'Fuel Equipment'!H$22),Report!$A$18:$L$34,'Actual-CO2 Calculations'!$AK43,FALSE)),0),0)</f>
        <v>0</v>
      </c>
      <c r="I40" s="19">
        <f>IF(AND('Fuel Equipment'!I$44&gt;0,'Fuel Equipment'!I$45&gt;0),IF(AND($A40&gt;='Fuel Equipment'!I$17,$A40&lt;='Fuel Equipment'!I$18),('Fuel Equipment'!I$19*'Fuel Equipment'!I$20*'Fuel Equipment'!I$21)*('Fuel Equipment'!I$45-'Fuel Equipment'!I$44)*
(VLOOKUP(IF('Fuel Equipment'!I$22=Report!$A$25,Report!$A$19,'Fuel Equipment'!I$22),Report!$A$18:$L$34,'Actual-CO2 Calculations'!$AK43,FALSE)),0),0)</f>
        <v>0</v>
      </c>
      <c r="J40" s="19">
        <f>IF(AND('Fuel Equipment'!J$44&gt;0,'Fuel Equipment'!J$45&gt;0),IF(AND($A40&gt;='Fuel Equipment'!J$17,$A40&lt;='Fuel Equipment'!J$18),('Fuel Equipment'!J$19*'Fuel Equipment'!J$20*'Fuel Equipment'!J$21)*('Fuel Equipment'!J$45-'Fuel Equipment'!J$44)*
(VLOOKUP(IF('Fuel Equipment'!J$22=Report!$A$25,Report!$A$19,'Fuel Equipment'!J$22),Report!$A$18:$L$34,'Actual-CO2 Calculations'!$AK43,FALSE)),0),0)</f>
        <v>0</v>
      </c>
      <c r="K40" s="19">
        <f>IF(AND('Fuel Equipment'!K$44&gt;0,'Fuel Equipment'!K$45&gt;0),IF(AND($A40&gt;='Fuel Equipment'!K$17,$A40&lt;='Fuel Equipment'!K$18),('Fuel Equipment'!K$19*'Fuel Equipment'!K$20*'Fuel Equipment'!K$21)*('Fuel Equipment'!K$45-'Fuel Equipment'!K$44)*
(VLOOKUP(IF('Fuel Equipment'!K$22=Report!$A$25,Report!$A$19,'Fuel Equipment'!K$22),Report!$A$18:$L$34,'Actual-CO2 Calculations'!$AK43,FALSE)),0),0)</f>
        <v>0</v>
      </c>
      <c r="L40" s="19">
        <f>IF(AND('Fuel Equipment'!L$44&gt;0,'Fuel Equipment'!L$45&gt;0),IF(AND($A40&gt;='Fuel Equipment'!L$17,$A40&lt;='Fuel Equipment'!L$18),('Fuel Equipment'!L$19*'Fuel Equipment'!L$20*'Fuel Equipment'!L$21)*('Fuel Equipment'!L$45-'Fuel Equipment'!L$44)*
(VLOOKUP(IF('Fuel Equipment'!L$22=Report!$A$25,Report!$A$19,'Fuel Equipment'!L$22),Report!$A$18:$L$34,'Actual-CO2 Calculations'!$AK43,FALSE)),0),0)</f>
        <v>0</v>
      </c>
      <c r="M40" s="19">
        <f>IF(AND('Fuel Equipment'!M$44&gt;0,'Fuel Equipment'!M$45&gt;0),IF(AND($A40&gt;='Fuel Equipment'!M$17,$A40&lt;='Fuel Equipment'!M$18),('Fuel Equipment'!M$19*'Fuel Equipment'!M$20*'Fuel Equipment'!M$21)*('Fuel Equipment'!M$45-'Fuel Equipment'!M$44)*
(VLOOKUP(IF('Fuel Equipment'!M$22=Report!$A$25,Report!$A$19,'Fuel Equipment'!M$22),Report!$A$18:$L$34,'Actual-CO2 Calculations'!$AK43,FALSE)),0),0)</f>
        <v>0</v>
      </c>
      <c r="N40" s="19">
        <f>IF(AND('Fuel Equipment'!N$44&gt;0,'Fuel Equipment'!N$45&gt;0),IF(AND($A40&gt;='Fuel Equipment'!N$17,$A40&lt;='Fuel Equipment'!N$18),('Fuel Equipment'!N$19*'Fuel Equipment'!N$20*'Fuel Equipment'!N$21)*('Fuel Equipment'!N$45-'Fuel Equipment'!N$44)*
(VLOOKUP(IF('Fuel Equipment'!N$22=Report!$A$25,Report!$A$19,'Fuel Equipment'!N$22),Report!$A$18:$L$34,'Actual-CO2 Calculations'!$AK43,FALSE)),0),0)</f>
        <v>0</v>
      </c>
      <c r="O40" s="19">
        <f>IF(AND('Fuel Equipment'!O$44&gt;0,'Fuel Equipment'!O$45&gt;0),IF(AND($A40&gt;='Fuel Equipment'!O$17,$A40&lt;='Fuel Equipment'!O$18),('Fuel Equipment'!O$19*'Fuel Equipment'!O$20*'Fuel Equipment'!O$21)*('Fuel Equipment'!O$45-'Fuel Equipment'!O$44)*
(VLOOKUP(IF('Fuel Equipment'!O$22=Report!$A$25,Report!$A$19,'Fuel Equipment'!O$22),Report!$A$18:$L$34,'Actual-CO2 Calculations'!$AK43,FALSE)),0),0)</f>
        <v>0</v>
      </c>
      <c r="P40" s="19">
        <f>IF(AND('Fuel Equipment'!P$44&gt;0,'Fuel Equipment'!P$45&gt;0),IF(AND($A40&gt;='Fuel Equipment'!P$17,$A40&lt;='Fuel Equipment'!P$18),('Fuel Equipment'!P$19*'Fuel Equipment'!P$20*'Fuel Equipment'!P$21)*('Fuel Equipment'!P$45-'Fuel Equipment'!P$44)*
(VLOOKUP(IF('Fuel Equipment'!P$22=Report!$A$25,Report!$A$19,'Fuel Equipment'!P$22),Report!$A$18:$L$34,'Actual-CO2 Calculations'!$AK43,FALSE)),0),0)</f>
        <v>0</v>
      </c>
      <c r="Q40" s="19">
        <f>IF(AND('Fuel Equipment'!Q$44&gt;0,'Fuel Equipment'!Q$45&gt;0),IF(AND($A40&gt;='Fuel Equipment'!Q$17,$A40&lt;='Fuel Equipment'!Q$18),('Fuel Equipment'!Q$19*'Fuel Equipment'!Q$20*'Fuel Equipment'!Q$21)*('Fuel Equipment'!Q$45-'Fuel Equipment'!Q$44)*
(VLOOKUP(IF('Fuel Equipment'!Q$22=Report!$A$25,Report!$A$19,'Fuel Equipment'!Q$22),Report!$A$18:$L$34,'Actual-CO2 Calculations'!$AK43,FALSE)),0),0)</f>
        <v>0</v>
      </c>
      <c r="R40" s="19">
        <f>IF(AND('Fuel Equipment'!R$44&gt;0,'Fuel Equipment'!R$45&gt;0),IF(AND($A40&gt;='Fuel Equipment'!R$17,$A40&lt;='Fuel Equipment'!R$18),('Fuel Equipment'!R$19*'Fuel Equipment'!R$20*'Fuel Equipment'!R$21)*('Fuel Equipment'!R$45-'Fuel Equipment'!R$44)*
(VLOOKUP(IF('Fuel Equipment'!R$22=Report!$A$25,Report!$A$19,'Fuel Equipment'!R$22),Report!$A$18:$L$34,'Actual-CO2 Calculations'!$AK43,FALSE)),0),0)</f>
        <v>0</v>
      </c>
      <c r="S40" s="19">
        <f>IF(AND('Fuel Equipment'!S$44&gt;0,'Fuel Equipment'!S$45&gt;0),IF(AND($A40&gt;='Fuel Equipment'!S$17,$A40&lt;='Fuel Equipment'!S$18),('Fuel Equipment'!S$19*'Fuel Equipment'!S$20*'Fuel Equipment'!S$21)*('Fuel Equipment'!S$45-'Fuel Equipment'!S$44)*
(VLOOKUP(IF('Fuel Equipment'!S$22=Report!$A$25,Report!$A$19,'Fuel Equipment'!S$22),Report!$A$18:$L$34,'Actual-CO2 Calculations'!$AK43,FALSE)),0),0)</f>
        <v>0</v>
      </c>
      <c r="V40" s="671">
        <f t="shared" si="0"/>
        <v>0</v>
      </c>
    </row>
    <row r="41" spans="1:22">
      <c r="A41" s="21" t="s">
        <v>58</v>
      </c>
      <c r="B41" s="19">
        <f>IF(AND('Fuel Equipment'!B$44&gt;0,'Fuel Equipment'!B$45&gt;0),IF(AND($A41&gt;='Fuel Equipment'!B$17,$A41&lt;='Fuel Equipment'!B$18),('Fuel Equipment'!B$19*'Fuel Equipment'!B$20*'Fuel Equipment'!B$21)*('Fuel Equipment'!B$45-'Fuel Equipment'!B$44)*
(VLOOKUP(IF('Fuel Equipment'!B$22=Report!$A$25,Report!$A$19,'Fuel Equipment'!B$22),Report!$A$18:$L$34,'Actual-CO2 Calculations'!$AK44,FALSE)),0),0)</f>
        <v>0</v>
      </c>
      <c r="C41" s="19">
        <f>IF(AND('Fuel Equipment'!C$44&gt;0,'Fuel Equipment'!C$45&gt;0),IF(AND($A41&gt;='Fuel Equipment'!C$17,$A41&lt;='Fuel Equipment'!C$18),('Fuel Equipment'!C$19*'Fuel Equipment'!C$20*'Fuel Equipment'!C$21)*('Fuel Equipment'!C$45-'Fuel Equipment'!C$44)*
(VLOOKUP(IF('Fuel Equipment'!C$22=Report!$A$25,Report!$A$19,'Fuel Equipment'!C$22),Report!$A$18:$L$34,'Actual-CO2 Calculations'!$AK44,FALSE)),0),0)</f>
        <v>0</v>
      </c>
      <c r="D41" s="19">
        <f>IF(AND('Fuel Equipment'!D$44&gt;0,'Fuel Equipment'!D$45&gt;0),IF(AND($A41&gt;='Fuel Equipment'!D$17,$A41&lt;='Fuel Equipment'!D$18),('Fuel Equipment'!D$19*'Fuel Equipment'!D$20*'Fuel Equipment'!D$21)*('Fuel Equipment'!D$45-'Fuel Equipment'!D$44)*
(VLOOKUP(IF('Fuel Equipment'!D$22=Report!$A$25,Report!$A$19,'Fuel Equipment'!D$22),Report!$A$18:$L$34,'Actual-CO2 Calculations'!$AK44,FALSE)),0),0)</f>
        <v>0</v>
      </c>
      <c r="E41" s="19">
        <f>IF(AND('Fuel Equipment'!E$44&gt;0,'Fuel Equipment'!E$45&gt;0),IF(AND($A41&gt;='Fuel Equipment'!E$17,$A41&lt;='Fuel Equipment'!E$18),('Fuel Equipment'!E$19*'Fuel Equipment'!E$20*'Fuel Equipment'!E$21)*('Fuel Equipment'!E$45-'Fuel Equipment'!E$44)*
(VLOOKUP(IF('Fuel Equipment'!E$22=Report!$A$25,Report!$A$19,'Fuel Equipment'!E$22),Report!$A$18:$L$34,'Actual-CO2 Calculations'!$AK44,FALSE)),0),0)</f>
        <v>0</v>
      </c>
      <c r="F41" s="19">
        <f>IF(AND('Fuel Equipment'!F$44&gt;0,'Fuel Equipment'!F$45&gt;0),IF(AND($A41&gt;='Fuel Equipment'!F$17,$A41&lt;='Fuel Equipment'!F$18),('Fuel Equipment'!F$19*'Fuel Equipment'!F$20*'Fuel Equipment'!F$21)*('Fuel Equipment'!F$45-'Fuel Equipment'!F$44)*
(VLOOKUP(IF('Fuel Equipment'!F$22=Report!$A$25,Report!$A$19,'Fuel Equipment'!F$22),Report!$A$18:$L$34,'Actual-CO2 Calculations'!$AK44,FALSE)),0),0)</f>
        <v>0</v>
      </c>
      <c r="G41" s="19">
        <f>IF(AND('Fuel Equipment'!G$44&gt;0,'Fuel Equipment'!G$45&gt;0),IF(AND($A41&gt;='Fuel Equipment'!G$17,$A41&lt;='Fuel Equipment'!G$18),('Fuel Equipment'!G$19*'Fuel Equipment'!G$20*'Fuel Equipment'!G$21)*('Fuel Equipment'!G$45-'Fuel Equipment'!G$44)*
(VLOOKUP(IF('Fuel Equipment'!G$22=Report!$A$25,Report!$A$19,'Fuel Equipment'!G$22),Report!$A$18:$L$34,'Actual-CO2 Calculations'!$AK44,FALSE)),0),0)</f>
        <v>0</v>
      </c>
      <c r="H41" s="19">
        <f>IF(AND('Fuel Equipment'!H$44&gt;0,'Fuel Equipment'!H$45&gt;0),IF(AND($A41&gt;='Fuel Equipment'!H$17,$A41&lt;='Fuel Equipment'!H$18),('Fuel Equipment'!H$19*'Fuel Equipment'!H$20*'Fuel Equipment'!H$21)*('Fuel Equipment'!H$45-'Fuel Equipment'!H$44)*
(VLOOKUP(IF('Fuel Equipment'!H$22=Report!$A$25,Report!$A$19,'Fuel Equipment'!H$22),Report!$A$18:$L$34,'Actual-CO2 Calculations'!$AK44,FALSE)),0),0)</f>
        <v>0</v>
      </c>
      <c r="I41" s="19">
        <f>IF(AND('Fuel Equipment'!I$44&gt;0,'Fuel Equipment'!I$45&gt;0),IF(AND($A41&gt;='Fuel Equipment'!I$17,$A41&lt;='Fuel Equipment'!I$18),('Fuel Equipment'!I$19*'Fuel Equipment'!I$20*'Fuel Equipment'!I$21)*('Fuel Equipment'!I$45-'Fuel Equipment'!I$44)*
(VLOOKUP(IF('Fuel Equipment'!I$22=Report!$A$25,Report!$A$19,'Fuel Equipment'!I$22),Report!$A$18:$L$34,'Actual-CO2 Calculations'!$AK44,FALSE)),0),0)</f>
        <v>0</v>
      </c>
      <c r="J41" s="19">
        <f>IF(AND('Fuel Equipment'!J$44&gt;0,'Fuel Equipment'!J$45&gt;0),IF(AND($A41&gt;='Fuel Equipment'!J$17,$A41&lt;='Fuel Equipment'!J$18),('Fuel Equipment'!J$19*'Fuel Equipment'!J$20*'Fuel Equipment'!J$21)*('Fuel Equipment'!J$45-'Fuel Equipment'!J$44)*
(VLOOKUP(IF('Fuel Equipment'!J$22=Report!$A$25,Report!$A$19,'Fuel Equipment'!J$22),Report!$A$18:$L$34,'Actual-CO2 Calculations'!$AK44,FALSE)),0),0)</f>
        <v>0</v>
      </c>
      <c r="K41" s="19">
        <f>IF(AND('Fuel Equipment'!K$44&gt;0,'Fuel Equipment'!K$45&gt;0),IF(AND($A41&gt;='Fuel Equipment'!K$17,$A41&lt;='Fuel Equipment'!K$18),('Fuel Equipment'!K$19*'Fuel Equipment'!K$20*'Fuel Equipment'!K$21)*('Fuel Equipment'!K$45-'Fuel Equipment'!K$44)*
(VLOOKUP(IF('Fuel Equipment'!K$22=Report!$A$25,Report!$A$19,'Fuel Equipment'!K$22),Report!$A$18:$L$34,'Actual-CO2 Calculations'!$AK44,FALSE)),0),0)</f>
        <v>0</v>
      </c>
      <c r="L41" s="19">
        <f>IF(AND('Fuel Equipment'!L$44&gt;0,'Fuel Equipment'!L$45&gt;0),IF(AND($A41&gt;='Fuel Equipment'!L$17,$A41&lt;='Fuel Equipment'!L$18),('Fuel Equipment'!L$19*'Fuel Equipment'!L$20*'Fuel Equipment'!L$21)*('Fuel Equipment'!L$45-'Fuel Equipment'!L$44)*
(VLOOKUP(IF('Fuel Equipment'!L$22=Report!$A$25,Report!$A$19,'Fuel Equipment'!L$22),Report!$A$18:$L$34,'Actual-CO2 Calculations'!$AK44,FALSE)),0),0)</f>
        <v>0</v>
      </c>
      <c r="M41" s="19">
        <f>IF(AND('Fuel Equipment'!M$44&gt;0,'Fuel Equipment'!M$45&gt;0),IF(AND($A41&gt;='Fuel Equipment'!M$17,$A41&lt;='Fuel Equipment'!M$18),('Fuel Equipment'!M$19*'Fuel Equipment'!M$20*'Fuel Equipment'!M$21)*('Fuel Equipment'!M$45-'Fuel Equipment'!M$44)*
(VLOOKUP(IF('Fuel Equipment'!M$22=Report!$A$25,Report!$A$19,'Fuel Equipment'!M$22),Report!$A$18:$L$34,'Actual-CO2 Calculations'!$AK44,FALSE)),0),0)</f>
        <v>0</v>
      </c>
      <c r="N41" s="19">
        <f>IF(AND('Fuel Equipment'!N$44&gt;0,'Fuel Equipment'!N$45&gt;0),IF(AND($A41&gt;='Fuel Equipment'!N$17,$A41&lt;='Fuel Equipment'!N$18),('Fuel Equipment'!N$19*'Fuel Equipment'!N$20*'Fuel Equipment'!N$21)*('Fuel Equipment'!N$45-'Fuel Equipment'!N$44)*
(VLOOKUP(IF('Fuel Equipment'!N$22=Report!$A$25,Report!$A$19,'Fuel Equipment'!N$22),Report!$A$18:$L$34,'Actual-CO2 Calculations'!$AK44,FALSE)),0),0)</f>
        <v>0</v>
      </c>
      <c r="O41" s="19">
        <f>IF(AND('Fuel Equipment'!O$44&gt;0,'Fuel Equipment'!O$45&gt;0),IF(AND($A41&gt;='Fuel Equipment'!O$17,$A41&lt;='Fuel Equipment'!O$18),('Fuel Equipment'!O$19*'Fuel Equipment'!O$20*'Fuel Equipment'!O$21)*('Fuel Equipment'!O$45-'Fuel Equipment'!O$44)*
(VLOOKUP(IF('Fuel Equipment'!O$22=Report!$A$25,Report!$A$19,'Fuel Equipment'!O$22),Report!$A$18:$L$34,'Actual-CO2 Calculations'!$AK44,FALSE)),0),0)</f>
        <v>0</v>
      </c>
      <c r="P41" s="19">
        <f>IF(AND('Fuel Equipment'!P$44&gt;0,'Fuel Equipment'!P$45&gt;0),IF(AND($A41&gt;='Fuel Equipment'!P$17,$A41&lt;='Fuel Equipment'!P$18),('Fuel Equipment'!P$19*'Fuel Equipment'!P$20*'Fuel Equipment'!P$21)*('Fuel Equipment'!P$45-'Fuel Equipment'!P$44)*
(VLOOKUP(IF('Fuel Equipment'!P$22=Report!$A$25,Report!$A$19,'Fuel Equipment'!P$22),Report!$A$18:$L$34,'Actual-CO2 Calculations'!$AK44,FALSE)),0),0)</f>
        <v>0</v>
      </c>
      <c r="Q41" s="19">
        <f>IF(AND('Fuel Equipment'!Q$44&gt;0,'Fuel Equipment'!Q$45&gt;0),IF(AND($A41&gt;='Fuel Equipment'!Q$17,$A41&lt;='Fuel Equipment'!Q$18),('Fuel Equipment'!Q$19*'Fuel Equipment'!Q$20*'Fuel Equipment'!Q$21)*('Fuel Equipment'!Q$45-'Fuel Equipment'!Q$44)*
(VLOOKUP(IF('Fuel Equipment'!Q$22=Report!$A$25,Report!$A$19,'Fuel Equipment'!Q$22),Report!$A$18:$L$34,'Actual-CO2 Calculations'!$AK44,FALSE)),0),0)</f>
        <v>0</v>
      </c>
      <c r="R41" s="19">
        <f>IF(AND('Fuel Equipment'!R$44&gt;0,'Fuel Equipment'!R$45&gt;0),IF(AND($A41&gt;='Fuel Equipment'!R$17,$A41&lt;='Fuel Equipment'!R$18),('Fuel Equipment'!R$19*'Fuel Equipment'!R$20*'Fuel Equipment'!R$21)*('Fuel Equipment'!R$45-'Fuel Equipment'!R$44)*
(VLOOKUP(IF('Fuel Equipment'!R$22=Report!$A$25,Report!$A$19,'Fuel Equipment'!R$22),Report!$A$18:$L$34,'Actual-CO2 Calculations'!$AK44,FALSE)),0),0)</f>
        <v>0</v>
      </c>
      <c r="S41" s="19">
        <f>IF(AND('Fuel Equipment'!S$44&gt;0,'Fuel Equipment'!S$45&gt;0),IF(AND($A41&gt;='Fuel Equipment'!S$17,$A41&lt;='Fuel Equipment'!S$18),('Fuel Equipment'!S$19*'Fuel Equipment'!S$20*'Fuel Equipment'!S$21)*('Fuel Equipment'!S$45-'Fuel Equipment'!S$44)*
(VLOOKUP(IF('Fuel Equipment'!S$22=Report!$A$25,Report!$A$19,'Fuel Equipment'!S$22),Report!$A$18:$L$34,'Actual-CO2 Calculations'!$AK44,FALSE)),0),0)</f>
        <v>0</v>
      </c>
      <c r="V41" s="671">
        <f t="shared" si="0"/>
        <v>0</v>
      </c>
    </row>
    <row r="42" spans="1:22">
      <c r="A42" s="21" t="s">
        <v>59</v>
      </c>
      <c r="B42" s="19">
        <f>IF(AND('Fuel Equipment'!B$44&gt;0,'Fuel Equipment'!B$45&gt;0),IF(AND($A42&gt;='Fuel Equipment'!B$17,$A42&lt;='Fuel Equipment'!B$18),('Fuel Equipment'!B$19*'Fuel Equipment'!B$20*'Fuel Equipment'!B$21)*('Fuel Equipment'!B$45-'Fuel Equipment'!B$44)*
(VLOOKUP(IF('Fuel Equipment'!B$22=Report!$A$25,Report!$A$19,'Fuel Equipment'!B$22),Report!$A$18:$L$34,'Actual-CO2 Calculations'!$AK45,FALSE)),0),0)</f>
        <v>0</v>
      </c>
      <c r="C42" s="19">
        <f>IF(AND('Fuel Equipment'!C$44&gt;0,'Fuel Equipment'!C$45&gt;0),IF(AND($A42&gt;='Fuel Equipment'!C$17,$A42&lt;='Fuel Equipment'!C$18),('Fuel Equipment'!C$19*'Fuel Equipment'!C$20*'Fuel Equipment'!C$21)*('Fuel Equipment'!C$45-'Fuel Equipment'!C$44)*
(VLOOKUP(IF('Fuel Equipment'!C$22=Report!$A$25,Report!$A$19,'Fuel Equipment'!C$22),Report!$A$18:$L$34,'Actual-CO2 Calculations'!$AK45,FALSE)),0),0)</f>
        <v>0</v>
      </c>
      <c r="D42" s="19">
        <f>IF(AND('Fuel Equipment'!D$44&gt;0,'Fuel Equipment'!D$45&gt;0),IF(AND($A42&gt;='Fuel Equipment'!D$17,$A42&lt;='Fuel Equipment'!D$18),('Fuel Equipment'!D$19*'Fuel Equipment'!D$20*'Fuel Equipment'!D$21)*('Fuel Equipment'!D$45-'Fuel Equipment'!D$44)*
(VLOOKUP(IF('Fuel Equipment'!D$22=Report!$A$25,Report!$A$19,'Fuel Equipment'!D$22),Report!$A$18:$L$34,'Actual-CO2 Calculations'!$AK45,FALSE)),0),0)</f>
        <v>0</v>
      </c>
      <c r="E42" s="19">
        <f>IF(AND('Fuel Equipment'!E$44&gt;0,'Fuel Equipment'!E$45&gt;0),IF(AND($A42&gt;='Fuel Equipment'!E$17,$A42&lt;='Fuel Equipment'!E$18),('Fuel Equipment'!E$19*'Fuel Equipment'!E$20*'Fuel Equipment'!E$21)*('Fuel Equipment'!E$45-'Fuel Equipment'!E$44)*
(VLOOKUP(IF('Fuel Equipment'!E$22=Report!$A$25,Report!$A$19,'Fuel Equipment'!E$22),Report!$A$18:$L$34,'Actual-CO2 Calculations'!$AK45,FALSE)),0),0)</f>
        <v>0</v>
      </c>
      <c r="F42" s="19">
        <f>IF(AND('Fuel Equipment'!F$44&gt;0,'Fuel Equipment'!F$45&gt;0),IF(AND($A42&gt;='Fuel Equipment'!F$17,$A42&lt;='Fuel Equipment'!F$18),('Fuel Equipment'!F$19*'Fuel Equipment'!F$20*'Fuel Equipment'!F$21)*('Fuel Equipment'!F$45-'Fuel Equipment'!F$44)*
(VLOOKUP(IF('Fuel Equipment'!F$22=Report!$A$25,Report!$A$19,'Fuel Equipment'!F$22),Report!$A$18:$L$34,'Actual-CO2 Calculations'!$AK45,FALSE)),0),0)</f>
        <v>0</v>
      </c>
      <c r="G42" s="19">
        <f>IF(AND('Fuel Equipment'!G$44&gt;0,'Fuel Equipment'!G$45&gt;0),IF(AND($A42&gt;='Fuel Equipment'!G$17,$A42&lt;='Fuel Equipment'!G$18),('Fuel Equipment'!G$19*'Fuel Equipment'!G$20*'Fuel Equipment'!G$21)*('Fuel Equipment'!G$45-'Fuel Equipment'!G$44)*
(VLOOKUP(IF('Fuel Equipment'!G$22=Report!$A$25,Report!$A$19,'Fuel Equipment'!G$22),Report!$A$18:$L$34,'Actual-CO2 Calculations'!$AK45,FALSE)),0),0)</f>
        <v>0</v>
      </c>
      <c r="H42" s="19">
        <f>IF(AND('Fuel Equipment'!H$44&gt;0,'Fuel Equipment'!H$45&gt;0),IF(AND($A42&gt;='Fuel Equipment'!H$17,$A42&lt;='Fuel Equipment'!H$18),('Fuel Equipment'!H$19*'Fuel Equipment'!H$20*'Fuel Equipment'!H$21)*('Fuel Equipment'!H$45-'Fuel Equipment'!H$44)*
(VLOOKUP(IF('Fuel Equipment'!H$22=Report!$A$25,Report!$A$19,'Fuel Equipment'!H$22),Report!$A$18:$L$34,'Actual-CO2 Calculations'!$AK45,FALSE)),0),0)</f>
        <v>0</v>
      </c>
      <c r="I42" s="19">
        <f>IF(AND('Fuel Equipment'!I$44&gt;0,'Fuel Equipment'!I$45&gt;0),IF(AND($A42&gt;='Fuel Equipment'!I$17,$A42&lt;='Fuel Equipment'!I$18),('Fuel Equipment'!I$19*'Fuel Equipment'!I$20*'Fuel Equipment'!I$21)*('Fuel Equipment'!I$45-'Fuel Equipment'!I$44)*
(VLOOKUP(IF('Fuel Equipment'!I$22=Report!$A$25,Report!$A$19,'Fuel Equipment'!I$22),Report!$A$18:$L$34,'Actual-CO2 Calculations'!$AK45,FALSE)),0),0)</f>
        <v>0</v>
      </c>
      <c r="J42" s="19">
        <f>IF(AND('Fuel Equipment'!J$44&gt;0,'Fuel Equipment'!J$45&gt;0),IF(AND($A42&gt;='Fuel Equipment'!J$17,$A42&lt;='Fuel Equipment'!J$18),('Fuel Equipment'!J$19*'Fuel Equipment'!J$20*'Fuel Equipment'!J$21)*('Fuel Equipment'!J$45-'Fuel Equipment'!J$44)*
(VLOOKUP(IF('Fuel Equipment'!J$22=Report!$A$25,Report!$A$19,'Fuel Equipment'!J$22),Report!$A$18:$L$34,'Actual-CO2 Calculations'!$AK45,FALSE)),0),0)</f>
        <v>0</v>
      </c>
      <c r="K42" s="19">
        <f>IF(AND('Fuel Equipment'!K$44&gt;0,'Fuel Equipment'!K$45&gt;0),IF(AND($A42&gt;='Fuel Equipment'!K$17,$A42&lt;='Fuel Equipment'!K$18),('Fuel Equipment'!K$19*'Fuel Equipment'!K$20*'Fuel Equipment'!K$21)*('Fuel Equipment'!K$45-'Fuel Equipment'!K$44)*
(VLOOKUP(IF('Fuel Equipment'!K$22=Report!$A$25,Report!$A$19,'Fuel Equipment'!K$22),Report!$A$18:$L$34,'Actual-CO2 Calculations'!$AK45,FALSE)),0),0)</f>
        <v>0</v>
      </c>
      <c r="L42" s="19">
        <f>IF(AND('Fuel Equipment'!L$44&gt;0,'Fuel Equipment'!L$45&gt;0),IF(AND($A42&gt;='Fuel Equipment'!L$17,$A42&lt;='Fuel Equipment'!L$18),('Fuel Equipment'!L$19*'Fuel Equipment'!L$20*'Fuel Equipment'!L$21)*('Fuel Equipment'!L$45-'Fuel Equipment'!L$44)*
(VLOOKUP(IF('Fuel Equipment'!L$22=Report!$A$25,Report!$A$19,'Fuel Equipment'!L$22),Report!$A$18:$L$34,'Actual-CO2 Calculations'!$AK45,FALSE)),0),0)</f>
        <v>0</v>
      </c>
      <c r="M42" s="19">
        <f>IF(AND('Fuel Equipment'!M$44&gt;0,'Fuel Equipment'!M$45&gt;0),IF(AND($A42&gt;='Fuel Equipment'!M$17,$A42&lt;='Fuel Equipment'!M$18),('Fuel Equipment'!M$19*'Fuel Equipment'!M$20*'Fuel Equipment'!M$21)*('Fuel Equipment'!M$45-'Fuel Equipment'!M$44)*
(VLOOKUP(IF('Fuel Equipment'!M$22=Report!$A$25,Report!$A$19,'Fuel Equipment'!M$22),Report!$A$18:$L$34,'Actual-CO2 Calculations'!$AK45,FALSE)),0),0)</f>
        <v>0</v>
      </c>
      <c r="N42" s="19">
        <f>IF(AND('Fuel Equipment'!N$44&gt;0,'Fuel Equipment'!N$45&gt;0),IF(AND($A42&gt;='Fuel Equipment'!N$17,$A42&lt;='Fuel Equipment'!N$18),('Fuel Equipment'!N$19*'Fuel Equipment'!N$20*'Fuel Equipment'!N$21)*('Fuel Equipment'!N$45-'Fuel Equipment'!N$44)*
(VLOOKUP(IF('Fuel Equipment'!N$22=Report!$A$25,Report!$A$19,'Fuel Equipment'!N$22),Report!$A$18:$L$34,'Actual-CO2 Calculations'!$AK45,FALSE)),0),0)</f>
        <v>0</v>
      </c>
      <c r="O42" s="19">
        <f>IF(AND('Fuel Equipment'!O$44&gt;0,'Fuel Equipment'!O$45&gt;0),IF(AND($A42&gt;='Fuel Equipment'!O$17,$A42&lt;='Fuel Equipment'!O$18),('Fuel Equipment'!O$19*'Fuel Equipment'!O$20*'Fuel Equipment'!O$21)*('Fuel Equipment'!O$45-'Fuel Equipment'!O$44)*
(VLOOKUP(IF('Fuel Equipment'!O$22=Report!$A$25,Report!$A$19,'Fuel Equipment'!O$22),Report!$A$18:$L$34,'Actual-CO2 Calculations'!$AK45,FALSE)),0),0)</f>
        <v>0</v>
      </c>
      <c r="P42" s="19">
        <f>IF(AND('Fuel Equipment'!P$44&gt;0,'Fuel Equipment'!P$45&gt;0),IF(AND($A42&gt;='Fuel Equipment'!P$17,$A42&lt;='Fuel Equipment'!P$18),('Fuel Equipment'!P$19*'Fuel Equipment'!P$20*'Fuel Equipment'!P$21)*('Fuel Equipment'!P$45-'Fuel Equipment'!P$44)*
(VLOOKUP(IF('Fuel Equipment'!P$22=Report!$A$25,Report!$A$19,'Fuel Equipment'!P$22),Report!$A$18:$L$34,'Actual-CO2 Calculations'!$AK45,FALSE)),0),0)</f>
        <v>0</v>
      </c>
      <c r="Q42" s="19">
        <f>IF(AND('Fuel Equipment'!Q$44&gt;0,'Fuel Equipment'!Q$45&gt;0),IF(AND($A42&gt;='Fuel Equipment'!Q$17,$A42&lt;='Fuel Equipment'!Q$18),('Fuel Equipment'!Q$19*'Fuel Equipment'!Q$20*'Fuel Equipment'!Q$21)*('Fuel Equipment'!Q$45-'Fuel Equipment'!Q$44)*
(VLOOKUP(IF('Fuel Equipment'!Q$22=Report!$A$25,Report!$A$19,'Fuel Equipment'!Q$22),Report!$A$18:$L$34,'Actual-CO2 Calculations'!$AK45,FALSE)),0),0)</f>
        <v>0</v>
      </c>
      <c r="R42" s="19">
        <f>IF(AND('Fuel Equipment'!R$44&gt;0,'Fuel Equipment'!R$45&gt;0),IF(AND($A42&gt;='Fuel Equipment'!R$17,$A42&lt;='Fuel Equipment'!R$18),('Fuel Equipment'!R$19*'Fuel Equipment'!R$20*'Fuel Equipment'!R$21)*('Fuel Equipment'!R$45-'Fuel Equipment'!R$44)*
(VLOOKUP(IF('Fuel Equipment'!R$22=Report!$A$25,Report!$A$19,'Fuel Equipment'!R$22),Report!$A$18:$L$34,'Actual-CO2 Calculations'!$AK45,FALSE)),0),0)</f>
        <v>0</v>
      </c>
      <c r="S42" s="19">
        <f>IF(AND('Fuel Equipment'!S$44&gt;0,'Fuel Equipment'!S$45&gt;0),IF(AND($A42&gt;='Fuel Equipment'!S$17,$A42&lt;='Fuel Equipment'!S$18),('Fuel Equipment'!S$19*'Fuel Equipment'!S$20*'Fuel Equipment'!S$21)*('Fuel Equipment'!S$45-'Fuel Equipment'!S$44)*
(VLOOKUP(IF('Fuel Equipment'!S$22=Report!$A$25,Report!$A$19,'Fuel Equipment'!S$22),Report!$A$18:$L$34,'Actual-CO2 Calculations'!$AK45,FALSE)),0),0)</f>
        <v>0</v>
      </c>
      <c r="V42" s="671">
        <f t="shared" si="0"/>
        <v>0</v>
      </c>
    </row>
    <row r="43" spans="1:22">
      <c r="A43" s="21" t="s">
        <v>60</v>
      </c>
      <c r="B43" s="19">
        <f>IF(AND('Fuel Equipment'!B$44&gt;0,'Fuel Equipment'!B$45&gt;0),IF(AND($A43&gt;='Fuel Equipment'!B$17,$A43&lt;='Fuel Equipment'!B$18),('Fuel Equipment'!B$19*'Fuel Equipment'!B$20*'Fuel Equipment'!B$21)*('Fuel Equipment'!B$45-'Fuel Equipment'!B$44)*
(VLOOKUP(IF('Fuel Equipment'!B$22=Report!$A$25,Report!$A$19,'Fuel Equipment'!B$22),Report!$A$18:$L$34,'Actual-CO2 Calculations'!$AK46,FALSE)),0),0)</f>
        <v>0</v>
      </c>
      <c r="C43" s="19">
        <f>IF(AND('Fuel Equipment'!C$44&gt;0,'Fuel Equipment'!C$45&gt;0),IF(AND($A43&gt;='Fuel Equipment'!C$17,$A43&lt;='Fuel Equipment'!C$18),('Fuel Equipment'!C$19*'Fuel Equipment'!C$20*'Fuel Equipment'!C$21)*('Fuel Equipment'!C$45-'Fuel Equipment'!C$44)*
(VLOOKUP(IF('Fuel Equipment'!C$22=Report!$A$25,Report!$A$19,'Fuel Equipment'!C$22),Report!$A$18:$L$34,'Actual-CO2 Calculations'!$AK46,FALSE)),0),0)</f>
        <v>0</v>
      </c>
      <c r="D43" s="19">
        <f>IF(AND('Fuel Equipment'!D$44&gt;0,'Fuel Equipment'!D$45&gt;0),IF(AND($A43&gt;='Fuel Equipment'!D$17,$A43&lt;='Fuel Equipment'!D$18),('Fuel Equipment'!D$19*'Fuel Equipment'!D$20*'Fuel Equipment'!D$21)*('Fuel Equipment'!D$45-'Fuel Equipment'!D$44)*
(VLOOKUP(IF('Fuel Equipment'!D$22=Report!$A$25,Report!$A$19,'Fuel Equipment'!D$22),Report!$A$18:$L$34,'Actual-CO2 Calculations'!$AK46,FALSE)),0),0)</f>
        <v>0</v>
      </c>
      <c r="E43" s="19">
        <f>IF(AND('Fuel Equipment'!E$44&gt;0,'Fuel Equipment'!E$45&gt;0),IF(AND($A43&gt;='Fuel Equipment'!E$17,$A43&lt;='Fuel Equipment'!E$18),('Fuel Equipment'!E$19*'Fuel Equipment'!E$20*'Fuel Equipment'!E$21)*('Fuel Equipment'!E$45-'Fuel Equipment'!E$44)*
(VLOOKUP(IF('Fuel Equipment'!E$22=Report!$A$25,Report!$A$19,'Fuel Equipment'!E$22),Report!$A$18:$L$34,'Actual-CO2 Calculations'!$AK46,FALSE)),0),0)</f>
        <v>0</v>
      </c>
      <c r="F43" s="19">
        <f>IF(AND('Fuel Equipment'!F$44&gt;0,'Fuel Equipment'!F$45&gt;0),IF(AND($A43&gt;='Fuel Equipment'!F$17,$A43&lt;='Fuel Equipment'!F$18),('Fuel Equipment'!F$19*'Fuel Equipment'!F$20*'Fuel Equipment'!F$21)*('Fuel Equipment'!F$45-'Fuel Equipment'!F$44)*
(VLOOKUP(IF('Fuel Equipment'!F$22=Report!$A$25,Report!$A$19,'Fuel Equipment'!F$22),Report!$A$18:$L$34,'Actual-CO2 Calculations'!$AK46,FALSE)),0),0)</f>
        <v>0</v>
      </c>
      <c r="G43" s="19">
        <f>IF(AND('Fuel Equipment'!G$44&gt;0,'Fuel Equipment'!G$45&gt;0),IF(AND($A43&gt;='Fuel Equipment'!G$17,$A43&lt;='Fuel Equipment'!G$18),('Fuel Equipment'!G$19*'Fuel Equipment'!G$20*'Fuel Equipment'!G$21)*('Fuel Equipment'!G$45-'Fuel Equipment'!G$44)*
(VLOOKUP(IF('Fuel Equipment'!G$22=Report!$A$25,Report!$A$19,'Fuel Equipment'!G$22),Report!$A$18:$L$34,'Actual-CO2 Calculations'!$AK46,FALSE)),0),0)</f>
        <v>0</v>
      </c>
      <c r="H43" s="19">
        <f>IF(AND('Fuel Equipment'!H$44&gt;0,'Fuel Equipment'!H$45&gt;0),IF(AND($A43&gt;='Fuel Equipment'!H$17,$A43&lt;='Fuel Equipment'!H$18),('Fuel Equipment'!H$19*'Fuel Equipment'!H$20*'Fuel Equipment'!H$21)*('Fuel Equipment'!H$45-'Fuel Equipment'!H$44)*
(VLOOKUP(IF('Fuel Equipment'!H$22=Report!$A$25,Report!$A$19,'Fuel Equipment'!H$22),Report!$A$18:$L$34,'Actual-CO2 Calculations'!$AK46,FALSE)),0),0)</f>
        <v>0</v>
      </c>
      <c r="I43" s="19">
        <f>IF(AND('Fuel Equipment'!I$44&gt;0,'Fuel Equipment'!I$45&gt;0),IF(AND($A43&gt;='Fuel Equipment'!I$17,$A43&lt;='Fuel Equipment'!I$18),('Fuel Equipment'!I$19*'Fuel Equipment'!I$20*'Fuel Equipment'!I$21)*('Fuel Equipment'!I$45-'Fuel Equipment'!I$44)*
(VLOOKUP(IF('Fuel Equipment'!I$22=Report!$A$25,Report!$A$19,'Fuel Equipment'!I$22),Report!$A$18:$L$34,'Actual-CO2 Calculations'!$AK46,FALSE)),0),0)</f>
        <v>0</v>
      </c>
      <c r="J43" s="19">
        <f>IF(AND('Fuel Equipment'!J$44&gt;0,'Fuel Equipment'!J$45&gt;0),IF(AND($A43&gt;='Fuel Equipment'!J$17,$A43&lt;='Fuel Equipment'!J$18),('Fuel Equipment'!J$19*'Fuel Equipment'!J$20*'Fuel Equipment'!J$21)*('Fuel Equipment'!J$45-'Fuel Equipment'!J$44)*
(VLOOKUP(IF('Fuel Equipment'!J$22=Report!$A$25,Report!$A$19,'Fuel Equipment'!J$22),Report!$A$18:$L$34,'Actual-CO2 Calculations'!$AK46,FALSE)),0),0)</f>
        <v>0</v>
      </c>
      <c r="K43" s="19">
        <f>IF(AND('Fuel Equipment'!K$44&gt;0,'Fuel Equipment'!K$45&gt;0),IF(AND($A43&gt;='Fuel Equipment'!K$17,$A43&lt;='Fuel Equipment'!K$18),('Fuel Equipment'!K$19*'Fuel Equipment'!K$20*'Fuel Equipment'!K$21)*('Fuel Equipment'!K$45-'Fuel Equipment'!K$44)*
(VLOOKUP(IF('Fuel Equipment'!K$22=Report!$A$25,Report!$A$19,'Fuel Equipment'!K$22),Report!$A$18:$L$34,'Actual-CO2 Calculations'!$AK46,FALSE)),0),0)</f>
        <v>0</v>
      </c>
      <c r="L43" s="19">
        <f>IF(AND('Fuel Equipment'!L$44&gt;0,'Fuel Equipment'!L$45&gt;0),IF(AND($A43&gt;='Fuel Equipment'!L$17,$A43&lt;='Fuel Equipment'!L$18),('Fuel Equipment'!L$19*'Fuel Equipment'!L$20*'Fuel Equipment'!L$21)*('Fuel Equipment'!L$45-'Fuel Equipment'!L$44)*
(VLOOKUP(IF('Fuel Equipment'!L$22=Report!$A$25,Report!$A$19,'Fuel Equipment'!L$22),Report!$A$18:$L$34,'Actual-CO2 Calculations'!$AK46,FALSE)),0),0)</f>
        <v>0</v>
      </c>
      <c r="M43" s="19">
        <f>IF(AND('Fuel Equipment'!M$44&gt;0,'Fuel Equipment'!M$45&gt;0),IF(AND($A43&gt;='Fuel Equipment'!M$17,$A43&lt;='Fuel Equipment'!M$18),('Fuel Equipment'!M$19*'Fuel Equipment'!M$20*'Fuel Equipment'!M$21)*('Fuel Equipment'!M$45-'Fuel Equipment'!M$44)*
(VLOOKUP(IF('Fuel Equipment'!M$22=Report!$A$25,Report!$A$19,'Fuel Equipment'!M$22),Report!$A$18:$L$34,'Actual-CO2 Calculations'!$AK46,FALSE)),0),0)</f>
        <v>0</v>
      </c>
      <c r="N43" s="19">
        <f>IF(AND('Fuel Equipment'!N$44&gt;0,'Fuel Equipment'!N$45&gt;0),IF(AND($A43&gt;='Fuel Equipment'!N$17,$A43&lt;='Fuel Equipment'!N$18),('Fuel Equipment'!N$19*'Fuel Equipment'!N$20*'Fuel Equipment'!N$21)*('Fuel Equipment'!N$45-'Fuel Equipment'!N$44)*
(VLOOKUP(IF('Fuel Equipment'!N$22=Report!$A$25,Report!$A$19,'Fuel Equipment'!N$22),Report!$A$18:$L$34,'Actual-CO2 Calculations'!$AK46,FALSE)),0),0)</f>
        <v>0</v>
      </c>
      <c r="O43" s="19">
        <f>IF(AND('Fuel Equipment'!O$44&gt;0,'Fuel Equipment'!O$45&gt;0),IF(AND($A43&gt;='Fuel Equipment'!O$17,$A43&lt;='Fuel Equipment'!O$18),('Fuel Equipment'!O$19*'Fuel Equipment'!O$20*'Fuel Equipment'!O$21)*('Fuel Equipment'!O$45-'Fuel Equipment'!O$44)*
(VLOOKUP(IF('Fuel Equipment'!O$22=Report!$A$25,Report!$A$19,'Fuel Equipment'!O$22),Report!$A$18:$L$34,'Actual-CO2 Calculations'!$AK46,FALSE)),0),0)</f>
        <v>0</v>
      </c>
      <c r="P43" s="19">
        <f>IF(AND('Fuel Equipment'!P$44&gt;0,'Fuel Equipment'!P$45&gt;0),IF(AND($A43&gt;='Fuel Equipment'!P$17,$A43&lt;='Fuel Equipment'!P$18),('Fuel Equipment'!P$19*'Fuel Equipment'!P$20*'Fuel Equipment'!P$21)*('Fuel Equipment'!P$45-'Fuel Equipment'!P$44)*
(VLOOKUP(IF('Fuel Equipment'!P$22=Report!$A$25,Report!$A$19,'Fuel Equipment'!P$22),Report!$A$18:$L$34,'Actual-CO2 Calculations'!$AK46,FALSE)),0),0)</f>
        <v>0</v>
      </c>
      <c r="Q43" s="19">
        <f>IF(AND('Fuel Equipment'!Q$44&gt;0,'Fuel Equipment'!Q$45&gt;0),IF(AND($A43&gt;='Fuel Equipment'!Q$17,$A43&lt;='Fuel Equipment'!Q$18),('Fuel Equipment'!Q$19*'Fuel Equipment'!Q$20*'Fuel Equipment'!Q$21)*('Fuel Equipment'!Q$45-'Fuel Equipment'!Q$44)*
(VLOOKUP(IF('Fuel Equipment'!Q$22=Report!$A$25,Report!$A$19,'Fuel Equipment'!Q$22),Report!$A$18:$L$34,'Actual-CO2 Calculations'!$AK46,FALSE)),0),0)</f>
        <v>0</v>
      </c>
      <c r="R43" s="19">
        <f>IF(AND('Fuel Equipment'!R$44&gt;0,'Fuel Equipment'!R$45&gt;0),IF(AND($A43&gt;='Fuel Equipment'!R$17,$A43&lt;='Fuel Equipment'!R$18),('Fuel Equipment'!R$19*'Fuel Equipment'!R$20*'Fuel Equipment'!R$21)*('Fuel Equipment'!R$45-'Fuel Equipment'!R$44)*
(VLOOKUP(IF('Fuel Equipment'!R$22=Report!$A$25,Report!$A$19,'Fuel Equipment'!R$22),Report!$A$18:$L$34,'Actual-CO2 Calculations'!$AK46,FALSE)),0),0)</f>
        <v>0</v>
      </c>
      <c r="S43" s="19">
        <f>IF(AND('Fuel Equipment'!S$44&gt;0,'Fuel Equipment'!S$45&gt;0),IF(AND($A43&gt;='Fuel Equipment'!S$17,$A43&lt;='Fuel Equipment'!S$18),('Fuel Equipment'!S$19*'Fuel Equipment'!S$20*'Fuel Equipment'!S$21)*('Fuel Equipment'!S$45-'Fuel Equipment'!S$44)*
(VLOOKUP(IF('Fuel Equipment'!S$22=Report!$A$25,Report!$A$19,'Fuel Equipment'!S$22),Report!$A$18:$L$34,'Actual-CO2 Calculations'!$AK46,FALSE)),0),0)</f>
        <v>0</v>
      </c>
      <c r="V43" s="671">
        <f t="shared" si="0"/>
        <v>0</v>
      </c>
    </row>
    <row r="44" spans="1:22">
      <c r="A44" s="21" t="s">
        <v>61</v>
      </c>
      <c r="B44" s="19">
        <f>IF(AND('Fuel Equipment'!B$44&gt;0,'Fuel Equipment'!B$45&gt;0),IF(AND($A44&gt;='Fuel Equipment'!B$17,$A44&lt;='Fuel Equipment'!B$18),('Fuel Equipment'!B$19*'Fuel Equipment'!B$20*'Fuel Equipment'!B$21)*('Fuel Equipment'!B$45-'Fuel Equipment'!B$44)*
(VLOOKUP(IF('Fuel Equipment'!B$22=Report!$A$25,Report!$A$19,'Fuel Equipment'!B$22),Report!$A$18:$L$34,'Actual-CO2 Calculations'!$AK47,FALSE)),0),0)</f>
        <v>0</v>
      </c>
      <c r="C44" s="19">
        <f>IF(AND('Fuel Equipment'!C$44&gt;0,'Fuel Equipment'!C$45&gt;0),IF(AND($A44&gt;='Fuel Equipment'!C$17,$A44&lt;='Fuel Equipment'!C$18),('Fuel Equipment'!C$19*'Fuel Equipment'!C$20*'Fuel Equipment'!C$21)*('Fuel Equipment'!C$45-'Fuel Equipment'!C$44)*
(VLOOKUP(IF('Fuel Equipment'!C$22=Report!$A$25,Report!$A$19,'Fuel Equipment'!C$22),Report!$A$18:$L$34,'Actual-CO2 Calculations'!$AK47,FALSE)),0),0)</f>
        <v>0</v>
      </c>
      <c r="D44" s="19">
        <f>IF(AND('Fuel Equipment'!D$44&gt;0,'Fuel Equipment'!D$45&gt;0),IF(AND($A44&gt;='Fuel Equipment'!D$17,$A44&lt;='Fuel Equipment'!D$18),('Fuel Equipment'!D$19*'Fuel Equipment'!D$20*'Fuel Equipment'!D$21)*('Fuel Equipment'!D$45-'Fuel Equipment'!D$44)*
(VLOOKUP(IF('Fuel Equipment'!D$22=Report!$A$25,Report!$A$19,'Fuel Equipment'!D$22),Report!$A$18:$L$34,'Actual-CO2 Calculations'!$AK47,FALSE)),0),0)</f>
        <v>0</v>
      </c>
      <c r="E44" s="19">
        <f>IF(AND('Fuel Equipment'!E$44&gt;0,'Fuel Equipment'!E$45&gt;0),IF(AND($A44&gt;='Fuel Equipment'!E$17,$A44&lt;='Fuel Equipment'!E$18),('Fuel Equipment'!E$19*'Fuel Equipment'!E$20*'Fuel Equipment'!E$21)*('Fuel Equipment'!E$45-'Fuel Equipment'!E$44)*
(VLOOKUP(IF('Fuel Equipment'!E$22=Report!$A$25,Report!$A$19,'Fuel Equipment'!E$22),Report!$A$18:$L$34,'Actual-CO2 Calculations'!$AK47,FALSE)),0),0)</f>
        <v>0</v>
      </c>
      <c r="F44" s="19">
        <f>IF(AND('Fuel Equipment'!F$44&gt;0,'Fuel Equipment'!F$45&gt;0),IF(AND($A44&gt;='Fuel Equipment'!F$17,$A44&lt;='Fuel Equipment'!F$18),('Fuel Equipment'!F$19*'Fuel Equipment'!F$20*'Fuel Equipment'!F$21)*('Fuel Equipment'!F$45-'Fuel Equipment'!F$44)*
(VLOOKUP(IF('Fuel Equipment'!F$22=Report!$A$25,Report!$A$19,'Fuel Equipment'!F$22),Report!$A$18:$L$34,'Actual-CO2 Calculations'!$AK47,FALSE)),0),0)</f>
        <v>0</v>
      </c>
      <c r="G44" s="19">
        <f>IF(AND('Fuel Equipment'!G$44&gt;0,'Fuel Equipment'!G$45&gt;0),IF(AND($A44&gt;='Fuel Equipment'!G$17,$A44&lt;='Fuel Equipment'!G$18),('Fuel Equipment'!G$19*'Fuel Equipment'!G$20*'Fuel Equipment'!G$21)*('Fuel Equipment'!G$45-'Fuel Equipment'!G$44)*
(VLOOKUP(IF('Fuel Equipment'!G$22=Report!$A$25,Report!$A$19,'Fuel Equipment'!G$22),Report!$A$18:$L$34,'Actual-CO2 Calculations'!$AK47,FALSE)),0),0)</f>
        <v>0</v>
      </c>
      <c r="H44" s="19">
        <f>IF(AND('Fuel Equipment'!H$44&gt;0,'Fuel Equipment'!H$45&gt;0),IF(AND($A44&gt;='Fuel Equipment'!H$17,$A44&lt;='Fuel Equipment'!H$18),('Fuel Equipment'!H$19*'Fuel Equipment'!H$20*'Fuel Equipment'!H$21)*('Fuel Equipment'!H$45-'Fuel Equipment'!H$44)*
(VLOOKUP(IF('Fuel Equipment'!H$22=Report!$A$25,Report!$A$19,'Fuel Equipment'!H$22),Report!$A$18:$L$34,'Actual-CO2 Calculations'!$AK47,FALSE)),0),0)</f>
        <v>0</v>
      </c>
      <c r="I44" s="19">
        <f>IF(AND('Fuel Equipment'!I$44&gt;0,'Fuel Equipment'!I$45&gt;0),IF(AND($A44&gt;='Fuel Equipment'!I$17,$A44&lt;='Fuel Equipment'!I$18),('Fuel Equipment'!I$19*'Fuel Equipment'!I$20*'Fuel Equipment'!I$21)*('Fuel Equipment'!I$45-'Fuel Equipment'!I$44)*
(VLOOKUP(IF('Fuel Equipment'!I$22=Report!$A$25,Report!$A$19,'Fuel Equipment'!I$22),Report!$A$18:$L$34,'Actual-CO2 Calculations'!$AK47,FALSE)),0),0)</f>
        <v>0</v>
      </c>
      <c r="J44" s="19">
        <f>IF(AND('Fuel Equipment'!J$44&gt;0,'Fuel Equipment'!J$45&gt;0),IF(AND($A44&gt;='Fuel Equipment'!J$17,$A44&lt;='Fuel Equipment'!J$18),('Fuel Equipment'!J$19*'Fuel Equipment'!J$20*'Fuel Equipment'!J$21)*('Fuel Equipment'!J$45-'Fuel Equipment'!J$44)*
(VLOOKUP(IF('Fuel Equipment'!J$22=Report!$A$25,Report!$A$19,'Fuel Equipment'!J$22),Report!$A$18:$L$34,'Actual-CO2 Calculations'!$AK47,FALSE)),0),0)</f>
        <v>0</v>
      </c>
      <c r="K44" s="19">
        <f>IF(AND('Fuel Equipment'!K$44&gt;0,'Fuel Equipment'!K$45&gt;0),IF(AND($A44&gt;='Fuel Equipment'!K$17,$A44&lt;='Fuel Equipment'!K$18),('Fuel Equipment'!K$19*'Fuel Equipment'!K$20*'Fuel Equipment'!K$21)*('Fuel Equipment'!K$45-'Fuel Equipment'!K$44)*
(VLOOKUP(IF('Fuel Equipment'!K$22=Report!$A$25,Report!$A$19,'Fuel Equipment'!K$22),Report!$A$18:$L$34,'Actual-CO2 Calculations'!$AK47,FALSE)),0),0)</f>
        <v>0</v>
      </c>
      <c r="L44" s="19">
        <f>IF(AND('Fuel Equipment'!L$44&gt;0,'Fuel Equipment'!L$45&gt;0),IF(AND($A44&gt;='Fuel Equipment'!L$17,$A44&lt;='Fuel Equipment'!L$18),('Fuel Equipment'!L$19*'Fuel Equipment'!L$20*'Fuel Equipment'!L$21)*('Fuel Equipment'!L$45-'Fuel Equipment'!L$44)*
(VLOOKUP(IF('Fuel Equipment'!L$22=Report!$A$25,Report!$A$19,'Fuel Equipment'!L$22),Report!$A$18:$L$34,'Actual-CO2 Calculations'!$AK47,FALSE)),0),0)</f>
        <v>0</v>
      </c>
      <c r="M44" s="19">
        <f>IF(AND('Fuel Equipment'!M$44&gt;0,'Fuel Equipment'!M$45&gt;0),IF(AND($A44&gt;='Fuel Equipment'!M$17,$A44&lt;='Fuel Equipment'!M$18),('Fuel Equipment'!M$19*'Fuel Equipment'!M$20*'Fuel Equipment'!M$21)*('Fuel Equipment'!M$45-'Fuel Equipment'!M$44)*
(VLOOKUP(IF('Fuel Equipment'!M$22=Report!$A$25,Report!$A$19,'Fuel Equipment'!M$22),Report!$A$18:$L$34,'Actual-CO2 Calculations'!$AK47,FALSE)),0),0)</f>
        <v>0</v>
      </c>
      <c r="N44" s="19">
        <f>IF(AND('Fuel Equipment'!N$44&gt;0,'Fuel Equipment'!N$45&gt;0),IF(AND($A44&gt;='Fuel Equipment'!N$17,$A44&lt;='Fuel Equipment'!N$18),('Fuel Equipment'!N$19*'Fuel Equipment'!N$20*'Fuel Equipment'!N$21)*('Fuel Equipment'!N$45-'Fuel Equipment'!N$44)*
(VLOOKUP(IF('Fuel Equipment'!N$22=Report!$A$25,Report!$A$19,'Fuel Equipment'!N$22),Report!$A$18:$L$34,'Actual-CO2 Calculations'!$AK47,FALSE)),0),0)</f>
        <v>0</v>
      </c>
      <c r="O44" s="19">
        <f>IF(AND('Fuel Equipment'!O$44&gt;0,'Fuel Equipment'!O$45&gt;0),IF(AND($A44&gt;='Fuel Equipment'!O$17,$A44&lt;='Fuel Equipment'!O$18),('Fuel Equipment'!O$19*'Fuel Equipment'!O$20*'Fuel Equipment'!O$21)*('Fuel Equipment'!O$45-'Fuel Equipment'!O$44)*
(VLOOKUP(IF('Fuel Equipment'!O$22=Report!$A$25,Report!$A$19,'Fuel Equipment'!O$22),Report!$A$18:$L$34,'Actual-CO2 Calculations'!$AK47,FALSE)),0),0)</f>
        <v>0</v>
      </c>
      <c r="P44" s="19">
        <f>IF(AND('Fuel Equipment'!P$44&gt;0,'Fuel Equipment'!P$45&gt;0),IF(AND($A44&gt;='Fuel Equipment'!P$17,$A44&lt;='Fuel Equipment'!P$18),('Fuel Equipment'!P$19*'Fuel Equipment'!P$20*'Fuel Equipment'!P$21)*('Fuel Equipment'!P$45-'Fuel Equipment'!P$44)*
(VLOOKUP(IF('Fuel Equipment'!P$22=Report!$A$25,Report!$A$19,'Fuel Equipment'!P$22),Report!$A$18:$L$34,'Actual-CO2 Calculations'!$AK47,FALSE)),0),0)</f>
        <v>0</v>
      </c>
      <c r="Q44" s="19">
        <f>IF(AND('Fuel Equipment'!Q$44&gt;0,'Fuel Equipment'!Q$45&gt;0),IF(AND($A44&gt;='Fuel Equipment'!Q$17,$A44&lt;='Fuel Equipment'!Q$18),('Fuel Equipment'!Q$19*'Fuel Equipment'!Q$20*'Fuel Equipment'!Q$21)*('Fuel Equipment'!Q$45-'Fuel Equipment'!Q$44)*
(VLOOKUP(IF('Fuel Equipment'!Q$22=Report!$A$25,Report!$A$19,'Fuel Equipment'!Q$22),Report!$A$18:$L$34,'Actual-CO2 Calculations'!$AK47,FALSE)),0),0)</f>
        <v>0</v>
      </c>
      <c r="R44" s="19">
        <f>IF(AND('Fuel Equipment'!R$44&gt;0,'Fuel Equipment'!R$45&gt;0),IF(AND($A44&gt;='Fuel Equipment'!R$17,$A44&lt;='Fuel Equipment'!R$18),('Fuel Equipment'!R$19*'Fuel Equipment'!R$20*'Fuel Equipment'!R$21)*('Fuel Equipment'!R$45-'Fuel Equipment'!R$44)*
(VLOOKUP(IF('Fuel Equipment'!R$22=Report!$A$25,Report!$A$19,'Fuel Equipment'!R$22),Report!$A$18:$L$34,'Actual-CO2 Calculations'!$AK47,FALSE)),0),0)</f>
        <v>0</v>
      </c>
      <c r="S44" s="19">
        <f>IF(AND('Fuel Equipment'!S$44&gt;0,'Fuel Equipment'!S$45&gt;0),IF(AND($A44&gt;='Fuel Equipment'!S$17,$A44&lt;='Fuel Equipment'!S$18),('Fuel Equipment'!S$19*'Fuel Equipment'!S$20*'Fuel Equipment'!S$21)*('Fuel Equipment'!S$45-'Fuel Equipment'!S$44)*
(VLOOKUP(IF('Fuel Equipment'!S$22=Report!$A$25,Report!$A$19,'Fuel Equipment'!S$22),Report!$A$18:$L$34,'Actual-CO2 Calculations'!$AK47,FALSE)),0),0)</f>
        <v>0</v>
      </c>
      <c r="V44" s="671">
        <f t="shared" si="0"/>
        <v>0</v>
      </c>
    </row>
    <row r="45" spans="1:22">
      <c r="A45" s="21" t="s">
        <v>62</v>
      </c>
      <c r="B45" s="19">
        <f>IF(AND('Fuel Equipment'!B$44&gt;0,'Fuel Equipment'!B$45&gt;0),IF(AND($A45&gt;='Fuel Equipment'!B$17,$A45&lt;='Fuel Equipment'!B$18),('Fuel Equipment'!B$19*'Fuel Equipment'!B$20*'Fuel Equipment'!B$21)*('Fuel Equipment'!B$45-'Fuel Equipment'!B$44)*
(VLOOKUP(IF('Fuel Equipment'!B$22=Report!$A$25,Report!$A$19,'Fuel Equipment'!B$22),Report!$A$18:$L$34,'Actual-CO2 Calculations'!$AK48,FALSE)),0),0)</f>
        <v>0</v>
      </c>
      <c r="C45" s="19">
        <f>IF(AND('Fuel Equipment'!C$44&gt;0,'Fuel Equipment'!C$45&gt;0),IF(AND($A45&gt;='Fuel Equipment'!C$17,$A45&lt;='Fuel Equipment'!C$18),('Fuel Equipment'!C$19*'Fuel Equipment'!C$20*'Fuel Equipment'!C$21)*('Fuel Equipment'!C$45-'Fuel Equipment'!C$44)*
(VLOOKUP(IF('Fuel Equipment'!C$22=Report!$A$25,Report!$A$19,'Fuel Equipment'!C$22),Report!$A$18:$L$34,'Actual-CO2 Calculations'!$AK48,FALSE)),0),0)</f>
        <v>0</v>
      </c>
      <c r="D45" s="19">
        <f>IF(AND('Fuel Equipment'!D$44&gt;0,'Fuel Equipment'!D$45&gt;0),IF(AND($A45&gt;='Fuel Equipment'!D$17,$A45&lt;='Fuel Equipment'!D$18),('Fuel Equipment'!D$19*'Fuel Equipment'!D$20*'Fuel Equipment'!D$21)*('Fuel Equipment'!D$45-'Fuel Equipment'!D$44)*
(VLOOKUP(IF('Fuel Equipment'!D$22=Report!$A$25,Report!$A$19,'Fuel Equipment'!D$22),Report!$A$18:$L$34,'Actual-CO2 Calculations'!$AK48,FALSE)),0),0)</f>
        <v>0</v>
      </c>
      <c r="E45" s="19">
        <f>IF(AND('Fuel Equipment'!E$44&gt;0,'Fuel Equipment'!E$45&gt;0),IF(AND($A45&gt;='Fuel Equipment'!E$17,$A45&lt;='Fuel Equipment'!E$18),('Fuel Equipment'!E$19*'Fuel Equipment'!E$20*'Fuel Equipment'!E$21)*('Fuel Equipment'!E$45-'Fuel Equipment'!E$44)*
(VLOOKUP(IF('Fuel Equipment'!E$22=Report!$A$25,Report!$A$19,'Fuel Equipment'!E$22),Report!$A$18:$L$34,'Actual-CO2 Calculations'!$AK48,FALSE)),0),0)</f>
        <v>0</v>
      </c>
      <c r="F45" s="19">
        <f>IF(AND('Fuel Equipment'!F$44&gt;0,'Fuel Equipment'!F$45&gt;0),IF(AND($A45&gt;='Fuel Equipment'!F$17,$A45&lt;='Fuel Equipment'!F$18),('Fuel Equipment'!F$19*'Fuel Equipment'!F$20*'Fuel Equipment'!F$21)*('Fuel Equipment'!F$45-'Fuel Equipment'!F$44)*
(VLOOKUP(IF('Fuel Equipment'!F$22=Report!$A$25,Report!$A$19,'Fuel Equipment'!F$22),Report!$A$18:$L$34,'Actual-CO2 Calculations'!$AK48,FALSE)),0),0)</f>
        <v>0</v>
      </c>
      <c r="G45" s="19">
        <f>IF(AND('Fuel Equipment'!G$44&gt;0,'Fuel Equipment'!G$45&gt;0),IF(AND($A45&gt;='Fuel Equipment'!G$17,$A45&lt;='Fuel Equipment'!G$18),('Fuel Equipment'!G$19*'Fuel Equipment'!G$20*'Fuel Equipment'!G$21)*('Fuel Equipment'!G$45-'Fuel Equipment'!G$44)*
(VLOOKUP(IF('Fuel Equipment'!G$22=Report!$A$25,Report!$A$19,'Fuel Equipment'!G$22),Report!$A$18:$L$34,'Actual-CO2 Calculations'!$AK48,FALSE)),0),0)</f>
        <v>0</v>
      </c>
      <c r="H45" s="19">
        <f>IF(AND('Fuel Equipment'!H$44&gt;0,'Fuel Equipment'!H$45&gt;0),IF(AND($A45&gt;='Fuel Equipment'!H$17,$A45&lt;='Fuel Equipment'!H$18),('Fuel Equipment'!H$19*'Fuel Equipment'!H$20*'Fuel Equipment'!H$21)*('Fuel Equipment'!H$45-'Fuel Equipment'!H$44)*
(VLOOKUP(IF('Fuel Equipment'!H$22=Report!$A$25,Report!$A$19,'Fuel Equipment'!H$22),Report!$A$18:$L$34,'Actual-CO2 Calculations'!$AK48,FALSE)),0),0)</f>
        <v>0</v>
      </c>
      <c r="I45" s="19">
        <f>IF(AND('Fuel Equipment'!I$44&gt;0,'Fuel Equipment'!I$45&gt;0),IF(AND($A45&gt;='Fuel Equipment'!I$17,$A45&lt;='Fuel Equipment'!I$18),('Fuel Equipment'!I$19*'Fuel Equipment'!I$20*'Fuel Equipment'!I$21)*('Fuel Equipment'!I$45-'Fuel Equipment'!I$44)*
(VLOOKUP(IF('Fuel Equipment'!I$22=Report!$A$25,Report!$A$19,'Fuel Equipment'!I$22),Report!$A$18:$L$34,'Actual-CO2 Calculations'!$AK48,FALSE)),0),0)</f>
        <v>0</v>
      </c>
      <c r="J45" s="19">
        <f>IF(AND('Fuel Equipment'!J$44&gt;0,'Fuel Equipment'!J$45&gt;0),IF(AND($A45&gt;='Fuel Equipment'!J$17,$A45&lt;='Fuel Equipment'!J$18),('Fuel Equipment'!J$19*'Fuel Equipment'!J$20*'Fuel Equipment'!J$21)*('Fuel Equipment'!J$45-'Fuel Equipment'!J$44)*
(VLOOKUP(IF('Fuel Equipment'!J$22=Report!$A$25,Report!$A$19,'Fuel Equipment'!J$22),Report!$A$18:$L$34,'Actual-CO2 Calculations'!$AK48,FALSE)),0),0)</f>
        <v>0</v>
      </c>
      <c r="K45" s="19">
        <f>IF(AND('Fuel Equipment'!K$44&gt;0,'Fuel Equipment'!K$45&gt;0),IF(AND($A45&gt;='Fuel Equipment'!K$17,$A45&lt;='Fuel Equipment'!K$18),('Fuel Equipment'!K$19*'Fuel Equipment'!K$20*'Fuel Equipment'!K$21)*('Fuel Equipment'!K$45-'Fuel Equipment'!K$44)*
(VLOOKUP(IF('Fuel Equipment'!K$22=Report!$A$25,Report!$A$19,'Fuel Equipment'!K$22),Report!$A$18:$L$34,'Actual-CO2 Calculations'!$AK48,FALSE)),0),0)</f>
        <v>0</v>
      </c>
      <c r="L45" s="19">
        <f>IF(AND('Fuel Equipment'!L$44&gt;0,'Fuel Equipment'!L$45&gt;0),IF(AND($A45&gt;='Fuel Equipment'!L$17,$A45&lt;='Fuel Equipment'!L$18),('Fuel Equipment'!L$19*'Fuel Equipment'!L$20*'Fuel Equipment'!L$21)*('Fuel Equipment'!L$45-'Fuel Equipment'!L$44)*
(VLOOKUP(IF('Fuel Equipment'!L$22=Report!$A$25,Report!$A$19,'Fuel Equipment'!L$22),Report!$A$18:$L$34,'Actual-CO2 Calculations'!$AK48,FALSE)),0),0)</f>
        <v>0</v>
      </c>
      <c r="M45" s="19">
        <f>IF(AND('Fuel Equipment'!M$44&gt;0,'Fuel Equipment'!M$45&gt;0),IF(AND($A45&gt;='Fuel Equipment'!M$17,$A45&lt;='Fuel Equipment'!M$18),('Fuel Equipment'!M$19*'Fuel Equipment'!M$20*'Fuel Equipment'!M$21)*('Fuel Equipment'!M$45-'Fuel Equipment'!M$44)*
(VLOOKUP(IF('Fuel Equipment'!M$22=Report!$A$25,Report!$A$19,'Fuel Equipment'!M$22),Report!$A$18:$L$34,'Actual-CO2 Calculations'!$AK48,FALSE)),0),0)</f>
        <v>0</v>
      </c>
      <c r="N45" s="19">
        <f>IF(AND('Fuel Equipment'!N$44&gt;0,'Fuel Equipment'!N$45&gt;0),IF(AND($A45&gt;='Fuel Equipment'!N$17,$A45&lt;='Fuel Equipment'!N$18),('Fuel Equipment'!N$19*'Fuel Equipment'!N$20*'Fuel Equipment'!N$21)*('Fuel Equipment'!N$45-'Fuel Equipment'!N$44)*
(VLOOKUP(IF('Fuel Equipment'!N$22=Report!$A$25,Report!$A$19,'Fuel Equipment'!N$22),Report!$A$18:$L$34,'Actual-CO2 Calculations'!$AK48,FALSE)),0),0)</f>
        <v>0</v>
      </c>
      <c r="O45" s="19">
        <f>IF(AND('Fuel Equipment'!O$44&gt;0,'Fuel Equipment'!O$45&gt;0),IF(AND($A45&gt;='Fuel Equipment'!O$17,$A45&lt;='Fuel Equipment'!O$18),('Fuel Equipment'!O$19*'Fuel Equipment'!O$20*'Fuel Equipment'!O$21)*('Fuel Equipment'!O$45-'Fuel Equipment'!O$44)*
(VLOOKUP(IF('Fuel Equipment'!O$22=Report!$A$25,Report!$A$19,'Fuel Equipment'!O$22),Report!$A$18:$L$34,'Actual-CO2 Calculations'!$AK48,FALSE)),0),0)</f>
        <v>0</v>
      </c>
      <c r="P45" s="19">
        <f>IF(AND('Fuel Equipment'!P$44&gt;0,'Fuel Equipment'!P$45&gt;0),IF(AND($A45&gt;='Fuel Equipment'!P$17,$A45&lt;='Fuel Equipment'!P$18),('Fuel Equipment'!P$19*'Fuel Equipment'!P$20*'Fuel Equipment'!P$21)*('Fuel Equipment'!P$45-'Fuel Equipment'!P$44)*
(VLOOKUP(IF('Fuel Equipment'!P$22=Report!$A$25,Report!$A$19,'Fuel Equipment'!P$22),Report!$A$18:$L$34,'Actual-CO2 Calculations'!$AK48,FALSE)),0),0)</f>
        <v>0</v>
      </c>
      <c r="Q45" s="19">
        <f>IF(AND('Fuel Equipment'!Q$44&gt;0,'Fuel Equipment'!Q$45&gt;0),IF(AND($A45&gt;='Fuel Equipment'!Q$17,$A45&lt;='Fuel Equipment'!Q$18),('Fuel Equipment'!Q$19*'Fuel Equipment'!Q$20*'Fuel Equipment'!Q$21)*('Fuel Equipment'!Q$45-'Fuel Equipment'!Q$44)*
(VLOOKUP(IF('Fuel Equipment'!Q$22=Report!$A$25,Report!$A$19,'Fuel Equipment'!Q$22),Report!$A$18:$L$34,'Actual-CO2 Calculations'!$AK48,FALSE)),0),0)</f>
        <v>0</v>
      </c>
      <c r="R45" s="19">
        <f>IF(AND('Fuel Equipment'!R$44&gt;0,'Fuel Equipment'!R$45&gt;0),IF(AND($A45&gt;='Fuel Equipment'!R$17,$A45&lt;='Fuel Equipment'!R$18),('Fuel Equipment'!R$19*'Fuel Equipment'!R$20*'Fuel Equipment'!R$21)*('Fuel Equipment'!R$45-'Fuel Equipment'!R$44)*
(VLOOKUP(IF('Fuel Equipment'!R$22=Report!$A$25,Report!$A$19,'Fuel Equipment'!R$22),Report!$A$18:$L$34,'Actual-CO2 Calculations'!$AK48,FALSE)),0),0)</f>
        <v>0</v>
      </c>
      <c r="S45" s="19">
        <f>IF(AND('Fuel Equipment'!S$44&gt;0,'Fuel Equipment'!S$45&gt;0),IF(AND($A45&gt;='Fuel Equipment'!S$17,$A45&lt;='Fuel Equipment'!S$18),('Fuel Equipment'!S$19*'Fuel Equipment'!S$20*'Fuel Equipment'!S$21)*('Fuel Equipment'!S$45-'Fuel Equipment'!S$44)*
(VLOOKUP(IF('Fuel Equipment'!S$22=Report!$A$25,Report!$A$19,'Fuel Equipment'!S$22),Report!$A$18:$L$34,'Actual-CO2 Calculations'!$AK48,FALSE)),0),0)</f>
        <v>0</v>
      </c>
      <c r="V45" s="671">
        <f t="shared" si="0"/>
        <v>0</v>
      </c>
    </row>
    <row r="46" spans="1:22">
      <c r="A46" s="21" t="s">
        <v>63</v>
      </c>
      <c r="B46" s="19">
        <f>IF(AND('Fuel Equipment'!B$44&gt;0,'Fuel Equipment'!B$45&gt;0),IF(AND($A46&gt;='Fuel Equipment'!B$17,$A46&lt;='Fuel Equipment'!B$18),('Fuel Equipment'!B$19*'Fuel Equipment'!B$20*'Fuel Equipment'!B$21)*('Fuel Equipment'!B$45-'Fuel Equipment'!B$44)*
(VLOOKUP(IF('Fuel Equipment'!B$22=Report!$A$25,Report!$A$19,'Fuel Equipment'!B$22),Report!$A$18:$L$34,'Actual-CO2 Calculations'!$AK49,FALSE)),0),0)</f>
        <v>0</v>
      </c>
      <c r="C46" s="19">
        <f>IF(AND('Fuel Equipment'!C$44&gt;0,'Fuel Equipment'!C$45&gt;0),IF(AND($A46&gt;='Fuel Equipment'!C$17,$A46&lt;='Fuel Equipment'!C$18),('Fuel Equipment'!C$19*'Fuel Equipment'!C$20*'Fuel Equipment'!C$21)*('Fuel Equipment'!C$45-'Fuel Equipment'!C$44)*
(VLOOKUP(IF('Fuel Equipment'!C$22=Report!$A$25,Report!$A$19,'Fuel Equipment'!C$22),Report!$A$18:$L$34,'Actual-CO2 Calculations'!$AK49,FALSE)),0),0)</f>
        <v>0</v>
      </c>
      <c r="D46" s="19">
        <f>IF(AND('Fuel Equipment'!D$44&gt;0,'Fuel Equipment'!D$45&gt;0),IF(AND($A46&gt;='Fuel Equipment'!D$17,$A46&lt;='Fuel Equipment'!D$18),('Fuel Equipment'!D$19*'Fuel Equipment'!D$20*'Fuel Equipment'!D$21)*('Fuel Equipment'!D$45-'Fuel Equipment'!D$44)*
(VLOOKUP(IF('Fuel Equipment'!D$22=Report!$A$25,Report!$A$19,'Fuel Equipment'!D$22),Report!$A$18:$L$34,'Actual-CO2 Calculations'!$AK49,FALSE)),0),0)</f>
        <v>0</v>
      </c>
      <c r="E46" s="19">
        <f>IF(AND('Fuel Equipment'!E$44&gt;0,'Fuel Equipment'!E$45&gt;0),IF(AND($A46&gt;='Fuel Equipment'!E$17,$A46&lt;='Fuel Equipment'!E$18),('Fuel Equipment'!E$19*'Fuel Equipment'!E$20*'Fuel Equipment'!E$21)*('Fuel Equipment'!E$45-'Fuel Equipment'!E$44)*
(VLOOKUP(IF('Fuel Equipment'!E$22=Report!$A$25,Report!$A$19,'Fuel Equipment'!E$22),Report!$A$18:$L$34,'Actual-CO2 Calculations'!$AK49,FALSE)),0),0)</f>
        <v>0</v>
      </c>
      <c r="F46" s="19">
        <f>IF(AND('Fuel Equipment'!F$44&gt;0,'Fuel Equipment'!F$45&gt;0),IF(AND($A46&gt;='Fuel Equipment'!F$17,$A46&lt;='Fuel Equipment'!F$18),('Fuel Equipment'!F$19*'Fuel Equipment'!F$20*'Fuel Equipment'!F$21)*('Fuel Equipment'!F$45-'Fuel Equipment'!F$44)*
(VLOOKUP(IF('Fuel Equipment'!F$22=Report!$A$25,Report!$A$19,'Fuel Equipment'!F$22),Report!$A$18:$L$34,'Actual-CO2 Calculations'!$AK49,FALSE)),0),0)</f>
        <v>0</v>
      </c>
      <c r="G46" s="19">
        <f>IF(AND('Fuel Equipment'!G$44&gt;0,'Fuel Equipment'!G$45&gt;0),IF(AND($A46&gt;='Fuel Equipment'!G$17,$A46&lt;='Fuel Equipment'!G$18),('Fuel Equipment'!G$19*'Fuel Equipment'!G$20*'Fuel Equipment'!G$21)*('Fuel Equipment'!G$45-'Fuel Equipment'!G$44)*
(VLOOKUP(IF('Fuel Equipment'!G$22=Report!$A$25,Report!$A$19,'Fuel Equipment'!G$22),Report!$A$18:$L$34,'Actual-CO2 Calculations'!$AK49,FALSE)),0),0)</f>
        <v>0</v>
      </c>
      <c r="H46" s="19">
        <f>IF(AND('Fuel Equipment'!H$44&gt;0,'Fuel Equipment'!H$45&gt;0),IF(AND($A46&gt;='Fuel Equipment'!H$17,$A46&lt;='Fuel Equipment'!H$18),('Fuel Equipment'!H$19*'Fuel Equipment'!H$20*'Fuel Equipment'!H$21)*('Fuel Equipment'!H$45-'Fuel Equipment'!H$44)*
(VLOOKUP(IF('Fuel Equipment'!H$22=Report!$A$25,Report!$A$19,'Fuel Equipment'!H$22),Report!$A$18:$L$34,'Actual-CO2 Calculations'!$AK49,FALSE)),0),0)</f>
        <v>0</v>
      </c>
      <c r="I46" s="19">
        <f>IF(AND('Fuel Equipment'!I$44&gt;0,'Fuel Equipment'!I$45&gt;0),IF(AND($A46&gt;='Fuel Equipment'!I$17,$A46&lt;='Fuel Equipment'!I$18),('Fuel Equipment'!I$19*'Fuel Equipment'!I$20*'Fuel Equipment'!I$21)*('Fuel Equipment'!I$45-'Fuel Equipment'!I$44)*
(VLOOKUP(IF('Fuel Equipment'!I$22=Report!$A$25,Report!$A$19,'Fuel Equipment'!I$22),Report!$A$18:$L$34,'Actual-CO2 Calculations'!$AK49,FALSE)),0),0)</f>
        <v>0</v>
      </c>
      <c r="J46" s="19">
        <f>IF(AND('Fuel Equipment'!J$44&gt;0,'Fuel Equipment'!J$45&gt;0),IF(AND($A46&gt;='Fuel Equipment'!J$17,$A46&lt;='Fuel Equipment'!J$18),('Fuel Equipment'!J$19*'Fuel Equipment'!J$20*'Fuel Equipment'!J$21)*('Fuel Equipment'!J$45-'Fuel Equipment'!J$44)*
(VLOOKUP(IF('Fuel Equipment'!J$22=Report!$A$25,Report!$A$19,'Fuel Equipment'!J$22),Report!$A$18:$L$34,'Actual-CO2 Calculations'!$AK49,FALSE)),0),0)</f>
        <v>0</v>
      </c>
      <c r="K46" s="19">
        <f>IF(AND('Fuel Equipment'!K$44&gt;0,'Fuel Equipment'!K$45&gt;0),IF(AND($A46&gt;='Fuel Equipment'!K$17,$A46&lt;='Fuel Equipment'!K$18),('Fuel Equipment'!K$19*'Fuel Equipment'!K$20*'Fuel Equipment'!K$21)*('Fuel Equipment'!K$45-'Fuel Equipment'!K$44)*
(VLOOKUP(IF('Fuel Equipment'!K$22=Report!$A$25,Report!$A$19,'Fuel Equipment'!K$22),Report!$A$18:$L$34,'Actual-CO2 Calculations'!$AK49,FALSE)),0),0)</f>
        <v>0</v>
      </c>
      <c r="L46" s="19">
        <f>IF(AND('Fuel Equipment'!L$44&gt;0,'Fuel Equipment'!L$45&gt;0),IF(AND($A46&gt;='Fuel Equipment'!L$17,$A46&lt;='Fuel Equipment'!L$18),('Fuel Equipment'!L$19*'Fuel Equipment'!L$20*'Fuel Equipment'!L$21)*('Fuel Equipment'!L$45-'Fuel Equipment'!L$44)*
(VLOOKUP(IF('Fuel Equipment'!L$22=Report!$A$25,Report!$A$19,'Fuel Equipment'!L$22),Report!$A$18:$L$34,'Actual-CO2 Calculations'!$AK49,FALSE)),0),0)</f>
        <v>0</v>
      </c>
      <c r="M46" s="19">
        <f>IF(AND('Fuel Equipment'!M$44&gt;0,'Fuel Equipment'!M$45&gt;0),IF(AND($A46&gt;='Fuel Equipment'!M$17,$A46&lt;='Fuel Equipment'!M$18),('Fuel Equipment'!M$19*'Fuel Equipment'!M$20*'Fuel Equipment'!M$21)*('Fuel Equipment'!M$45-'Fuel Equipment'!M$44)*
(VLOOKUP(IF('Fuel Equipment'!M$22=Report!$A$25,Report!$A$19,'Fuel Equipment'!M$22),Report!$A$18:$L$34,'Actual-CO2 Calculations'!$AK49,FALSE)),0),0)</f>
        <v>0</v>
      </c>
      <c r="N46" s="19">
        <f>IF(AND('Fuel Equipment'!N$44&gt;0,'Fuel Equipment'!N$45&gt;0),IF(AND($A46&gt;='Fuel Equipment'!N$17,$A46&lt;='Fuel Equipment'!N$18),('Fuel Equipment'!N$19*'Fuel Equipment'!N$20*'Fuel Equipment'!N$21)*('Fuel Equipment'!N$45-'Fuel Equipment'!N$44)*
(VLOOKUP(IF('Fuel Equipment'!N$22=Report!$A$25,Report!$A$19,'Fuel Equipment'!N$22),Report!$A$18:$L$34,'Actual-CO2 Calculations'!$AK49,FALSE)),0),0)</f>
        <v>0</v>
      </c>
      <c r="O46" s="19">
        <f>IF(AND('Fuel Equipment'!O$44&gt;0,'Fuel Equipment'!O$45&gt;0),IF(AND($A46&gt;='Fuel Equipment'!O$17,$A46&lt;='Fuel Equipment'!O$18),('Fuel Equipment'!O$19*'Fuel Equipment'!O$20*'Fuel Equipment'!O$21)*('Fuel Equipment'!O$45-'Fuel Equipment'!O$44)*
(VLOOKUP(IF('Fuel Equipment'!O$22=Report!$A$25,Report!$A$19,'Fuel Equipment'!O$22),Report!$A$18:$L$34,'Actual-CO2 Calculations'!$AK49,FALSE)),0),0)</f>
        <v>0</v>
      </c>
      <c r="P46" s="19">
        <f>IF(AND('Fuel Equipment'!P$44&gt;0,'Fuel Equipment'!P$45&gt;0),IF(AND($A46&gt;='Fuel Equipment'!P$17,$A46&lt;='Fuel Equipment'!P$18),('Fuel Equipment'!P$19*'Fuel Equipment'!P$20*'Fuel Equipment'!P$21)*('Fuel Equipment'!P$45-'Fuel Equipment'!P$44)*
(VLOOKUP(IF('Fuel Equipment'!P$22=Report!$A$25,Report!$A$19,'Fuel Equipment'!P$22),Report!$A$18:$L$34,'Actual-CO2 Calculations'!$AK49,FALSE)),0),0)</f>
        <v>0</v>
      </c>
      <c r="Q46" s="19">
        <f>IF(AND('Fuel Equipment'!Q$44&gt;0,'Fuel Equipment'!Q$45&gt;0),IF(AND($A46&gt;='Fuel Equipment'!Q$17,$A46&lt;='Fuel Equipment'!Q$18),('Fuel Equipment'!Q$19*'Fuel Equipment'!Q$20*'Fuel Equipment'!Q$21)*('Fuel Equipment'!Q$45-'Fuel Equipment'!Q$44)*
(VLOOKUP(IF('Fuel Equipment'!Q$22=Report!$A$25,Report!$A$19,'Fuel Equipment'!Q$22),Report!$A$18:$L$34,'Actual-CO2 Calculations'!$AK49,FALSE)),0),0)</f>
        <v>0</v>
      </c>
      <c r="R46" s="19">
        <f>IF(AND('Fuel Equipment'!R$44&gt;0,'Fuel Equipment'!R$45&gt;0),IF(AND($A46&gt;='Fuel Equipment'!R$17,$A46&lt;='Fuel Equipment'!R$18),('Fuel Equipment'!R$19*'Fuel Equipment'!R$20*'Fuel Equipment'!R$21)*('Fuel Equipment'!R$45-'Fuel Equipment'!R$44)*
(VLOOKUP(IF('Fuel Equipment'!R$22=Report!$A$25,Report!$A$19,'Fuel Equipment'!R$22),Report!$A$18:$L$34,'Actual-CO2 Calculations'!$AK49,FALSE)),0),0)</f>
        <v>0</v>
      </c>
      <c r="S46" s="19">
        <f>IF(AND('Fuel Equipment'!S$44&gt;0,'Fuel Equipment'!S$45&gt;0),IF(AND($A46&gt;='Fuel Equipment'!S$17,$A46&lt;='Fuel Equipment'!S$18),('Fuel Equipment'!S$19*'Fuel Equipment'!S$20*'Fuel Equipment'!S$21)*('Fuel Equipment'!S$45-'Fuel Equipment'!S$44)*
(VLOOKUP(IF('Fuel Equipment'!S$22=Report!$A$25,Report!$A$19,'Fuel Equipment'!S$22),Report!$A$18:$L$34,'Actual-CO2 Calculations'!$AK49,FALSE)),0),0)</f>
        <v>0</v>
      </c>
      <c r="V46" s="671">
        <f t="shared" si="0"/>
        <v>0</v>
      </c>
    </row>
    <row r="47" spans="1:22">
      <c r="A47" s="21" t="s">
        <v>64</v>
      </c>
      <c r="B47" s="19">
        <f>IF(AND('Fuel Equipment'!B$44&gt;0,'Fuel Equipment'!B$45&gt;0),IF(AND($A47&gt;='Fuel Equipment'!B$17,$A47&lt;='Fuel Equipment'!B$18),('Fuel Equipment'!B$19*'Fuel Equipment'!B$20*'Fuel Equipment'!B$21)*('Fuel Equipment'!B$45-'Fuel Equipment'!B$44)*
(VLOOKUP(IF('Fuel Equipment'!B$22=Report!$A$25,Report!$A$19,'Fuel Equipment'!B$22),Report!$A$18:$L$34,'Actual-CO2 Calculations'!$AK50,FALSE)),0),0)</f>
        <v>0</v>
      </c>
      <c r="C47" s="19">
        <f>IF(AND('Fuel Equipment'!C$44&gt;0,'Fuel Equipment'!C$45&gt;0),IF(AND($A47&gt;='Fuel Equipment'!C$17,$A47&lt;='Fuel Equipment'!C$18),('Fuel Equipment'!C$19*'Fuel Equipment'!C$20*'Fuel Equipment'!C$21)*('Fuel Equipment'!C$45-'Fuel Equipment'!C$44)*
(VLOOKUP(IF('Fuel Equipment'!C$22=Report!$A$25,Report!$A$19,'Fuel Equipment'!C$22),Report!$A$18:$L$34,'Actual-CO2 Calculations'!$AK50,FALSE)),0),0)</f>
        <v>0</v>
      </c>
      <c r="D47" s="19">
        <f>IF(AND('Fuel Equipment'!D$44&gt;0,'Fuel Equipment'!D$45&gt;0),IF(AND($A47&gt;='Fuel Equipment'!D$17,$A47&lt;='Fuel Equipment'!D$18),('Fuel Equipment'!D$19*'Fuel Equipment'!D$20*'Fuel Equipment'!D$21)*('Fuel Equipment'!D$45-'Fuel Equipment'!D$44)*
(VLOOKUP(IF('Fuel Equipment'!D$22=Report!$A$25,Report!$A$19,'Fuel Equipment'!D$22),Report!$A$18:$L$34,'Actual-CO2 Calculations'!$AK50,FALSE)),0),0)</f>
        <v>0</v>
      </c>
      <c r="E47" s="19">
        <f>IF(AND('Fuel Equipment'!E$44&gt;0,'Fuel Equipment'!E$45&gt;0),IF(AND($A47&gt;='Fuel Equipment'!E$17,$A47&lt;='Fuel Equipment'!E$18),('Fuel Equipment'!E$19*'Fuel Equipment'!E$20*'Fuel Equipment'!E$21)*('Fuel Equipment'!E$45-'Fuel Equipment'!E$44)*
(VLOOKUP(IF('Fuel Equipment'!E$22=Report!$A$25,Report!$A$19,'Fuel Equipment'!E$22),Report!$A$18:$L$34,'Actual-CO2 Calculations'!$AK50,FALSE)),0),0)</f>
        <v>0</v>
      </c>
      <c r="F47" s="19">
        <f>IF(AND('Fuel Equipment'!F$44&gt;0,'Fuel Equipment'!F$45&gt;0),IF(AND($A47&gt;='Fuel Equipment'!F$17,$A47&lt;='Fuel Equipment'!F$18),('Fuel Equipment'!F$19*'Fuel Equipment'!F$20*'Fuel Equipment'!F$21)*('Fuel Equipment'!F$45-'Fuel Equipment'!F$44)*
(VLOOKUP(IF('Fuel Equipment'!F$22=Report!$A$25,Report!$A$19,'Fuel Equipment'!F$22),Report!$A$18:$L$34,'Actual-CO2 Calculations'!$AK50,FALSE)),0),0)</f>
        <v>0</v>
      </c>
      <c r="G47" s="19">
        <f>IF(AND('Fuel Equipment'!G$44&gt;0,'Fuel Equipment'!G$45&gt;0),IF(AND($A47&gt;='Fuel Equipment'!G$17,$A47&lt;='Fuel Equipment'!G$18),('Fuel Equipment'!G$19*'Fuel Equipment'!G$20*'Fuel Equipment'!G$21)*('Fuel Equipment'!G$45-'Fuel Equipment'!G$44)*
(VLOOKUP(IF('Fuel Equipment'!G$22=Report!$A$25,Report!$A$19,'Fuel Equipment'!G$22),Report!$A$18:$L$34,'Actual-CO2 Calculations'!$AK50,FALSE)),0),0)</f>
        <v>0</v>
      </c>
      <c r="H47" s="19">
        <f>IF(AND('Fuel Equipment'!H$44&gt;0,'Fuel Equipment'!H$45&gt;0),IF(AND($A47&gt;='Fuel Equipment'!H$17,$A47&lt;='Fuel Equipment'!H$18),('Fuel Equipment'!H$19*'Fuel Equipment'!H$20*'Fuel Equipment'!H$21)*('Fuel Equipment'!H$45-'Fuel Equipment'!H$44)*
(VLOOKUP(IF('Fuel Equipment'!H$22=Report!$A$25,Report!$A$19,'Fuel Equipment'!H$22),Report!$A$18:$L$34,'Actual-CO2 Calculations'!$AK50,FALSE)),0),0)</f>
        <v>0</v>
      </c>
      <c r="I47" s="19">
        <f>IF(AND('Fuel Equipment'!I$44&gt;0,'Fuel Equipment'!I$45&gt;0),IF(AND($A47&gt;='Fuel Equipment'!I$17,$A47&lt;='Fuel Equipment'!I$18),('Fuel Equipment'!I$19*'Fuel Equipment'!I$20*'Fuel Equipment'!I$21)*('Fuel Equipment'!I$45-'Fuel Equipment'!I$44)*
(VLOOKUP(IF('Fuel Equipment'!I$22=Report!$A$25,Report!$A$19,'Fuel Equipment'!I$22),Report!$A$18:$L$34,'Actual-CO2 Calculations'!$AK50,FALSE)),0),0)</f>
        <v>0</v>
      </c>
      <c r="J47" s="19">
        <f>IF(AND('Fuel Equipment'!J$44&gt;0,'Fuel Equipment'!J$45&gt;0),IF(AND($A47&gt;='Fuel Equipment'!J$17,$A47&lt;='Fuel Equipment'!J$18),('Fuel Equipment'!J$19*'Fuel Equipment'!J$20*'Fuel Equipment'!J$21)*('Fuel Equipment'!J$45-'Fuel Equipment'!J$44)*
(VLOOKUP(IF('Fuel Equipment'!J$22=Report!$A$25,Report!$A$19,'Fuel Equipment'!J$22),Report!$A$18:$L$34,'Actual-CO2 Calculations'!$AK50,FALSE)),0),0)</f>
        <v>0</v>
      </c>
      <c r="K47" s="19">
        <f>IF(AND('Fuel Equipment'!K$44&gt;0,'Fuel Equipment'!K$45&gt;0),IF(AND($A47&gt;='Fuel Equipment'!K$17,$A47&lt;='Fuel Equipment'!K$18),('Fuel Equipment'!K$19*'Fuel Equipment'!K$20*'Fuel Equipment'!K$21)*('Fuel Equipment'!K$45-'Fuel Equipment'!K$44)*
(VLOOKUP(IF('Fuel Equipment'!K$22=Report!$A$25,Report!$A$19,'Fuel Equipment'!K$22),Report!$A$18:$L$34,'Actual-CO2 Calculations'!$AK50,FALSE)),0),0)</f>
        <v>0</v>
      </c>
      <c r="L47" s="19">
        <f>IF(AND('Fuel Equipment'!L$44&gt;0,'Fuel Equipment'!L$45&gt;0),IF(AND($A47&gt;='Fuel Equipment'!L$17,$A47&lt;='Fuel Equipment'!L$18),('Fuel Equipment'!L$19*'Fuel Equipment'!L$20*'Fuel Equipment'!L$21)*('Fuel Equipment'!L$45-'Fuel Equipment'!L$44)*
(VLOOKUP(IF('Fuel Equipment'!L$22=Report!$A$25,Report!$A$19,'Fuel Equipment'!L$22),Report!$A$18:$L$34,'Actual-CO2 Calculations'!$AK50,FALSE)),0),0)</f>
        <v>0</v>
      </c>
      <c r="M47" s="19">
        <f>IF(AND('Fuel Equipment'!M$44&gt;0,'Fuel Equipment'!M$45&gt;0),IF(AND($A47&gt;='Fuel Equipment'!M$17,$A47&lt;='Fuel Equipment'!M$18),('Fuel Equipment'!M$19*'Fuel Equipment'!M$20*'Fuel Equipment'!M$21)*('Fuel Equipment'!M$45-'Fuel Equipment'!M$44)*
(VLOOKUP(IF('Fuel Equipment'!M$22=Report!$A$25,Report!$A$19,'Fuel Equipment'!M$22),Report!$A$18:$L$34,'Actual-CO2 Calculations'!$AK50,FALSE)),0),0)</f>
        <v>0</v>
      </c>
      <c r="N47" s="19">
        <f>IF(AND('Fuel Equipment'!N$44&gt;0,'Fuel Equipment'!N$45&gt;0),IF(AND($A47&gt;='Fuel Equipment'!N$17,$A47&lt;='Fuel Equipment'!N$18),('Fuel Equipment'!N$19*'Fuel Equipment'!N$20*'Fuel Equipment'!N$21)*('Fuel Equipment'!N$45-'Fuel Equipment'!N$44)*
(VLOOKUP(IF('Fuel Equipment'!N$22=Report!$A$25,Report!$A$19,'Fuel Equipment'!N$22),Report!$A$18:$L$34,'Actual-CO2 Calculations'!$AK50,FALSE)),0),0)</f>
        <v>0</v>
      </c>
      <c r="O47" s="19">
        <f>IF(AND('Fuel Equipment'!O$44&gt;0,'Fuel Equipment'!O$45&gt;0),IF(AND($A47&gt;='Fuel Equipment'!O$17,$A47&lt;='Fuel Equipment'!O$18),('Fuel Equipment'!O$19*'Fuel Equipment'!O$20*'Fuel Equipment'!O$21)*('Fuel Equipment'!O$45-'Fuel Equipment'!O$44)*
(VLOOKUP(IF('Fuel Equipment'!O$22=Report!$A$25,Report!$A$19,'Fuel Equipment'!O$22),Report!$A$18:$L$34,'Actual-CO2 Calculations'!$AK50,FALSE)),0),0)</f>
        <v>0</v>
      </c>
      <c r="P47" s="19">
        <f>IF(AND('Fuel Equipment'!P$44&gt;0,'Fuel Equipment'!P$45&gt;0),IF(AND($A47&gt;='Fuel Equipment'!P$17,$A47&lt;='Fuel Equipment'!P$18),('Fuel Equipment'!P$19*'Fuel Equipment'!P$20*'Fuel Equipment'!P$21)*('Fuel Equipment'!P$45-'Fuel Equipment'!P$44)*
(VLOOKUP(IF('Fuel Equipment'!P$22=Report!$A$25,Report!$A$19,'Fuel Equipment'!P$22),Report!$A$18:$L$34,'Actual-CO2 Calculations'!$AK50,FALSE)),0),0)</f>
        <v>0</v>
      </c>
      <c r="Q47" s="19">
        <f>IF(AND('Fuel Equipment'!Q$44&gt;0,'Fuel Equipment'!Q$45&gt;0),IF(AND($A47&gt;='Fuel Equipment'!Q$17,$A47&lt;='Fuel Equipment'!Q$18),('Fuel Equipment'!Q$19*'Fuel Equipment'!Q$20*'Fuel Equipment'!Q$21)*('Fuel Equipment'!Q$45-'Fuel Equipment'!Q$44)*
(VLOOKUP(IF('Fuel Equipment'!Q$22=Report!$A$25,Report!$A$19,'Fuel Equipment'!Q$22),Report!$A$18:$L$34,'Actual-CO2 Calculations'!$AK50,FALSE)),0),0)</f>
        <v>0</v>
      </c>
      <c r="R47" s="19">
        <f>IF(AND('Fuel Equipment'!R$44&gt;0,'Fuel Equipment'!R$45&gt;0),IF(AND($A47&gt;='Fuel Equipment'!R$17,$A47&lt;='Fuel Equipment'!R$18),('Fuel Equipment'!R$19*'Fuel Equipment'!R$20*'Fuel Equipment'!R$21)*('Fuel Equipment'!R$45-'Fuel Equipment'!R$44)*
(VLOOKUP(IF('Fuel Equipment'!R$22=Report!$A$25,Report!$A$19,'Fuel Equipment'!R$22),Report!$A$18:$L$34,'Actual-CO2 Calculations'!$AK50,FALSE)),0),0)</f>
        <v>0</v>
      </c>
      <c r="S47" s="19">
        <f>IF(AND('Fuel Equipment'!S$44&gt;0,'Fuel Equipment'!S$45&gt;0),IF(AND($A47&gt;='Fuel Equipment'!S$17,$A47&lt;='Fuel Equipment'!S$18),('Fuel Equipment'!S$19*'Fuel Equipment'!S$20*'Fuel Equipment'!S$21)*('Fuel Equipment'!S$45-'Fuel Equipment'!S$44)*
(VLOOKUP(IF('Fuel Equipment'!S$22=Report!$A$25,Report!$A$19,'Fuel Equipment'!S$22),Report!$A$18:$L$34,'Actual-CO2 Calculations'!$AK50,FALSE)),0),0)</f>
        <v>0</v>
      </c>
      <c r="V47" s="671">
        <f t="shared" si="0"/>
        <v>0</v>
      </c>
    </row>
    <row r="48" spans="1:22">
      <c r="A48" s="21" t="s">
        <v>65</v>
      </c>
      <c r="B48" s="19">
        <f>IF(AND('Fuel Equipment'!B$44&gt;0,'Fuel Equipment'!B$45&gt;0),IF(AND($A48&gt;='Fuel Equipment'!B$17,$A48&lt;='Fuel Equipment'!B$18),('Fuel Equipment'!B$19*'Fuel Equipment'!B$20*'Fuel Equipment'!B$21)*('Fuel Equipment'!B$45-'Fuel Equipment'!B$44)*
(VLOOKUP(IF('Fuel Equipment'!B$22=Report!$A$25,Report!$A$19,'Fuel Equipment'!B$22),Report!$A$18:$L$34,'Actual-CO2 Calculations'!$AK51,FALSE)),0),0)</f>
        <v>0</v>
      </c>
      <c r="C48" s="19">
        <f>IF(AND('Fuel Equipment'!C$44&gt;0,'Fuel Equipment'!C$45&gt;0),IF(AND($A48&gt;='Fuel Equipment'!C$17,$A48&lt;='Fuel Equipment'!C$18),('Fuel Equipment'!C$19*'Fuel Equipment'!C$20*'Fuel Equipment'!C$21)*('Fuel Equipment'!C$45-'Fuel Equipment'!C$44)*
(VLOOKUP(IF('Fuel Equipment'!C$22=Report!$A$25,Report!$A$19,'Fuel Equipment'!C$22),Report!$A$18:$L$34,'Actual-CO2 Calculations'!$AK51,FALSE)),0),0)</f>
        <v>0</v>
      </c>
      <c r="D48" s="19">
        <f>IF(AND('Fuel Equipment'!D$44&gt;0,'Fuel Equipment'!D$45&gt;0),IF(AND($A48&gt;='Fuel Equipment'!D$17,$A48&lt;='Fuel Equipment'!D$18),('Fuel Equipment'!D$19*'Fuel Equipment'!D$20*'Fuel Equipment'!D$21)*('Fuel Equipment'!D$45-'Fuel Equipment'!D$44)*
(VLOOKUP(IF('Fuel Equipment'!D$22=Report!$A$25,Report!$A$19,'Fuel Equipment'!D$22),Report!$A$18:$L$34,'Actual-CO2 Calculations'!$AK51,FALSE)),0),0)</f>
        <v>0</v>
      </c>
      <c r="E48" s="19">
        <f>IF(AND('Fuel Equipment'!E$44&gt;0,'Fuel Equipment'!E$45&gt;0),IF(AND($A48&gt;='Fuel Equipment'!E$17,$A48&lt;='Fuel Equipment'!E$18),('Fuel Equipment'!E$19*'Fuel Equipment'!E$20*'Fuel Equipment'!E$21)*('Fuel Equipment'!E$45-'Fuel Equipment'!E$44)*
(VLOOKUP(IF('Fuel Equipment'!E$22=Report!$A$25,Report!$A$19,'Fuel Equipment'!E$22),Report!$A$18:$L$34,'Actual-CO2 Calculations'!$AK51,FALSE)),0),0)</f>
        <v>0</v>
      </c>
      <c r="F48" s="19">
        <f>IF(AND('Fuel Equipment'!F$44&gt;0,'Fuel Equipment'!F$45&gt;0),IF(AND($A48&gt;='Fuel Equipment'!F$17,$A48&lt;='Fuel Equipment'!F$18),('Fuel Equipment'!F$19*'Fuel Equipment'!F$20*'Fuel Equipment'!F$21)*('Fuel Equipment'!F$45-'Fuel Equipment'!F$44)*
(VLOOKUP(IF('Fuel Equipment'!F$22=Report!$A$25,Report!$A$19,'Fuel Equipment'!F$22),Report!$A$18:$L$34,'Actual-CO2 Calculations'!$AK51,FALSE)),0),0)</f>
        <v>0</v>
      </c>
      <c r="G48" s="19">
        <f>IF(AND('Fuel Equipment'!G$44&gt;0,'Fuel Equipment'!G$45&gt;0),IF(AND($A48&gt;='Fuel Equipment'!G$17,$A48&lt;='Fuel Equipment'!G$18),('Fuel Equipment'!G$19*'Fuel Equipment'!G$20*'Fuel Equipment'!G$21)*('Fuel Equipment'!G$45-'Fuel Equipment'!G$44)*
(VLOOKUP(IF('Fuel Equipment'!G$22=Report!$A$25,Report!$A$19,'Fuel Equipment'!G$22),Report!$A$18:$L$34,'Actual-CO2 Calculations'!$AK51,FALSE)),0),0)</f>
        <v>0</v>
      </c>
      <c r="H48" s="19">
        <f>IF(AND('Fuel Equipment'!H$44&gt;0,'Fuel Equipment'!H$45&gt;0),IF(AND($A48&gt;='Fuel Equipment'!H$17,$A48&lt;='Fuel Equipment'!H$18),('Fuel Equipment'!H$19*'Fuel Equipment'!H$20*'Fuel Equipment'!H$21)*('Fuel Equipment'!H$45-'Fuel Equipment'!H$44)*
(VLOOKUP(IF('Fuel Equipment'!H$22=Report!$A$25,Report!$A$19,'Fuel Equipment'!H$22),Report!$A$18:$L$34,'Actual-CO2 Calculations'!$AK51,FALSE)),0),0)</f>
        <v>0</v>
      </c>
      <c r="I48" s="19">
        <f>IF(AND('Fuel Equipment'!I$44&gt;0,'Fuel Equipment'!I$45&gt;0),IF(AND($A48&gt;='Fuel Equipment'!I$17,$A48&lt;='Fuel Equipment'!I$18),('Fuel Equipment'!I$19*'Fuel Equipment'!I$20*'Fuel Equipment'!I$21)*('Fuel Equipment'!I$45-'Fuel Equipment'!I$44)*
(VLOOKUP(IF('Fuel Equipment'!I$22=Report!$A$25,Report!$A$19,'Fuel Equipment'!I$22),Report!$A$18:$L$34,'Actual-CO2 Calculations'!$AK51,FALSE)),0),0)</f>
        <v>0</v>
      </c>
      <c r="J48" s="19">
        <f>IF(AND('Fuel Equipment'!J$44&gt;0,'Fuel Equipment'!J$45&gt;0),IF(AND($A48&gt;='Fuel Equipment'!J$17,$A48&lt;='Fuel Equipment'!J$18),('Fuel Equipment'!J$19*'Fuel Equipment'!J$20*'Fuel Equipment'!J$21)*('Fuel Equipment'!J$45-'Fuel Equipment'!J$44)*
(VLOOKUP(IF('Fuel Equipment'!J$22=Report!$A$25,Report!$A$19,'Fuel Equipment'!J$22),Report!$A$18:$L$34,'Actual-CO2 Calculations'!$AK51,FALSE)),0),0)</f>
        <v>0</v>
      </c>
      <c r="K48" s="19">
        <f>IF(AND('Fuel Equipment'!K$44&gt;0,'Fuel Equipment'!K$45&gt;0),IF(AND($A48&gt;='Fuel Equipment'!K$17,$A48&lt;='Fuel Equipment'!K$18),('Fuel Equipment'!K$19*'Fuel Equipment'!K$20*'Fuel Equipment'!K$21)*('Fuel Equipment'!K$45-'Fuel Equipment'!K$44)*
(VLOOKUP(IF('Fuel Equipment'!K$22=Report!$A$25,Report!$A$19,'Fuel Equipment'!K$22),Report!$A$18:$L$34,'Actual-CO2 Calculations'!$AK51,FALSE)),0),0)</f>
        <v>0</v>
      </c>
      <c r="L48" s="19">
        <f>IF(AND('Fuel Equipment'!L$44&gt;0,'Fuel Equipment'!L$45&gt;0),IF(AND($A48&gt;='Fuel Equipment'!L$17,$A48&lt;='Fuel Equipment'!L$18),('Fuel Equipment'!L$19*'Fuel Equipment'!L$20*'Fuel Equipment'!L$21)*('Fuel Equipment'!L$45-'Fuel Equipment'!L$44)*
(VLOOKUP(IF('Fuel Equipment'!L$22=Report!$A$25,Report!$A$19,'Fuel Equipment'!L$22),Report!$A$18:$L$34,'Actual-CO2 Calculations'!$AK51,FALSE)),0),0)</f>
        <v>0</v>
      </c>
      <c r="M48" s="19">
        <f>IF(AND('Fuel Equipment'!M$44&gt;0,'Fuel Equipment'!M$45&gt;0),IF(AND($A48&gt;='Fuel Equipment'!M$17,$A48&lt;='Fuel Equipment'!M$18),('Fuel Equipment'!M$19*'Fuel Equipment'!M$20*'Fuel Equipment'!M$21)*('Fuel Equipment'!M$45-'Fuel Equipment'!M$44)*
(VLOOKUP(IF('Fuel Equipment'!M$22=Report!$A$25,Report!$A$19,'Fuel Equipment'!M$22),Report!$A$18:$L$34,'Actual-CO2 Calculations'!$AK51,FALSE)),0),0)</f>
        <v>0</v>
      </c>
      <c r="N48" s="19">
        <f>IF(AND('Fuel Equipment'!N$44&gt;0,'Fuel Equipment'!N$45&gt;0),IF(AND($A48&gt;='Fuel Equipment'!N$17,$A48&lt;='Fuel Equipment'!N$18),('Fuel Equipment'!N$19*'Fuel Equipment'!N$20*'Fuel Equipment'!N$21)*('Fuel Equipment'!N$45-'Fuel Equipment'!N$44)*
(VLOOKUP(IF('Fuel Equipment'!N$22=Report!$A$25,Report!$A$19,'Fuel Equipment'!N$22),Report!$A$18:$L$34,'Actual-CO2 Calculations'!$AK51,FALSE)),0),0)</f>
        <v>0</v>
      </c>
      <c r="O48" s="19">
        <f>IF(AND('Fuel Equipment'!O$44&gt;0,'Fuel Equipment'!O$45&gt;0),IF(AND($A48&gt;='Fuel Equipment'!O$17,$A48&lt;='Fuel Equipment'!O$18),('Fuel Equipment'!O$19*'Fuel Equipment'!O$20*'Fuel Equipment'!O$21)*('Fuel Equipment'!O$45-'Fuel Equipment'!O$44)*
(VLOOKUP(IF('Fuel Equipment'!O$22=Report!$A$25,Report!$A$19,'Fuel Equipment'!O$22),Report!$A$18:$L$34,'Actual-CO2 Calculations'!$AK51,FALSE)),0),0)</f>
        <v>0</v>
      </c>
      <c r="P48" s="19">
        <f>IF(AND('Fuel Equipment'!P$44&gt;0,'Fuel Equipment'!P$45&gt;0),IF(AND($A48&gt;='Fuel Equipment'!P$17,$A48&lt;='Fuel Equipment'!P$18),('Fuel Equipment'!P$19*'Fuel Equipment'!P$20*'Fuel Equipment'!P$21)*('Fuel Equipment'!P$45-'Fuel Equipment'!P$44)*
(VLOOKUP(IF('Fuel Equipment'!P$22=Report!$A$25,Report!$A$19,'Fuel Equipment'!P$22),Report!$A$18:$L$34,'Actual-CO2 Calculations'!$AK51,FALSE)),0),0)</f>
        <v>0</v>
      </c>
      <c r="Q48" s="19">
        <f>IF(AND('Fuel Equipment'!Q$44&gt;0,'Fuel Equipment'!Q$45&gt;0),IF(AND($A48&gt;='Fuel Equipment'!Q$17,$A48&lt;='Fuel Equipment'!Q$18),('Fuel Equipment'!Q$19*'Fuel Equipment'!Q$20*'Fuel Equipment'!Q$21)*('Fuel Equipment'!Q$45-'Fuel Equipment'!Q$44)*
(VLOOKUP(IF('Fuel Equipment'!Q$22=Report!$A$25,Report!$A$19,'Fuel Equipment'!Q$22),Report!$A$18:$L$34,'Actual-CO2 Calculations'!$AK51,FALSE)),0),0)</f>
        <v>0</v>
      </c>
      <c r="R48" s="19">
        <f>IF(AND('Fuel Equipment'!R$44&gt;0,'Fuel Equipment'!R$45&gt;0),IF(AND($A48&gt;='Fuel Equipment'!R$17,$A48&lt;='Fuel Equipment'!R$18),('Fuel Equipment'!R$19*'Fuel Equipment'!R$20*'Fuel Equipment'!R$21)*('Fuel Equipment'!R$45-'Fuel Equipment'!R$44)*
(VLOOKUP(IF('Fuel Equipment'!R$22=Report!$A$25,Report!$A$19,'Fuel Equipment'!R$22),Report!$A$18:$L$34,'Actual-CO2 Calculations'!$AK51,FALSE)),0),0)</f>
        <v>0</v>
      </c>
      <c r="S48" s="19">
        <f>IF(AND('Fuel Equipment'!S$44&gt;0,'Fuel Equipment'!S$45&gt;0),IF(AND($A48&gt;='Fuel Equipment'!S$17,$A48&lt;='Fuel Equipment'!S$18),('Fuel Equipment'!S$19*'Fuel Equipment'!S$20*'Fuel Equipment'!S$21)*('Fuel Equipment'!S$45-'Fuel Equipment'!S$44)*
(VLOOKUP(IF('Fuel Equipment'!S$22=Report!$A$25,Report!$A$19,'Fuel Equipment'!S$22),Report!$A$18:$L$34,'Actual-CO2 Calculations'!$AK51,FALSE)),0),0)</f>
        <v>0</v>
      </c>
      <c r="V48" s="671">
        <f t="shared" si="0"/>
        <v>0</v>
      </c>
    </row>
    <row r="49" spans="1:22">
      <c r="A49" s="21" t="s">
        <v>66</v>
      </c>
      <c r="B49" s="19">
        <f>IF(AND('Fuel Equipment'!B$44&gt;0,'Fuel Equipment'!B$45&gt;0),IF(AND($A49&gt;='Fuel Equipment'!B$17,$A49&lt;='Fuel Equipment'!B$18),('Fuel Equipment'!B$19*'Fuel Equipment'!B$20*'Fuel Equipment'!B$21)*('Fuel Equipment'!B$45-'Fuel Equipment'!B$44)*
(VLOOKUP(IF('Fuel Equipment'!B$22=Report!$A$25,Report!$A$19,'Fuel Equipment'!B$22),Report!$A$18:$L$34,'Actual-CO2 Calculations'!$AK52,FALSE)),0),0)</f>
        <v>0</v>
      </c>
      <c r="C49" s="19">
        <f>IF(AND('Fuel Equipment'!C$44&gt;0,'Fuel Equipment'!C$45&gt;0),IF(AND($A49&gt;='Fuel Equipment'!C$17,$A49&lt;='Fuel Equipment'!C$18),('Fuel Equipment'!C$19*'Fuel Equipment'!C$20*'Fuel Equipment'!C$21)*('Fuel Equipment'!C$45-'Fuel Equipment'!C$44)*
(VLOOKUP(IF('Fuel Equipment'!C$22=Report!$A$25,Report!$A$19,'Fuel Equipment'!C$22),Report!$A$18:$L$34,'Actual-CO2 Calculations'!$AK52,FALSE)),0),0)</f>
        <v>0</v>
      </c>
      <c r="D49" s="19">
        <f>IF(AND('Fuel Equipment'!D$44&gt;0,'Fuel Equipment'!D$45&gt;0),IF(AND($A49&gt;='Fuel Equipment'!D$17,$A49&lt;='Fuel Equipment'!D$18),('Fuel Equipment'!D$19*'Fuel Equipment'!D$20*'Fuel Equipment'!D$21)*('Fuel Equipment'!D$45-'Fuel Equipment'!D$44)*
(VLOOKUP(IF('Fuel Equipment'!D$22=Report!$A$25,Report!$A$19,'Fuel Equipment'!D$22),Report!$A$18:$L$34,'Actual-CO2 Calculations'!$AK52,FALSE)),0),0)</f>
        <v>0</v>
      </c>
      <c r="E49" s="19">
        <f>IF(AND('Fuel Equipment'!E$44&gt;0,'Fuel Equipment'!E$45&gt;0),IF(AND($A49&gt;='Fuel Equipment'!E$17,$A49&lt;='Fuel Equipment'!E$18),('Fuel Equipment'!E$19*'Fuel Equipment'!E$20*'Fuel Equipment'!E$21)*('Fuel Equipment'!E$45-'Fuel Equipment'!E$44)*
(VLOOKUP(IF('Fuel Equipment'!E$22=Report!$A$25,Report!$A$19,'Fuel Equipment'!E$22),Report!$A$18:$L$34,'Actual-CO2 Calculations'!$AK52,FALSE)),0),0)</f>
        <v>0</v>
      </c>
      <c r="F49" s="19">
        <f>IF(AND('Fuel Equipment'!F$44&gt;0,'Fuel Equipment'!F$45&gt;0),IF(AND($A49&gt;='Fuel Equipment'!F$17,$A49&lt;='Fuel Equipment'!F$18),('Fuel Equipment'!F$19*'Fuel Equipment'!F$20*'Fuel Equipment'!F$21)*('Fuel Equipment'!F$45-'Fuel Equipment'!F$44)*
(VLOOKUP(IF('Fuel Equipment'!F$22=Report!$A$25,Report!$A$19,'Fuel Equipment'!F$22),Report!$A$18:$L$34,'Actual-CO2 Calculations'!$AK52,FALSE)),0),0)</f>
        <v>0</v>
      </c>
      <c r="G49" s="19">
        <f>IF(AND('Fuel Equipment'!G$44&gt;0,'Fuel Equipment'!G$45&gt;0),IF(AND($A49&gt;='Fuel Equipment'!G$17,$A49&lt;='Fuel Equipment'!G$18),('Fuel Equipment'!G$19*'Fuel Equipment'!G$20*'Fuel Equipment'!G$21)*('Fuel Equipment'!G$45-'Fuel Equipment'!G$44)*
(VLOOKUP(IF('Fuel Equipment'!G$22=Report!$A$25,Report!$A$19,'Fuel Equipment'!G$22),Report!$A$18:$L$34,'Actual-CO2 Calculations'!$AK52,FALSE)),0),0)</f>
        <v>0</v>
      </c>
      <c r="H49" s="19">
        <f>IF(AND('Fuel Equipment'!H$44&gt;0,'Fuel Equipment'!H$45&gt;0),IF(AND($A49&gt;='Fuel Equipment'!H$17,$A49&lt;='Fuel Equipment'!H$18),('Fuel Equipment'!H$19*'Fuel Equipment'!H$20*'Fuel Equipment'!H$21)*('Fuel Equipment'!H$45-'Fuel Equipment'!H$44)*
(VLOOKUP(IF('Fuel Equipment'!H$22=Report!$A$25,Report!$A$19,'Fuel Equipment'!H$22),Report!$A$18:$L$34,'Actual-CO2 Calculations'!$AK52,FALSE)),0),0)</f>
        <v>0</v>
      </c>
      <c r="I49" s="19">
        <f>IF(AND('Fuel Equipment'!I$44&gt;0,'Fuel Equipment'!I$45&gt;0),IF(AND($A49&gt;='Fuel Equipment'!I$17,$A49&lt;='Fuel Equipment'!I$18),('Fuel Equipment'!I$19*'Fuel Equipment'!I$20*'Fuel Equipment'!I$21)*('Fuel Equipment'!I$45-'Fuel Equipment'!I$44)*
(VLOOKUP(IF('Fuel Equipment'!I$22=Report!$A$25,Report!$A$19,'Fuel Equipment'!I$22),Report!$A$18:$L$34,'Actual-CO2 Calculations'!$AK52,FALSE)),0),0)</f>
        <v>0</v>
      </c>
      <c r="J49" s="19">
        <f>IF(AND('Fuel Equipment'!J$44&gt;0,'Fuel Equipment'!J$45&gt;0),IF(AND($A49&gt;='Fuel Equipment'!J$17,$A49&lt;='Fuel Equipment'!J$18),('Fuel Equipment'!J$19*'Fuel Equipment'!J$20*'Fuel Equipment'!J$21)*('Fuel Equipment'!J$45-'Fuel Equipment'!J$44)*
(VLOOKUP(IF('Fuel Equipment'!J$22=Report!$A$25,Report!$A$19,'Fuel Equipment'!J$22),Report!$A$18:$L$34,'Actual-CO2 Calculations'!$AK52,FALSE)),0),0)</f>
        <v>0</v>
      </c>
      <c r="K49" s="19">
        <f>IF(AND('Fuel Equipment'!K$44&gt;0,'Fuel Equipment'!K$45&gt;0),IF(AND($A49&gt;='Fuel Equipment'!K$17,$A49&lt;='Fuel Equipment'!K$18),('Fuel Equipment'!K$19*'Fuel Equipment'!K$20*'Fuel Equipment'!K$21)*('Fuel Equipment'!K$45-'Fuel Equipment'!K$44)*
(VLOOKUP(IF('Fuel Equipment'!K$22=Report!$A$25,Report!$A$19,'Fuel Equipment'!K$22),Report!$A$18:$L$34,'Actual-CO2 Calculations'!$AK52,FALSE)),0),0)</f>
        <v>0</v>
      </c>
      <c r="L49" s="19">
        <f>IF(AND('Fuel Equipment'!L$44&gt;0,'Fuel Equipment'!L$45&gt;0),IF(AND($A49&gt;='Fuel Equipment'!L$17,$A49&lt;='Fuel Equipment'!L$18),('Fuel Equipment'!L$19*'Fuel Equipment'!L$20*'Fuel Equipment'!L$21)*('Fuel Equipment'!L$45-'Fuel Equipment'!L$44)*
(VLOOKUP(IF('Fuel Equipment'!L$22=Report!$A$25,Report!$A$19,'Fuel Equipment'!L$22),Report!$A$18:$L$34,'Actual-CO2 Calculations'!$AK52,FALSE)),0),0)</f>
        <v>0</v>
      </c>
      <c r="M49" s="19">
        <f>IF(AND('Fuel Equipment'!M$44&gt;0,'Fuel Equipment'!M$45&gt;0),IF(AND($A49&gt;='Fuel Equipment'!M$17,$A49&lt;='Fuel Equipment'!M$18),('Fuel Equipment'!M$19*'Fuel Equipment'!M$20*'Fuel Equipment'!M$21)*('Fuel Equipment'!M$45-'Fuel Equipment'!M$44)*
(VLOOKUP(IF('Fuel Equipment'!M$22=Report!$A$25,Report!$A$19,'Fuel Equipment'!M$22),Report!$A$18:$L$34,'Actual-CO2 Calculations'!$AK52,FALSE)),0),0)</f>
        <v>0</v>
      </c>
      <c r="N49" s="19">
        <f>IF(AND('Fuel Equipment'!N$44&gt;0,'Fuel Equipment'!N$45&gt;0),IF(AND($A49&gt;='Fuel Equipment'!N$17,$A49&lt;='Fuel Equipment'!N$18),('Fuel Equipment'!N$19*'Fuel Equipment'!N$20*'Fuel Equipment'!N$21)*('Fuel Equipment'!N$45-'Fuel Equipment'!N$44)*
(VLOOKUP(IF('Fuel Equipment'!N$22=Report!$A$25,Report!$A$19,'Fuel Equipment'!N$22),Report!$A$18:$L$34,'Actual-CO2 Calculations'!$AK52,FALSE)),0),0)</f>
        <v>0</v>
      </c>
      <c r="O49" s="19">
        <f>IF(AND('Fuel Equipment'!O$44&gt;0,'Fuel Equipment'!O$45&gt;0),IF(AND($A49&gt;='Fuel Equipment'!O$17,$A49&lt;='Fuel Equipment'!O$18),('Fuel Equipment'!O$19*'Fuel Equipment'!O$20*'Fuel Equipment'!O$21)*('Fuel Equipment'!O$45-'Fuel Equipment'!O$44)*
(VLOOKUP(IF('Fuel Equipment'!O$22=Report!$A$25,Report!$A$19,'Fuel Equipment'!O$22),Report!$A$18:$L$34,'Actual-CO2 Calculations'!$AK52,FALSE)),0),0)</f>
        <v>0</v>
      </c>
      <c r="P49" s="19">
        <f>IF(AND('Fuel Equipment'!P$44&gt;0,'Fuel Equipment'!P$45&gt;0),IF(AND($A49&gt;='Fuel Equipment'!P$17,$A49&lt;='Fuel Equipment'!P$18),('Fuel Equipment'!P$19*'Fuel Equipment'!P$20*'Fuel Equipment'!P$21)*('Fuel Equipment'!P$45-'Fuel Equipment'!P$44)*
(VLOOKUP(IF('Fuel Equipment'!P$22=Report!$A$25,Report!$A$19,'Fuel Equipment'!P$22),Report!$A$18:$L$34,'Actual-CO2 Calculations'!$AK52,FALSE)),0),0)</f>
        <v>0</v>
      </c>
      <c r="Q49" s="19">
        <f>IF(AND('Fuel Equipment'!Q$44&gt;0,'Fuel Equipment'!Q$45&gt;0),IF(AND($A49&gt;='Fuel Equipment'!Q$17,$A49&lt;='Fuel Equipment'!Q$18),('Fuel Equipment'!Q$19*'Fuel Equipment'!Q$20*'Fuel Equipment'!Q$21)*('Fuel Equipment'!Q$45-'Fuel Equipment'!Q$44)*
(VLOOKUP(IF('Fuel Equipment'!Q$22=Report!$A$25,Report!$A$19,'Fuel Equipment'!Q$22),Report!$A$18:$L$34,'Actual-CO2 Calculations'!$AK52,FALSE)),0),0)</f>
        <v>0</v>
      </c>
      <c r="R49" s="19">
        <f>IF(AND('Fuel Equipment'!R$44&gt;0,'Fuel Equipment'!R$45&gt;0),IF(AND($A49&gt;='Fuel Equipment'!R$17,$A49&lt;='Fuel Equipment'!R$18),('Fuel Equipment'!R$19*'Fuel Equipment'!R$20*'Fuel Equipment'!R$21)*('Fuel Equipment'!R$45-'Fuel Equipment'!R$44)*
(VLOOKUP(IF('Fuel Equipment'!R$22=Report!$A$25,Report!$A$19,'Fuel Equipment'!R$22),Report!$A$18:$L$34,'Actual-CO2 Calculations'!$AK52,FALSE)),0),0)</f>
        <v>0</v>
      </c>
      <c r="S49" s="19">
        <f>IF(AND('Fuel Equipment'!S$44&gt;0,'Fuel Equipment'!S$45&gt;0),IF(AND($A49&gt;='Fuel Equipment'!S$17,$A49&lt;='Fuel Equipment'!S$18),('Fuel Equipment'!S$19*'Fuel Equipment'!S$20*'Fuel Equipment'!S$21)*('Fuel Equipment'!S$45-'Fuel Equipment'!S$44)*
(VLOOKUP(IF('Fuel Equipment'!S$22=Report!$A$25,Report!$A$19,'Fuel Equipment'!S$22),Report!$A$18:$L$34,'Actual-CO2 Calculations'!$AK52,FALSE)),0),0)</f>
        <v>0</v>
      </c>
      <c r="V49" s="671">
        <f t="shared" si="0"/>
        <v>0</v>
      </c>
    </row>
    <row r="50" spans="1:22">
      <c r="A50" s="19" t="s">
        <v>8</v>
      </c>
      <c r="B50" s="19">
        <f>IF(AND('Fuel Equipment'!B$44&gt;0,'Fuel Equipment'!B$45&gt;0),IF(AND($A50&gt;='Fuel Equipment'!B$17,$A50&lt;='Fuel Equipment'!B$18),('Fuel Equipment'!B$19*'Fuel Equipment'!B$20*'Fuel Equipment'!B$21)*('Fuel Equipment'!B$45-'Fuel Equipment'!B$44)*
(VLOOKUP(IF('Fuel Equipment'!B$22=Report!$A$25,Report!$A$19,'Fuel Equipment'!B$22),Report!$A$18:$L$34,'Actual-CO2 Calculations'!$AK53,FALSE)),0),0)</f>
        <v>0</v>
      </c>
      <c r="C50" s="19">
        <f>IF(AND('Fuel Equipment'!C$44&gt;0,'Fuel Equipment'!C$45&gt;0),IF(AND($A50&gt;='Fuel Equipment'!C$17,$A50&lt;='Fuel Equipment'!C$18),('Fuel Equipment'!C$19*'Fuel Equipment'!C$20*'Fuel Equipment'!C$21)*('Fuel Equipment'!C$45-'Fuel Equipment'!C$44)*
(VLOOKUP(IF('Fuel Equipment'!C$22=Report!$A$25,Report!$A$19,'Fuel Equipment'!C$22),Report!$A$18:$L$34,'Actual-CO2 Calculations'!$AK53,FALSE)),0),0)</f>
        <v>0</v>
      </c>
      <c r="D50" s="19">
        <f>IF(AND('Fuel Equipment'!D$44&gt;0,'Fuel Equipment'!D$45&gt;0),IF(AND($A50&gt;='Fuel Equipment'!D$17,$A50&lt;='Fuel Equipment'!D$18),('Fuel Equipment'!D$19*'Fuel Equipment'!D$20*'Fuel Equipment'!D$21)*('Fuel Equipment'!D$45-'Fuel Equipment'!D$44)*
(VLOOKUP(IF('Fuel Equipment'!D$22=Report!$A$25,Report!$A$19,'Fuel Equipment'!D$22),Report!$A$18:$L$34,'Actual-CO2 Calculations'!$AK53,FALSE)),0),0)</f>
        <v>0</v>
      </c>
      <c r="E50" s="19">
        <f>IF(AND('Fuel Equipment'!E$44&gt;0,'Fuel Equipment'!E$45&gt;0),IF(AND($A50&gt;='Fuel Equipment'!E$17,$A50&lt;='Fuel Equipment'!E$18),('Fuel Equipment'!E$19*'Fuel Equipment'!E$20*'Fuel Equipment'!E$21)*('Fuel Equipment'!E$45-'Fuel Equipment'!E$44)*
(VLOOKUP(IF('Fuel Equipment'!E$22=Report!$A$25,Report!$A$19,'Fuel Equipment'!E$22),Report!$A$18:$L$34,'Actual-CO2 Calculations'!$AK53,FALSE)),0),0)</f>
        <v>0</v>
      </c>
      <c r="F50" s="19">
        <f>IF(AND('Fuel Equipment'!F$44&gt;0,'Fuel Equipment'!F$45&gt;0),IF(AND($A50&gt;='Fuel Equipment'!F$17,$A50&lt;='Fuel Equipment'!F$18),('Fuel Equipment'!F$19*'Fuel Equipment'!F$20*'Fuel Equipment'!F$21)*('Fuel Equipment'!F$45-'Fuel Equipment'!F$44)*
(VLOOKUP(IF('Fuel Equipment'!F$22=Report!$A$25,Report!$A$19,'Fuel Equipment'!F$22),Report!$A$18:$L$34,'Actual-CO2 Calculations'!$AK53,FALSE)),0),0)</f>
        <v>0</v>
      </c>
      <c r="G50" s="19">
        <f>IF(AND('Fuel Equipment'!G$44&gt;0,'Fuel Equipment'!G$45&gt;0),IF(AND($A50&gt;='Fuel Equipment'!G$17,$A50&lt;='Fuel Equipment'!G$18),('Fuel Equipment'!G$19*'Fuel Equipment'!G$20*'Fuel Equipment'!G$21)*('Fuel Equipment'!G$45-'Fuel Equipment'!G$44)*
(VLOOKUP(IF('Fuel Equipment'!G$22=Report!$A$25,Report!$A$19,'Fuel Equipment'!G$22),Report!$A$18:$L$34,'Actual-CO2 Calculations'!$AK53,FALSE)),0),0)</f>
        <v>0</v>
      </c>
      <c r="H50" s="19">
        <f>IF(AND('Fuel Equipment'!H$44&gt;0,'Fuel Equipment'!H$45&gt;0),IF(AND($A50&gt;='Fuel Equipment'!H$17,$A50&lt;='Fuel Equipment'!H$18),('Fuel Equipment'!H$19*'Fuel Equipment'!H$20*'Fuel Equipment'!H$21)*('Fuel Equipment'!H$45-'Fuel Equipment'!H$44)*
(VLOOKUP(IF('Fuel Equipment'!H$22=Report!$A$25,Report!$A$19,'Fuel Equipment'!H$22),Report!$A$18:$L$34,'Actual-CO2 Calculations'!$AK53,FALSE)),0),0)</f>
        <v>0</v>
      </c>
      <c r="I50" s="19">
        <f>IF(AND('Fuel Equipment'!I$44&gt;0,'Fuel Equipment'!I$45&gt;0),IF(AND($A50&gt;='Fuel Equipment'!I$17,$A50&lt;='Fuel Equipment'!I$18),('Fuel Equipment'!I$19*'Fuel Equipment'!I$20*'Fuel Equipment'!I$21)*('Fuel Equipment'!I$45-'Fuel Equipment'!I$44)*
(VLOOKUP(IF('Fuel Equipment'!I$22=Report!$A$25,Report!$A$19,'Fuel Equipment'!I$22),Report!$A$18:$L$34,'Actual-CO2 Calculations'!$AK53,FALSE)),0),0)</f>
        <v>0</v>
      </c>
      <c r="J50" s="19">
        <f>IF(AND('Fuel Equipment'!J$44&gt;0,'Fuel Equipment'!J$45&gt;0),IF(AND($A50&gt;='Fuel Equipment'!J$17,$A50&lt;='Fuel Equipment'!J$18),('Fuel Equipment'!J$19*'Fuel Equipment'!J$20*'Fuel Equipment'!J$21)*('Fuel Equipment'!J$45-'Fuel Equipment'!J$44)*
(VLOOKUP(IF('Fuel Equipment'!J$22=Report!$A$25,Report!$A$19,'Fuel Equipment'!J$22),Report!$A$18:$L$34,'Actual-CO2 Calculations'!$AK53,FALSE)),0),0)</f>
        <v>0</v>
      </c>
      <c r="K50" s="19">
        <f>IF(AND('Fuel Equipment'!K$44&gt;0,'Fuel Equipment'!K$45&gt;0),IF(AND($A50&gt;='Fuel Equipment'!K$17,$A50&lt;='Fuel Equipment'!K$18),('Fuel Equipment'!K$19*'Fuel Equipment'!K$20*'Fuel Equipment'!K$21)*('Fuel Equipment'!K$45-'Fuel Equipment'!K$44)*
(VLOOKUP(IF('Fuel Equipment'!K$22=Report!$A$25,Report!$A$19,'Fuel Equipment'!K$22),Report!$A$18:$L$34,'Actual-CO2 Calculations'!$AK53,FALSE)),0),0)</f>
        <v>0</v>
      </c>
      <c r="L50" s="19">
        <f>IF(AND('Fuel Equipment'!L$44&gt;0,'Fuel Equipment'!L$45&gt;0),IF(AND($A50&gt;='Fuel Equipment'!L$17,$A50&lt;='Fuel Equipment'!L$18),('Fuel Equipment'!L$19*'Fuel Equipment'!L$20*'Fuel Equipment'!L$21)*('Fuel Equipment'!L$45-'Fuel Equipment'!L$44)*
(VLOOKUP(IF('Fuel Equipment'!L$22=Report!$A$25,Report!$A$19,'Fuel Equipment'!L$22),Report!$A$18:$L$34,'Actual-CO2 Calculations'!$AK53,FALSE)),0),0)</f>
        <v>0</v>
      </c>
      <c r="M50" s="19">
        <f>IF(AND('Fuel Equipment'!M$44&gt;0,'Fuel Equipment'!M$45&gt;0),IF(AND($A50&gt;='Fuel Equipment'!M$17,$A50&lt;='Fuel Equipment'!M$18),('Fuel Equipment'!M$19*'Fuel Equipment'!M$20*'Fuel Equipment'!M$21)*('Fuel Equipment'!M$45-'Fuel Equipment'!M$44)*
(VLOOKUP(IF('Fuel Equipment'!M$22=Report!$A$25,Report!$A$19,'Fuel Equipment'!M$22),Report!$A$18:$L$34,'Actual-CO2 Calculations'!$AK53,FALSE)),0),0)</f>
        <v>0</v>
      </c>
      <c r="N50" s="19">
        <f>IF(AND('Fuel Equipment'!N$44&gt;0,'Fuel Equipment'!N$45&gt;0),IF(AND($A50&gt;='Fuel Equipment'!N$17,$A50&lt;='Fuel Equipment'!N$18),('Fuel Equipment'!N$19*'Fuel Equipment'!N$20*'Fuel Equipment'!N$21)*('Fuel Equipment'!N$45-'Fuel Equipment'!N$44)*
(VLOOKUP(IF('Fuel Equipment'!N$22=Report!$A$25,Report!$A$19,'Fuel Equipment'!N$22),Report!$A$18:$L$34,'Actual-CO2 Calculations'!$AK53,FALSE)),0),0)</f>
        <v>0</v>
      </c>
      <c r="O50" s="19">
        <f>IF(AND('Fuel Equipment'!O$44&gt;0,'Fuel Equipment'!O$45&gt;0),IF(AND($A50&gt;='Fuel Equipment'!O$17,$A50&lt;='Fuel Equipment'!O$18),('Fuel Equipment'!O$19*'Fuel Equipment'!O$20*'Fuel Equipment'!O$21)*('Fuel Equipment'!O$45-'Fuel Equipment'!O$44)*
(VLOOKUP(IF('Fuel Equipment'!O$22=Report!$A$25,Report!$A$19,'Fuel Equipment'!O$22),Report!$A$18:$L$34,'Actual-CO2 Calculations'!$AK53,FALSE)),0),0)</f>
        <v>0</v>
      </c>
      <c r="P50" s="19">
        <f>IF(AND('Fuel Equipment'!P$44&gt;0,'Fuel Equipment'!P$45&gt;0),IF(AND($A50&gt;='Fuel Equipment'!P$17,$A50&lt;='Fuel Equipment'!P$18),('Fuel Equipment'!P$19*'Fuel Equipment'!P$20*'Fuel Equipment'!P$21)*('Fuel Equipment'!P$45-'Fuel Equipment'!P$44)*
(VLOOKUP(IF('Fuel Equipment'!P$22=Report!$A$25,Report!$A$19,'Fuel Equipment'!P$22),Report!$A$18:$L$34,'Actual-CO2 Calculations'!$AK53,FALSE)),0),0)</f>
        <v>0</v>
      </c>
      <c r="Q50" s="19">
        <f>IF(AND('Fuel Equipment'!Q$44&gt;0,'Fuel Equipment'!Q$45&gt;0),IF(AND($A50&gt;='Fuel Equipment'!Q$17,$A50&lt;='Fuel Equipment'!Q$18),('Fuel Equipment'!Q$19*'Fuel Equipment'!Q$20*'Fuel Equipment'!Q$21)*('Fuel Equipment'!Q$45-'Fuel Equipment'!Q$44)*
(VLOOKUP(IF('Fuel Equipment'!Q$22=Report!$A$25,Report!$A$19,'Fuel Equipment'!Q$22),Report!$A$18:$L$34,'Actual-CO2 Calculations'!$AK53,FALSE)),0),0)</f>
        <v>0</v>
      </c>
      <c r="R50" s="19">
        <f>IF(AND('Fuel Equipment'!R$44&gt;0,'Fuel Equipment'!R$45&gt;0),IF(AND($A50&gt;='Fuel Equipment'!R$17,$A50&lt;='Fuel Equipment'!R$18),('Fuel Equipment'!R$19*'Fuel Equipment'!R$20*'Fuel Equipment'!R$21)*('Fuel Equipment'!R$45-'Fuel Equipment'!R$44)*
(VLOOKUP(IF('Fuel Equipment'!R$22=Report!$A$25,Report!$A$19,'Fuel Equipment'!R$22),Report!$A$18:$L$34,'Actual-CO2 Calculations'!$AK53,FALSE)),0),0)</f>
        <v>0</v>
      </c>
      <c r="S50" s="19">
        <f>IF(AND('Fuel Equipment'!S$44&gt;0,'Fuel Equipment'!S$45&gt;0),IF(AND($A50&gt;='Fuel Equipment'!S$17,$A50&lt;='Fuel Equipment'!S$18),('Fuel Equipment'!S$19*'Fuel Equipment'!S$20*'Fuel Equipment'!S$21)*('Fuel Equipment'!S$45-'Fuel Equipment'!S$44)*
(VLOOKUP(IF('Fuel Equipment'!S$22=Report!$A$25,Report!$A$19,'Fuel Equipment'!S$22),Report!$A$18:$L$34,'Actual-CO2 Calculations'!$AK53,FALSE)),0),0)</f>
        <v>0</v>
      </c>
      <c r="V50" s="671">
        <f t="shared" si="0"/>
        <v>0</v>
      </c>
    </row>
    <row r="51" spans="1:22">
      <c r="A51" s="19" t="s">
        <v>9</v>
      </c>
      <c r="B51" s="19">
        <f>IF(AND('Fuel Equipment'!B$44&gt;0,'Fuel Equipment'!B$45&gt;0),IF(AND($A51&gt;='Fuel Equipment'!B$17,$A51&lt;='Fuel Equipment'!B$18),('Fuel Equipment'!B$19*'Fuel Equipment'!B$20*'Fuel Equipment'!B$21)*('Fuel Equipment'!B$45-'Fuel Equipment'!B$44)*
(VLOOKUP(IF('Fuel Equipment'!B$22=Report!$A$25,Report!$A$19,'Fuel Equipment'!B$22),Report!$A$18:$L$34,'Actual-CO2 Calculations'!$AK54,FALSE)),0),0)</f>
        <v>0</v>
      </c>
      <c r="C51" s="19">
        <f>IF(AND('Fuel Equipment'!C$44&gt;0,'Fuel Equipment'!C$45&gt;0),IF(AND($A51&gt;='Fuel Equipment'!C$17,$A51&lt;='Fuel Equipment'!C$18),('Fuel Equipment'!C$19*'Fuel Equipment'!C$20*'Fuel Equipment'!C$21)*('Fuel Equipment'!C$45-'Fuel Equipment'!C$44)*
(VLOOKUP(IF('Fuel Equipment'!C$22=Report!$A$25,Report!$A$19,'Fuel Equipment'!C$22),Report!$A$18:$L$34,'Actual-CO2 Calculations'!$AK54,FALSE)),0),0)</f>
        <v>0</v>
      </c>
      <c r="D51" s="19">
        <f>IF(AND('Fuel Equipment'!D$44&gt;0,'Fuel Equipment'!D$45&gt;0),IF(AND($A51&gt;='Fuel Equipment'!D$17,$A51&lt;='Fuel Equipment'!D$18),('Fuel Equipment'!D$19*'Fuel Equipment'!D$20*'Fuel Equipment'!D$21)*('Fuel Equipment'!D$45-'Fuel Equipment'!D$44)*
(VLOOKUP(IF('Fuel Equipment'!D$22=Report!$A$25,Report!$A$19,'Fuel Equipment'!D$22),Report!$A$18:$L$34,'Actual-CO2 Calculations'!$AK54,FALSE)),0),0)</f>
        <v>0</v>
      </c>
      <c r="E51" s="19">
        <f>IF(AND('Fuel Equipment'!E$44&gt;0,'Fuel Equipment'!E$45&gt;0),IF(AND($A51&gt;='Fuel Equipment'!E$17,$A51&lt;='Fuel Equipment'!E$18),('Fuel Equipment'!E$19*'Fuel Equipment'!E$20*'Fuel Equipment'!E$21)*('Fuel Equipment'!E$45-'Fuel Equipment'!E$44)*
(VLOOKUP(IF('Fuel Equipment'!E$22=Report!$A$25,Report!$A$19,'Fuel Equipment'!E$22),Report!$A$18:$L$34,'Actual-CO2 Calculations'!$AK54,FALSE)),0),0)</f>
        <v>0</v>
      </c>
      <c r="F51" s="19">
        <f>IF(AND('Fuel Equipment'!F$44&gt;0,'Fuel Equipment'!F$45&gt;0),IF(AND($A51&gt;='Fuel Equipment'!F$17,$A51&lt;='Fuel Equipment'!F$18),('Fuel Equipment'!F$19*'Fuel Equipment'!F$20*'Fuel Equipment'!F$21)*('Fuel Equipment'!F$45-'Fuel Equipment'!F$44)*
(VLOOKUP(IF('Fuel Equipment'!F$22=Report!$A$25,Report!$A$19,'Fuel Equipment'!F$22),Report!$A$18:$L$34,'Actual-CO2 Calculations'!$AK54,FALSE)),0),0)</f>
        <v>0</v>
      </c>
      <c r="G51" s="19">
        <f>IF(AND('Fuel Equipment'!G$44&gt;0,'Fuel Equipment'!G$45&gt;0),IF(AND($A51&gt;='Fuel Equipment'!G$17,$A51&lt;='Fuel Equipment'!G$18),('Fuel Equipment'!G$19*'Fuel Equipment'!G$20*'Fuel Equipment'!G$21)*('Fuel Equipment'!G$45-'Fuel Equipment'!G$44)*
(VLOOKUP(IF('Fuel Equipment'!G$22=Report!$A$25,Report!$A$19,'Fuel Equipment'!G$22),Report!$A$18:$L$34,'Actual-CO2 Calculations'!$AK54,FALSE)),0),0)</f>
        <v>0</v>
      </c>
      <c r="H51" s="19">
        <f>IF(AND('Fuel Equipment'!H$44&gt;0,'Fuel Equipment'!H$45&gt;0),IF(AND($A51&gt;='Fuel Equipment'!H$17,$A51&lt;='Fuel Equipment'!H$18),('Fuel Equipment'!H$19*'Fuel Equipment'!H$20*'Fuel Equipment'!H$21)*('Fuel Equipment'!H$45-'Fuel Equipment'!H$44)*
(VLOOKUP(IF('Fuel Equipment'!H$22=Report!$A$25,Report!$A$19,'Fuel Equipment'!H$22),Report!$A$18:$L$34,'Actual-CO2 Calculations'!$AK54,FALSE)),0),0)</f>
        <v>0</v>
      </c>
      <c r="I51" s="19">
        <f>IF(AND('Fuel Equipment'!I$44&gt;0,'Fuel Equipment'!I$45&gt;0),IF(AND($A51&gt;='Fuel Equipment'!I$17,$A51&lt;='Fuel Equipment'!I$18),('Fuel Equipment'!I$19*'Fuel Equipment'!I$20*'Fuel Equipment'!I$21)*('Fuel Equipment'!I$45-'Fuel Equipment'!I$44)*
(VLOOKUP(IF('Fuel Equipment'!I$22=Report!$A$25,Report!$A$19,'Fuel Equipment'!I$22),Report!$A$18:$L$34,'Actual-CO2 Calculations'!$AK54,FALSE)),0),0)</f>
        <v>0</v>
      </c>
      <c r="J51" s="19">
        <f>IF(AND('Fuel Equipment'!J$44&gt;0,'Fuel Equipment'!J$45&gt;0),IF(AND($A51&gt;='Fuel Equipment'!J$17,$A51&lt;='Fuel Equipment'!J$18),('Fuel Equipment'!J$19*'Fuel Equipment'!J$20*'Fuel Equipment'!J$21)*('Fuel Equipment'!J$45-'Fuel Equipment'!J$44)*
(VLOOKUP(IF('Fuel Equipment'!J$22=Report!$A$25,Report!$A$19,'Fuel Equipment'!J$22),Report!$A$18:$L$34,'Actual-CO2 Calculations'!$AK54,FALSE)),0),0)</f>
        <v>0</v>
      </c>
      <c r="K51" s="19">
        <f>IF(AND('Fuel Equipment'!K$44&gt;0,'Fuel Equipment'!K$45&gt;0),IF(AND($A51&gt;='Fuel Equipment'!K$17,$A51&lt;='Fuel Equipment'!K$18),('Fuel Equipment'!K$19*'Fuel Equipment'!K$20*'Fuel Equipment'!K$21)*('Fuel Equipment'!K$45-'Fuel Equipment'!K$44)*
(VLOOKUP(IF('Fuel Equipment'!K$22=Report!$A$25,Report!$A$19,'Fuel Equipment'!K$22),Report!$A$18:$L$34,'Actual-CO2 Calculations'!$AK54,FALSE)),0),0)</f>
        <v>0</v>
      </c>
      <c r="L51" s="19">
        <f>IF(AND('Fuel Equipment'!L$44&gt;0,'Fuel Equipment'!L$45&gt;0),IF(AND($A51&gt;='Fuel Equipment'!L$17,$A51&lt;='Fuel Equipment'!L$18),('Fuel Equipment'!L$19*'Fuel Equipment'!L$20*'Fuel Equipment'!L$21)*('Fuel Equipment'!L$45-'Fuel Equipment'!L$44)*
(VLOOKUP(IF('Fuel Equipment'!L$22=Report!$A$25,Report!$A$19,'Fuel Equipment'!L$22),Report!$A$18:$L$34,'Actual-CO2 Calculations'!$AK54,FALSE)),0),0)</f>
        <v>0</v>
      </c>
      <c r="M51" s="19">
        <f>IF(AND('Fuel Equipment'!M$44&gt;0,'Fuel Equipment'!M$45&gt;0),IF(AND($A51&gt;='Fuel Equipment'!M$17,$A51&lt;='Fuel Equipment'!M$18),('Fuel Equipment'!M$19*'Fuel Equipment'!M$20*'Fuel Equipment'!M$21)*('Fuel Equipment'!M$45-'Fuel Equipment'!M$44)*
(VLOOKUP(IF('Fuel Equipment'!M$22=Report!$A$25,Report!$A$19,'Fuel Equipment'!M$22),Report!$A$18:$L$34,'Actual-CO2 Calculations'!$AK54,FALSE)),0),0)</f>
        <v>0</v>
      </c>
      <c r="N51" s="19">
        <f>IF(AND('Fuel Equipment'!N$44&gt;0,'Fuel Equipment'!N$45&gt;0),IF(AND($A51&gt;='Fuel Equipment'!N$17,$A51&lt;='Fuel Equipment'!N$18),('Fuel Equipment'!N$19*'Fuel Equipment'!N$20*'Fuel Equipment'!N$21)*('Fuel Equipment'!N$45-'Fuel Equipment'!N$44)*
(VLOOKUP(IF('Fuel Equipment'!N$22=Report!$A$25,Report!$A$19,'Fuel Equipment'!N$22),Report!$A$18:$L$34,'Actual-CO2 Calculations'!$AK54,FALSE)),0),0)</f>
        <v>0</v>
      </c>
      <c r="O51" s="19">
        <f>IF(AND('Fuel Equipment'!O$44&gt;0,'Fuel Equipment'!O$45&gt;0),IF(AND($A51&gt;='Fuel Equipment'!O$17,$A51&lt;='Fuel Equipment'!O$18),('Fuel Equipment'!O$19*'Fuel Equipment'!O$20*'Fuel Equipment'!O$21)*('Fuel Equipment'!O$45-'Fuel Equipment'!O$44)*
(VLOOKUP(IF('Fuel Equipment'!O$22=Report!$A$25,Report!$A$19,'Fuel Equipment'!O$22),Report!$A$18:$L$34,'Actual-CO2 Calculations'!$AK54,FALSE)),0),0)</f>
        <v>0</v>
      </c>
      <c r="P51" s="19">
        <f>IF(AND('Fuel Equipment'!P$44&gt;0,'Fuel Equipment'!P$45&gt;0),IF(AND($A51&gt;='Fuel Equipment'!P$17,$A51&lt;='Fuel Equipment'!P$18),('Fuel Equipment'!P$19*'Fuel Equipment'!P$20*'Fuel Equipment'!P$21)*('Fuel Equipment'!P$45-'Fuel Equipment'!P$44)*
(VLOOKUP(IF('Fuel Equipment'!P$22=Report!$A$25,Report!$A$19,'Fuel Equipment'!P$22),Report!$A$18:$L$34,'Actual-CO2 Calculations'!$AK54,FALSE)),0),0)</f>
        <v>0</v>
      </c>
      <c r="Q51" s="19">
        <f>IF(AND('Fuel Equipment'!Q$44&gt;0,'Fuel Equipment'!Q$45&gt;0),IF(AND($A51&gt;='Fuel Equipment'!Q$17,$A51&lt;='Fuel Equipment'!Q$18),('Fuel Equipment'!Q$19*'Fuel Equipment'!Q$20*'Fuel Equipment'!Q$21)*('Fuel Equipment'!Q$45-'Fuel Equipment'!Q$44)*
(VLOOKUP(IF('Fuel Equipment'!Q$22=Report!$A$25,Report!$A$19,'Fuel Equipment'!Q$22),Report!$A$18:$L$34,'Actual-CO2 Calculations'!$AK54,FALSE)),0),0)</f>
        <v>0</v>
      </c>
      <c r="R51" s="19">
        <f>IF(AND('Fuel Equipment'!R$44&gt;0,'Fuel Equipment'!R$45&gt;0),IF(AND($A51&gt;='Fuel Equipment'!R$17,$A51&lt;='Fuel Equipment'!R$18),('Fuel Equipment'!R$19*'Fuel Equipment'!R$20*'Fuel Equipment'!R$21)*('Fuel Equipment'!R$45-'Fuel Equipment'!R$44)*
(VLOOKUP(IF('Fuel Equipment'!R$22=Report!$A$25,Report!$A$19,'Fuel Equipment'!R$22),Report!$A$18:$L$34,'Actual-CO2 Calculations'!$AK54,FALSE)),0),0)</f>
        <v>0</v>
      </c>
      <c r="S51" s="19">
        <f>IF(AND('Fuel Equipment'!S$44&gt;0,'Fuel Equipment'!S$45&gt;0),IF(AND($A51&gt;='Fuel Equipment'!S$17,$A51&lt;='Fuel Equipment'!S$18),('Fuel Equipment'!S$19*'Fuel Equipment'!S$20*'Fuel Equipment'!S$21)*('Fuel Equipment'!S$45-'Fuel Equipment'!S$44)*
(VLOOKUP(IF('Fuel Equipment'!S$22=Report!$A$25,Report!$A$19,'Fuel Equipment'!S$22),Report!$A$18:$L$34,'Actual-CO2 Calculations'!$AK54,FALSE)),0),0)</f>
        <v>0</v>
      </c>
      <c r="V51" s="671">
        <f t="shared" si="0"/>
        <v>0</v>
      </c>
    </row>
    <row r="52" spans="1:22">
      <c r="A52" s="19" t="s">
        <v>10</v>
      </c>
      <c r="B52" s="19">
        <f>IF(AND('Fuel Equipment'!B$44&gt;0,'Fuel Equipment'!B$45&gt;0),IF(AND($A52&gt;='Fuel Equipment'!B$17,$A52&lt;='Fuel Equipment'!B$18),('Fuel Equipment'!B$19*'Fuel Equipment'!B$20*'Fuel Equipment'!B$21)*('Fuel Equipment'!B$45-'Fuel Equipment'!B$44)*
(VLOOKUP(IF('Fuel Equipment'!B$22=Report!$A$25,Report!$A$19,'Fuel Equipment'!B$22),Report!$A$18:$L$34,'Actual-CO2 Calculations'!$AK55,FALSE)),0),0)</f>
        <v>0</v>
      </c>
      <c r="C52" s="19">
        <f>IF(AND('Fuel Equipment'!C$44&gt;0,'Fuel Equipment'!C$45&gt;0),IF(AND($A52&gt;='Fuel Equipment'!C$17,$A52&lt;='Fuel Equipment'!C$18),('Fuel Equipment'!C$19*'Fuel Equipment'!C$20*'Fuel Equipment'!C$21)*('Fuel Equipment'!C$45-'Fuel Equipment'!C$44)*
(VLOOKUP(IF('Fuel Equipment'!C$22=Report!$A$25,Report!$A$19,'Fuel Equipment'!C$22),Report!$A$18:$L$34,'Actual-CO2 Calculations'!$AK55,FALSE)),0),0)</f>
        <v>0</v>
      </c>
      <c r="D52" s="19">
        <f>IF(AND('Fuel Equipment'!D$44&gt;0,'Fuel Equipment'!D$45&gt;0),IF(AND($A52&gt;='Fuel Equipment'!D$17,$A52&lt;='Fuel Equipment'!D$18),('Fuel Equipment'!D$19*'Fuel Equipment'!D$20*'Fuel Equipment'!D$21)*('Fuel Equipment'!D$45-'Fuel Equipment'!D$44)*
(VLOOKUP(IF('Fuel Equipment'!D$22=Report!$A$25,Report!$A$19,'Fuel Equipment'!D$22),Report!$A$18:$L$34,'Actual-CO2 Calculations'!$AK55,FALSE)),0),0)</f>
        <v>0</v>
      </c>
      <c r="E52" s="19">
        <f>IF(AND('Fuel Equipment'!E$44&gt;0,'Fuel Equipment'!E$45&gt;0),IF(AND($A52&gt;='Fuel Equipment'!E$17,$A52&lt;='Fuel Equipment'!E$18),('Fuel Equipment'!E$19*'Fuel Equipment'!E$20*'Fuel Equipment'!E$21)*('Fuel Equipment'!E$45-'Fuel Equipment'!E$44)*
(VLOOKUP(IF('Fuel Equipment'!E$22=Report!$A$25,Report!$A$19,'Fuel Equipment'!E$22),Report!$A$18:$L$34,'Actual-CO2 Calculations'!$AK55,FALSE)),0),0)</f>
        <v>0</v>
      </c>
      <c r="F52" s="19">
        <f>IF(AND('Fuel Equipment'!F$44&gt;0,'Fuel Equipment'!F$45&gt;0),IF(AND($A52&gt;='Fuel Equipment'!F$17,$A52&lt;='Fuel Equipment'!F$18),('Fuel Equipment'!F$19*'Fuel Equipment'!F$20*'Fuel Equipment'!F$21)*('Fuel Equipment'!F$45-'Fuel Equipment'!F$44)*
(VLOOKUP(IF('Fuel Equipment'!F$22=Report!$A$25,Report!$A$19,'Fuel Equipment'!F$22),Report!$A$18:$L$34,'Actual-CO2 Calculations'!$AK55,FALSE)),0),0)</f>
        <v>0</v>
      </c>
      <c r="G52" s="19">
        <f>IF(AND('Fuel Equipment'!G$44&gt;0,'Fuel Equipment'!G$45&gt;0),IF(AND($A52&gt;='Fuel Equipment'!G$17,$A52&lt;='Fuel Equipment'!G$18),('Fuel Equipment'!G$19*'Fuel Equipment'!G$20*'Fuel Equipment'!G$21)*('Fuel Equipment'!G$45-'Fuel Equipment'!G$44)*
(VLOOKUP(IF('Fuel Equipment'!G$22=Report!$A$25,Report!$A$19,'Fuel Equipment'!G$22),Report!$A$18:$L$34,'Actual-CO2 Calculations'!$AK55,FALSE)),0),0)</f>
        <v>0</v>
      </c>
      <c r="H52" s="19">
        <f>IF(AND('Fuel Equipment'!H$44&gt;0,'Fuel Equipment'!H$45&gt;0),IF(AND($A52&gt;='Fuel Equipment'!H$17,$A52&lt;='Fuel Equipment'!H$18),('Fuel Equipment'!H$19*'Fuel Equipment'!H$20*'Fuel Equipment'!H$21)*('Fuel Equipment'!H$45-'Fuel Equipment'!H$44)*
(VLOOKUP(IF('Fuel Equipment'!H$22=Report!$A$25,Report!$A$19,'Fuel Equipment'!H$22),Report!$A$18:$L$34,'Actual-CO2 Calculations'!$AK55,FALSE)),0),0)</f>
        <v>0</v>
      </c>
      <c r="I52" s="19">
        <f>IF(AND('Fuel Equipment'!I$44&gt;0,'Fuel Equipment'!I$45&gt;0),IF(AND($A52&gt;='Fuel Equipment'!I$17,$A52&lt;='Fuel Equipment'!I$18),('Fuel Equipment'!I$19*'Fuel Equipment'!I$20*'Fuel Equipment'!I$21)*('Fuel Equipment'!I$45-'Fuel Equipment'!I$44)*
(VLOOKUP(IF('Fuel Equipment'!I$22=Report!$A$25,Report!$A$19,'Fuel Equipment'!I$22),Report!$A$18:$L$34,'Actual-CO2 Calculations'!$AK55,FALSE)),0),0)</f>
        <v>0</v>
      </c>
      <c r="J52" s="19">
        <f>IF(AND('Fuel Equipment'!J$44&gt;0,'Fuel Equipment'!J$45&gt;0),IF(AND($A52&gt;='Fuel Equipment'!J$17,$A52&lt;='Fuel Equipment'!J$18),('Fuel Equipment'!J$19*'Fuel Equipment'!J$20*'Fuel Equipment'!J$21)*('Fuel Equipment'!J$45-'Fuel Equipment'!J$44)*
(VLOOKUP(IF('Fuel Equipment'!J$22=Report!$A$25,Report!$A$19,'Fuel Equipment'!J$22),Report!$A$18:$L$34,'Actual-CO2 Calculations'!$AK55,FALSE)),0),0)</f>
        <v>0</v>
      </c>
      <c r="K52" s="19">
        <f>IF(AND('Fuel Equipment'!K$44&gt;0,'Fuel Equipment'!K$45&gt;0),IF(AND($A52&gt;='Fuel Equipment'!K$17,$A52&lt;='Fuel Equipment'!K$18),('Fuel Equipment'!K$19*'Fuel Equipment'!K$20*'Fuel Equipment'!K$21)*('Fuel Equipment'!K$45-'Fuel Equipment'!K$44)*
(VLOOKUP(IF('Fuel Equipment'!K$22=Report!$A$25,Report!$A$19,'Fuel Equipment'!K$22),Report!$A$18:$L$34,'Actual-CO2 Calculations'!$AK55,FALSE)),0),0)</f>
        <v>0</v>
      </c>
      <c r="L52" s="19">
        <f>IF(AND('Fuel Equipment'!L$44&gt;0,'Fuel Equipment'!L$45&gt;0),IF(AND($A52&gt;='Fuel Equipment'!L$17,$A52&lt;='Fuel Equipment'!L$18),('Fuel Equipment'!L$19*'Fuel Equipment'!L$20*'Fuel Equipment'!L$21)*('Fuel Equipment'!L$45-'Fuel Equipment'!L$44)*
(VLOOKUP(IF('Fuel Equipment'!L$22=Report!$A$25,Report!$A$19,'Fuel Equipment'!L$22),Report!$A$18:$L$34,'Actual-CO2 Calculations'!$AK55,FALSE)),0),0)</f>
        <v>0</v>
      </c>
      <c r="M52" s="19">
        <f>IF(AND('Fuel Equipment'!M$44&gt;0,'Fuel Equipment'!M$45&gt;0),IF(AND($A52&gt;='Fuel Equipment'!M$17,$A52&lt;='Fuel Equipment'!M$18),('Fuel Equipment'!M$19*'Fuel Equipment'!M$20*'Fuel Equipment'!M$21)*('Fuel Equipment'!M$45-'Fuel Equipment'!M$44)*
(VLOOKUP(IF('Fuel Equipment'!M$22=Report!$A$25,Report!$A$19,'Fuel Equipment'!M$22),Report!$A$18:$L$34,'Actual-CO2 Calculations'!$AK55,FALSE)),0),0)</f>
        <v>0</v>
      </c>
      <c r="N52" s="19">
        <f>IF(AND('Fuel Equipment'!N$44&gt;0,'Fuel Equipment'!N$45&gt;0),IF(AND($A52&gt;='Fuel Equipment'!N$17,$A52&lt;='Fuel Equipment'!N$18),('Fuel Equipment'!N$19*'Fuel Equipment'!N$20*'Fuel Equipment'!N$21)*('Fuel Equipment'!N$45-'Fuel Equipment'!N$44)*
(VLOOKUP(IF('Fuel Equipment'!N$22=Report!$A$25,Report!$A$19,'Fuel Equipment'!N$22),Report!$A$18:$L$34,'Actual-CO2 Calculations'!$AK55,FALSE)),0),0)</f>
        <v>0</v>
      </c>
      <c r="O52" s="19">
        <f>IF(AND('Fuel Equipment'!O$44&gt;0,'Fuel Equipment'!O$45&gt;0),IF(AND($A52&gt;='Fuel Equipment'!O$17,$A52&lt;='Fuel Equipment'!O$18),('Fuel Equipment'!O$19*'Fuel Equipment'!O$20*'Fuel Equipment'!O$21)*('Fuel Equipment'!O$45-'Fuel Equipment'!O$44)*
(VLOOKUP(IF('Fuel Equipment'!O$22=Report!$A$25,Report!$A$19,'Fuel Equipment'!O$22),Report!$A$18:$L$34,'Actual-CO2 Calculations'!$AK55,FALSE)),0),0)</f>
        <v>0</v>
      </c>
      <c r="P52" s="19">
        <f>IF(AND('Fuel Equipment'!P$44&gt;0,'Fuel Equipment'!P$45&gt;0),IF(AND($A52&gt;='Fuel Equipment'!P$17,$A52&lt;='Fuel Equipment'!P$18),('Fuel Equipment'!P$19*'Fuel Equipment'!P$20*'Fuel Equipment'!P$21)*('Fuel Equipment'!P$45-'Fuel Equipment'!P$44)*
(VLOOKUP(IF('Fuel Equipment'!P$22=Report!$A$25,Report!$A$19,'Fuel Equipment'!P$22),Report!$A$18:$L$34,'Actual-CO2 Calculations'!$AK55,FALSE)),0),0)</f>
        <v>0</v>
      </c>
      <c r="Q52" s="19">
        <f>IF(AND('Fuel Equipment'!Q$44&gt;0,'Fuel Equipment'!Q$45&gt;0),IF(AND($A52&gt;='Fuel Equipment'!Q$17,$A52&lt;='Fuel Equipment'!Q$18),('Fuel Equipment'!Q$19*'Fuel Equipment'!Q$20*'Fuel Equipment'!Q$21)*('Fuel Equipment'!Q$45-'Fuel Equipment'!Q$44)*
(VLOOKUP(IF('Fuel Equipment'!Q$22=Report!$A$25,Report!$A$19,'Fuel Equipment'!Q$22),Report!$A$18:$L$34,'Actual-CO2 Calculations'!$AK55,FALSE)),0),0)</f>
        <v>0</v>
      </c>
      <c r="R52" s="19">
        <f>IF(AND('Fuel Equipment'!R$44&gt;0,'Fuel Equipment'!R$45&gt;0),IF(AND($A52&gt;='Fuel Equipment'!R$17,$A52&lt;='Fuel Equipment'!R$18),('Fuel Equipment'!R$19*'Fuel Equipment'!R$20*'Fuel Equipment'!R$21)*('Fuel Equipment'!R$45-'Fuel Equipment'!R$44)*
(VLOOKUP(IF('Fuel Equipment'!R$22=Report!$A$25,Report!$A$19,'Fuel Equipment'!R$22),Report!$A$18:$L$34,'Actual-CO2 Calculations'!$AK55,FALSE)),0),0)</f>
        <v>0</v>
      </c>
      <c r="S52" s="19">
        <f>IF(AND('Fuel Equipment'!S$44&gt;0,'Fuel Equipment'!S$45&gt;0),IF(AND($A52&gt;='Fuel Equipment'!S$17,$A52&lt;='Fuel Equipment'!S$18),('Fuel Equipment'!S$19*'Fuel Equipment'!S$20*'Fuel Equipment'!S$21)*('Fuel Equipment'!S$45-'Fuel Equipment'!S$44)*
(VLOOKUP(IF('Fuel Equipment'!S$22=Report!$A$25,Report!$A$19,'Fuel Equipment'!S$22),Report!$A$18:$L$34,'Actual-CO2 Calculations'!$AK55,FALSE)),0),0)</f>
        <v>0</v>
      </c>
      <c r="V52" s="671">
        <f t="shared" si="0"/>
        <v>0</v>
      </c>
    </row>
    <row r="53" spans="1:22">
      <c r="A53" s="19" t="s">
        <v>11</v>
      </c>
      <c r="B53" s="19">
        <f>IF(AND('Fuel Equipment'!B$44&gt;0,'Fuel Equipment'!B$45&gt;0),IF(AND($A53&gt;='Fuel Equipment'!B$17,$A53&lt;='Fuel Equipment'!B$18),('Fuel Equipment'!B$19*'Fuel Equipment'!B$20*'Fuel Equipment'!B$21)*('Fuel Equipment'!B$45-'Fuel Equipment'!B$44)*
(VLOOKUP(IF('Fuel Equipment'!B$22=Report!$A$25,Report!$A$19,'Fuel Equipment'!B$22),Report!$A$18:$L$34,'Actual-CO2 Calculations'!$AK56,FALSE)),0),0)</f>
        <v>0</v>
      </c>
      <c r="C53" s="19">
        <f>IF(AND('Fuel Equipment'!C$44&gt;0,'Fuel Equipment'!C$45&gt;0),IF(AND($A53&gt;='Fuel Equipment'!C$17,$A53&lt;='Fuel Equipment'!C$18),('Fuel Equipment'!C$19*'Fuel Equipment'!C$20*'Fuel Equipment'!C$21)*('Fuel Equipment'!C$45-'Fuel Equipment'!C$44)*
(VLOOKUP(IF('Fuel Equipment'!C$22=Report!$A$25,Report!$A$19,'Fuel Equipment'!C$22),Report!$A$18:$L$34,'Actual-CO2 Calculations'!$AK56,FALSE)),0),0)</f>
        <v>0</v>
      </c>
      <c r="D53" s="19">
        <f>IF(AND('Fuel Equipment'!D$44&gt;0,'Fuel Equipment'!D$45&gt;0),IF(AND($A53&gt;='Fuel Equipment'!D$17,$A53&lt;='Fuel Equipment'!D$18),('Fuel Equipment'!D$19*'Fuel Equipment'!D$20*'Fuel Equipment'!D$21)*('Fuel Equipment'!D$45-'Fuel Equipment'!D$44)*
(VLOOKUP(IF('Fuel Equipment'!D$22=Report!$A$25,Report!$A$19,'Fuel Equipment'!D$22),Report!$A$18:$L$34,'Actual-CO2 Calculations'!$AK56,FALSE)),0),0)</f>
        <v>0</v>
      </c>
      <c r="E53" s="19">
        <f>IF(AND('Fuel Equipment'!E$44&gt;0,'Fuel Equipment'!E$45&gt;0),IF(AND($A53&gt;='Fuel Equipment'!E$17,$A53&lt;='Fuel Equipment'!E$18),('Fuel Equipment'!E$19*'Fuel Equipment'!E$20*'Fuel Equipment'!E$21)*('Fuel Equipment'!E$45-'Fuel Equipment'!E$44)*
(VLOOKUP(IF('Fuel Equipment'!E$22=Report!$A$25,Report!$A$19,'Fuel Equipment'!E$22),Report!$A$18:$L$34,'Actual-CO2 Calculations'!$AK56,FALSE)),0),0)</f>
        <v>0</v>
      </c>
      <c r="F53" s="19">
        <f>IF(AND('Fuel Equipment'!F$44&gt;0,'Fuel Equipment'!F$45&gt;0),IF(AND($A53&gt;='Fuel Equipment'!F$17,$A53&lt;='Fuel Equipment'!F$18),('Fuel Equipment'!F$19*'Fuel Equipment'!F$20*'Fuel Equipment'!F$21)*('Fuel Equipment'!F$45-'Fuel Equipment'!F$44)*
(VLOOKUP(IF('Fuel Equipment'!F$22=Report!$A$25,Report!$A$19,'Fuel Equipment'!F$22),Report!$A$18:$L$34,'Actual-CO2 Calculations'!$AK56,FALSE)),0),0)</f>
        <v>0</v>
      </c>
      <c r="G53" s="19">
        <f>IF(AND('Fuel Equipment'!G$44&gt;0,'Fuel Equipment'!G$45&gt;0),IF(AND($A53&gt;='Fuel Equipment'!G$17,$A53&lt;='Fuel Equipment'!G$18),('Fuel Equipment'!G$19*'Fuel Equipment'!G$20*'Fuel Equipment'!G$21)*('Fuel Equipment'!G$45-'Fuel Equipment'!G$44)*
(VLOOKUP(IF('Fuel Equipment'!G$22=Report!$A$25,Report!$A$19,'Fuel Equipment'!G$22),Report!$A$18:$L$34,'Actual-CO2 Calculations'!$AK56,FALSE)),0),0)</f>
        <v>0</v>
      </c>
      <c r="H53" s="19">
        <f>IF(AND('Fuel Equipment'!H$44&gt;0,'Fuel Equipment'!H$45&gt;0),IF(AND($A53&gt;='Fuel Equipment'!H$17,$A53&lt;='Fuel Equipment'!H$18),('Fuel Equipment'!H$19*'Fuel Equipment'!H$20*'Fuel Equipment'!H$21)*('Fuel Equipment'!H$45-'Fuel Equipment'!H$44)*
(VLOOKUP(IF('Fuel Equipment'!H$22=Report!$A$25,Report!$A$19,'Fuel Equipment'!H$22),Report!$A$18:$L$34,'Actual-CO2 Calculations'!$AK56,FALSE)),0),0)</f>
        <v>0</v>
      </c>
      <c r="I53" s="19">
        <f>IF(AND('Fuel Equipment'!I$44&gt;0,'Fuel Equipment'!I$45&gt;0),IF(AND($A53&gt;='Fuel Equipment'!I$17,$A53&lt;='Fuel Equipment'!I$18),('Fuel Equipment'!I$19*'Fuel Equipment'!I$20*'Fuel Equipment'!I$21)*('Fuel Equipment'!I$45-'Fuel Equipment'!I$44)*
(VLOOKUP(IF('Fuel Equipment'!I$22=Report!$A$25,Report!$A$19,'Fuel Equipment'!I$22),Report!$A$18:$L$34,'Actual-CO2 Calculations'!$AK56,FALSE)),0),0)</f>
        <v>0</v>
      </c>
      <c r="J53" s="19">
        <f>IF(AND('Fuel Equipment'!J$44&gt;0,'Fuel Equipment'!J$45&gt;0),IF(AND($A53&gt;='Fuel Equipment'!J$17,$A53&lt;='Fuel Equipment'!J$18),('Fuel Equipment'!J$19*'Fuel Equipment'!J$20*'Fuel Equipment'!J$21)*('Fuel Equipment'!J$45-'Fuel Equipment'!J$44)*
(VLOOKUP(IF('Fuel Equipment'!J$22=Report!$A$25,Report!$A$19,'Fuel Equipment'!J$22),Report!$A$18:$L$34,'Actual-CO2 Calculations'!$AK56,FALSE)),0),0)</f>
        <v>0</v>
      </c>
      <c r="K53" s="19">
        <f>IF(AND('Fuel Equipment'!K$44&gt;0,'Fuel Equipment'!K$45&gt;0),IF(AND($A53&gt;='Fuel Equipment'!K$17,$A53&lt;='Fuel Equipment'!K$18),('Fuel Equipment'!K$19*'Fuel Equipment'!K$20*'Fuel Equipment'!K$21)*('Fuel Equipment'!K$45-'Fuel Equipment'!K$44)*
(VLOOKUP(IF('Fuel Equipment'!K$22=Report!$A$25,Report!$A$19,'Fuel Equipment'!K$22),Report!$A$18:$L$34,'Actual-CO2 Calculations'!$AK56,FALSE)),0),0)</f>
        <v>0</v>
      </c>
      <c r="L53" s="19">
        <f>IF(AND('Fuel Equipment'!L$44&gt;0,'Fuel Equipment'!L$45&gt;0),IF(AND($A53&gt;='Fuel Equipment'!L$17,$A53&lt;='Fuel Equipment'!L$18),('Fuel Equipment'!L$19*'Fuel Equipment'!L$20*'Fuel Equipment'!L$21)*('Fuel Equipment'!L$45-'Fuel Equipment'!L$44)*
(VLOOKUP(IF('Fuel Equipment'!L$22=Report!$A$25,Report!$A$19,'Fuel Equipment'!L$22),Report!$A$18:$L$34,'Actual-CO2 Calculations'!$AK56,FALSE)),0),0)</f>
        <v>0</v>
      </c>
      <c r="M53" s="19">
        <f>IF(AND('Fuel Equipment'!M$44&gt;0,'Fuel Equipment'!M$45&gt;0),IF(AND($A53&gt;='Fuel Equipment'!M$17,$A53&lt;='Fuel Equipment'!M$18),('Fuel Equipment'!M$19*'Fuel Equipment'!M$20*'Fuel Equipment'!M$21)*('Fuel Equipment'!M$45-'Fuel Equipment'!M$44)*
(VLOOKUP(IF('Fuel Equipment'!M$22=Report!$A$25,Report!$A$19,'Fuel Equipment'!M$22),Report!$A$18:$L$34,'Actual-CO2 Calculations'!$AK56,FALSE)),0),0)</f>
        <v>0</v>
      </c>
      <c r="N53" s="19">
        <f>IF(AND('Fuel Equipment'!N$44&gt;0,'Fuel Equipment'!N$45&gt;0),IF(AND($A53&gt;='Fuel Equipment'!N$17,$A53&lt;='Fuel Equipment'!N$18),('Fuel Equipment'!N$19*'Fuel Equipment'!N$20*'Fuel Equipment'!N$21)*('Fuel Equipment'!N$45-'Fuel Equipment'!N$44)*
(VLOOKUP(IF('Fuel Equipment'!N$22=Report!$A$25,Report!$A$19,'Fuel Equipment'!N$22),Report!$A$18:$L$34,'Actual-CO2 Calculations'!$AK56,FALSE)),0),0)</f>
        <v>0</v>
      </c>
      <c r="O53" s="19">
        <f>IF(AND('Fuel Equipment'!O$44&gt;0,'Fuel Equipment'!O$45&gt;0),IF(AND($A53&gt;='Fuel Equipment'!O$17,$A53&lt;='Fuel Equipment'!O$18),('Fuel Equipment'!O$19*'Fuel Equipment'!O$20*'Fuel Equipment'!O$21)*('Fuel Equipment'!O$45-'Fuel Equipment'!O$44)*
(VLOOKUP(IF('Fuel Equipment'!O$22=Report!$A$25,Report!$A$19,'Fuel Equipment'!O$22),Report!$A$18:$L$34,'Actual-CO2 Calculations'!$AK56,FALSE)),0),0)</f>
        <v>0</v>
      </c>
      <c r="P53" s="19">
        <f>IF(AND('Fuel Equipment'!P$44&gt;0,'Fuel Equipment'!P$45&gt;0),IF(AND($A53&gt;='Fuel Equipment'!P$17,$A53&lt;='Fuel Equipment'!P$18),('Fuel Equipment'!P$19*'Fuel Equipment'!P$20*'Fuel Equipment'!P$21)*('Fuel Equipment'!P$45-'Fuel Equipment'!P$44)*
(VLOOKUP(IF('Fuel Equipment'!P$22=Report!$A$25,Report!$A$19,'Fuel Equipment'!P$22),Report!$A$18:$L$34,'Actual-CO2 Calculations'!$AK56,FALSE)),0),0)</f>
        <v>0</v>
      </c>
      <c r="Q53" s="19">
        <f>IF(AND('Fuel Equipment'!Q$44&gt;0,'Fuel Equipment'!Q$45&gt;0),IF(AND($A53&gt;='Fuel Equipment'!Q$17,$A53&lt;='Fuel Equipment'!Q$18),('Fuel Equipment'!Q$19*'Fuel Equipment'!Q$20*'Fuel Equipment'!Q$21)*('Fuel Equipment'!Q$45-'Fuel Equipment'!Q$44)*
(VLOOKUP(IF('Fuel Equipment'!Q$22=Report!$A$25,Report!$A$19,'Fuel Equipment'!Q$22),Report!$A$18:$L$34,'Actual-CO2 Calculations'!$AK56,FALSE)),0),0)</f>
        <v>0</v>
      </c>
      <c r="R53" s="19">
        <f>IF(AND('Fuel Equipment'!R$44&gt;0,'Fuel Equipment'!R$45&gt;0),IF(AND($A53&gt;='Fuel Equipment'!R$17,$A53&lt;='Fuel Equipment'!R$18),('Fuel Equipment'!R$19*'Fuel Equipment'!R$20*'Fuel Equipment'!R$21)*('Fuel Equipment'!R$45-'Fuel Equipment'!R$44)*
(VLOOKUP(IF('Fuel Equipment'!R$22=Report!$A$25,Report!$A$19,'Fuel Equipment'!R$22),Report!$A$18:$L$34,'Actual-CO2 Calculations'!$AK56,FALSE)),0),0)</f>
        <v>0</v>
      </c>
      <c r="S53" s="19">
        <f>IF(AND('Fuel Equipment'!S$44&gt;0,'Fuel Equipment'!S$45&gt;0),IF(AND($A53&gt;='Fuel Equipment'!S$17,$A53&lt;='Fuel Equipment'!S$18),('Fuel Equipment'!S$19*'Fuel Equipment'!S$20*'Fuel Equipment'!S$21)*('Fuel Equipment'!S$45-'Fuel Equipment'!S$44)*
(VLOOKUP(IF('Fuel Equipment'!S$22=Report!$A$25,Report!$A$19,'Fuel Equipment'!S$22),Report!$A$18:$L$34,'Actual-CO2 Calculations'!$AK56,FALSE)),0),0)</f>
        <v>0</v>
      </c>
      <c r="V53" s="671">
        <f t="shared" si="0"/>
        <v>0</v>
      </c>
    </row>
    <row r="54" spans="1:22">
      <c r="A54" s="21" t="s">
        <v>67</v>
      </c>
      <c r="B54" s="19">
        <f>IF(AND('Fuel Equipment'!B$44&gt;0,'Fuel Equipment'!B$45&gt;0),IF(AND($A54&gt;='Fuel Equipment'!B$17,$A54&lt;='Fuel Equipment'!B$18),('Fuel Equipment'!B$19*'Fuel Equipment'!B$20*'Fuel Equipment'!B$21)*('Fuel Equipment'!B$45-'Fuel Equipment'!B$44)*
(VLOOKUP(IF('Fuel Equipment'!B$22=Report!$A$25,Report!$A$19,'Fuel Equipment'!B$22),Report!$A$18:$L$34,'Actual-CO2 Calculations'!$AK57,FALSE)),0),0)</f>
        <v>2313.1821176470598</v>
      </c>
      <c r="C54" s="19">
        <f>IF(AND('Fuel Equipment'!C$44&gt;0,'Fuel Equipment'!C$45&gt;0),IF(AND($A54&gt;='Fuel Equipment'!C$17,$A54&lt;='Fuel Equipment'!C$18),('Fuel Equipment'!C$19*'Fuel Equipment'!C$20*'Fuel Equipment'!C$21)*('Fuel Equipment'!C$45-'Fuel Equipment'!C$44)*
(VLOOKUP(IF('Fuel Equipment'!C$22=Report!$A$25,Report!$A$19,'Fuel Equipment'!C$22),Report!$A$18:$L$34,'Actual-CO2 Calculations'!$AK57,FALSE)),0),0)</f>
        <v>508.97376344086115</v>
      </c>
      <c r="D54" s="19">
        <f>IF(AND('Fuel Equipment'!D$44&gt;0,'Fuel Equipment'!D$45&gt;0),IF(AND($A54&gt;='Fuel Equipment'!D$17,$A54&lt;='Fuel Equipment'!D$18),('Fuel Equipment'!D$19*'Fuel Equipment'!D$20*'Fuel Equipment'!D$21)*('Fuel Equipment'!D$45-'Fuel Equipment'!D$44)*
(VLOOKUP(IF('Fuel Equipment'!D$22=Report!$A$25,Report!$A$19,'Fuel Equipment'!D$22),Report!$A$18:$L$34,'Actual-CO2 Calculations'!$AK57,FALSE)),0),0)</f>
        <v>0</v>
      </c>
      <c r="E54" s="19">
        <f>IF(AND('Fuel Equipment'!E$44&gt;0,'Fuel Equipment'!E$45&gt;0),IF(AND($A54&gt;='Fuel Equipment'!E$17,$A54&lt;='Fuel Equipment'!E$18),('Fuel Equipment'!E$19*'Fuel Equipment'!E$20*'Fuel Equipment'!E$21)*('Fuel Equipment'!E$45-'Fuel Equipment'!E$44)*
(VLOOKUP(IF('Fuel Equipment'!E$22=Report!$A$25,Report!$A$19,'Fuel Equipment'!E$22),Report!$A$18:$L$34,'Actual-CO2 Calculations'!$AK57,FALSE)),0),0)</f>
        <v>3005.3688888888892</v>
      </c>
      <c r="F54" s="19">
        <f>IF(AND('Fuel Equipment'!F$44&gt;0,'Fuel Equipment'!F$45&gt;0),IF(AND($A54&gt;='Fuel Equipment'!F$17,$A54&lt;='Fuel Equipment'!F$18),('Fuel Equipment'!F$19*'Fuel Equipment'!F$20*'Fuel Equipment'!F$21)*('Fuel Equipment'!F$45-'Fuel Equipment'!F$44)*
(VLOOKUP(IF('Fuel Equipment'!F$22=Report!$A$25,Report!$A$19,'Fuel Equipment'!F$22),Report!$A$18:$L$34,'Actual-CO2 Calculations'!$AK57,FALSE)),0),0)</f>
        <v>0</v>
      </c>
      <c r="G54" s="19">
        <f>IF(AND('Fuel Equipment'!G$44&gt;0,'Fuel Equipment'!G$45&gt;0),IF(AND($A54&gt;='Fuel Equipment'!G$17,$A54&lt;='Fuel Equipment'!G$18),('Fuel Equipment'!G$19*'Fuel Equipment'!G$20*'Fuel Equipment'!G$21)*('Fuel Equipment'!G$45-'Fuel Equipment'!G$44)*
(VLOOKUP(IF('Fuel Equipment'!G$22=Report!$A$25,Report!$A$19,'Fuel Equipment'!G$22),Report!$A$18:$L$34,'Actual-CO2 Calculations'!$AK57,FALSE)),0),0)</f>
        <v>0</v>
      </c>
      <c r="H54" s="19">
        <f>IF(AND('Fuel Equipment'!H$44&gt;0,'Fuel Equipment'!H$45&gt;0),IF(AND($A54&gt;='Fuel Equipment'!H$17,$A54&lt;='Fuel Equipment'!H$18),('Fuel Equipment'!H$19*'Fuel Equipment'!H$20*'Fuel Equipment'!H$21)*('Fuel Equipment'!H$45-'Fuel Equipment'!H$44)*
(VLOOKUP(IF('Fuel Equipment'!H$22=Report!$A$25,Report!$A$19,'Fuel Equipment'!H$22),Report!$A$18:$L$34,'Actual-CO2 Calculations'!$AK57,FALSE)),0),0)</f>
        <v>0</v>
      </c>
      <c r="I54" s="19">
        <f>IF(AND('Fuel Equipment'!I$44&gt;0,'Fuel Equipment'!I$45&gt;0),IF(AND($A54&gt;='Fuel Equipment'!I$17,$A54&lt;='Fuel Equipment'!I$18),('Fuel Equipment'!I$19*'Fuel Equipment'!I$20*'Fuel Equipment'!I$21)*('Fuel Equipment'!I$45-'Fuel Equipment'!I$44)*
(VLOOKUP(IF('Fuel Equipment'!I$22=Report!$A$25,Report!$A$19,'Fuel Equipment'!I$22),Report!$A$18:$L$34,'Actual-CO2 Calculations'!$AK57,FALSE)),0),0)</f>
        <v>0</v>
      </c>
      <c r="J54" s="19">
        <f>IF(AND('Fuel Equipment'!J$44&gt;0,'Fuel Equipment'!J$45&gt;0),IF(AND($A54&gt;='Fuel Equipment'!J$17,$A54&lt;='Fuel Equipment'!J$18),('Fuel Equipment'!J$19*'Fuel Equipment'!J$20*'Fuel Equipment'!J$21)*('Fuel Equipment'!J$45-'Fuel Equipment'!J$44)*
(VLOOKUP(IF('Fuel Equipment'!J$22=Report!$A$25,Report!$A$19,'Fuel Equipment'!J$22),Report!$A$18:$L$34,'Actual-CO2 Calculations'!$AK57,FALSE)),0),0)</f>
        <v>0</v>
      </c>
      <c r="K54" s="19">
        <f>IF(AND('Fuel Equipment'!K$44&gt;0,'Fuel Equipment'!K$45&gt;0),IF(AND($A54&gt;='Fuel Equipment'!K$17,$A54&lt;='Fuel Equipment'!K$18),('Fuel Equipment'!K$19*'Fuel Equipment'!K$20*'Fuel Equipment'!K$21)*('Fuel Equipment'!K$45-'Fuel Equipment'!K$44)*
(VLOOKUP(IF('Fuel Equipment'!K$22=Report!$A$25,Report!$A$19,'Fuel Equipment'!K$22),Report!$A$18:$L$34,'Actual-CO2 Calculations'!$AK57,FALSE)),0),0)</f>
        <v>0</v>
      </c>
      <c r="L54" s="19">
        <f>IF(AND('Fuel Equipment'!L$44&gt;0,'Fuel Equipment'!L$45&gt;0),IF(AND($A54&gt;='Fuel Equipment'!L$17,$A54&lt;='Fuel Equipment'!L$18),('Fuel Equipment'!L$19*'Fuel Equipment'!L$20*'Fuel Equipment'!L$21)*('Fuel Equipment'!L$45-'Fuel Equipment'!L$44)*
(VLOOKUP(IF('Fuel Equipment'!L$22=Report!$A$25,Report!$A$19,'Fuel Equipment'!L$22),Report!$A$18:$L$34,'Actual-CO2 Calculations'!$AK57,FALSE)),0),0)</f>
        <v>0</v>
      </c>
      <c r="M54" s="19">
        <f>IF(AND('Fuel Equipment'!M$44&gt;0,'Fuel Equipment'!M$45&gt;0),IF(AND($A54&gt;='Fuel Equipment'!M$17,$A54&lt;='Fuel Equipment'!M$18),('Fuel Equipment'!M$19*'Fuel Equipment'!M$20*'Fuel Equipment'!M$21)*('Fuel Equipment'!M$45-'Fuel Equipment'!M$44)*
(VLOOKUP(IF('Fuel Equipment'!M$22=Report!$A$25,Report!$A$19,'Fuel Equipment'!M$22),Report!$A$18:$L$34,'Actual-CO2 Calculations'!$AK57,FALSE)),0),0)</f>
        <v>0</v>
      </c>
      <c r="N54" s="19">
        <f>IF(AND('Fuel Equipment'!N$44&gt;0,'Fuel Equipment'!N$45&gt;0),IF(AND($A54&gt;='Fuel Equipment'!N$17,$A54&lt;='Fuel Equipment'!N$18),('Fuel Equipment'!N$19*'Fuel Equipment'!N$20*'Fuel Equipment'!N$21)*('Fuel Equipment'!N$45-'Fuel Equipment'!N$44)*
(VLOOKUP(IF('Fuel Equipment'!N$22=Report!$A$25,Report!$A$19,'Fuel Equipment'!N$22),Report!$A$18:$L$34,'Actual-CO2 Calculations'!$AK57,FALSE)),0),0)</f>
        <v>0</v>
      </c>
      <c r="O54" s="19">
        <f>IF(AND('Fuel Equipment'!O$44&gt;0,'Fuel Equipment'!O$45&gt;0),IF(AND($A54&gt;='Fuel Equipment'!O$17,$A54&lt;='Fuel Equipment'!O$18),('Fuel Equipment'!O$19*'Fuel Equipment'!O$20*'Fuel Equipment'!O$21)*('Fuel Equipment'!O$45-'Fuel Equipment'!O$44)*
(VLOOKUP(IF('Fuel Equipment'!O$22=Report!$A$25,Report!$A$19,'Fuel Equipment'!O$22),Report!$A$18:$L$34,'Actual-CO2 Calculations'!$AK57,FALSE)),0),0)</f>
        <v>0</v>
      </c>
      <c r="P54" s="19">
        <f>IF(AND('Fuel Equipment'!P$44&gt;0,'Fuel Equipment'!P$45&gt;0),IF(AND($A54&gt;='Fuel Equipment'!P$17,$A54&lt;='Fuel Equipment'!P$18),('Fuel Equipment'!P$19*'Fuel Equipment'!P$20*'Fuel Equipment'!P$21)*('Fuel Equipment'!P$45-'Fuel Equipment'!P$44)*
(VLOOKUP(IF('Fuel Equipment'!P$22=Report!$A$25,Report!$A$19,'Fuel Equipment'!P$22),Report!$A$18:$L$34,'Actual-CO2 Calculations'!$AK57,FALSE)),0),0)</f>
        <v>0</v>
      </c>
      <c r="Q54" s="19">
        <f>IF(AND('Fuel Equipment'!Q$44&gt;0,'Fuel Equipment'!Q$45&gt;0),IF(AND($A54&gt;='Fuel Equipment'!Q$17,$A54&lt;='Fuel Equipment'!Q$18),('Fuel Equipment'!Q$19*'Fuel Equipment'!Q$20*'Fuel Equipment'!Q$21)*('Fuel Equipment'!Q$45-'Fuel Equipment'!Q$44)*
(VLOOKUP(IF('Fuel Equipment'!Q$22=Report!$A$25,Report!$A$19,'Fuel Equipment'!Q$22),Report!$A$18:$L$34,'Actual-CO2 Calculations'!$AK57,FALSE)),0),0)</f>
        <v>0</v>
      </c>
      <c r="R54" s="19">
        <f>IF(AND('Fuel Equipment'!R$44&gt;0,'Fuel Equipment'!R$45&gt;0),IF(AND($A54&gt;='Fuel Equipment'!R$17,$A54&lt;='Fuel Equipment'!R$18),('Fuel Equipment'!R$19*'Fuel Equipment'!R$20*'Fuel Equipment'!R$21)*('Fuel Equipment'!R$45-'Fuel Equipment'!R$44)*
(VLOOKUP(IF('Fuel Equipment'!R$22=Report!$A$25,Report!$A$19,'Fuel Equipment'!R$22),Report!$A$18:$L$34,'Actual-CO2 Calculations'!$AK57,FALSE)),0),0)</f>
        <v>0</v>
      </c>
      <c r="S54" s="19">
        <f>IF(AND('Fuel Equipment'!S$44&gt;0,'Fuel Equipment'!S$45&gt;0),IF(AND($A54&gt;='Fuel Equipment'!S$17,$A54&lt;='Fuel Equipment'!S$18),('Fuel Equipment'!S$19*'Fuel Equipment'!S$20*'Fuel Equipment'!S$21)*('Fuel Equipment'!S$45-'Fuel Equipment'!S$44)*
(VLOOKUP(IF('Fuel Equipment'!S$22=Report!$A$25,Report!$A$19,'Fuel Equipment'!S$22),Report!$A$18:$L$34,'Actual-CO2 Calculations'!$AK57,FALSE)),0),0)</f>
        <v>0</v>
      </c>
      <c r="V54" s="671">
        <f t="shared" si="0"/>
        <v>5827.5247699768097</v>
      </c>
    </row>
    <row r="55" spans="1:22">
      <c r="A55" s="21" t="s">
        <v>68</v>
      </c>
      <c r="B55" s="19">
        <f>IF(AND('Fuel Equipment'!B$44&gt;0,'Fuel Equipment'!B$45&gt;0),IF(AND($A55&gt;='Fuel Equipment'!B$17,$A55&lt;='Fuel Equipment'!B$18),('Fuel Equipment'!B$19*'Fuel Equipment'!B$20*'Fuel Equipment'!B$21)*('Fuel Equipment'!B$45-'Fuel Equipment'!B$44)*
(VLOOKUP(IF('Fuel Equipment'!B$22=Report!$A$25,Report!$A$19,'Fuel Equipment'!B$22),Report!$A$18:$L$34,'Actual-CO2 Calculations'!$AK58,FALSE)),0),0)</f>
        <v>2313.1821176470598</v>
      </c>
      <c r="C55" s="19">
        <f>IF(AND('Fuel Equipment'!C$44&gt;0,'Fuel Equipment'!C$45&gt;0),IF(AND($A55&gt;='Fuel Equipment'!C$17,$A55&lt;='Fuel Equipment'!C$18),('Fuel Equipment'!C$19*'Fuel Equipment'!C$20*'Fuel Equipment'!C$21)*('Fuel Equipment'!C$45-'Fuel Equipment'!C$44)*
(VLOOKUP(IF('Fuel Equipment'!C$22=Report!$A$25,Report!$A$19,'Fuel Equipment'!C$22),Report!$A$18:$L$34,'Actual-CO2 Calculations'!$AK58,FALSE)),0),0)</f>
        <v>508.97376344086115</v>
      </c>
      <c r="D55" s="19">
        <f>IF(AND('Fuel Equipment'!D$44&gt;0,'Fuel Equipment'!D$45&gt;0),IF(AND($A55&gt;='Fuel Equipment'!D$17,$A55&lt;='Fuel Equipment'!D$18),('Fuel Equipment'!D$19*'Fuel Equipment'!D$20*'Fuel Equipment'!D$21)*('Fuel Equipment'!D$45-'Fuel Equipment'!D$44)*
(VLOOKUP(IF('Fuel Equipment'!D$22=Report!$A$25,Report!$A$19,'Fuel Equipment'!D$22),Report!$A$18:$L$34,'Actual-CO2 Calculations'!$AK58,FALSE)),0),0)</f>
        <v>0</v>
      </c>
      <c r="E55" s="19">
        <f>IF(AND('Fuel Equipment'!E$44&gt;0,'Fuel Equipment'!E$45&gt;0),IF(AND($A55&gt;='Fuel Equipment'!E$17,$A55&lt;='Fuel Equipment'!E$18),('Fuel Equipment'!E$19*'Fuel Equipment'!E$20*'Fuel Equipment'!E$21)*('Fuel Equipment'!E$45-'Fuel Equipment'!E$44)*
(VLOOKUP(IF('Fuel Equipment'!E$22=Report!$A$25,Report!$A$19,'Fuel Equipment'!E$22),Report!$A$18:$L$34,'Actual-CO2 Calculations'!$AK58,FALSE)),0),0)</f>
        <v>3005.3688888888892</v>
      </c>
      <c r="F55" s="19">
        <f>IF(AND('Fuel Equipment'!F$44&gt;0,'Fuel Equipment'!F$45&gt;0),IF(AND($A55&gt;='Fuel Equipment'!F$17,$A55&lt;='Fuel Equipment'!F$18),('Fuel Equipment'!F$19*'Fuel Equipment'!F$20*'Fuel Equipment'!F$21)*('Fuel Equipment'!F$45-'Fuel Equipment'!F$44)*
(VLOOKUP(IF('Fuel Equipment'!F$22=Report!$A$25,Report!$A$19,'Fuel Equipment'!F$22),Report!$A$18:$L$34,'Actual-CO2 Calculations'!$AK58,FALSE)),0),0)</f>
        <v>0</v>
      </c>
      <c r="G55" s="19">
        <f>IF(AND('Fuel Equipment'!G$44&gt;0,'Fuel Equipment'!G$45&gt;0),IF(AND($A55&gt;='Fuel Equipment'!G$17,$A55&lt;='Fuel Equipment'!G$18),('Fuel Equipment'!G$19*'Fuel Equipment'!G$20*'Fuel Equipment'!G$21)*('Fuel Equipment'!G$45-'Fuel Equipment'!G$44)*
(VLOOKUP(IF('Fuel Equipment'!G$22=Report!$A$25,Report!$A$19,'Fuel Equipment'!G$22),Report!$A$18:$L$34,'Actual-CO2 Calculations'!$AK58,FALSE)),0),0)</f>
        <v>0</v>
      </c>
      <c r="H55" s="19">
        <f>IF(AND('Fuel Equipment'!H$44&gt;0,'Fuel Equipment'!H$45&gt;0),IF(AND($A55&gt;='Fuel Equipment'!H$17,$A55&lt;='Fuel Equipment'!H$18),('Fuel Equipment'!H$19*'Fuel Equipment'!H$20*'Fuel Equipment'!H$21)*('Fuel Equipment'!H$45-'Fuel Equipment'!H$44)*
(VLOOKUP(IF('Fuel Equipment'!H$22=Report!$A$25,Report!$A$19,'Fuel Equipment'!H$22),Report!$A$18:$L$34,'Actual-CO2 Calculations'!$AK58,FALSE)),0),0)</f>
        <v>0</v>
      </c>
      <c r="I55" s="19">
        <f>IF(AND('Fuel Equipment'!I$44&gt;0,'Fuel Equipment'!I$45&gt;0),IF(AND($A55&gt;='Fuel Equipment'!I$17,$A55&lt;='Fuel Equipment'!I$18),('Fuel Equipment'!I$19*'Fuel Equipment'!I$20*'Fuel Equipment'!I$21)*('Fuel Equipment'!I$45-'Fuel Equipment'!I$44)*
(VLOOKUP(IF('Fuel Equipment'!I$22=Report!$A$25,Report!$A$19,'Fuel Equipment'!I$22),Report!$A$18:$L$34,'Actual-CO2 Calculations'!$AK58,FALSE)),0),0)</f>
        <v>0</v>
      </c>
      <c r="J55" s="19">
        <f>IF(AND('Fuel Equipment'!J$44&gt;0,'Fuel Equipment'!J$45&gt;0),IF(AND($A55&gt;='Fuel Equipment'!J$17,$A55&lt;='Fuel Equipment'!J$18),('Fuel Equipment'!J$19*'Fuel Equipment'!J$20*'Fuel Equipment'!J$21)*('Fuel Equipment'!J$45-'Fuel Equipment'!J$44)*
(VLOOKUP(IF('Fuel Equipment'!J$22=Report!$A$25,Report!$A$19,'Fuel Equipment'!J$22),Report!$A$18:$L$34,'Actual-CO2 Calculations'!$AK58,FALSE)),0),0)</f>
        <v>0</v>
      </c>
      <c r="K55" s="19">
        <f>IF(AND('Fuel Equipment'!K$44&gt;0,'Fuel Equipment'!K$45&gt;0),IF(AND($A55&gt;='Fuel Equipment'!K$17,$A55&lt;='Fuel Equipment'!K$18),('Fuel Equipment'!K$19*'Fuel Equipment'!K$20*'Fuel Equipment'!K$21)*('Fuel Equipment'!K$45-'Fuel Equipment'!K$44)*
(VLOOKUP(IF('Fuel Equipment'!K$22=Report!$A$25,Report!$A$19,'Fuel Equipment'!K$22),Report!$A$18:$L$34,'Actual-CO2 Calculations'!$AK58,FALSE)),0),0)</f>
        <v>0</v>
      </c>
      <c r="L55" s="19">
        <f>IF(AND('Fuel Equipment'!L$44&gt;0,'Fuel Equipment'!L$45&gt;0),IF(AND($A55&gt;='Fuel Equipment'!L$17,$A55&lt;='Fuel Equipment'!L$18),('Fuel Equipment'!L$19*'Fuel Equipment'!L$20*'Fuel Equipment'!L$21)*('Fuel Equipment'!L$45-'Fuel Equipment'!L$44)*
(VLOOKUP(IF('Fuel Equipment'!L$22=Report!$A$25,Report!$A$19,'Fuel Equipment'!L$22),Report!$A$18:$L$34,'Actual-CO2 Calculations'!$AK58,FALSE)),0),0)</f>
        <v>0</v>
      </c>
      <c r="M55" s="19">
        <f>IF(AND('Fuel Equipment'!M$44&gt;0,'Fuel Equipment'!M$45&gt;0),IF(AND($A55&gt;='Fuel Equipment'!M$17,$A55&lt;='Fuel Equipment'!M$18),('Fuel Equipment'!M$19*'Fuel Equipment'!M$20*'Fuel Equipment'!M$21)*('Fuel Equipment'!M$45-'Fuel Equipment'!M$44)*
(VLOOKUP(IF('Fuel Equipment'!M$22=Report!$A$25,Report!$A$19,'Fuel Equipment'!M$22),Report!$A$18:$L$34,'Actual-CO2 Calculations'!$AK58,FALSE)),0),0)</f>
        <v>0</v>
      </c>
      <c r="N55" s="19">
        <f>IF(AND('Fuel Equipment'!N$44&gt;0,'Fuel Equipment'!N$45&gt;0),IF(AND($A55&gt;='Fuel Equipment'!N$17,$A55&lt;='Fuel Equipment'!N$18),('Fuel Equipment'!N$19*'Fuel Equipment'!N$20*'Fuel Equipment'!N$21)*('Fuel Equipment'!N$45-'Fuel Equipment'!N$44)*
(VLOOKUP(IF('Fuel Equipment'!N$22=Report!$A$25,Report!$A$19,'Fuel Equipment'!N$22),Report!$A$18:$L$34,'Actual-CO2 Calculations'!$AK58,FALSE)),0),0)</f>
        <v>0</v>
      </c>
      <c r="O55" s="19">
        <f>IF(AND('Fuel Equipment'!O$44&gt;0,'Fuel Equipment'!O$45&gt;0),IF(AND($A55&gt;='Fuel Equipment'!O$17,$A55&lt;='Fuel Equipment'!O$18),('Fuel Equipment'!O$19*'Fuel Equipment'!O$20*'Fuel Equipment'!O$21)*('Fuel Equipment'!O$45-'Fuel Equipment'!O$44)*
(VLOOKUP(IF('Fuel Equipment'!O$22=Report!$A$25,Report!$A$19,'Fuel Equipment'!O$22),Report!$A$18:$L$34,'Actual-CO2 Calculations'!$AK58,FALSE)),0),0)</f>
        <v>0</v>
      </c>
      <c r="P55" s="19">
        <f>IF(AND('Fuel Equipment'!P$44&gt;0,'Fuel Equipment'!P$45&gt;0),IF(AND($A55&gt;='Fuel Equipment'!P$17,$A55&lt;='Fuel Equipment'!P$18),('Fuel Equipment'!P$19*'Fuel Equipment'!P$20*'Fuel Equipment'!P$21)*('Fuel Equipment'!P$45-'Fuel Equipment'!P$44)*
(VLOOKUP(IF('Fuel Equipment'!P$22=Report!$A$25,Report!$A$19,'Fuel Equipment'!P$22),Report!$A$18:$L$34,'Actual-CO2 Calculations'!$AK58,FALSE)),0),0)</f>
        <v>0</v>
      </c>
      <c r="Q55" s="19">
        <f>IF(AND('Fuel Equipment'!Q$44&gt;0,'Fuel Equipment'!Q$45&gt;0),IF(AND($A55&gt;='Fuel Equipment'!Q$17,$A55&lt;='Fuel Equipment'!Q$18),('Fuel Equipment'!Q$19*'Fuel Equipment'!Q$20*'Fuel Equipment'!Q$21)*('Fuel Equipment'!Q$45-'Fuel Equipment'!Q$44)*
(VLOOKUP(IF('Fuel Equipment'!Q$22=Report!$A$25,Report!$A$19,'Fuel Equipment'!Q$22),Report!$A$18:$L$34,'Actual-CO2 Calculations'!$AK58,FALSE)),0),0)</f>
        <v>0</v>
      </c>
      <c r="R55" s="19">
        <f>IF(AND('Fuel Equipment'!R$44&gt;0,'Fuel Equipment'!R$45&gt;0),IF(AND($A55&gt;='Fuel Equipment'!R$17,$A55&lt;='Fuel Equipment'!R$18),('Fuel Equipment'!R$19*'Fuel Equipment'!R$20*'Fuel Equipment'!R$21)*('Fuel Equipment'!R$45-'Fuel Equipment'!R$44)*
(VLOOKUP(IF('Fuel Equipment'!R$22=Report!$A$25,Report!$A$19,'Fuel Equipment'!R$22),Report!$A$18:$L$34,'Actual-CO2 Calculations'!$AK58,FALSE)),0),0)</f>
        <v>0</v>
      </c>
      <c r="S55" s="19">
        <f>IF(AND('Fuel Equipment'!S$44&gt;0,'Fuel Equipment'!S$45&gt;0),IF(AND($A55&gt;='Fuel Equipment'!S$17,$A55&lt;='Fuel Equipment'!S$18),('Fuel Equipment'!S$19*'Fuel Equipment'!S$20*'Fuel Equipment'!S$21)*('Fuel Equipment'!S$45-'Fuel Equipment'!S$44)*
(VLOOKUP(IF('Fuel Equipment'!S$22=Report!$A$25,Report!$A$19,'Fuel Equipment'!S$22),Report!$A$18:$L$34,'Actual-CO2 Calculations'!$AK58,FALSE)),0),0)</f>
        <v>0</v>
      </c>
      <c r="V55" s="671">
        <f t="shared" si="0"/>
        <v>5827.5247699768097</v>
      </c>
    </row>
    <row r="56" spans="1:22">
      <c r="A56" s="21" t="s">
        <v>69</v>
      </c>
      <c r="B56" s="19">
        <f>IF(AND('Fuel Equipment'!B$44&gt;0,'Fuel Equipment'!B$45&gt;0),IF(AND($A56&gt;='Fuel Equipment'!B$17,$A56&lt;='Fuel Equipment'!B$18),('Fuel Equipment'!B$19*'Fuel Equipment'!B$20*'Fuel Equipment'!B$21)*('Fuel Equipment'!B$45-'Fuel Equipment'!B$44)*
(VLOOKUP(IF('Fuel Equipment'!B$22=Report!$A$25,Report!$A$19,'Fuel Equipment'!B$22),Report!$A$18:$L$34,'Actual-CO2 Calculations'!$AK59,FALSE)),0),0)</f>
        <v>2314.605176470589</v>
      </c>
      <c r="C56" s="19">
        <f>IF(AND('Fuel Equipment'!C$44&gt;0,'Fuel Equipment'!C$45&gt;0),IF(AND($A56&gt;='Fuel Equipment'!C$17,$A56&lt;='Fuel Equipment'!C$18),('Fuel Equipment'!C$19*'Fuel Equipment'!C$20*'Fuel Equipment'!C$21)*('Fuel Equipment'!C$45-'Fuel Equipment'!C$44)*
(VLOOKUP(IF('Fuel Equipment'!C$22=Report!$A$25,Report!$A$19,'Fuel Equipment'!C$22),Report!$A$18:$L$34,'Actual-CO2 Calculations'!$AK59,FALSE)),0),0)</f>
        <v>509.28688172043098</v>
      </c>
      <c r="D56" s="19">
        <f>IF(AND('Fuel Equipment'!D$44&gt;0,'Fuel Equipment'!D$45&gt;0),IF(AND($A56&gt;='Fuel Equipment'!D$17,$A56&lt;='Fuel Equipment'!D$18),('Fuel Equipment'!D$19*'Fuel Equipment'!D$20*'Fuel Equipment'!D$21)*('Fuel Equipment'!D$45-'Fuel Equipment'!D$44)*
(VLOOKUP(IF('Fuel Equipment'!D$22=Report!$A$25,Report!$A$19,'Fuel Equipment'!D$22),Report!$A$18:$L$34,'Actual-CO2 Calculations'!$AK59,FALSE)),0),0)</f>
        <v>0</v>
      </c>
      <c r="E56" s="19">
        <f>IF(AND('Fuel Equipment'!E$44&gt;0,'Fuel Equipment'!E$45&gt;0),IF(AND($A56&gt;='Fuel Equipment'!E$17,$A56&lt;='Fuel Equipment'!E$18),('Fuel Equipment'!E$19*'Fuel Equipment'!E$20*'Fuel Equipment'!E$21)*('Fuel Equipment'!E$45-'Fuel Equipment'!E$44)*
(VLOOKUP(IF('Fuel Equipment'!E$22=Report!$A$25,Report!$A$19,'Fuel Equipment'!E$22),Report!$A$18:$L$34,'Actual-CO2 Calculations'!$AK59,FALSE)),0),0)</f>
        <v>3007.2177777777779</v>
      </c>
      <c r="F56" s="19">
        <f>IF(AND('Fuel Equipment'!F$44&gt;0,'Fuel Equipment'!F$45&gt;0),IF(AND($A56&gt;='Fuel Equipment'!F$17,$A56&lt;='Fuel Equipment'!F$18),('Fuel Equipment'!F$19*'Fuel Equipment'!F$20*'Fuel Equipment'!F$21)*('Fuel Equipment'!F$45-'Fuel Equipment'!F$44)*
(VLOOKUP(IF('Fuel Equipment'!F$22=Report!$A$25,Report!$A$19,'Fuel Equipment'!F$22),Report!$A$18:$L$34,'Actual-CO2 Calculations'!$AK59,FALSE)),0),0)</f>
        <v>0</v>
      </c>
      <c r="G56" s="19">
        <f>IF(AND('Fuel Equipment'!G$44&gt;0,'Fuel Equipment'!G$45&gt;0),IF(AND($A56&gt;='Fuel Equipment'!G$17,$A56&lt;='Fuel Equipment'!G$18),('Fuel Equipment'!G$19*'Fuel Equipment'!G$20*'Fuel Equipment'!G$21)*('Fuel Equipment'!G$45-'Fuel Equipment'!G$44)*
(VLOOKUP(IF('Fuel Equipment'!G$22=Report!$A$25,Report!$A$19,'Fuel Equipment'!G$22),Report!$A$18:$L$34,'Actual-CO2 Calculations'!$AK59,FALSE)),0),0)</f>
        <v>0</v>
      </c>
      <c r="H56" s="19">
        <f>IF(AND('Fuel Equipment'!H$44&gt;0,'Fuel Equipment'!H$45&gt;0),IF(AND($A56&gt;='Fuel Equipment'!H$17,$A56&lt;='Fuel Equipment'!H$18),('Fuel Equipment'!H$19*'Fuel Equipment'!H$20*'Fuel Equipment'!H$21)*('Fuel Equipment'!H$45-'Fuel Equipment'!H$44)*
(VLOOKUP(IF('Fuel Equipment'!H$22=Report!$A$25,Report!$A$19,'Fuel Equipment'!H$22),Report!$A$18:$L$34,'Actual-CO2 Calculations'!$AK59,FALSE)),0),0)</f>
        <v>0</v>
      </c>
      <c r="I56" s="19">
        <f>IF(AND('Fuel Equipment'!I$44&gt;0,'Fuel Equipment'!I$45&gt;0),IF(AND($A56&gt;='Fuel Equipment'!I$17,$A56&lt;='Fuel Equipment'!I$18),('Fuel Equipment'!I$19*'Fuel Equipment'!I$20*'Fuel Equipment'!I$21)*('Fuel Equipment'!I$45-'Fuel Equipment'!I$44)*
(VLOOKUP(IF('Fuel Equipment'!I$22=Report!$A$25,Report!$A$19,'Fuel Equipment'!I$22),Report!$A$18:$L$34,'Actual-CO2 Calculations'!$AK59,FALSE)),0),0)</f>
        <v>0</v>
      </c>
      <c r="J56" s="19">
        <f>IF(AND('Fuel Equipment'!J$44&gt;0,'Fuel Equipment'!J$45&gt;0),IF(AND($A56&gt;='Fuel Equipment'!J$17,$A56&lt;='Fuel Equipment'!J$18),('Fuel Equipment'!J$19*'Fuel Equipment'!J$20*'Fuel Equipment'!J$21)*('Fuel Equipment'!J$45-'Fuel Equipment'!J$44)*
(VLOOKUP(IF('Fuel Equipment'!J$22=Report!$A$25,Report!$A$19,'Fuel Equipment'!J$22),Report!$A$18:$L$34,'Actual-CO2 Calculations'!$AK59,FALSE)),0),0)</f>
        <v>0</v>
      </c>
      <c r="K56" s="19">
        <f>IF(AND('Fuel Equipment'!K$44&gt;0,'Fuel Equipment'!K$45&gt;0),IF(AND($A56&gt;='Fuel Equipment'!K$17,$A56&lt;='Fuel Equipment'!K$18),('Fuel Equipment'!K$19*'Fuel Equipment'!K$20*'Fuel Equipment'!K$21)*('Fuel Equipment'!K$45-'Fuel Equipment'!K$44)*
(VLOOKUP(IF('Fuel Equipment'!K$22=Report!$A$25,Report!$A$19,'Fuel Equipment'!K$22),Report!$A$18:$L$34,'Actual-CO2 Calculations'!$AK59,FALSE)),0),0)</f>
        <v>0</v>
      </c>
      <c r="L56" s="19">
        <f>IF(AND('Fuel Equipment'!L$44&gt;0,'Fuel Equipment'!L$45&gt;0),IF(AND($A56&gt;='Fuel Equipment'!L$17,$A56&lt;='Fuel Equipment'!L$18),('Fuel Equipment'!L$19*'Fuel Equipment'!L$20*'Fuel Equipment'!L$21)*('Fuel Equipment'!L$45-'Fuel Equipment'!L$44)*
(VLOOKUP(IF('Fuel Equipment'!L$22=Report!$A$25,Report!$A$19,'Fuel Equipment'!L$22),Report!$A$18:$L$34,'Actual-CO2 Calculations'!$AK59,FALSE)),0),0)</f>
        <v>0</v>
      </c>
      <c r="M56" s="19">
        <f>IF(AND('Fuel Equipment'!M$44&gt;0,'Fuel Equipment'!M$45&gt;0),IF(AND($A56&gt;='Fuel Equipment'!M$17,$A56&lt;='Fuel Equipment'!M$18),('Fuel Equipment'!M$19*'Fuel Equipment'!M$20*'Fuel Equipment'!M$21)*('Fuel Equipment'!M$45-'Fuel Equipment'!M$44)*
(VLOOKUP(IF('Fuel Equipment'!M$22=Report!$A$25,Report!$A$19,'Fuel Equipment'!M$22),Report!$A$18:$L$34,'Actual-CO2 Calculations'!$AK59,FALSE)),0),0)</f>
        <v>0</v>
      </c>
      <c r="N56" s="19">
        <f>IF(AND('Fuel Equipment'!N$44&gt;0,'Fuel Equipment'!N$45&gt;0),IF(AND($A56&gt;='Fuel Equipment'!N$17,$A56&lt;='Fuel Equipment'!N$18),('Fuel Equipment'!N$19*'Fuel Equipment'!N$20*'Fuel Equipment'!N$21)*('Fuel Equipment'!N$45-'Fuel Equipment'!N$44)*
(VLOOKUP(IF('Fuel Equipment'!N$22=Report!$A$25,Report!$A$19,'Fuel Equipment'!N$22),Report!$A$18:$L$34,'Actual-CO2 Calculations'!$AK59,FALSE)),0),0)</f>
        <v>0</v>
      </c>
      <c r="O56" s="19">
        <f>IF(AND('Fuel Equipment'!O$44&gt;0,'Fuel Equipment'!O$45&gt;0),IF(AND($A56&gt;='Fuel Equipment'!O$17,$A56&lt;='Fuel Equipment'!O$18),('Fuel Equipment'!O$19*'Fuel Equipment'!O$20*'Fuel Equipment'!O$21)*('Fuel Equipment'!O$45-'Fuel Equipment'!O$44)*
(VLOOKUP(IF('Fuel Equipment'!O$22=Report!$A$25,Report!$A$19,'Fuel Equipment'!O$22),Report!$A$18:$L$34,'Actual-CO2 Calculations'!$AK59,FALSE)),0),0)</f>
        <v>0</v>
      </c>
      <c r="P56" s="19">
        <f>IF(AND('Fuel Equipment'!P$44&gt;0,'Fuel Equipment'!P$45&gt;0),IF(AND($A56&gt;='Fuel Equipment'!P$17,$A56&lt;='Fuel Equipment'!P$18),('Fuel Equipment'!P$19*'Fuel Equipment'!P$20*'Fuel Equipment'!P$21)*('Fuel Equipment'!P$45-'Fuel Equipment'!P$44)*
(VLOOKUP(IF('Fuel Equipment'!P$22=Report!$A$25,Report!$A$19,'Fuel Equipment'!P$22),Report!$A$18:$L$34,'Actual-CO2 Calculations'!$AK59,FALSE)),0),0)</f>
        <v>0</v>
      </c>
      <c r="Q56" s="19">
        <f>IF(AND('Fuel Equipment'!Q$44&gt;0,'Fuel Equipment'!Q$45&gt;0),IF(AND($A56&gt;='Fuel Equipment'!Q$17,$A56&lt;='Fuel Equipment'!Q$18),('Fuel Equipment'!Q$19*'Fuel Equipment'!Q$20*'Fuel Equipment'!Q$21)*('Fuel Equipment'!Q$45-'Fuel Equipment'!Q$44)*
(VLOOKUP(IF('Fuel Equipment'!Q$22=Report!$A$25,Report!$A$19,'Fuel Equipment'!Q$22),Report!$A$18:$L$34,'Actual-CO2 Calculations'!$AK59,FALSE)),0),0)</f>
        <v>0</v>
      </c>
      <c r="R56" s="19">
        <f>IF(AND('Fuel Equipment'!R$44&gt;0,'Fuel Equipment'!R$45&gt;0),IF(AND($A56&gt;='Fuel Equipment'!R$17,$A56&lt;='Fuel Equipment'!R$18),('Fuel Equipment'!R$19*'Fuel Equipment'!R$20*'Fuel Equipment'!R$21)*('Fuel Equipment'!R$45-'Fuel Equipment'!R$44)*
(VLOOKUP(IF('Fuel Equipment'!R$22=Report!$A$25,Report!$A$19,'Fuel Equipment'!R$22),Report!$A$18:$L$34,'Actual-CO2 Calculations'!$AK59,FALSE)),0),0)</f>
        <v>0</v>
      </c>
      <c r="S56" s="19">
        <f>IF(AND('Fuel Equipment'!S$44&gt;0,'Fuel Equipment'!S$45&gt;0),IF(AND($A56&gt;='Fuel Equipment'!S$17,$A56&lt;='Fuel Equipment'!S$18),('Fuel Equipment'!S$19*'Fuel Equipment'!S$20*'Fuel Equipment'!S$21)*('Fuel Equipment'!S$45-'Fuel Equipment'!S$44)*
(VLOOKUP(IF('Fuel Equipment'!S$22=Report!$A$25,Report!$A$19,'Fuel Equipment'!S$22),Report!$A$18:$L$34,'Actual-CO2 Calculations'!$AK59,FALSE)),0),0)</f>
        <v>0</v>
      </c>
      <c r="V56" s="671">
        <f t="shared" si="0"/>
        <v>5831.1098359687976</v>
      </c>
    </row>
    <row r="57" spans="1:22">
      <c r="A57" s="21" t="s">
        <v>70</v>
      </c>
      <c r="B57" s="19">
        <f>IF(AND('Fuel Equipment'!B$44&gt;0,'Fuel Equipment'!B$45&gt;0),IF(AND($A57&gt;='Fuel Equipment'!B$17,$A57&lt;='Fuel Equipment'!B$18),('Fuel Equipment'!B$19*'Fuel Equipment'!B$20*'Fuel Equipment'!B$21)*('Fuel Equipment'!B$45-'Fuel Equipment'!B$44)*
(VLOOKUP(IF('Fuel Equipment'!B$22=Report!$A$25,Report!$A$19,'Fuel Equipment'!B$22),Report!$A$18:$L$34,'Actual-CO2 Calculations'!$AK60,FALSE)),0),0)</f>
        <v>2314.605176470589</v>
      </c>
      <c r="C57" s="19">
        <f>IF(AND('Fuel Equipment'!C$44&gt;0,'Fuel Equipment'!C$45&gt;0),IF(AND($A57&gt;='Fuel Equipment'!C$17,$A57&lt;='Fuel Equipment'!C$18),('Fuel Equipment'!C$19*'Fuel Equipment'!C$20*'Fuel Equipment'!C$21)*('Fuel Equipment'!C$45-'Fuel Equipment'!C$44)*
(VLOOKUP(IF('Fuel Equipment'!C$22=Report!$A$25,Report!$A$19,'Fuel Equipment'!C$22),Report!$A$18:$L$34,'Actual-CO2 Calculations'!$AK60,FALSE)),0),0)</f>
        <v>509.28688172043098</v>
      </c>
      <c r="D57" s="19">
        <f>IF(AND('Fuel Equipment'!D$44&gt;0,'Fuel Equipment'!D$45&gt;0),IF(AND($A57&gt;='Fuel Equipment'!D$17,$A57&lt;='Fuel Equipment'!D$18),('Fuel Equipment'!D$19*'Fuel Equipment'!D$20*'Fuel Equipment'!D$21)*('Fuel Equipment'!D$45-'Fuel Equipment'!D$44)*
(VLOOKUP(IF('Fuel Equipment'!D$22=Report!$A$25,Report!$A$19,'Fuel Equipment'!D$22),Report!$A$18:$L$34,'Actual-CO2 Calculations'!$AK60,FALSE)),0),0)</f>
        <v>0</v>
      </c>
      <c r="E57" s="19">
        <f>IF(AND('Fuel Equipment'!E$44&gt;0,'Fuel Equipment'!E$45&gt;0),IF(AND($A57&gt;='Fuel Equipment'!E$17,$A57&lt;='Fuel Equipment'!E$18),('Fuel Equipment'!E$19*'Fuel Equipment'!E$20*'Fuel Equipment'!E$21)*('Fuel Equipment'!E$45-'Fuel Equipment'!E$44)*
(VLOOKUP(IF('Fuel Equipment'!E$22=Report!$A$25,Report!$A$19,'Fuel Equipment'!E$22),Report!$A$18:$L$34,'Actual-CO2 Calculations'!$AK60,FALSE)),0),0)</f>
        <v>3007.2177777777779</v>
      </c>
      <c r="F57" s="19">
        <f>IF(AND('Fuel Equipment'!F$44&gt;0,'Fuel Equipment'!F$45&gt;0),IF(AND($A57&gt;='Fuel Equipment'!F$17,$A57&lt;='Fuel Equipment'!F$18),('Fuel Equipment'!F$19*'Fuel Equipment'!F$20*'Fuel Equipment'!F$21)*('Fuel Equipment'!F$45-'Fuel Equipment'!F$44)*
(VLOOKUP(IF('Fuel Equipment'!F$22=Report!$A$25,Report!$A$19,'Fuel Equipment'!F$22),Report!$A$18:$L$34,'Actual-CO2 Calculations'!$AK60,FALSE)),0),0)</f>
        <v>0</v>
      </c>
      <c r="G57" s="19">
        <f>IF(AND('Fuel Equipment'!G$44&gt;0,'Fuel Equipment'!G$45&gt;0),IF(AND($A57&gt;='Fuel Equipment'!G$17,$A57&lt;='Fuel Equipment'!G$18),('Fuel Equipment'!G$19*'Fuel Equipment'!G$20*'Fuel Equipment'!G$21)*('Fuel Equipment'!G$45-'Fuel Equipment'!G$44)*
(VLOOKUP(IF('Fuel Equipment'!G$22=Report!$A$25,Report!$A$19,'Fuel Equipment'!G$22),Report!$A$18:$L$34,'Actual-CO2 Calculations'!$AK60,FALSE)),0),0)</f>
        <v>0</v>
      </c>
      <c r="H57" s="19">
        <f>IF(AND('Fuel Equipment'!H$44&gt;0,'Fuel Equipment'!H$45&gt;0),IF(AND($A57&gt;='Fuel Equipment'!H$17,$A57&lt;='Fuel Equipment'!H$18),('Fuel Equipment'!H$19*'Fuel Equipment'!H$20*'Fuel Equipment'!H$21)*('Fuel Equipment'!H$45-'Fuel Equipment'!H$44)*
(VLOOKUP(IF('Fuel Equipment'!H$22=Report!$A$25,Report!$A$19,'Fuel Equipment'!H$22),Report!$A$18:$L$34,'Actual-CO2 Calculations'!$AK60,FALSE)),0),0)</f>
        <v>0</v>
      </c>
      <c r="I57" s="19">
        <f>IF(AND('Fuel Equipment'!I$44&gt;0,'Fuel Equipment'!I$45&gt;0),IF(AND($A57&gt;='Fuel Equipment'!I$17,$A57&lt;='Fuel Equipment'!I$18),('Fuel Equipment'!I$19*'Fuel Equipment'!I$20*'Fuel Equipment'!I$21)*('Fuel Equipment'!I$45-'Fuel Equipment'!I$44)*
(VLOOKUP(IF('Fuel Equipment'!I$22=Report!$A$25,Report!$A$19,'Fuel Equipment'!I$22),Report!$A$18:$L$34,'Actual-CO2 Calculations'!$AK60,FALSE)),0),0)</f>
        <v>0</v>
      </c>
      <c r="J57" s="19">
        <f>IF(AND('Fuel Equipment'!J$44&gt;0,'Fuel Equipment'!J$45&gt;0),IF(AND($A57&gt;='Fuel Equipment'!J$17,$A57&lt;='Fuel Equipment'!J$18),('Fuel Equipment'!J$19*'Fuel Equipment'!J$20*'Fuel Equipment'!J$21)*('Fuel Equipment'!J$45-'Fuel Equipment'!J$44)*
(VLOOKUP(IF('Fuel Equipment'!J$22=Report!$A$25,Report!$A$19,'Fuel Equipment'!J$22),Report!$A$18:$L$34,'Actual-CO2 Calculations'!$AK60,FALSE)),0),0)</f>
        <v>0</v>
      </c>
      <c r="K57" s="19">
        <f>IF(AND('Fuel Equipment'!K$44&gt;0,'Fuel Equipment'!K$45&gt;0),IF(AND($A57&gt;='Fuel Equipment'!K$17,$A57&lt;='Fuel Equipment'!K$18),('Fuel Equipment'!K$19*'Fuel Equipment'!K$20*'Fuel Equipment'!K$21)*('Fuel Equipment'!K$45-'Fuel Equipment'!K$44)*
(VLOOKUP(IF('Fuel Equipment'!K$22=Report!$A$25,Report!$A$19,'Fuel Equipment'!K$22),Report!$A$18:$L$34,'Actual-CO2 Calculations'!$AK60,FALSE)),0),0)</f>
        <v>0</v>
      </c>
      <c r="L57" s="19">
        <f>IF(AND('Fuel Equipment'!L$44&gt;0,'Fuel Equipment'!L$45&gt;0),IF(AND($A57&gt;='Fuel Equipment'!L$17,$A57&lt;='Fuel Equipment'!L$18),('Fuel Equipment'!L$19*'Fuel Equipment'!L$20*'Fuel Equipment'!L$21)*('Fuel Equipment'!L$45-'Fuel Equipment'!L$44)*
(VLOOKUP(IF('Fuel Equipment'!L$22=Report!$A$25,Report!$A$19,'Fuel Equipment'!L$22),Report!$A$18:$L$34,'Actual-CO2 Calculations'!$AK60,FALSE)),0),0)</f>
        <v>0</v>
      </c>
      <c r="M57" s="19">
        <f>IF(AND('Fuel Equipment'!M$44&gt;0,'Fuel Equipment'!M$45&gt;0),IF(AND($A57&gt;='Fuel Equipment'!M$17,$A57&lt;='Fuel Equipment'!M$18),('Fuel Equipment'!M$19*'Fuel Equipment'!M$20*'Fuel Equipment'!M$21)*('Fuel Equipment'!M$45-'Fuel Equipment'!M$44)*
(VLOOKUP(IF('Fuel Equipment'!M$22=Report!$A$25,Report!$A$19,'Fuel Equipment'!M$22),Report!$A$18:$L$34,'Actual-CO2 Calculations'!$AK60,FALSE)),0),0)</f>
        <v>0</v>
      </c>
      <c r="N57" s="19">
        <f>IF(AND('Fuel Equipment'!N$44&gt;0,'Fuel Equipment'!N$45&gt;0),IF(AND($A57&gt;='Fuel Equipment'!N$17,$A57&lt;='Fuel Equipment'!N$18),('Fuel Equipment'!N$19*'Fuel Equipment'!N$20*'Fuel Equipment'!N$21)*('Fuel Equipment'!N$45-'Fuel Equipment'!N$44)*
(VLOOKUP(IF('Fuel Equipment'!N$22=Report!$A$25,Report!$A$19,'Fuel Equipment'!N$22),Report!$A$18:$L$34,'Actual-CO2 Calculations'!$AK60,FALSE)),0),0)</f>
        <v>0</v>
      </c>
      <c r="O57" s="19">
        <f>IF(AND('Fuel Equipment'!O$44&gt;0,'Fuel Equipment'!O$45&gt;0),IF(AND($A57&gt;='Fuel Equipment'!O$17,$A57&lt;='Fuel Equipment'!O$18),('Fuel Equipment'!O$19*'Fuel Equipment'!O$20*'Fuel Equipment'!O$21)*('Fuel Equipment'!O$45-'Fuel Equipment'!O$44)*
(VLOOKUP(IF('Fuel Equipment'!O$22=Report!$A$25,Report!$A$19,'Fuel Equipment'!O$22),Report!$A$18:$L$34,'Actual-CO2 Calculations'!$AK60,FALSE)),0),0)</f>
        <v>0</v>
      </c>
      <c r="P57" s="19">
        <f>IF(AND('Fuel Equipment'!P$44&gt;0,'Fuel Equipment'!P$45&gt;0),IF(AND($A57&gt;='Fuel Equipment'!P$17,$A57&lt;='Fuel Equipment'!P$18),('Fuel Equipment'!P$19*'Fuel Equipment'!P$20*'Fuel Equipment'!P$21)*('Fuel Equipment'!P$45-'Fuel Equipment'!P$44)*
(VLOOKUP(IF('Fuel Equipment'!P$22=Report!$A$25,Report!$A$19,'Fuel Equipment'!P$22),Report!$A$18:$L$34,'Actual-CO2 Calculations'!$AK60,FALSE)),0),0)</f>
        <v>0</v>
      </c>
      <c r="Q57" s="19">
        <f>IF(AND('Fuel Equipment'!Q$44&gt;0,'Fuel Equipment'!Q$45&gt;0),IF(AND($A57&gt;='Fuel Equipment'!Q$17,$A57&lt;='Fuel Equipment'!Q$18),('Fuel Equipment'!Q$19*'Fuel Equipment'!Q$20*'Fuel Equipment'!Q$21)*('Fuel Equipment'!Q$45-'Fuel Equipment'!Q$44)*
(VLOOKUP(IF('Fuel Equipment'!Q$22=Report!$A$25,Report!$A$19,'Fuel Equipment'!Q$22),Report!$A$18:$L$34,'Actual-CO2 Calculations'!$AK60,FALSE)),0),0)</f>
        <v>0</v>
      </c>
      <c r="R57" s="19">
        <f>IF(AND('Fuel Equipment'!R$44&gt;0,'Fuel Equipment'!R$45&gt;0),IF(AND($A57&gt;='Fuel Equipment'!R$17,$A57&lt;='Fuel Equipment'!R$18),('Fuel Equipment'!R$19*'Fuel Equipment'!R$20*'Fuel Equipment'!R$21)*('Fuel Equipment'!R$45-'Fuel Equipment'!R$44)*
(VLOOKUP(IF('Fuel Equipment'!R$22=Report!$A$25,Report!$A$19,'Fuel Equipment'!R$22),Report!$A$18:$L$34,'Actual-CO2 Calculations'!$AK60,FALSE)),0),0)</f>
        <v>0</v>
      </c>
      <c r="S57" s="19">
        <f>IF(AND('Fuel Equipment'!S$44&gt;0,'Fuel Equipment'!S$45&gt;0),IF(AND($A57&gt;='Fuel Equipment'!S$17,$A57&lt;='Fuel Equipment'!S$18),('Fuel Equipment'!S$19*'Fuel Equipment'!S$20*'Fuel Equipment'!S$21)*('Fuel Equipment'!S$45-'Fuel Equipment'!S$44)*
(VLOOKUP(IF('Fuel Equipment'!S$22=Report!$A$25,Report!$A$19,'Fuel Equipment'!S$22),Report!$A$18:$L$34,'Actual-CO2 Calculations'!$AK60,FALSE)),0),0)</f>
        <v>0</v>
      </c>
      <c r="V57" s="671">
        <f t="shared" si="0"/>
        <v>5831.1098359687976</v>
      </c>
    </row>
    <row r="58" spans="1:22">
      <c r="A58" s="21" t="s">
        <v>71</v>
      </c>
      <c r="B58" s="19">
        <f>IF(AND('Fuel Equipment'!B$44&gt;0,'Fuel Equipment'!B$45&gt;0),IF(AND($A58&gt;='Fuel Equipment'!B$17,$A58&lt;='Fuel Equipment'!B$18),('Fuel Equipment'!B$19*'Fuel Equipment'!B$20*'Fuel Equipment'!B$21)*('Fuel Equipment'!B$45-'Fuel Equipment'!B$44)*
(VLOOKUP(IF('Fuel Equipment'!B$22=Report!$A$25,Report!$A$19,'Fuel Equipment'!B$22),Report!$A$18:$L$34,'Actual-CO2 Calculations'!$AK61,FALSE)),0),0)</f>
        <v>2314.605176470589</v>
      </c>
      <c r="C58" s="19">
        <f>IF(AND('Fuel Equipment'!C$44&gt;0,'Fuel Equipment'!C$45&gt;0),IF(AND($A58&gt;='Fuel Equipment'!C$17,$A58&lt;='Fuel Equipment'!C$18),('Fuel Equipment'!C$19*'Fuel Equipment'!C$20*'Fuel Equipment'!C$21)*('Fuel Equipment'!C$45-'Fuel Equipment'!C$44)*
(VLOOKUP(IF('Fuel Equipment'!C$22=Report!$A$25,Report!$A$19,'Fuel Equipment'!C$22),Report!$A$18:$L$34,'Actual-CO2 Calculations'!$AK61,FALSE)),0),0)</f>
        <v>509.28688172043098</v>
      </c>
      <c r="D58" s="19">
        <f>IF(AND('Fuel Equipment'!D$44&gt;0,'Fuel Equipment'!D$45&gt;0),IF(AND($A58&gt;='Fuel Equipment'!D$17,$A58&lt;='Fuel Equipment'!D$18),('Fuel Equipment'!D$19*'Fuel Equipment'!D$20*'Fuel Equipment'!D$21)*('Fuel Equipment'!D$45-'Fuel Equipment'!D$44)*
(VLOOKUP(IF('Fuel Equipment'!D$22=Report!$A$25,Report!$A$19,'Fuel Equipment'!D$22),Report!$A$18:$L$34,'Actual-CO2 Calculations'!$AK61,FALSE)),0),0)</f>
        <v>0</v>
      </c>
      <c r="E58" s="19">
        <f>IF(AND('Fuel Equipment'!E$44&gt;0,'Fuel Equipment'!E$45&gt;0),IF(AND($A58&gt;='Fuel Equipment'!E$17,$A58&lt;='Fuel Equipment'!E$18),('Fuel Equipment'!E$19*'Fuel Equipment'!E$20*'Fuel Equipment'!E$21)*('Fuel Equipment'!E$45-'Fuel Equipment'!E$44)*
(VLOOKUP(IF('Fuel Equipment'!E$22=Report!$A$25,Report!$A$19,'Fuel Equipment'!E$22),Report!$A$18:$L$34,'Actual-CO2 Calculations'!$AK61,FALSE)),0),0)</f>
        <v>3007.2177777777779</v>
      </c>
      <c r="F58" s="19">
        <f>IF(AND('Fuel Equipment'!F$44&gt;0,'Fuel Equipment'!F$45&gt;0),IF(AND($A58&gt;='Fuel Equipment'!F$17,$A58&lt;='Fuel Equipment'!F$18),('Fuel Equipment'!F$19*'Fuel Equipment'!F$20*'Fuel Equipment'!F$21)*('Fuel Equipment'!F$45-'Fuel Equipment'!F$44)*
(VLOOKUP(IF('Fuel Equipment'!F$22=Report!$A$25,Report!$A$19,'Fuel Equipment'!F$22),Report!$A$18:$L$34,'Actual-CO2 Calculations'!$AK61,FALSE)),0),0)</f>
        <v>0</v>
      </c>
      <c r="G58" s="19">
        <f>IF(AND('Fuel Equipment'!G$44&gt;0,'Fuel Equipment'!G$45&gt;0),IF(AND($A58&gt;='Fuel Equipment'!G$17,$A58&lt;='Fuel Equipment'!G$18),('Fuel Equipment'!G$19*'Fuel Equipment'!G$20*'Fuel Equipment'!G$21)*('Fuel Equipment'!G$45-'Fuel Equipment'!G$44)*
(VLOOKUP(IF('Fuel Equipment'!G$22=Report!$A$25,Report!$A$19,'Fuel Equipment'!G$22),Report!$A$18:$L$34,'Actual-CO2 Calculations'!$AK61,FALSE)),0),0)</f>
        <v>0</v>
      </c>
      <c r="H58" s="19">
        <f>IF(AND('Fuel Equipment'!H$44&gt;0,'Fuel Equipment'!H$45&gt;0),IF(AND($A58&gt;='Fuel Equipment'!H$17,$A58&lt;='Fuel Equipment'!H$18),('Fuel Equipment'!H$19*'Fuel Equipment'!H$20*'Fuel Equipment'!H$21)*('Fuel Equipment'!H$45-'Fuel Equipment'!H$44)*
(VLOOKUP(IF('Fuel Equipment'!H$22=Report!$A$25,Report!$A$19,'Fuel Equipment'!H$22),Report!$A$18:$L$34,'Actual-CO2 Calculations'!$AK61,FALSE)),0),0)</f>
        <v>0</v>
      </c>
      <c r="I58" s="19">
        <f>IF(AND('Fuel Equipment'!I$44&gt;0,'Fuel Equipment'!I$45&gt;0),IF(AND($A58&gt;='Fuel Equipment'!I$17,$A58&lt;='Fuel Equipment'!I$18),('Fuel Equipment'!I$19*'Fuel Equipment'!I$20*'Fuel Equipment'!I$21)*('Fuel Equipment'!I$45-'Fuel Equipment'!I$44)*
(VLOOKUP(IF('Fuel Equipment'!I$22=Report!$A$25,Report!$A$19,'Fuel Equipment'!I$22),Report!$A$18:$L$34,'Actual-CO2 Calculations'!$AK61,FALSE)),0),0)</f>
        <v>0</v>
      </c>
      <c r="J58" s="19">
        <f>IF(AND('Fuel Equipment'!J$44&gt;0,'Fuel Equipment'!J$45&gt;0),IF(AND($A58&gt;='Fuel Equipment'!J$17,$A58&lt;='Fuel Equipment'!J$18),('Fuel Equipment'!J$19*'Fuel Equipment'!J$20*'Fuel Equipment'!J$21)*('Fuel Equipment'!J$45-'Fuel Equipment'!J$44)*
(VLOOKUP(IF('Fuel Equipment'!J$22=Report!$A$25,Report!$A$19,'Fuel Equipment'!J$22),Report!$A$18:$L$34,'Actual-CO2 Calculations'!$AK61,FALSE)),0),0)</f>
        <v>0</v>
      </c>
      <c r="K58" s="19">
        <f>IF(AND('Fuel Equipment'!K$44&gt;0,'Fuel Equipment'!K$45&gt;0),IF(AND($A58&gt;='Fuel Equipment'!K$17,$A58&lt;='Fuel Equipment'!K$18),('Fuel Equipment'!K$19*'Fuel Equipment'!K$20*'Fuel Equipment'!K$21)*('Fuel Equipment'!K$45-'Fuel Equipment'!K$44)*
(VLOOKUP(IF('Fuel Equipment'!K$22=Report!$A$25,Report!$A$19,'Fuel Equipment'!K$22),Report!$A$18:$L$34,'Actual-CO2 Calculations'!$AK61,FALSE)),0),0)</f>
        <v>0</v>
      </c>
      <c r="L58" s="19">
        <f>IF(AND('Fuel Equipment'!L$44&gt;0,'Fuel Equipment'!L$45&gt;0),IF(AND($A58&gt;='Fuel Equipment'!L$17,$A58&lt;='Fuel Equipment'!L$18),('Fuel Equipment'!L$19*'Fuel Equipment'!L$20*'Fuel Equipment'!L$21)*('Fuel Equipment'!L$45-'Fuel Equipment'!L$44)*
(VLOOKUP(IF('Fuel Equipment'!L$22=Report!$A$25,Report!$A$19,'Fuel Equipment'!L$22),Report!$A$18:$L$34,'Actual-CO2 Calculations'!$AK61,FALSE)),0),0)</f>
        <v>0</v>
      </c>
      <c r="M58" s="19">
        <f>IF(AND('Fuel Equipment'!M$44&gt;0,'Fuel Equipment'!M$45&gt;0),IF(AND($A58&gt;='Fuel Equipment'!M$17,$A58&lt;='Fuel Equipment'!M$18),('Fuel Equipment'!M$19*'Fuel Equipment'!M$20*'Fuel Equipment'!M$21)*('Fuel Equipment'!M$45-'Fuel Equipment'!M$44)*
(VLOOKUP(IF('Fuel Equipment'!M$22=Report!$A$25,Report!$A$19,'Fuel Equipment'!M$22),Report!$A$18:$L$34,'Actual-CO2 Calculations'!$AK61,FALSE)),0),0)</f>
        <v>0</v>
      </c>
      <c r="N58" s="19">
        <f>IF(AND('Fuel Equipment'!N$44&gt;0,'Fuel Equipment'!N$45&gt;0),IF(AND($A58&gt;='Fuel Equipment'!N$17,$A58&lt;='Fuel Equipment'!N$18),('Fuel Equipment'!N$19*'Fuel Equipment'!N$20*'Fuel Equipment'!N$21)*('Fuel Equipment'!N$45-'Fuel Equipment'!N$44)*
(VLOOKUP(IF('Fuel Equipment'!N$22=Report!$A$25,Report!$A$19,'Fuel Equipment'!N$22),Report!$A$18:$L$34,'Actual-CO2 Calculations'!$AK61,FALSE)),0),0)</f>
        <v>0</v>
      </c>
      <c r="O58" s="19">
        <f>IF(AND('Fuel Equipment'!O$44&gt;0,'Fuel Equipment'!O$45&gt;0),IF(AND($A58&gt;='Fuel Equipment'!O$17,$A58&lt;='Fuel Equipment'!O$18),('Fuel Equipment'!O$19*'Fuel Equipment'!O$20*'Fuel Equipment'!O$21)*('Fuel Equipment'!O$45-'Fuel Equipment'!O$44)*
(VLOOKUP(IF('Fuel Equipment'!O$22=Report!$A$25,Report!$A$19,'Fuel Equipment'!O$22),Report!$A$18:$L$34,'Actual-CO2 Calculations'!$AK61,FALSE)),0),0)</f>
        <v>0</v>
      </c>
      <c r="P58" s="19">
        <f>IF(AND('Fuel Equipment'!P$44&gt;0,'Fuel Equipment'!P$45&gt;0),IF(AND($A58&gt;='Fuel Equipment'!P$17,$A58&lt;='Fuel Equipment'!P$18),('Fuel Equipment'!P$19*'Fuel Equipment'!P$20*'Fuel Equipment'!P$21)*('Fuel Equipment'!P$45-'Fuel Equipment'!P$44)*
(VLOOKUP(IF('Fuel Equipment'!P$22=Report!$A$25,Report!$A$19,'Fuel Equipment'!P$22),Report!$A$18:$L$34,'Actual-CO2 Calculations'!$AK61,FALSE)),0),0)</f>
        <v>0</v>
      </c>
      <c r="Q58" s="19">
        <f>IF(AND('Fuel Equipment'!Q$44&gt;0,'Fuel Equipment'!Q$45&gt;0),IF(AND($A58&gt;='Fuel Equipment'!Q$17,$A58&lt;='Fuel Equipment'!Q$18),('Fuel Equipment'!Q$19*'Fuel Equipment'!Q$20*'Fuel Equipment'!Q$21)*('Fuel Equipment'!Q$45-'Fuel Equipment'!Q$44)*
(VLOOKUP(IF('Fuel Equipment'!Q$22=Report!$A$25,Report!$A$19,'Fuel Equipment'!Q$22),Report!$A$18:$L$34,'Actual-CO2 Calculations'!$AK61,FALSE)),0),0)</f>
        <v>0</v>
      </c>
      <c r="R58" s="19">
        <f>IF(AND('Fuel Equipment'!R$44&gt;0,'Fuel Equipment'!R$45&gt;0),IF(AND($A58&gt;='Fuel Equipment'!R$17,$A58&lt;='Fuel Equipment'!R$18),('Fuel Equipment'!R$19*'Fuel Equipment'!R$20*'Fuel Equipment'!R$21)*('Fuel Equipment'!R$45-'Fuel Equipment'!R$44)*
(VLOOKUP(IF('Fuel Equipment'!R$22=Report!$A$25,Report!$A$19,'Fuel Equipment'!R$22),Report!$A$18:$L$34,'Actual-CO2 Calculations'!$AK61,FALSE)),0),0)</f>
        <v>0</v>
      </c>
      <c r="S58" s="19">
        <f>IF(AND('Fuel Equipment'!S$44&gt;0,'Fuel Equipment'!S$45&gt;0),IF(AND($A58&gt;='Fuel Equipment'!S$17,$A58&lt;='Fuel Equipment'!S$18),('Fuel Equipment'!S$19*'Fuel Equipment'!S$20*'Fuel Equipment'!S$21)*('Fuel Equipment'!S$45-'Fuel Equipment'!S$44)*
(VLOOKUP(IF('Fuel Equipment'!S$22=Report!$A$25,Report!$A$19,'Fuel Equipment'!S$22),Report!$A$18:$L$34,'Actual-CO2 Calculations'!$AK61,FALSE)),0),0)</f>
        <v>0</v>
      </c>
      <c r="V58" s="671">
        <f t="shared" si="0"/>
        <v>5831.1098359687976</v>
      </c>
    </row>
    <row r="59" spans="1:22">
      <c r="A59" s="21" t="s">
        <v>72</v>
      </c>
      <c r="B59" s="19">
        <f>IF(AND('Fuel Equipment'!B$44&gt;0,'Fuel Equipment'!B$45&gt;0),IF(AND($A59&gt;='Fuel Equipment'!B$17,$A59&lt;='Fuel Equipment'!B$18),('Fuel Equipment'!B$19*'Fuel Equipment'!B$20*'Fuel Equipment'!B$21)*('Fuel Equipment'!B$45-'Fuel Equipment'!B$44)*
(VLOOKUP(IF('Fuel Equipment'!B$22=Report!$A$25,Report!$A$19,'Fuel Equipment'!B$22),Report!$A$18:$L$34,'Actual-CO2 Calculations'!$AK62,FALSE)),0),0)</f>
        <v>2314.605176470589</v>
      </c>
      <c r="C59" s="19">
        <f>IF(AND('Fuel Equipment'!C$44&gt;0,'Fuel Equipment'!C$45&gt;0),IF(AND($A59&gt;='Fuel Equipment'!C$17,$A59&lt;='Fuel Equipment'!C$18),('Fuel Equipment'!C$19*'Fuel Equipment'!C$20*'Fuel Equipment'!C$21)*('Fuel Equipment'!C$45-'Fuel Equipment'!C$44)*
(VLOOKUP(IF('Fuel Equipment'!C$22=Report!$A$25,Report!$A$19,'Fuel Equipment'!C$22),Report!$A$18:$L$34,'Actual-CO2 Calculations'!$AK62,FALSE)),0),0)</f>
        <v>509.28688172043098</v>
      </c>
      <c r="D59" s="19">
        <f>IF(AND('Fuel Equipment'!D$44&gt;0,'Fuel Equipment'!D$45&gt;0),IF(AND($A59&gt;='Fuel Equipment'!D$17,$A59&lt;='Fuel Equipment'!D$18),('Fuel Equipment'!D$19*'Fuel Equipment'!D$20*'Fuel Equipment'!D$21)*('Fuel Equipment'!D$45-'Fuel Equipment'!D$44)*
(VLOOKUP(IF('Fuel Equipment'!D$22=Report!$A$25,Report!$A$19,'Fuel Equipment'!D$22),Report!$A$18:$L$34,'Actual-CO2 Calculations'!$AK62,FALSE)),0),0)</f>
        <v>0</v>
      </c>
      <c r="E59" s="19">
        <f>IF(AND('Fuel Equipment'!E$44&gt;0,'Fuel Equipment'!E$45&gt;0),IF(AND($A59&gt;='Fuel Equipment'!E$17,$A59&lt;='Fuel Equipment'!E$18),('Fuel Equipment'!E$19*'Fuel Equipment'!E$20*'Fuel Equipment'!E$21)*('Fuel Equipment'!E$45-'Fuel Equipment'!E$44)*
(VLOOKUP(IF('Fuel Equipment'!E$22=Report!$A$25,Report!$A$19,'Fuel Equipment'!E$22),Report!$A$18:$L$34,'Actual-CO2 Calculations'!$AK62,FALSE)),0),0)</f>
        <v>3007.2177777777779</v>
      </c>
      <c r="F59" s="19">
        <f>IF(AND('Fuel Equipment'!F$44&gt;0,'Fuel Equipment'!F$45&gt;0),IF(AND($A59&gt;='Fuel Equipment'!F$17,$A59&lt;='Fuel Equipment'!F$18),('Fuel Equipment'!F$19*'Fuel Equipment'!F$20*'Fuel Equipment'!F$21)*('Fuel Equipment'!F$45-'Fuel Equipment'!F$44)*
(VLOOKUP(IF('Fuel Equipment'!F$22=Report!$A$25,Report!$A$19,'Fuel Equipment'!F$22),Report!$A$18:$L$34,'Actual-CO2 Calculations'!$AK62,FALSE)),0),0)</f>
        <v>0</v>
      </c>
      <c r="G59" s="19">
        <f>IF(AND('Fuel Equipment'!G$44&gt;0,'Fuel Equipment'!G$45&gt;0),IF(AND($A59&gt;='Fuel Equipment'!G$17,$A59&lt;='Fuel Equipment'!G$18),('Fuel Equipment'!G$19*'Fuel Equipment'!G$20*'Fuel Equipment'!G$21)*('Fuel Equipment'!G$45-'Fuel Equipment'!G$44)*
(VLOOKUP(IF('Fuel Equipment'!G$22=Report!$A$25,Report!$A$19,'Fuel Equipment'!G$22),Report!$A$18:$L$34,'Actual-CO2 Calculations'!$AK62,FALSE)),0),0)</f>
        <v>0</v>
      </c>
      <c r="H59" s="19">
        <f>IF(AND('Fuel Equipment'!H$44&gt;0,'Fuel Equipment'!H$45&gt;0),IF(AND($A59&gt;='Fuel Equipment'!H$17,$A59&lt;='Fuel Equipment'!H$18),('Fuel Equipment'!H$19*'Fuel Equipment'!H$20*'Fuel Equipment'!H$21)*('Fuel Equipment'!H$45-'Fuel Equipment'!H$44)*
(VLOOKUP(IF('Fuel Equipment'!H$22=Report!$A$25,Report!$A$19,'Fuel Equipment'!H$22),Report!$A$18:$L$34,'Actual-CO2 Calculations'!$AK62,FALSE)),0),0)</f>
        <v>0</v>
      </c>
      <c r="I59" s="19">
        <f>IF(AND('Fuel Equipment'!I$44&gt;0,'Fuel Equipment'!I$45&gt;0),IF(AND($A59&gt;='Fuel Equipment'!I$17,$A59&lt;='Fuel Equipment'!I$18),('Fuel Equipment'!I$19*'Fuel Equipment'!I$20*'Fuel Equipment'!I$21)*('Fuel Equipment'!I$45-'Fuel Equipment'!I$44)*
(VLOOKUP(IF('Fuel Equipment'!I$22=Report!$A$25,Report!$A$19,'Fuel Equipment'!I$22),Report!$A$18:$L$34,'Actual-CO2 Calculations'!$AK62,FALSE)),0),0)</f>
        <v>0</v>
      </c>
      <c r="J59" s="19">
        <f>IF(AND('Fuel Equipment'!J$44&gt;0,'Fuel Equipment'!J$45&gt;0),IF(AND($A59&gt;='Fuel Equipment'!J$17,$A59&lt;='Fuel Equipment'!J$18),('Fuel Equipment'!J$19*'Fuel Equipment'!J$20*'Fuel Equipment'!J$21)*('Fuel Equipment'!J$45-'Fuel Equipment'!J$44)*
(VLOOKUP(IF('Fuel Equipment'!J$22=Report!$A$25,Report!$A$19,'Fuel Equipment'!J$22),Report!$A$18:$L$34,'Actual-CO2 Calculations'!$AK62,FALSE)),0),0)</f>
        <v>0</v>
      </c>
      <c r="K59" s="19">
        <f>IF(AND('Fuel Equipment'!K$44&gt;0,'Fuel Equipment'!K$45&gt;0),IF(AND($A59&gt;='Fuel Equipment'!K$17,$A59&lt;='Fuel Equipment'!K$18),('Fuel Equipment'!K$19*'Fuel Equipment'!K$20*'Fuel Equipment'!K$21)*('Fuel Equipment'!K$45-'Fuel Equipment'!K$44)*
(VLOOKUP(IF('Fuel Equipment'!K$22=Report!$A$25,Report!$A$19,'Fuel Equipment'!K$22),Report!$A$18:$L$34,'Actual-CO2 Calculations'!$AK62,FALSE)),0),0)</f>
        <v>0</v>
      </c>
      <c r="L59" s="19">
        <f>IF(AND('Fuel Equipment'!L$44&gt;0,'Fuel Equipment'!L$45&gt;0),IF(AND($A59&gt;='Fuel Equipment'!L$17,$A59&lt;='Fuel Equipment'!L$18),('Fuel Equipment'!L$19*'Fuel Equipment'!L$20*'Fuel Equipment'!L$21)*('Fuel Equipment'!L$45-'Fuel Equipment'!L$44)*
(VLOOKUP(IF('Fuel Equipment'!L$22=Report!$A$25,Report!$A$19,'Fuel Equipment'!L$22),Report!$A$18:$L$34,'Actual-CO2 Calculations'!$AK62,FALSE)),0),0)</f>
        <v>0</v>
      </c>
      <c r="M59" s="19">
        <f>IF(AND('Fuel Equipment'!M$44&gt;0,'Fuel Equipment'!M$45&gt;0),IF(AND($A59&gt;='Fuel Equipment'!M$17,$A59&lt;='Fuel Equipment'!M$18),('Fuel Equipment'!M$19*'Fuel Equipment'!M$20*'Fuel Equipment'!M$21)*('Fuel Equipment'!M$45-'Fuel Equipment'!M$44)*
(VLOOKUP(IF('Fuel Equipment'!M$22=Report!$A$25,Report!$A$19,'Fuel Equipment'!M$22),Report!$A$18:$L$34,'Actual-CO2 Calculations'!$AK62,FALSE)),0),0)</f>
        <v>0</v>
      </c>
      <c r="N59" s="19">
        <f>IF(AND('Fuel Equipment'!N$44&gt;0,'Fuel Equipment'!N$45&gt;0),IF(AND($A59&gt;='Fuel Equipment'!N$17,$A59&lt;='Fuel Equipment'!N$18),('Fuel Equipment'!N$19*'Fuel Equipment'!N$20*'Fuel Equipment'!N$21)*('Fuel Equipment'!N$45-'Fuel Equipment'!N$44)*
(VLOOKUP(IF('Fuel Equipment'!N$22=Report!$A$25,Report!$A$19,'Fuel Equipment'!N$22),Report!$A$18:$L$34,'Actual-CO2 Calculations'!$AK62,FALSE)),0),0)</f>
        <v>0</v>
      </c>
      <c r="O59" s="19">
        <f>IF(AND('Fuel Equipment'!O$44&gt;0,'Fuel Equipment'!O$45&gt;0),IF(AND($A59&gt;='Fuel Equipment'!O$17,$A59&lt;='Fuel Equipment'!O$18),('Fuel Equipment'!O$19*'Fuel Equipment'!O$20*'Fuel Equipment'!O$21)*('Fuel Equipment'!O$45-'Fuel Equipment'!O$44)*
(VLOOKUP(IF('Fuel Equipment'!O$22=Report!$A$25,Report!$A$19,'Fuel Equipment'!O$22),Report!$A$18:$L$34,'Actual-CO2 Calculations'!$AK62,FALSE)),0),0)</f>
        <v>0</v>
      </c>
      <c r="P59" s="19">
        <f>IF(AND('Fuel Equipment'!P$44&gt;0,'Fuel Equipment'!P$45&gt;0),IF(AND($A59&gt;='Fuel Equipment'!P$17,$A59&lt;='Fuel Equipment'!P$18),('Fuel Equipment'!P$19*'Fuel Equipment'!P$20*'Fuel Equipment'!P$21)*('Fuel Equipment'!P$45-'Fuel Equipment'!P$44)*
(VLOOKUP(IF('Fuel Equipment'!P$22=Report!$A$25,Report!$A$19,'Fuel Equipment'!P$22),Report!$A$18:$L$34,'Actual-CO2 Calculations'!$AK62,FALSE)),0),0)</f>
        <v>0</v>
      </c>
      <c r="Q59" s="19">
        <f>IF(AND('Fuel Equipment'!Q$44&gt;0,'Fuel Equipment'!Q$45&gt;0),IF(AND($A59&gt;='Fuel Equipment'!Q$17,$A59&lt;='Fuel Equipment'!Q$18),('Fuel Equipment'!Q$19*'Fuel Equipment'!Q$20*'Fuel Equipment'!Q$21)*('Fuel Equipment'!Q$45-'Fuel Equipment'!Q$44)*
(VLOOKUP(IF('Fuel Equipment'!Q$22=Report!$A$25,Report!$A$19,'Fuel Equipment'!Q$22),Report!$A$18:$L$34,'Actual-CO2 Calculations'!$AK62,FALSE)),0),0)</f>
        <v>0</v>
      </c>
      <c r="R59" s="19">
        <f>IF(AND('Fuel Equipment'!R$44&gt;0,'Fuel Equipment'!R$45&gt;0),IF(AND($A59&gt;='Fuel Equipment'!R$17,$A59&lt;='Fuel Equipment'!R$18),('Fuel Equipment'!R$19*'Fuel Equipment'!R$20*'Fuel Equipment'!R$21)*('Fuel Equipment'!R$45-'Fuel Equipment'!R$44)*
(VLOOKUP(IF('Fuel Equipment'!R$22=Report!$A$25,Report!$A$19,'Fuel Equipment'!R$22),Report!$A$18:$L$34,'Actual-CO2 Calculations'!$AK62,FALSE)),0),0)</f>
        <v>0</v>
      </c>
      <c r="S59" s="19">
        <f>IF(AND('Fuel Equipment'!S$44&gt;0,'Fuel Equipment'!S$45&gt;0),IF(AND($A59&gt;='Fuel Equipment'!S$17,$A59&lt;='Fuel Equipment'!S$18),('Fuel Equipment'!S$19*'Fuel Equipment'!S$20*'Fuel Equipment'!S$21)*('Fuel Equipment'!S$45-'Fuel Equipment'!S$44)*
(VLOOKUP(IF('Fuel Equipment'!S$22=Report!$A$25,Report!$A$19,'Fuel Equipment'!S$22),Report!$A$18:$L$34,'Actual-CO2 Calculations'!$AK62,FALSE)),0),0)</f>
        <v>0</v>
      </c>
      <c r="V59" s="671">
        <f t="shared" si="0"/>
        <v>5831.1098359687976</v>
      </c>
    </row>
    <row r="60" spans="1:22">
      <c r="A60" s="21" t="s">
        <v>73</v>
      </c>
      <c r="B60" s="19">
        <f>IF(AND('Fuel Equipment'!B$44&gt;0,'Fuel Equipment'!B$45&gt;0),IF(AND($A60&gt;='Fuel Equipment'!B$17,$A60&lt;='Fuel Equipment'!B$18),('Fuel Equipment'!B$19*'Fuel Equipment'!B$20*'Fuel Equipment'!B$21)*('Fuel Equipment'!B$45-'Fuel Equipment'!B$44)*
(VLOOKUP(IF('Fuel Equipment'!B$22=Report!$A$25,Report!$A$19,'Fuel Equipment'!B$22),Report!$A$18:$L$34,'Actual-CO2 Calculations'!$AK63,FALSE)),0),0)</f>
        <v>2314.605176470589</v>
      </c>
      <c r="C60" s="19">
        <f>IF(AND('Fuel Equipment'!C$44&gt;0,'Fuel Equipment'!C$45&gt;0),IF(AND($A60&gt;='Fuel Equipment'!C$17,$A60&lt;='Fuel Equipment'!C$18),('Fuel Equipment'!C$19*'Fuel Equipment'!C$20*'Fuel Equipment'!C$21)*('Fuel Equipment'!C$45-'Fuel Equipment'!C$44)*
(VLOOKUP(IF('Fuel Equipment'!C$22=Report!$A$25,Report!$A$19,'Fuel Equipment'!C$22),Report!$A$18:$L$34,'Actual-CO2 Calculations'!$AK63,FALSE)),0),0)</f>
        <v>509.28688172043098</v>
      </c>
      <c r="D60" s="19">
        <f>IF(AND('Fuel Equipment'!D$44&gt;0,'Fuel Equipment'!D$45&gt;0),IF(AND($A60&gt;='Fuel Equipment'!D$17,$A60&lt;='Fuel Equipment'!D$18),('Fuel Equipment'!D$19*'Fuel Equipment'!D$20*'Fuel Equipment'!D$21)*('Fuel Equipment'!D$45-'Fuel Equipment'!D$44)*
(VLOOKUP(IF('Fuel Equipment'!D$22=Report!$A$25,Report!$A$19,'Fuel Equipment'!D$22),Report!$A$18:$L$34,'Actual-CO2 Calculations'!$AK63,FALSE)),0),0)</f>
        <v>5396.3366399999959</v>
      </c>
      <c r="E60" s="19">
        <f>IF(AND('Fuel Equipment'!E$44&gt;0,'Fuel Equipment'!E$45&gt;0),IF(AND($A60&gt;='Fuel Equipment'!E$17,$A60&lt;='Fuel Equipment'!E$18),('Fuel Equipment'!E$19*'Fuel Equipment'!E$20*'Fuel Equipment'!E$21)*('Fuel Equipment'!E$45-'Fuel Equipment'!E$44)*
(VLOOKUP(IF('Fuel Equipment'!E$22=Report!$A$25,Report!$A$19,'Fuel Equipment'!E$22),Report!$A$18:$L$34,'Actual-CO2 Calculations'!$AK63,FALSE)),0),0)</f>
        <v>3007.2177777777779</v>
      </c>
      <c r="F60" s="19">
        <f>IF(AND('Fuel Equipment'!F$44&gt;0,'Fuel Equipment'!F$45&gt;0),IF(AND($A60&gt;='Fuel Equipment'!F$17,$A60&lt;='Fuel Equipment'!F$18),('Fuel Equipment'!F$19*'Fuel Equipment'!F$20*'Fuel Equipment'!F$21)*('Fuel Equipment'!F$45-'Fuel Equipment'!F$44)*
(VLOOKUP(IF('Fuel Equipment'!F$22=Report!$A$25,Report!$A$19,'Fuel Equipment'!F$22),Report!$A$18:$L$34,'Actual-CO2 Calculations'!$AK63,FALSE)),0),0)</f>
        <v>0</v>
      </c>
      <c r="G60" s="19">
        <f>IF(AND('Fuel Equipment'!G$44&gt;0,'Fuel Equipment'!G$45&gt;0),IF(AND($A60&gt;='Fuel Equipment'!G$17,$A60&lt;='Fuel Equipment'!G$18),('Fuel Equipment'!G$19*'Fuel Equipment'!G$20*'Fuel Equipment'!G$21)*('Fuel Equipment'!G$45-'Fuel Equipment'!G$44)*
(VLOOKUP(IF('Fuel Equipment'!G$22=Report!$A$25,Report!$A$19,'Fuel Equipment'!G$22),Report!$A$18:$L$34,'Actual-CO2 Calculations'!$AK63,FALSE)),0),0)</f>
        <v>0</v>
      </c>
      <c r="H60" s="19">
        <f>IF(AND('Fuel Equipment'!H$44&gt;0,'Fuel Equipment'!H$45&gt;0),IF(AND($A60&gt;='Fuel Equipment'!H$17,$A60&lt;='Fuel Equipment'!H$18),('Fuel Equipment'!H$19*'Fuel Equipment'!H$20*'Fuel Equipment'!H$21)*('Fuel Equipment'!H$45-'Fuel Equipment'!H$44)*
(VLOOKUP(IF('Fuel Equipment'!H$22=Report!$A$25,Report!$A$19,'Fuel Equipment'!H$22),Report!$A$18:$L$34,'Actual-CO2 Calculations'!$AK63,FALSE)),0),0)</f>
        <v>0</v>
      </c>
      <c r="I60" s="19">
        <f>IF(AND('Fuel Equipment'!I$44&gt;0,'Fuel Equipment'!I$45&gt;0),IF(AND($A60&gt;='Fuel Equipment'!I$17,$A60&lt;='Fuel Equipment'!I$18),('Fuel Equipment'!I$19*'Fuel Equipment'!I$20*'Fuel Equipment'!I$21)*('Fuel Equipment'!I$45-'Fuel Equipment'!I$44)*
(VLOOKUP(IF('Fuel Equipment'!I$22=Report!$A$25,Report!$A$19,'Fuel Equipment'!I$22),Report!$A$18:$L$34,'Actual-CO2 Calculations'!$AK63,FALSE)),0),0)</f>
        <v>0</v>
      </c>
      <c r="J60" s="19">
        <f>IF(AND('Fuel Equipment'!J$44&gt;0,'Fuel Equipment'!J$45&gt;0),IF(AND($A60&gt;='Fuel Equipment'!J$17,$A60&lt;='Fuel Equipment'!J$18),('Fuel Equipment'!J$19*'Fuel Equipment'!J$20*'Fuel Equipment'!J$21)*('Fuel Equipment'!J$45-'Fuel Equipment'!J$44)*
(VLOOKUP(IF('Fuel Equipment'!J$22=Report!$A$25,Report!$A$19,'Fuel Equipment'!J$22),Report!$A$18:$L$34,'Actual-CO2 Calculations'!$AK63,FALSE)),0),0)</f>
        <v>0</v>
      </c>
      <c r="K60" s="19">
        <f>IF(AND('Fuel Equipment'!K$44&gt;0,'Fuel Equipment'!K$45&gt;0),IF(AND($A60&gt;='Fuel Equipment'!K$17,$A60&lt;='Fuel Equipment'!K$18),('Fuel Equipment'!K$19*'Fuel Equipment'!K$20*'Fuel Equipment'!K$21)*('Fuel Equipment'!K$45-'Fuel Equipment'!K$44)*
(VLOOKUP(IF('Fuel Equipment'!K$22=Report!$A$25,Report!$A$19,'Fuel Equipment'!K$22),Report!$A$18:$L$34,'Actual-CO2 Calculations'!$AK63,FALSE)),0),0)</f>
        <v>0</v>
      </c>
      <c r="L60" s="19">
        <f>IF(AND('Fuel Equipment'!L$44&gt;0,'Fuel Equipment'!L$45&gt;0),IF(AND($A60&gt;='Fuel Equipment'!L$17,$A60&lt;='Fuel Equipment'!L$18),('Fuel Equipment'!L$19*'Fuel Equipment'!L$20*'Fuel Equipment'!L$21)*('Fuel Equipment'!L$45-'Fuel Equipment'!L$44)*
(VLOOKUP(IF('Fuel Equipment'!L$22=Report!$A$25,Report!$A$19,'Fuel Equipment'!L$22),Report!$A$18:$L$34,'Actual-CO2 Calculations'!$AK63,FALSE)),0),0)</f>
        <v>0</v>
      </c>
      <c r="M60" s="19">
        <f>IF(AND('Fuel Equipment'!M$44&gt;0,'Fuel Equipment'!M$45&gt;0),IF(AND($A60&gt;='Fuel Equipment'!M$17,$A60&lt;='Fuel Equipment'!M$18),('Fuel Equipment'!M$19*'Fuel Equipment'!M$20*'Fuel Equipment'!M$21)*('Fuel Equipment'!M$45-'Fuel Equipment'!M$44)*
(VLOOKUP(IF('Fuel Equipment'!M$22=Report!$A$25,Report!$A$19,'Fuel Equipment'!M$22),Report!$A$18:$L$34,'Actual-CO2 Calculations'!$AK63,FALSE)),0),0)</f>
        <v>0</v>
      </c>
      <c r="N60" s="19">
        <f>IF(AND('Fuel Equipment'!N$44&gt;0,'Fuel Equipment'!N$45&gt;0),IF(AND($A60&gt;='Fuel Equipment'!N$17,$A60&lt;='Fuel Equipment'!N$18),('Fuel Equipment'!N$19*'Fuel Equipment'!N$20*'Fuel Equipment'!N$21)*('Fuel Equipment'!N$45-'Fuel Equipment'!N$44)*
(VLOOKUP(IF('Fuel Equipment'!N$22=Report!$A$25,Report!$A$19,'Fuel Equipment'!N$22),Report!$A$18:$L$34,'Actual-CO2 Calculations'!$AK63,FALSE)),0),0)</f>
        <v>0</v>
      </c>
      <c r="O60" s="19">
        <f>IF(AND('Fuel Equipment'!O$44&gt;0,'Fuel Equipment'!O$45&gt;0),IF(AND($A60&gt;='Fuel Equipment'!O$17,$A60&lt;='Fuel Equipment'!O$18),('Fuel Equipment'!O$19*'Fuel Equipment'!O$20*'Fuel Equipment'!O$21)*('Fuel Equipment'!O$45-'Fuel Equipment'!O$44)*
(VLOOKUP(IF('Fuel Equipment'!O$22=Report!$A$25,Report!$A$19,'Fuel Equipment'!O$22),Report!$A$18:$L$34,'Actual-CO2 Calculations'!$AK63,FALSE)),0),0)</f>
        <v>0</v>
      </c>
      <c r="P60" s="19">
        <f>IF(AND('Fuel Equipment'!P$44&gt;0,'Fuel Equipment'!P$45&gt;0),IF(AND($A60&gt;='Fuel Equipment'!P$17,$A60&lt;='Fuel Equipment'!P$18),('Fuel Equipment'!P$19*'Fuel Equipment'!P$20*'Fuel Equipment'!P$21)*('Fuel Equipment'!P$45-'Fuel Equipment'!P$44)*
(VLOOKUP(IF('Fuel Equipment'!P$22=Report!$A$25,Report!$A$19,'Fuel Equipment'!P$22),Report!$A$18:$L$34,'Actual-CO2 Calculations'!$AK63,FALSE)),0),0)</f>
        <v>0</v>
      </c>
      <c r="Q60" s="19">
        <f>IF(AND('Fuel Equipment'!Q$44&gt;0,'Fuel Equipment'!Q$45&gt;0),IF(AND($A60&gt;='Fuel Equipment'!Q$17,$A60&lt;='Fuel Equipment'!Q$18),('Fuel Equipment'!Q$19*'Fuel Equipment'!Q$20*'Fuel Equipment'!Q$21)*('Fuel Equipment'!Q$45-'Fuel Equipment'!Q$44)*
(VLOOKUP(IF('Fuel Equipment'!Q$22=Report!$A$25,Report!$A$19,'Fuel Equipment'!Q$22),Report!$A$18:$L$34,'Actual-CO2 Calculations'!$AK63,FALSE)),0),0)</f>
        <v>0</v>
      </c>
      <c r="R60" s="19">
        <f>IF(AND('Fuel Equipment'!R$44&gt;0,'Fuel Equipment'!R$45&gt;0),IF(AND($A60&gt;='Fuel Equipment'!R$17,$A60&lt;='Fuel Equipment'!R$18),('Fuel Equipment'!R$19*'Fuel Equipment'!R$20*'Fuel Equipment'!R$21)*('Fuel Equipment'!R$45-'Fuel Equipment'!R$44)*
(VLOOKUP(IF('Fuel Equipment'!R$22=Report!$A$25,Report!$A$19,'Fuel Equipment'!R$22),Report!$A$18:$L$34,'Actual-CO2 Calculations'!$AK63,FALSE)),0),0)</f>
        <v>0</v>
      </c>
      <c r="S60" s="19">
        <f>IF(AND('Fuel Equipment'!S$44&gt;0,'Fuel Equipment'!S$45&gt;0),IF(AND($A60&gt;='Fuel Equipment'!S$17,$A60&lt;='Fuel Equipment'!S$18),('Fuel Equipment'!S$19*'Fuel Equipment'!S$20*'Fuel Equipment'!S$21)*('Fuel Equipment'!S$45-'Fuel Equipment'!S$44)*
(VLOOKUP(IF('Fuel Equipment'!S$22=Report!$A$25,Report!$A$19,'Fuel Equipment'!S$22),Report!$A$18:$L$34,'Actual-CO2 Calculations'!$AK63,FALSE)),0),0)</f>
        <v>0</v>
      </c>
      <c r="V60" s="671">
        <f t="shared" si="0"/>
        <v>11227.446475968793</v>
      </c>
    </row>
    <row r="61" spans="1:22">
      <c r="A61" s="21" t="s">
        <v>74</v>
      </c>
      <c r="B61" s="19">
        <f>IF(AND('Fuel Equipment'!B$44&gt;0,'Fuel Equipment'!B$45&gt;0),IF(AND($A61&gt;='Fuel Equipment'!B$17,$A61&lt;='Fuel Equipment'!B$18),('Fuel Equipment'!B$19*'Fuel Equipment'!B$20*'Fuel Equipment'!B$21)*('Fuel Equipment'!B$45-'Fuel Equipment'!B$44)*
(VLOOKUP(IF('Fuel Equipment'!B$22=Report!$A$25,Report!$A$19,'Fuel Equipment'!B$22),Report!$A$18:$L$34,'Actual-CO2 Calculations'!$AK64,FALSE)),0),0)</f>
        <v>2314.605176470589</v>
      </c>
      <c r="C61" s="19">
        <f>IF(AND('Fuel Equipment'!C$44&gt;0,'Fuel Equipment'!C$45&gt;0),IF(AND($A61&gt;='Fuel Equipment'!C$17,$A61&lt;='Fuel Equipment'!C$18),('Fuel Equipment'!C$19*'Fuel Equipment'!C$20*'Fuel Equipment'!C$21)*('Fuel Equipment'!C$45-'Fuel Equipment'!C$44)*
(VLOOKUP(IF('Fuel Equipment'!C$22=Report!$A$25,Report!$A$19,'Fuel Equipment'!C$22),Report!$A$18:$L$34,'Actual-CO2 Calculations'!$AK64,FALSE)),0),0)</f>
        <v>509.28688172043098</v>
      </c>
      <c r="D61" s="19">
        <f>IF(AND('Fuel Equipment'!D$44&gt;0,'Fuel Equipment'!D$45&gt;0),IF(AND($A61&gt;='Fuel Equipment'!D$17,$A61&lt;='Fuel Equipment'!D$18),('Fuel Equipment'!D$19*'Fuel Equipment'!D$20*'Fuel Equipment'!D$21)*('Fuel Equipment'!D$45-'Fuel Equipment'!D$44)*
(VLOOKUP(IF('Fuel Equipment'!D$22=Report!$A$25,Report!$A$19,'Fuel Equipment'!D$22),Report!$A$18:$L$34,'Actual-CO2 Calculations'!$AK64,FALSE)),0),0)</f>
        <v>5396.3366399999959</v>
      </c>
      <c r="E61" s="19">
        <f>IF(AND('Fuel Equipment'!E$44&gt;0,'Fuel Equipment'!E$45&gt;0),IF(AND($A61&gt;='Fuel Equipment'!E$17,$A61&lt;='Fuel Equipment'!E$18),('Fuel Equipment'!E$19*'Fuel Equipment'!E$20*'Fuel Equipment'!E$21)*('Fuel Equipment'!E$45-'Fuel Equipment'!E$44)*
(VLOOKUP(IF('Fuel Equipment'!E$22=Report!$A$25,Report!$A$19,'Fuel Equipment'!E$22),Report!$A$18:$L$34,'Actual-CO2 Calculations'!$AK64,FALSE)),0),0)</f>
        <v>3007.2177777777779</v>
      </c>
      <c r="F61" s="19">
        <f>IF(AND('Fuel Equipment'!F$44&gt;0,'Fuel Equipment'!F$45&gt;0),IF(AND($A61&gt;='Fuel Equipment'!F$17,$A61&lt;='Fuel Equipment'!F$18),('Fuel Equipment'!F$19*'Fuel Equipment'!F$20*'Fuel Equipment'!F$21)*('Fuel Equipment'!F$45-'Fuel Equipment'!F$44)*
(VLOOKUP(IF('Fuel Equipment'!F$22=Report!$A$25,Report!$A$19,'Fuel Equipment'!F$22),Report!$A$18:$L$34,'Actual-CO2 Calculations'!$AK64,FALSE)),0),0)</f>
        <v>0</v>
      </c>
      <c r="G61" s="19">
        <f>IF(AND('Fuel Equipment'!G$44&gt;0,'Fuel Equipment'!G$45&gt;0),IF(AND($A61&gt;='Fuel Equipment'!G$17,$A61&lt;='Fuel Equipment'!G$18),('Fuel Equipment'!G$19*'Fuel Equipment'!G$20*'Fuel Equipment'!G$21)*('Fuel Equipment'!G$45-'Fuel Equipment'!G$44)*
(VLOOKUP(IF('Fuel Equipment'!G$22=Report!$A$25,Report!$A$19,'Fuel Equipment'!G$22),Report!$A$18:$L$34,'Actual-CO2 Calculations'!$AK64,FALSE)),0),0)</f>
        <v>0</v>
      </c>
      <c r="H61" s="19">
        <f>IF(AND('Fuel Equipment'!H$44&gt;0,'Fuel Equipment'!H$45&gt;0),IF(AND($A61&gt;='Fuel Equipment'!H$17,$A61&lt;='Fuel Equipment'!H$18),('Fuel Equipment'!H$19*'Fuel Equipment'!H$20*'Fuel Equipment'!H$21)*('Fuel Equipment'!H$45-'Fuel Equipment'!H$44)*
(VLOOKUP(IF('Fuel Equipment'!H$22=Report!$A$25,Report!$A$19,'Fuel Equipment'!H$22),Report!$A$18:$L$34,'Actual-CO2 Calculations'!$AK64,FALSE)),0),0)</f>
        <v>0</v>
      </c>
      <c r="I61" s="19">
        <f>IF(AND('Fuel Equipment'!I$44&gt;0,'Fuel Equipment'!I$45&gt;0),IF(AND($A61&gt;='Fuel Equipment'!I$17,$A61&lt;='Fuel Equipment'!I$18),('Fuel Equipment'!I$19*'Fuel Equipment'!I$20*'Fuel Equipment'!I$21)*('Fuel Equipment'!I$45-'Fuel Equipment'!I$44)*
(VLOOKUP(IF('Fuel Equipment'!I$22=Report!$A$25,Report!$A$19,'Fuel Equipment'!I$22),Report!$A$18:$L$34,'Actual-CO2 Calculations'!$AK64,FALSE)),0),0)</f>
        <v>0</v>
      </c>
      <c r="J61" s="19">
        <f>IF(AND('Fuel Equipment'!J$44&gt;0,'Fuel Equipment'!J$45&gt;0),IF(AND($A61&gt;='Fuel Equipment'!J$17,$A61&lt;='Fuel Equipment'!J$18),('Fuel Equipment'!J$19*'Fuel Equipment'!J$20*'Fuel Equipment'!J$21)*('Fuel Equipment'!J$45-'Fuel Equipment'!J$44)*
(VLOOKUP(IF('Fuel Equipment'!J$22=Report!$A$25,Report!$A$19,'Fuel Equipment'!J$22),Report!$A$18:$L$34,'Actual-CO2 Calculations'!$AK64,FALSE)),0),0)</f>
        <v>0</v>
      </c>
      <c r="K61" s="19">
        <f>IF(AND('Fuel Equipment'!K$44&gt;0,'Fuel Equipment'!K$45&gt;0),IF(AND($A61&gt;='Fuel Equipment'!K$17,$A61&lt;='Fuel Equipment'!K$18),('Fuel Equipment'!K$19*'Fuel Equipment'!K$20*'Fuel Equipment'!K$21)*('Fuel Equipment'!K$45-'Fuel Equipment'!K$44)*
(VLOOKUP(IF('Fuel Equipment'!K$22=Report!$A$25,Report!$A$19,'Fuel Equipment'!K$22),Report!$A$18:$L$34,'Actual-CO2 Calculations'!$AK64,FALSE)),0),0)</f>
        <v>0</v>
      </c>
      <c r="L61" s="19">
        <f>IF(AND('Fuel Equipment'!L$44&gt;0,'Fuel Equipment'!L$45&gt;0),IF(AND($A61&gt;='Fuel Equipment'!L$17,$A61&lt;='Fuel Equipment'!L$18),('Fuel Equipment'!L$19*'Fuel Equipment'!L$20*'Fuel Equipment'!L$21)*('Fuel Equipment'!L$45-'Fuel Equipment'!L$44)*
(VLOOKUP(IF('Fuel Equipment'!L$22=Report!$A$25,Report!$A$19,'Fuel Equipment'!L$22),Report!$A$18:$L$34,'Actual-CO2 Calculations'!$AK64,FALSE)),0),0)</f>
        <v>0</v>
      </c>
      <c r="M61" s="19">
        <f>IF(AND('Fuel Equipment'!M$44&gt;0,'Fuel Equipment'!M$45&gt;0),IF(AND($A61&gt;='Fuel Equipment'!M$17,$A61&lt;='Fuel Equipment'!M$18),('Fuel Equipment'!M$19*'Fuel Equipment'!M$20*'Fuel Equipment'!M$21)*('Fuel Equipment'!M$45-'Fuel Equipment'!M$44)*
(VLOOKUP(IF('Fuel Equipment'!M$22=Report!$A$25,Report!$A$19,'Fuel Equipment'!M$22),Report!$A$18:$L$34,'Actual-CO2 Calculations'!$AK64,FALSE)),0),0)</f>
        <v>0</v>
      </c>
      <c r="N61" s="19">
        <f>IF(AND('Fuel Equipment'!N$44&gt;0,'Fuel Equipment'!N$45&gt;0),IF(AND($A61&gt;='Fuel Equipment'!N$17,$A61&lt;='Fuel Equipment'!N$18),('Fuel Equipment'!N$19*'Fuel Equipment'!N$20*'Fuel Equipment'!N$21)*('Fuel Equipment'!N$45-'Fuel Equipment'!N$44)*
(VLOOKUP(IF('Fuel Equipment'!N$22=Report!$A$25,Report!$A$19,'Fuel Equipment'!N$22),Report!$A$18:$L$34,'Actual-CO2 Calculations'!$AK64,FALSE)),0),0)</f>
        <v>0</v>
      </c>
      <c r="O61" s="19">
        <f>IF(AND('Fuel Equipment'!O$44&gt;0,'Fuel Equipment'!O$45&gt;0),IF(AND($A61&gt;='Fuel Equipment'!O$17,$A61&lt;='Fuel Equipment'!O$18),('Fuel Equipment'!O$19*'Fuel Equipment'!O$20*'Fuel Equipment'!O$21)*('Fuel Equipment'!O$45-'Fuel Equipment'!O$44)*
(VLOOKUP(IF('Fuel Equipment'!O$22=Report!$A$25,Report!$A$19,'Fuel Equipment'!O$22),Report!$A$18:$L$34,'Actual-CO2 Calculations'!$AK64,FALSE)),0),0)</f>
        <v>0</v>
      </c>
      <c r="P61" s="19">
        <f>IF(AND('Fuel Equipment'!P$44&gt;0,'Fuel Equipment'!P$45&gt;0),IF(AND($A61&gt;='Fuel Equipment'!P$17,$A61&lt;='Fuel Equipment'!P$18),('Fuel Equipment'!P$19*'Fuel Equipment'!P$20*'Fuel Equipment'!P$21)*('Fuel Equipment'!P$45-'Fuel Equipment'!P$44)*
(VLOOKUP(IF('Fuel Equipment'!P$22=Report!$A$25,Report!$A$19,'Fuel Equipment'!P$22),Report!$A$18:$L$34,'Actual-CO2 Calculations'!$AK64,FALSE)),0),0)</f>
        <v>0</v>
      </c>
      <c r="Q61" s="19">
        <f>IF(AND('Fuel Equipment'!Q$44&gt;0,'Fuel Equipment'!Q$45&gt;0),IF(AND($A61&gt;='Fuel Equipment'!Q$17,$A61&lt;='Fuel Equipment'!Q$18),('Fuel Equipment'!Q$19*'Fuel Equipment'!Q$20*'Fuel Equipment'!Q$21)*('Fuel Equipment'!Q$45-'Fuel Equipment'!Q$44)*
(VLOOKUP(IF('Fuel Equipment'!Q$22=Report!$A$25,Report!$A$19,'Fuel Equipment'!Q$22),Report!$A$18:$L$34,'Actual-CO2 Calculations'!$AK64,FALSE)),0),0)</f>
        <v>0</v>
      </c>
      <c r="R61" s="19">
        <f>IF(AND('Fuel Equipment'!R$44&gt;0,'Fuel Equipment'!R$45&gt;0),IF(AND($A61&gt;='Fuel Equipment'!R$17,$A61&lt;='Fuel Equipment'!R$18),('Fuel Equipment'!R$19*'Fuel Equipment'!R$20*'Fuel Equipment'!R$21)*('Fuel Equipment'!R$45-'Fuel Equipment'!R$44)*
(VLOOKUP(IF('Fuel Equipment'!R$22=Report!$A$25,Report!$A$19,'Fuel Equipment'!R$22),Report!$A$18:$L$34,'Actual-CO2 Calculations'!$AK64,FALSE)),0),0)</f>
        <v>0</v>
      </c>
      <c r="S61" s="19">
        <f>IF(AND('Fuel Equipment'!S$44&gt;0,'Fuel Equipment'!S$45&gt;0),IF(AND($A61&gt;='Fuel Equipment'!S$17,$A61&lt;='Fuel Equipment'!S$18),('Fuel Equipment'!S$19*'Fuel Equipment'!S$20*'Fuel Equipment'!S$21)*('Fuel Equipment'!S$45-'Fuel Equipment'!S$44)*
(VLOOKUP(IF('Fuel Equipment'!S$22=Report!$A$25,Report!$A$19,'Fuel Equipment'!S$22),Report!$A$18:$L$34,'Actual-CO2 Calculations'!$AK64,FALSE)),0),0)</f>
        <v>0</v>
      </c>
      <c r="V61" s="671">
        <f t="shared" si="0"/>
        <v>11227.446475968793</v>
      </c>
    </row>
    <row r="62" spans="1:22">
      <c r="A62" s="21" t="s">
        <v>75</v>
      </c>
      <c r="B62" s="19">
        <f>IF(AND('Fuel Equipment'!B$44&gt;0,'Fuel Equipment'!B$45&gt;0),IF(AND($A62&gt;='Fuel Equipment'!B$17,$A62&lt;='Fuel Equipment'!B$18),('Fuel Equipment'!B$19*'Fuel Equipment'!B$20*'Fuel Equipment'!B$21)*('Fuel Equipment'!B$45-'Fuel Equipment'!B$44)*
(VLOOKUP(IF('Fuel Equipment'!B$22=Report!$A$25,Report!$A$19,'Fuel Equipment'!B$22),Report!$A$18:$L$34,'Actual-CO2 Calculations'!$AK65,FALSE)),0),0)</f>
        <v>2314.605176470589</v>
      </c>
      <c r="C62" s="19">
        <f>IF(AND('Fuel Equipment'!C$44&gt;0,'Fuel Equipment'!C$45&gt;0),IF(AND($A62&gt;='Fuel Equipment'!C$17,$A62&lt;='Fuel Equipment'!C$18),('Fuel Equipment'!C$19*'Fuel Equipment'!C$20*'Fuel Equipment'!C$21)*('Fuel Equipment'!C$45-'Fuel Equipment'!C$44)*
(VLOOKUP(IF('Fuel Equipment'!C$22=Report!$A$25,Report!$A$19,'Fuel Equipment'!C$22),Report!$A$18:$L$34,'Actual-CO2 Calculations'!$AK65,FALSE)),0),0)</f>
        <v>509.28688172043098</v>
      </c>
      <c r="D62" s="19">
        <f>IF(AND('Fuel Equipment'!D$44&gt;0,'Fuel Equipment'!D$45&gt;0),IF(AND($A62&gt;='Fuel Equipment'!D$17,$A62&lt;='Fuel Equipment'!D$18),('Fuel Equipment'!D$19*'Fuel Equipment'!D$20*'Fuel Equipment'!D$21)*('Fuel Equipment'!D$45-'Fuel Equipment'!D$44)*
(VLOOKUP(IF('Fuel Equipment'!D$22=Report!$A$25,Report!$A$19,'Fuel Equipment'!D$22),Report!$A$18:$L$34,'Actual-CO2 Calculations'!$AK65,FALSE)),0),0)</f>
        <v>5396.3366399999959</v>
      </c>
      <c r="E62" s="19">
        <f>IF(AND('Fuel Equipment'!E$44&gt;0,'Fuel Equipment'!E$45&gt;0),IF(AND($A62&gt;='Fuel Equipment'!E$17,$A62&lt;='Fuel Equipment'!E$18),('Fuel Equipment'!E$19*'Fuel Equipment'!E$20*'Fuel Equipment'!E$21)*('Fuel Equipment'!E$45-'Fuel Equipment'!E$44)*
(VLOOKUP(IF('Fuel Equipment'!E$22=Report!$A$25,Report!$A$19,'Fuel Equipment'!E$22),Report!$A$18:$L$34,'Actual-CO2 Calculations'!$AK65,FALSE)),0),0)</f>
        <v>3007.2177777777779</v>
      </c>
      <c r="F62" s="19">
        <f>IF(AND('Fuel Equipment'!F$44&gt;0,'Fuel Equipment'!F$45&gt;0),IF(AND($A62&gt;='Fuel Equipment'!F$17,$A62&lt;='Fuel Equipment'!F$18),('Fuel Equipment'!F$19*'Fuel Equipment'!F$20*'Fuel Equipment'!F$21)*('Fuel Equipment'!F$45-'Fuel Equipment'!F$44)*
(VLOOKUP(IF('Fuel Equipment'!F$22=Report!$A$25,Report!$A$19,'Fuel Equipment'!F$22),Report!$A$18:$L$34,'Actual-CO2 Calculations'!$AK65,FALSE)),0),0)</f>
        <v>0</v>
      </c>
      <c r="G62" s="19">
        <f>IF(AND('Fuel Equipment'!G$44&gt;0,'Fuel Equipment'!G$45&gt;0),IF(AND($A62&gt;='Fuel Equipment'!G$17,$A62&lt;='Fuel Equipment'!G$18),('Fuel Equipment'!G$19*'Fuel Equipment'!G$20*'Fuel Equipment'!G$21)*('Fuel Equipment'!G$45-'Fuel Equipment'!G$44)*
(VLOOKUP(IF('Fuel Equipment'!G$22=Report!$A$25,Report!$A$19,'Fuel Equipment'!G$22),Report!$A$18:$L$34,'Actual-CO2 Calculations'!$AK65,FALSE)),0),0)</f>
        <v>0</v>
      </c>
      <c r="H62" s="19">
        <f>IF(AND('Fuel Equipment'!H$44&gt;0,'Fuel Equipment'!H$45&gt;0),IF(AND($A62&gt;='Fuel Equipment'!H$17,$A62&lt;='Fuel Equipment'!H$18),('Fuel Equipment'!H$19*'Fuel Equipment'!H$20*'Fuel Equipment'!H$21)*('Fuel Equipment'!H$45-'Fuel Equipment'!H$44)*
(VLOOKUP(IF('Fuel Equipment'!H$22=Report!$A$25,Report!$A$19,'Fuel Equipment'!H$22),Report!$A$18:$L$34,'Actual-CO2 Calculations'!$AK65,FALSE)),0),0)</f>
        <v>0</v>
      </c>
      <c r="I62" s="19">
        <f>IF(AND('Fuel Equipment'!I$44&gt;0,'Fuel Equipment'!I$45&gt;0),IF(AND($A62&gt;='Fuel Equipment'!I$17,$A62&lt;='Fuel Equipment'!I$18),('Fuel Equipment'!I$19*'Fuel Equipment'!I$20*'Fuel Equipment'!I$21)*('Fuel Equipment'!I$45-'Fuel Equipment'!I$44)*
(VLOOKUP(IF('Fuel Equipment'!I$22=Report!$A$25,Report!$A$19,'Fuel Equipment'!I$22),Report!$A$18:$L$34,'Actual-CO2 Calculations'!$AK65,FALSE)),0),0)</f>
        <v>0</v>
      </c>
      <c r="J62" s="19">
        <f>IF(AND('Fuel Equipment'!J$44&gt;0,'Fuel Equipment'!J$45&gt;0),IF(AND($A62&gt;='Fuel Equipment'!J$17,$A62&lt;='Fuel Equipment'!J$18),('Fuel Equipment'!J$19*'Fuel Equipment'!J$20*'Fuel Equipment'!J$21)*('Fuel Equipment'!J$45-'Fuel Equipment'!J$44)*
(VLOOKUP(IF('Fuel Equipment'!J$22=Report!$A$25,Report!$A$19,'Fuel Equipment'!J$22),Report!$A$18:$L$34,'Actual-CO2 Calculations'!$AK65,FALSE)),0),0)</f>
        <v>0</v>
      </c>
      <c r="K62" s="19">
        <f>IF(AND('Fuel Equipment'!K$44&gt;0,'Fuel Equipment'!K$45&gt;0),IF(AND($A62&gt;='Fuel Equipment'!K$17,$A62&lt;='Fuel Equipment'!K$18),('Fuel Equipment'!K$19*'Fuel Equipment'!K$20*'Fuel Equipment'!K$21)*('Fuel Equipment'!K$45-'Fuel Equipment'!K$44)*
(VLOOKUP(IF('Fuel Equipment'!K$22=Report!$A$25,Report!$A$19,'Fuel Equipment'!K$22),Report!$A$18:$L$34,'Actual-CO2 Calculations'!$AK65,FALSE)),0),0)</f>
        <v>0</v>
      </c>
      <c r="L62" s="19">
        <f>IF(AND('Fuel Equipment'!L$44&gt;0,'Fuel Equipment'!L$45&gt;0),IF(AND($A62&gt;='Fuel Equipment'!L$17,$A62&lt;='Fuel Equipment'!L$18),('Fuel Equipment'!L$19*'Fuel Equipment'!L$20*'Fuel Equipment'!L$21)*('Fuel Equipment'!L$45-'Fuel Equipment'!L$44)*
(VLOOKUP(IF('Fuel Equipment'!L$22=Report!$A$25,Report!$A$19,'Fuel Equipment'!L$22),Report!$A$18:$L$34,'Actual-CO2 Calculations'!$AK65,FALSE)),0),0)</f>
        <v>0</v>
      </c>
      <c r="M62" s="19">
        <f>IF(AND('Fuel Equipment'!M$44&gt;0,'Fuel Equipment'!M$45&gt;0),IF(AND($A62&gt;='Fuel Equipment'!M$17,$A62&lt;='Fuel Equipment'!M$18),('Fuel Equipment'!M$19*'Fuel Equipment'!M$20*'Fuel Equipment'!M$21)*('Fuel Equipment'!M$45-'Fuel Equipment'!M$44)*
(VLOOKUP(IF('Fuel Equipment'!M$22=Report!$A$25,Report!$A$19,'Fuel Equipment'!M$22),Report!$A$18:$L$34,'Actual-CO2 Calculations'!$AK65,FALSE)),0),0)</f>
        <v>0</v>
      </c>
      <c r="N62" s="19">
        <f>IF(AND('Fuel Equipment'!N$44&gt;0,'Fuel Equipment'!N$45&gt;0),IF(AND($A62&gt;='Fuel Equipment'!N$17,$A62&lt;='Fuel Equipment'!N$18),('Fuel Equipment'!N$19*'Fuel Equipment'!N$20*'Fuel Equipment'!N$21)*('Fuel Equipment'!N$45-'Fuel Equipment'!N$44)*
(VLOOKUP(IF('Fuel Equipment'!N$22=Report!$A$25,Report!$A$19,'Fuel Equipment'!N$22),Report!$A$18:$L$34,'Actual-CO2 Calculations'!$AK65,FALSE)),0),0)</f>
        <v>0</v>
      </c>
      <c r="O62" s="19">
        <f>IF(AND('Fuel Equipment'!O$44&gt;0,'Fuel Equipment'!O$45&gt;0),IF(AND($A62&gt;='Fuel Equipment'!O$17,$A62&lt;='Fuel Equipment'!O$18),('Fuel Equipment'!O$19*'Fuel Equipment'!O$20*'Fuel Equipment'!O$21)*('Fuel Equipment'!O$45-'Fuel Equipment'!O$44)*
(VLOOKUP(IF('Fuel Equipment'!O$22=Report!$A$25,Report!$A$19,'Fuel Equipment'!O$22),Report!$A$18:$L$34,'Actual-CO2 Calculations'!$AK65,FALSE)),0),0)</f>
        <v>0</v>
      </c>
      <c r="P62" s="19">
        <f>IF(AND('Fuel Equipment'!P$44&gt;0,'Fuel Equipment'!P$45&gt;0),IF(AND($A62&gt;='Fuel Equipment'!P$17,$A62&lt;='Fuel Equipment'!P$18),('Fuel Equipment'!P$19*'Fuel Equipment'!P$20*'Fuel Equipment'!P$21)*('Fuel Equipment'!P$45-'Fuel Equipment'!P$44)*
(VLOOKUP(IF('Fuel Equipment'!P$22=Report!$A$25,Report!$A$19,'Fuel Equipment'!P$22),Report!$A$18:$L$34,'Actual-CO2 Calculations'!$AK65,FALSE)),0),0)</f>
        <v>0</v>
      </c>
      <c r="Q62" s="19">
        <f>IF(AND('Fuel Equipment'!Q$44&gt;0,'Fuel Equipment'!Q$45&gt;0),IF(AND($A62&gt;='Fuel Equipment'!Q$17,$A62&lt;='Fuel Equipment'!Q$18),('Fuel Equipment'!Q$19*'Fuel Equipment'!Q$20*'Fuel Equipment'!Q$21)*('Fuel Equipment'!Q$45-'Fuel Equipment'!Q$44)*
(VLOOKUP(IF('Fuel Equipment'!Q$22=Report!$A$25,Report!$A$19,'Fuel Equipment'!Q$22),Report!$A$18:$L$34,'Actual-CO2 Calculations'!$AK65,FALSE)),0),0)</f>
        <v>0</v>
      </c>
      <c r="R62" s="19">
        <f>IF(AND('Fuel Equipment'!R$44&gt;0,'Fuel Equipment'!R$45&gt;0),IF(AND($A62&gt;='Fuel Equipment'!R$17,$A62&lt;='Fuel Equipment'!R$18),('Fuel Equipment'!R$19*'Fuel Equipment'!R$20*'Fuel Equipment'!R$21)*('Fuel Equipment'!R$45-'Fuel Equipment'!R$44)*
(VLOOKUP(IF('Fuel Equipment'!R$22=Report!$A$25,Report!$A$19,'Fuel Equipment'!R$22),Report!$A$18:$L$34,'Actual-CO2 Calculations'!$AK65,FALSE)),0),0)</f>
        <v>0</v>
      </c>
      <c r="S62" s="19">
        <f>IF(AND('Fuel Equipment'!S$44&gt;0,'Fuel Equipment'!S$45&gt;0),IF(AND($A62&gt;='Fuel Equipment'!S$17,$A62&lt;='Fuel Equipment'!S$18),('Fuel Equipment'!S$19*'Fuel Equipment'!S$20*'Fuel Equipment'!S$21)*('Fuel Equipment'!S$45-'Fuel Equipment'!S$44)*
(VLOOKUP(IF('Fuel Equipment'!S$22=Report!$A$25,Report!$A$19,'Fuel Equipment'!S$22),Report!$A$18:$L$34,'Actual-CO2 Calculations'!$AK65,FALSE)),0),0)</f>
        <v>0</v>
      </c>
      <c r="V62" s="671">
        <f t="shared" si="0"/>
        <v>11227.446475968793</v>
      </c>
    </row>
    <row r="63" spans="1:22">
      <c r="A63" s="19" t="s">
        <v>12</v>
      </c>
      <c r="B63" s="19">
        <f>IF(AND('Fuel Equipment'!B$44&gt;0,'Fuel Equipment'!B$45&gt;0),IF(AND($A63&gt;='Fuel Equipment'!B$17,$A63&lt;='Fuel Equipment'!B$18),('Fuel Equipment'!B$19*'Fuel Equipment'!B$20*'Fuel Equipment'!B$21)*('Fuel Equipment'!B$45-'Fuel Equipment'!B$44)*
(VLOOKUP(IF('Fuel Equipment'!B$22=Report!$A$25,Report!$A$19,'Fuel Equipment'!B$22),Report!$A$18:$L$34,'Actual-CO2 Calculations'!$AK66,FALSE)),0),0)</f>
        <v>2314.605176470589</v>
      </c>
      <c r="C63" s="19">
        <f>IF(AND('Fuel Equipment'!C$44&gt;0,'Fuel Equipment'!C$45&gt;0),IF(AND($A63&gt;='Fuel Equipment'!C$17,$A63&lt;='Fuel Equipment'!C$18),('Fuel Equipment'!C$19*'Fuel Equipment'!C$20*'Fuel Equipment'!C$21)*('Fuel Equipment'!C$45-'Fuel Equipment'!C$44)*
(VLOOKUP(IF('Fuel Equipment'!C$22=Report!$A$25,Report!$A$19,'Fuel Equipment'!C$22),Report!$A$18:$L$34,'Actual-CO2 Calculations'!$AK66,FALSE)),0),0)</f>
        <v>509.28688172043098</v>
      </c>
      <c r="D63" s="19">
        <f>IF(AND('Fuel Equipment'!D$44&gt;0,'Fuel Equipment'!D$45&gt;0),IF(AND($A63&gt;='Fuel Equipment'!D$17,$A63&lt;='Fuel Equipment'!D$18),('Fuel Equipment'!D$19*'Fuel Equipment'!D$20*'Fuel Equipment'!D$21)*('Fuel Equipment'!D$45-'Fuel Equipment'!D$44)*
(VLOOKUP(IF('Fuel Equipment'!D$22=Report!$A$25,Report!$A$19,'Fuel Equipment'!D$22),Report!$A$18:$L$34,'Actual-CO2 Calculations'!$AK66,FALSE)),0),0)</f>
        <v>5396.3366399999959</v>
      </c>
      <c r="E63" s="19">
        <f>IF(AND('Fuel Equipment'!E$44&gt;0,'Fuel Equipment'!E$45&gt;0),IF(AND($A63&gt;='Fuel Equipment'!E$17,$A63&lt;='Fuel Equipment'!E$18),('Fuel Equipment'!E$19*'Fuel Equipment'!E$20*'Fuel Equipment'!E$21)*('Fuel Equipment'!E$45-'Fuel Equipment'!E$44)*
(VLOOKUP(IF('Fuel Equipment'!E$22=Report!$A$25,Report!$A$19,'Fuel Equipment'!E$22),Report!$A$18:$L$34,'Actual-CO2 Calculations'!$AK66,FALSE)),0),0)</f>
        <v>3007.2177777777779</v>
      </c>
      <c r="F63" s="19">
        <f>IF(AND('Fuel Equipment'!F$44&gt;0,'Fuel Equipment'!F$45&gt;0),IF(AND($A63&gt;='Fuel Equipment'!F$17,$A63&lt;='Fuel Equipment'!F$18),('Fuel Equipment'!F$19*'Fuel Equipment'!F$20*'Fuel Equipment'!F$21)*('Fuel Equipment'!F$45-'Fuel Equipment'!F$44)*
(VLOOKUP(IF('Fuel Equipment'!F$22=Report!$A$25,Report!$A$19,'Fuel Equipment'!F$22),Report!$A$18:$L$34,'Actual-CO2 Calculations'!$AK66,FALSE)),0),0)</f>
        <v>0</v>
      </c>
      <c r="G63" s="19">
        <f>IF(AND('Fuel Equipment'!G$44&gt;0,'Fuel Equipment'!G$45&gt;0),IF(AND($A63&gt;='Fuel Equipment'!G$17,$A63&lt;='Fuel Equipment'!G$18),('Fuel Equipment'!G$19*'Fuel Equipment'!G$20*'Fuel Equipment'!G$21)*('Fuel Equipment'!G$45-'Fuel Equipment'!G$44)*
(VLOOKUP(IF('Fuel Equipment'!G$22=Report!$A$25,Report!$A$19,'Fuel Equipment'!G$22),Report!$A$18:$L$34,'Actual-CO2 Calculations'!$AK66,FALSE)),0),0)</f>
        <v>0</v>
      </c>
      <c r="H63" s="19">
        <f>IF(AND('Fuel Equipment'!H$44&gt;0,'Fuel Equipment'!H$45&gt;0),IF(AND($A63&gt;='Fuel Equipment'!H$17,$A63&lt;='Fuel Equipment'!H$18),('Fuel Equipment'!H$19*'Fuel Equipment'!H$20*'Fuel Equipment'!H$21)*('Fuel Equipment'!H$45-'Fuel Equipment'!H$44)*
(VLOOKUP(IF('Fuel Equipment'!H$22=Report!$A$25,Report!$A$19,'Fuel Equipment'!H$22),Report!$A$18:$L$34,'Actual-CO2 Calculations'!$AK66,FALSE)),0),0)</f>
        <v>0</v>
      </c>
      <c r="I63" s="19">
        <f>IF(AND('Fuel Equipment'!I$44&gt;0,'Fuel Equipment'!I$45&gt;0),IF(AND($A63&gt;='Fuel Equipment'!I$17,$A63&lt;='Fuel Equipment'!I$18),('Fuel Equipment'!I$19*'Fuel Equipment'!I$20*'Fuel Equipment'!I$21)*('Fuel Equipment'!I$45-'Fuel Equipment'!I$44)*
(VLOOKUP(IF('Fuel Equipment'!I$22=Report!$A$25,Report!$A$19,'Fuel Equipment'!I$22),Report!$A$18:$L$34,'Actual-CO2 Calculations'!$AK66,FALSE)),0),0)</f>
        <v>0</v>
      </c>
      <c r="J63" s="19">
        <f>IF(AND('Fuel Equipment'!J$44&gt;0,'Fuel Equipment'!J$45&gt;0),IF(AND($A63&gt;='Fuel Equipment'!J$17,$A63&lt;='Fuel Equipment'!J$18),('Fuel Equipment'!J$19*'Fuel Equipment'!J$20*'Fuel Equipment'!J$21)*('Fuel Equipment'!J$45-'Fuel Equipment'!J$44)*
(VLOOKUP(IF('Fuel Equipment'!J$22=Report!$A$25,Report!$A$19,'Fuel Equipment'!J$22),Report!$A$18:$L$34,'Actual-CO2 Calculations'!$AK66,FALSE)),0),0)</f>
        <v>0</v>
      </c>
      <c r="K63" s="19">
        <f>IF(AND('Fuel Equipment'!K$44&gt;0,'Fuel Equipment'!K$45&gt;0),IF(AND($A63&gt;='Fuel Equipment'!K$17,$A63&lt;='Fuel Equipment'!K$18),('Fuel Equipment'!K$19*'Fuel Equipment'!K$20*'Fuel Equipment'!K$21)*('Fuel Equipment'!K$45-'Fuel Equipment'!K$44)*
(VLOOKUP(IF('Fuel Equipment'!K$22=Report!$A$25,Report!$A$19,'Fuel Equipment'!K$22),Report!$A$18:$L$34,'Actual-CO2 Calculations'!$AK66,FALSE)),0),0)</f>
        <v>0</v>
      </c>
      <c r="L63" s="19">
        <f>IF(AND('Fuel Equipment'!L$44&gt;0,'Fuel Equipment'!L$45&gt;0),IF(AND($A63&gt;='Fuel Equipment'!L$17,$A63&lt;='Fuel Equipment'!L$18),('Fuel Equipment'!L$19*'Fuel Equipment'!L$20*'Fuel Equipment'!L$21)*('Fuel Equipment'!L$45-'Fuel Equipment'!L$44)*
(VLOOKUP(IF('Fuel Equipment'!L$22=Report!$A$25,Report!$A$19,'Fuel Equipment'!L$22),Report!$A$18:$L$34,'Actual-CO2 Calculations'!$AK66,FALSE)),0),0)</f>
        <v>0</v>
      </c>
      <c r="M63" s="19">
        <f>IF(AND('Fuel Equipment'!M$44&gt;0,'Fuel Equipment'!M$45&gt;0),IF(AND($A63&gt;='Fuel Equipment'!M$17,$A63&lt;='Fuel Equipment'!M$18),('Fuel Equipment'!M$19*'Fuel Equipment'!M$20*'Fuel Equipment'!M$21)*('Fuel Equipment'!M$45-'Fuel Equipment'!M$44)*
(VLOOKUP(IF('Fuel Equipment'!M$22=Report!$A$25,Report!$A$19,'Fuel Equipment'!M$22),Report!$A$18:$L$34,'Actual-CO2 Calculations'!$AK66,FALSE)),0),0)</f>
        <v>0</v>
      </c>
      <c r="N63" s="19">
        <f>IF(AND('Fuel Equipment'!N$44&gt;0,'Fuel Equipment'!N$45&gt;0),IF(AND($A63&gt;='Fuel Equipment'!N$17,$A63&lt;='Fuel Equipment'!N$18),('Fuel Equipment'!N$19*'Fuel Equipment'!N$20*'Fuel Equipment'!N$21)*('Fuel Equipment'!N$45-'Fuel Equipment'!N$44)*
(VLOOKUP(IF('Fuel Equipment'!N$22=Report!$A$25,Report!$A$19,'Fuel Equipment'!N$22),Report!$A$18:$L$34,'Actual-CO2 Calculations'!$AK66,FALSE)),0),0)</f>
        <v>0</v>
      </c>
      <c r="O63" s="19">
        <f>IF(AND('Fuel Equipment'!O$44&gt;0,'Fuel Equipment'!O$45&gt;0),IF(AND($A63&gt;='Fuel Equipment'!O$17,$A63&lt;='Fuel Equipment'!O$18),('Fuel Equipment'!O$19*'Fuel Equipment'!O$20*'Fuel Equipment'!O$21)*('Fuel Equipment'!O$45-'Fuel Equipment'!O$44)*
(VLOOKUP(IF('Fuel Equipment'!O$22=Report!$A$25,Report!$A$19,'Fuel Equipment'!O$22),Report!$A$18:$L$34,'Actual-CO2 Calculations'!$AK66,FALSE)),0),0)</f>
        <v>0</v>
      </c>
      <c r="P63" s="19">
        <f>IF(AND('Fuel Equipment'!P$44&gt;0,'Fuel Equipment'!P$45&gt;0),IF(AND($A63&gt;='Fuel Equipment'!P$17,$A63&lt;='Fuel Equipment'!P$18),('Fuel Equipment'!P$19*'Fuel Equipment'!P$20*'Fuel Equipment'!P$21)*('Fuel Equipment'!P$45-'Fuel Equipment'!P$44)*
(VLOOKUP(IF('Fuel Equipment'!P$22=Report!$A$25,Report!$A$19,'Fuel Equipment'!P$22),Report!$A$18:$L$34,'Actual-CO2 Calculations'!$AK66,FALSE)),0),0)</f>
        <v>0</v>
      </c>
      <c r="Q63" s="19">
        <f>IF(AND('Fuel Equipment'!Q$44&gt;0,'Fuel Equipment'!Q$45&gt;0),IF(AND($A63&gt;='Fuel Equipment'!Q$17,$A63&lt;='Fuel Equipment'!Q$18),('Fuel Equipment'!Q$19*'Fuel Equipment'!Q$20*'Fuel Equipment'!Q$21)*('Fuel Equipment'!Q$45-'Fuel Equipment'!Q$44)*
(VLOOKUP(IF('Fuel Equipment'!Q$22=Report!$A$25,Report!$A$19,'Fuel Equipment'!Q$22),Report!$A$18:$L$34,'Actual-CO2 Calculations'!$AK66,FALSE)),0),0)</f>
        <v>0</v>
      </c>
      <c r="R63" s="19">
        <f>IF(AND('Fuel Equipment'!R$44&gt;0,'Fuel Equipment'!R$45&gt;0),IF(AND($A63&gt;='Fuel Equipment'!R$17,$A63&lt;='Fuel Equipment'!R$18),('Fuel Equipment'!R$19*'Fuel Equipment'!R$20*'Fuel Equipment'!R$21)*('Fuel Equipment'!R$45-'Fuel Equipment'!R$44)*
(VLOOKUP(IF('Fuel Equipment'!R$22=Report!$A$25,Report!$A$19,'Fuel Equipment'!R$22),Report!$A$18:$L$34,'Actual-CO2 Calculations'!$AK66,FALSE)),0),0)</f>
        <v>0</v>
      </c>
      <c r="S63" s="19">
        <f>IF(AND('Fuel Equipment'!S$44&gt;0,'Fuel Equipment'!S$45&gt;0),IF(AND($A63&gt;='Fuel Equipment'!S$17,$A63&lt;='Fuel Equipment'!S$18),('Fuel Equipment'!S$19*'Fuel Equipment'!S$20*'Fuel Equipment'!S$21)*('Fuel Equipment'!S$45-'Fuel Equipment'!S$44)*
(VLOOKUP(IF('Fuel Equipment'!S$22=Report!$A$25,Report!$A$19,'Fuel Equipment'!S$22),Report!$A$18:$L$34,'Actual-CO2 Calculations'!$AK66,FALSE)),0),0)</f>
        <v>0</v>
      </c>
      <c r="V63" s="671">
        <f t="shared" si="0"/>
        <v>11227.446475968793</v>
      </c>
    </row>
    <row r="64" spans="1:22">
      <c r="A64" s="19" t="s">
        <v>13</v>
      </c>
      <c r="B64" s="19">
        <f>IF(AND('Fuel Equipment'!B$44&gt;0,'Fuel Equipment'!B$45&gt;0),IF(AND($A64&gt;='Fuel Equipment'!B$17,$A64&lt;='Fuel Equipment'!B$18),('Fuel Equipment'!B$19*'Fuel Equipment'!B$20*'Fuel Equipment'!B$21)*('Fuel Equipment'!B$45-'Fuel Equipment'!B$44)*
(VLOOKUP(IF('Fuel Equipment'!B$22=Report!$A$25,Report!$A$19,'Fuel Equipment'!B$22),Report!$A$18:$L$34,'Actual-CO2 Calculations'!$AK67,FALSE)),0),0)</f>
        <v>2314.605176470589</v>
      </c>
      <c r="C64" s="19">
        <f>IF(AND('Fuel Equipment'!C$44&gt;0,'Fuel Equipment'!C$45&gt;0),IF(AND($A64&gt;='Fuel Equipment'!C$17,$A64&lt;='Fuel Equipment'!C$18),('Fuel Equipment'!C$19*'Fuel Equipment'!C$20*'Fuel Equipment'!C$21)*('Fuel Equipment'!C$45-'Fuel Equipment'!C$44)*
(VLOOKUP(IF('Fuel Equipment'!C$22=Report!$A$25,Report!$A$19,'Fuel Equipment'!C$22),Report!$A$18:$L$34,'Actual-CO2 Calculations'!$AK67,FALSE)),0),0)</f>
        <v>509.28688172043098</v>
      </c>
      <c r="D64" s="19">
        <f>IF(AND('Fuel Equipment'!D$44&gt;0,'Fuel Equipment'!D$45&gt;0),IF(AND($A64&gt;='Fuel Equipment'!D$17,$A64&lt;='Fuel Equipment'!D$18),('Fuel Equipment'!D$19*'Fuel Equipment'!D$20*'Fuel Equipment'!D$21)*('Fuel Equipment'!D$45-'Fuel Equipment'!D$44)*
(VLOOKUP(IF('Fuel Equipment'!D$22=Report!$A$25,Report!$A$19,'Fuel Equipment'!D$22),Report!$A$18:$L$34,'Actual-CO2 Calculations'!$AK67,FALSE)),0),0)</f>
        <v>5396.3366399999959</v>
      </c>
      <c r="E64" s="19">
        <f>IF(AND('Fuel Equipment'!E$44&gt;0,'Fuel Equipment'!E$45&gt;0),IF(AND($A64&gt;='Fuel Equipment'!E$17,$A64&lt;='Fuel Equipment'!E$18),('Fuel Equipment'!E$19*'Fuel Equipment'!E$20*'Fuel Equipment'!E$21)*('Fuel Equipment'!E$45-'Fuel Equipment'!E$44)*
(VLOOKUP(IF('Fuel Equipment'!E$22=Report!$A$25,Report!$A$19,'Fuel Equipment'!E$22),Report!$A$18:$L$34,'Actual-CO2 Calculations'!$AK67,FALSE)),0),0)</f>
        <v>3007.2177777777779</v>
      </c>
      <c r="F64" s="19">
        <f>IF(AND('Fuel Equipment'!F$44&gt;0,'Fuel Equipment'!F$45&gt;0),IF(AND($A64&gt;='Fuel Equipment'!F$17,$A64&lt;='Fuel Equipment'!F$18),('Fuel Equipment'!F$19*'Fuel Equipment'!F$20*'Fuel Equipment'!F$21)*('Fuel Equipment'!F$45-'Fuel Equipment'!F$44)*
(VLOOKUP(IF('Fuel Equipment'!F$22=Report!$A$25,Report!$A$19,'Fuel Equipment'!F$22),Report!$A$18:$L$34,'Actual-CO2 Calculations'!$AK67,FALSE)),0),0)</f>
        <v>0</v>
      </c>
      <c r="G64" s="19">
        <f>IF(AND('Fuel Equipment'!G$44&gt;0,'Fuel Equipment'!G$45&gt;0),IF(AND($A64&gt;='Fuel Equipment'!G$17,$A64&lt;='Fuel Equipment'!G$18),('Fuel Equipment'!G$19*'Fuel Equipment'!G$20*'Fuel Equipment'!G$21)*('Fuel Equipment'!G$45-'Fuel Equipment'!G$44)*
(VLOOKUP(IF('Fuel Equipment'!G$22=Report!$A$25,Report!$A$19,'Fuel Equipment'!G$22),Report!$A$18:$L$34,'Actual-CO2 Calculations'!$AK67,FALSE)),0),0)</f>
        <v>0</v>
      </c>
      <c r="H64" s="19">
        <f>IF(AND('Fuel Equipment'!H$44&gt;0,'Fuel Equipment'!H$45&gt;0),IF(AND($A64&gt;='Fuel Equipment'!H$17,$A64&lt;='Fuel Equipment'!H$18),('Fuel Equipment'!H$19*'Fuel Equipment'!H$20*'Fuel Equipment'!H$21)*('Fuel Equipment'!H$45-'Fuel Equipment'!H$44)*
(VLOOKUP(IF('Fuel Equipment'!H$22=Report!$A$25,Report!$A$19,'Fuel Equipment'!H$22),Report!$A$18:$L$34,'Actual-CO2 Calculations'!$AK67,FALSE)),0),0)</f>
        <v>0</v>
      </c>
      <c r="I64" s="19">
        <f>IF(AND('Fuel Equipment'!I$44&gt;0,'Fuel Equipment'!I$45&gt;0),IF(AND($A64&gt;='Fuel Equipment'!I$17,$A64&lt;='Fuel Equipment'!I$18),('Fuel Equipment'!I$19*'Fuel Equipment'!I$20*'Fuel Equipment'!I$21)*('Fuel Equipment'!I$45-'Fuel Equipment'!I$44)*
(VLOOKUP(IF('Fuel Equipment'!I$22=Report!$A$25,Report!$A$19,'Fuel Equipment'!I$22),Report!$A$18:$L$34,'Actual-CO2 Calculations'!$AK67,FALSE)),0),0)</f>
        <v>0</v>
      </c>
      <c r="J64" s="19">
        <f>IF(AND('Fuel Equipment'!J$44&gt;0,'Fuel Equipment'!J$45&gt;0),IF(AND($A64&gt;='Fuel Equipment'!J$17,$A64&lt;='Fuel Equipment'!J$18),('Fuel Equipment'!J$19*'Fuel Equipment'!J$20*'Fuel Equipment'!J$21)*('Fuel Equipment'!J$45-'Fuel Equipment'!J$44)*
(VLOOKUP(IF('Fuel Equipment'!J$22=Report!$A$25,Report!$A$19,'Fuel Equipment'!J$22),Report!$A$18:$L$34,'Actual-CO2 Calculations'!$AK67,FALSE)),0),0)</f>
        <v>0</v>
      </c>
      <c r="K64" s="19">
        <f>IF(AND('Fuel Equipment'!K$44&gt;0,'Fuel Equipment'!K$45&gt;0),IF(AND($A64&gt;='Fuel Equipment'!K$17,$A64&lt;='Fuel Equipment'!K$18),('Fuel Equipment'!K$19*'Fuel Equipment'!K$20*'Fuel Equipment'!K$21)*('Fuel Equipment'!K$45-'Fuel Equipment'!K$44)*
(VLOOKUP(IF('Fuel Equipment'!K$22=Report!$A$25,Report!$A$19,'Fuel Equipment'!K$22),Report!$A$18:$L$34,'Actual-CO2 Calculations'!$AK67,FALSE)),0),0)</f>
        <v>0</v>
      </c>
      <c r="L64" s="19">
        <f>IF(AND('Fuel Equipment'!L$44&gt;0,'Fuel Equipment'!L$45&gt;0),IF(AND($A64&gt;='Fuel Equipment'!L$17,$A64&lt;='Fuel Equipment'!L$18),('Fuel Equipment'!L$19*'Fuel Equipment'!L$20*'Fuel Equipment'!L$21)*('Fuel Equipment'!L$45-'Fuel Equipment'!L$44)*
(VLOOKUP(IF('Fuel Equipment'!L$22=Report!$A$25,Report!$A$19,'Fuel Equipment'!L$22),Report!$A$18:$L$34,'Actual-CO2 Calculations'!$AK67,FALSE)),0),0)</f>
        <v>0</v>
      </c>
      <c r="M64" s="19">
        <f>IF(AND('Fuel Equipment'!M$44&gt;0,'Fuel Equipment'!M$45&gt;0),IF(AND($A64&gt;='Fuel Equipment'!M$17,$A64&lt;='Fuel Equipment'!M$18),('Fuel Equipment'!M$19*'Fuel Equipment'!M$20*'Fuel Equipment'!M$21)*('Fuel Equipment'!M$45-'Fuel Equipment'!M$44)*
(VLOOKUP(IF('Fuel Equipment'!M$22=Report!$A$25,Report!$A$19,'Fuel Equipment'!M$22),Report!$A$18:$L$34,'Actual-CO2 Calculations'!$AK67,FALSE)),0),0)</f>
        <v>0</v>
      </c>
      <c r="N64" s="19">
        <f>IF(AND('Fuel Equipment'!N$44&gt;0,'Fuel Equipment'!N$45&gt;0),IF(AND($A64&gt;='Fuel Equipment'!N$17,$A64&lt;='Fuel Equipment'!N$18),('Fuel Equipment'!N$19*'Fuel Equipment'!N$20*'Fuel Equipment'!N$21)*('Fuel Equipment'!N$45-'Fuel Equipment'!N$44)*
(VLOOKUP(IF('Fuel Equipment'!N$22=Report!$A$25,Report!$A$19,'Fuel Equipment'!N$22),Report!$A$18:$L$34,'Actual-CO2 Calculations'!$AK67,FALSE)),0),0)</f>
        <v>0</v>
      </c>
      <c r="O64" s="19">
        <f>IF(AND('Fuel Equipment'!O$44&gt;0,'Fuel Equipment'!O$45&gt;0),IF(AND($A64&gt;='Fuel Equipment'!O$17,$A64&lt;='Fuel Equipment'!O$18),('Fuel Equipment'!O$19*'Fuel Equipment'!O$20*'Fuel Equipment'!O$21)*('Fuel Equipment'!O$45-'Fuel Equipment'!O$44)*
(VLOOKUP(IF('Fuel Equipment'!O$22=Report!$A$25,Report!$A$19,'Fuel Equipment'!O$22),Report!$A$18:$L$34,'Actual-CO2 Calculations'!$AK67,FALSE)),0),0)</f>
        <v>0</v>
      </c>
      <c r="P64" s="19">
        <f>IF(AND('Fuel Equipment'!P$44&gt;0,'Fuel Equipment'!P$45&gt;0),IF(AND($A64&gt;='Fuel Equipment'!P$17,$A64&lt;='Fuel Equipment'!P$18),('Fuel Equipment'!P$19*'Fuel Equipment'!P$20*'Fuel Equipment'!P$21)*('Fuel Equipment'!P$45-'Fuel Equipment'!P$44)*
(VLOOKUP(IF('Fuel Equipment'!P$22=Report!$A$25,Report!$A$19,'Fuel Equipment'!P$22),Report!$A$18:$L$34,'Actual-CO2 Calculations'!$AK67,FALSE)),0),0)</f>
        <v>0</v>
      </c>
      <c r="Q64" s="19">
        <f>IF(AND('Fuel Equipment'!Q$44&gt;0,'Fuel Equipment'!Q$45&gt;0),IF(AND($A64&gt;='Fuel Equipment'!Q$17,$A64&lt;='Fuel Equipment'!Q$18),('Fuel Equipment'!Q$19*'Fuel Equipment'!Q$20*'Fuel Equipment'!Q$21)*('Fuel Equipment'!Q$45-'Fuel Equipment'!Q$44)*
(VLOOKUP(IF('Fuel Equipment'!Q$22=Report!$A$25,Report!$A$19,'Fuel Equipment'!Q$22),Report!$A$18:$L$34,'Actual-CO2 Calculations'!$AK67,FALSE)),0),0)</f>
        <v>0</v>
      </c>
      <c r="R64" s="19">
        <f>IF(AND('Fuel Equipment'!R$44&gt;0,'Fuel Equipment'!R$45&gt;0),IF(AND($A64&gt;='Fuel Equipment'!R$17,$A64&lt;='Fuel Equipment'!R$18),('Fuel Equipment'!R$19*'Fuel Equipment'!R$20*'Fuel Equipment'!R$21)*('Fuel Equipment'!R$45-'Fuel Equipment'!R$44)*
(VLOOKUP(IF('Fuel Equipment'!R$22=Report!$A$25,Report!$A$19,'Fuel Equipment'!R$22),Report!$A$18:$L$34,'Actual-CO2 Calculations'!$AK67,FALSE)),0),0)</f>
        <v>0</v>
      </c>
      <c r="S64" s="19">
        <f>IF(AND('Fuel Equipment'!S$44&gt;0,'Fuel Equipment'!S$45&gt;0),IF(AND($A64&gt;='Fuel Equipment'!S$17,$A64&lt;='Fuel Equipment'!S$18),('Fuel Equipment'!S$19*'Fuel Equipment'!S$20*'Fuel Equipment'!S$21)*('Fuel Equipment'!S$45-'Fuel Equipment'!S$44)*
(VLOOKUP(IF('Fuel Equipment'!S$22=Report!$A$25,Report!$A$19,'Fuel Equipment'!S$22),Report!$A$18:$L$34,'Actual-CO2 Calculations'!$AK67,FALSE)),0),0)</f>
        <v>0</v>
      </c>
      <c r="V64" s="671">
        <f t="shared" si="0"/>
        <v>11227.446475968793</v>
      </c>
    </row>
    <row r="65" spans="1:22">
      <c r="A65" s="19" t="s">
        <v>14</v>
      </c>
      <c r="B65" s="19">
        <f>IF(AND('Fuel Equipment'!B$44&gt;0,'Fuel Equipment'!B$45&gt;0),IF(AND($A65&gt;='Fuel Equipment'!B$17,$A65&lt;='Fuel Equipment'!B$18),('Fuel Equipment'!B$19*'Fuel Equipment'!B$20*'Fuel Equipment'!B$21)*('Fuel Equipment'!B$45-'Fuel Equipment'!B$44)*
(VLOOKUP(IF('Fuel Equipment'!B$22=Report!$A$25,Report!$A$19,'Fuel Equipment'!B$22),Report!$A$18:$L$34,'Actual-CO2 Calculations'!$AK68,FALSE)),0),0)</f>
        <v>2314.605176470589</v>
      </c>
      <c r="C65" s="19">
        <f>IF(AND('Fuel Equipment'!C$44&gt;0,'Fuel Equipment'!C$45&gt;0),IF(AND($A65&gt;='Fuel Equipment'!C$17,$A65&lt;='Fuel Equipment'!C$18),('Fuel Equipment'!C$19*'Fuel Equipment'!C$20*'Fuel Equipment'!C$21)*('Fuel Equipment'!C$45-'Fuel Equipment'!C$44)*
(VLOOKUP(IF('Fuel Equipment'!C$22=Report!$A$25,Report!$A$19,'Fuel Equipment'!C$22),Report!$A$18:$L$34,'Actual-CO2 Calculations'!$AK68,FALSE)),0),0)</f>
        <v>509.28688172043098</v>
      </c>
      <c r="D65" s="19">
        <f>IF(AND('Fuel Equipment'!D$44&gt;0,'Fuel Equipment'!D$45&gt;0),IF(AND($A65&gt;='Fuel Equipment'!D$17,$A65&lt;='Fuel Equipment'!D$18),('Fuel Equipment'!D$19*'Fuel Equipment'!D$20*'Fuel Equipment'!D$21)*('Fuel Equipment'!D$45-'Fuel Equipment'!D$44)*
(VLOOKUP(IF('Fuel Equipment'!D$22=Report!$A$25,Report!$A$19,'Fuel Equipment'!D$22),Report!$A$18:$L$34,'Actual-CO2 Calculations'!$AK68,FALSE)),0),0)</f>
        <v>5396.3366399999959</v>
      </c>
      <c r="E65" s="19">
        <f>IF(AND('Fuel Equipment'!E$44&gt;0,'Fuel Equipment'!E$45&gt;0),IF(AND($A65&gt;='Fuel Equipment'!E$17,$A65&lt;='Fuel Equipment'!E$18),('Fuel Equipment'!E$19*'Fuel Equipment'!E$20*'Fuel Equipment'!E$21)*('Fuel Equipment'!E$45-'Fuel Equipment'!E$44)*
(VLOOKUP(IF('Fuel Equipment'!E$22=Report!$A$25,Report!$A$19,'Fuel Equipment'!E$22),Report!$A$18:$L$34,'Actual-CO2 Calculations'!$AK68,FALSE)),0),0)</f>
        <v>3007.2177777777779</v>
      </c>
      <c r="F65" s="19">
        <f>IF(AND('Fuel Equipment'!F$44&gt;0,'Fuel Equipment'!F$45&gt;0),IF(AND($A65&gt;='Fuel Equipment'!F$17,$A65&lt;='Fuel Equipment'!F$18),('Fuel Equipment'!F$19*'Fuel Equipment'!F$20*'Fuel Equipment'!F$21)*('Fuel Equipment'!F$45-'Fuel Equipment'!F$44)*
(VLOOKUP(IF('Fuel Equipment'!F$22=Report!$A$25,Report!$A$19,'Fuel Equipment'!F$22),Report!$A$18:$L$34,'Actual-CO2 Calculations'!$AK68,FALSE)),0),0)</f>
        <v>0</v>
      </c>
      <c r="G65" s="19">
        <f>IF(AND('Fuel Equipment'!G$44&gt;0,'Fuel Equipment'!G$45&gt;0),IF(AND($A65&gt;='Fuel Equipment'!G$17,$A65&lt;='Fuel Equipment'!G$18),('Fuel Equipment'!G$19*'Fuel Equipment'!G$20*'Fuel Equipment'!G$21)*('Fuel Equipment'!G$45-'Fuel Equipment'!G$44)*
(VLOOKUP(IF('Fuel Equipment'!G$22=Report!$A$25,Report!$A$19,'Fuel Equipment'!G$22),Report!$A$18:$L$34,'Actual-CO2 Calculations'!$AK68,FALSE)),0),0)</f>
        <v>0</v>
      </c>
      <c r="H65" s="19">
        <f>IF(AND('Fuel Equipment'!H$44&gt;0,'Fuel Equipment'!H$45&gt;0),IF(AND($A65&gt;='Fuel Equipment'!H$17,$A65&lt;='Fuel Equipment'!H$18),('Fuel Equipment'!H$19*'Fuel Equipment'!H$20*'Fuel Equipment'!H$21)*('Fuel Equipment'!H$45-'Fuel Equipment'!H$44)*
(VLOOKUP(IF('Fuel Equipment'!H$22=Report!$A$25,Report!$A$19,'Fuel Equipment'!H$22),Report!$A$18:$L$34,'Actual-CO2 Calculations'!$AK68,FALSE)),0),0)</f>
        <v>0</v>
      </c>
      <c r="I65" s="19">
        <f>IF(AND('Fuel Equipment'!I$44&gt;0,'Fuel Equipment'!I$45&gt;0),IF(AND($A65&gt;='Fuel Equipment'!I$17,$A65&lt;='Fuel Equipment'!I$18),('Fuel Equipment'!I$19*'Fuel Equipment'!I$20*'Fuel Equipment'!I$21)*('Fuel Equipment'!I$45-'Fuel Equipment'!I$44)*
(VLOOKUP(IF('Fuel Equipment'!I$22=Report!$A$25,Report!$A$19,'Fuel Equipment'!I$22),Report!$A$18:$L$34,'Actual-CO2 Calculations'!$AK68,FALSE)),0),0)</f>
        <v>0</v>
      </c>
      <c r="J65" s="19">
        <f>IF(AND('Fuel Equipment'!J$44&gt;0,'Fuel Equipment'!J$45&gt;0),IF(AND($A65&gt;='Fuel Equipment'!J$17,$A65&lt;='Fuel Equipment'!J$18),('Fuel Equipment'!J$19*'Fuel Equipment'!J$20*'Fuel Equipment'!J$21)*('Fuel Equipment'!J$45-'Fuel Equipment'!J$44)*
(VLOOKUP(IF('Fuel Equipment'!J$22=Report!$A$25,Report!$A$19,'Fuel Equipment'!J$22),Report!$A$18:$L$34,'Actual-CO2 Calculations'!$AK68,FALSE)),0),0)</f>
        <v>0</v>
      </c>
      <c r="K65" s="19">
        <f>IF(AND('Fuel Equipment'!K$44&gt;0,'Fuel Equipment'!K$45&gt;0),IF(AND($A65&gt;='Fuel Equipment'!K$17,$A65&lt;='Fuel Equipment'!K$18),('Fuel Equipment'!K$19*'Fuel Equipment'!K$20*'Fuel Equipment'!K$21)*('Fuel Equipment'!K$45-'Fuel Equipment'!K$44)*
(VLOOKUP(IF('Fuel Equipment'!K$22=Report!$A$25,Report!$A$19,'Fuel Equipment'!K$22),Report!$A$18:$L$34,'Actual-CO2 Calculations'!$AK68,FALSE)),0),0)</f>
        <v>0</v>
      </c>
      <c r="L65" s="19">
        <f>IF(AND('Fuel Equipment'!L$44&gt;0,'Fuel Equipment'!L$45&gt;0),IF(AND($A65&gt;='Fuel Equipment'!L$17,$A65&lt;='Fuel Equipment'!L$18),('Fuel Equipment'!L$19*'Fuel Equipment'!L$20*'Fuel Equipment'!L$21)*('Fuel Equipment'!L$45-'Fuel Equipment'!L$44)*
(VLOOKUP(IF('Fuel Equipment'!L$22=Report!$A$25,Report!$A$19,'Fuel Equipment'!L$22),Report!$A$18:$L$34,'Actual-CO2 Calculations'!$AK68,FALSE)),0),0)</f>
        <v>0</v>
      </c>
      <c r="M65" s="19">
        <f>IF(AND('Fuel Equipment'!M$44&gt;0,'Fuel Equipment'!M$45&gt;0),IF(AND($A65&gt;='Fuel Equipment'!M$17,$A65&lt;='Fuel Equipment'!M$18),('Fuel Equipment'!M$19*'Fuel Equipment'!M$20*'Fuel Equipment'!M$21)*('Fuel Equipment'!M$45-'Fuel Equipment'!M$44)*
(VLOOKUP(IF('Fuel Equipment'!M$22=Report!$A$25,Report!$A$19,'Fuel Equipment'!M$22),Report!$A$18:$L$34,'Actual-CO2 Calculations'!$AK68,FALSE)),0),0)</f>
        <v>0</v>
      </c>
      <c r="N65" s="19">
        <f>IF(AND('Fuel Equipment'!N$44&gt;0,'Fuel Equipment'!N$45&gt;0),IF(AND($A65&gt;='Fuel Equipment'!N$17,$A65&lt;='Fuel Equipment'!N$18),('Fuel Equipment'!N$19*'Fuel Equipment'!N$20*'Fuel Equipment'!N$21)*('Fuel Equipment'!N$45-'Fuel Equipment'!N$44)*
(VLOOKUP(IF('Fuel Equipment'!N$22=Report!$A$25,Report!$A$19,'Fuel Equipment'!N$22),Report!$A$18:$L$34,'Actual-CO2 Calculations'!$AK68,FALSE)),0),0)</f>
        <v>0</v>
      </c>
      <c r="O65" s="19">
        <f>IF(AND('Fuel Equipment'!O$44&gt;0,'Fuel Equipment'!O$45&gt;0),IF(AND($A65&gt;='Fuel Equipment'!O$17,$A65&lt;='Fuel Equipment'!O$18),('Fuel Equipment'!O$19*'Fuel Equipment'!O$20*'Fuel Equipment'!O$21)*('Fuel Equipment'!O$45-'Fuel Equipment'!O$44)*
(VLOOKUP(IF('Fuel Equipment'!O$22=Report!$A$25,Report!$A$19,'Fuel Equipment'!O$22),Report!$A$18:$L$34,'Actual-CO2 Calculations'!$AK68,FALSE)),0),0)</f>
        <v>0</v>
      </c>
      <c r="P65" s="19">
        <f>IF(AND('Fuel Equipment'!P$44&gt;0,'Fuel Equipment'!P$45&gt;0),IF(AND($A65&gt;='Fuel Equipment'!P$17,$A65&lt;='Fuel Equipment'!P$18),('Fuel Equipment'!P$19*'Fuel Equipment'!P$20*'Fuel Equipment'!P$21)*('Fuel Equipment'!P$45-'Fuel Equipment'!P$44)*
(VLOOKUP(IF('Fuel Equipment'!P$22=Report!$A$25,Report!$A$19,'Fuel Equipment'!P$22),Report!$A$18:$L$34,'Actual-CO2 Calculations'!$AK68,FALSE)),0),0)</f>
        <v>0</v>
      </c>
      <c r="Q65" s="19">
        <f>IF(AND('Fuel Equipment'!Q$44&gt;0,'Fuel Equipment'!Q$45&gt;0),IF(AND($A65&gt;='Fuel Equipment'!Q$17,$A65&lt;='Fuel Equipment'!Q$18),('Fuel Equipment'!Q$19*'Fuel Equipment'!Q$20*'Fuel Equipment'!Q$21)*('Fuel Equipment'!Q$45-'Fuel Equipment'!Q$44)*
(VLOOKUP(IF('Fuel Equipment'!Q$22=Report!$A$25,Report!$A$19,'Fuel Equipment'!Q$22),Report!$A$18:$L$34,'Actual-CO2 Calculations'!$AK68,FALSE)),0),0)</f>
        <v>0</v>
      </c>
      <c r="R65" s="19">
        <f>IF(AND('Fuel Equipment'!R$44&gt;0,'Fuel Equipment'!R$45&gt;0),IF(AND($A65&gt;='Fuel Equipment'!R$17,$A65&lt;='Fuel Equipment'!R$18),('Fuel Equipment'!R$19*'Fuel Equipment'!R$20*'Fuel Equipment'!R$21)*('Fuel Equipment'!R$45-'Fuel Equipment'!R$44)*
(VLOOKUP(IF('Fuel Equipment'!R$22=Report!$A$25,Report!$A$19,'Fuel Equipment'!R$22),Report!$A$18:$L$34,'Actual-CO2 Calculations'!$AK68,FALSE)),0),0)</f>
        <v>0</v>
      </c>
      <c r="S65" s="19">
        <f>IF(AND('Fuel Equipment'!S$44&gt;0,'Fuel Equipment'!S$45&gt;0),IF(AND($A65&gt;='Fuel Equipment'!S$17,$A65&lt;='Fuel Equipment'!S$18),('Fuel Equipment'!S$19*'Fuel Equipment'!S$20*'Fuel Equipment'!S$21)*('Fuel Equipment'!S$45-'Fuel Equipment'!S$44)*
(VLOOKUP(IF('Fuel Equipment'!S$22=Report!$A$25,Report!$A$19,'Fuel Equipment'!S$22),Report!$A$18:$L$34,'Actual-CO2 Calculations'!$AK68,FALSE)),0),0)</f>
        <v>0</v>
      </c>
      <c r="V65" s="671">
        <f t="shared" si="0"/>
        <v>11227.446475968793</v>
      </c>
    </row>
    <row r="66" spans="1:22">
      <c r="A66" s="19" t="s">
        <v>15</v>
      </c>
      <c r="B66" s="19">
        <f>IF(AND('Fuel Equipment'!B$44&gt;0,'Fuel Equipment'!B$45&gt;0),IF(AND($A66&gt;='Fuel Equipment'!B$17,$A66&lt;='Fuel Equipment'!B$18),('Fuel Equipment'!B$19*'Fuel Equipment'!B$20*'Fuel Equipment'!B$21)*('Fuel Equipment'!B$45-'Fuel Equipment'!B$44)*
(VLOOKUP(IF('Fuel Equipment'!B$22=Report!$A$25,Report!$A$19,'Fuel Equipment'!B$22),Report!$A$18:$L$34,'Actual-CO2 Calculations'!$AK69,FALSE)),0),0)</f>
        <v>2314.605176470589</v>
      </c>
      <c r="C66" s="19">
        <f>IF(AND('Fuel Equipment'!C$44&gt;0,'Fuel Equipment'!C$45&gt;0),IF(AND($A66&gt;='Fuel Equipment'!C$17,$A66&lt;='Fuel Equipment'!C$18),('Fuel Equipment'!C$19*'Fuel Equipment'!C$20*'Fuel Equipment'!C$21)*('Fuel Equipment'!C$45-'Fuel Equipment'!C$44)*
(VLOOKUP(IF('Fuel Equipment'!C$22=Report!$A$25,Report!$A$19,'Fuel Equipment'!C$22),Report!$A$18:$L$34,'Actual-CO2 Calculations'!$AK69,FALSE)),0),0)</f>
        <v>509.28688172043098</v>
      </c>
      <c r="D66" s="19">
        <f>IF(AND('Fuel Equipment'!D$44&gt;0,'Fuel Equipment'!D$45&gt;0),IF(AND($A66&gt;='Fuel Equipment'!D$17,$A66&lt;='Fuel Equipment'!D$18),('Fuel Equipment'!D$19*'Fuel Equipment'!D$20*'Fuel Equipment'!D$21)*('Fuel Equipment'!D$45-'Fuel Equipment'!D$44)*
(VLOOKUP(IF('Fuel Equipment'!D$22=Report!$A$25,Report!$A$19,'Fuel Equipment'!D$22),Report!$A$18:$L$34,'Actual-CO2 Calculations'!$AK69,FALSE)),0),0)</f>
        <v>5396.3366399999959</v>
      </c>
      <c r="E66" s="19">
        <f>IF(AND('Fuel Equipment'!E$44&gt;0,'Fuel Equipment'!E$45&gt;0),IF(AND($A66&gt;='Fuel Equipment'!E$17,$A66&lt;='Fuel Equipment'!E$18),('Fuel Equipment'!E$19*'Fuel Equipment'!E$20*'Fuel Equipment'!E$21)*('Fuel Equipment'!E$45-'Fuel Equipment'!E$44)*
(VLOOKUP(IF('Fuel Equipment'!E$22=Report!$A$25,Report!$A$19,'Fuel Equipment'!E$22),Report!$A$18:$L$34,'Actual-CO2 Calculations'!$AK69,FALSE)),0),0)</f>
        <v>3007.2177777777779</v>
      </c>
      <c r="F66" s="19">
        <f>IF(AND('Fuel Equipment'!F$44&gt;0,'Fuel Equipment'!F$45&gt;0),IF(AND($A66&gt;='Fuel Equipment'!F$17,$A66&lt;='Fuel Equipment'!F$18),('Fuel Equipment'!F$19*'Fuel Equipment'!F$20*'Fuel Equipment'!F$21)*('Fuel Equipment'!F$45-'Fuel Equipment'!F$44)*
(VLOOKUP(IF('Fuel Equipment'!F$22=Report!$A$25,Report!$A$19,'Fuel Equipment'!F$22),Report!$A$18:$L$34,'Actual-CO2 Calculations'!$AK69,FALSE)),0),0)</f>
        <v>0</v>
      </c>
      <c r="G66" s="19">
        <f>IF(AND('Fuel Equipment'!G$44&gt;0,'Fuel Equipment'!G$45&gt;0),IF(AND($A66&gt;='Fuel Equipment'!G$17,$A66&lt;='Fuel Equipment'!G$18),('Fuel Equipment'!G$19*'Fuel Equipment'!G$20*'Fuel Equipment'!G$21)*('Fuel Equipment'!G$45-'Fuel Equipment'!G$44)*
(VLOOKUP(IF('Fuel Equipment'!G$22=Report!$A$25,Report!$A$19,'Fuel Equipment'!G$22),Report!$A$18:$L$34,'Actual-CO2 Calculations'!$AK69,FALSE)),0),0)</f>
        <v>0</v>
      </c>
      <c r="H66" s="19">
        <f>IF(AND('Fuel Equipment'!H$44&gt;0,'Fuel Equipment'!H$45&gt;0),IF(AND($A66&gt;='Fuel Equipment'!H$17,$A66&lt;='Fuel Equipment'!H$18),('Fuel Equipment'!H$19*'Fuel Equipment'!H$20*'Fuel Equipment'!H$21)*('Fuel Equipment'!H$45-'Fuel Equipment'!H$44)*
(VLOOKUP(IF('Fuel Equipment'!H$22=Report!$A$25,Report!$A$19,'Fuel Equipment'!H$22),Report!$A$18:$L$34,'Actual-CO2 Calculations'!$AK69,FALSE)),0),0)</f>
        <v>0</v>
      </c>
      <c r="I66" s="19">
        <f>IF(AND('Fuel Equipment'!I$44&gt;0,'Fuel Equipment'!I$45&gt;0),IF(AND($A66&gt;='Fuel Equipment'!I$17,$A66&lt;='Fuel Equipment'!I$18),('Fuel Equipment'!I$19*'Fuel Equipment'!I$20*'Fuel Equipment'!I$21)*('Fuel Equipment'!I$45-'Fuel Equipment'!I$44)*
(VLOOKUP(IF('Fuel Equipment'!I$22=Report!$A$25,Report!$A$19,'Fuel Equipment'!I$22),Report!$A$18:$L$34,'Actual-CO2 Calculations'!$AK69,FALSE)),0),0)</f>
        <v>0</v>
      </c>
      <c r="J66" s="19">
        <f>IF(AND('Fuel Equipment'!J$44&gt;0,'Fuel Equipment'!J$45&gt;0),IF(AND($A66&gt;='Fuel Equipment'!J$17,$A66&lt;='Fuel Equipment'!J$18),('Fuel Equipment'!J$19*'Fuel Equipment'!J$20*'Fuel Equipment'!J$21)*('Fuel Equipment'!J$45-'Fuel Equipment'!J$44)*
(VLOOKUP(IF('Fuel Equipment'!J$22=Report!$A$25,Report!$A$19,'Fuel Equipment'!J$22),Report!$A$18:$L$34,'Actual-CO2 Calculations'!$AK69,FALSE)),0),0)</f>
        <v>0</v>
      </c>
      <c r="K66" s="19">
        <f>IF(AND('Fuel Equipment'!K$44&gt;0,'Fuel Equipment'!K$45&gt;0),IF(AND($A66&gt;='Fuel Equipment'!K$17,$A66&lt;='Fuel Equipment'!K$18),('Fuel Equipment'!K$19*'Fuel Equipment'!K$20*'Fuel Equipment'!K$21)*('Fuel Equipment'!K$45-'Fuel Equipment'!K$44)*
(VLOOKUP(IF('Fuel Equipment'!K$22=Report!$A$25,Report!$A$19,'Fuel Equipment'!K$22),Report!$A$18:$L$34,'Actual-CO2 Calculations'!$AK69,FALSE)),0),0)</f>
        <v>0</v>
      </c>
      <c r="L66" s="19">
        <f>IF(AND('Fuel Equipment'!L$44&gt;0,'Fuel Equipment'!L$45&gt;0),IF(AND($A66&gt;='Fuel Equipment'!L$17,$A66&lt;='Fuel Equipment'!L$18),('Fuel Equipment'!L$19*'Fuel Equipment'!L$20*'Fuel Equipment'!L$21)*('Fuel Equipment'!L$45-'Fuel Equipment'!L$44)*
(VLOOKUP(IF('Fuel Equipment'!L$22=Report!$A$25,Report!$A$19,'Fuel Equipment'!L$22),Report!$A$18:$L$34,'Actual-CO2 Calculations'!$AK69,FALSE)),0),0)</f>
        <v>0</v>
      </c>
      <c r="M66" s="19">
        <f>IF(AND('Fuel Equipment'!M$44&gt;0,'Fuel Equipment'!M$45&gt;0),IF(AND($A66&gt;='Fuel Equipment'!M$17,$A66&lt;='Fuel Equipment'!M$18),('Fuel Equipment'!M$19*'Fuel Equipment'!M$20*'Fuel Equipment'!M$21)*('Fuel Equipment'!M$45-'Fuel Equipment'!M$44)*
(VLOOKUP(IF('Fuel Equipment'!M$22=Report!$A$25,Report!$A$19,'Fuel Equipment'!M$22),Report!$A$18:$L$34,'Actual-CO2 Calculations'!$AK69,FALSE)),0),0)</f>
        <v>0</v>
      </c>
      <c r="N66" s="19">
        <f>IF(AND('Fuel Equipment'!N$44&gt;0,'Fuel Equipment'!N$45&gt;0),IF(AND($A66&gt;='Fuel Equipment'!N$17,$A66&lt;='Fuel Equipment'!N$18),('Fuel Equipment'!N$19*'Fuel Equipment'!N$20*'Fuel Equipment'!N$21)*('Fuel Equipment'!N$45-'Fuel Equipment'!N$44)*
(VLOOKUP(IF('Fuel Equipment'!N$22=Report!$A$25,Report!$A$19,'Fuel Equipment'!N$22),Report!$A$18:$L$34,'Actual-CO2 Calculations'!$AK69,FALSE)),0),0)</f>
        <v>0</v>
      </c>
      <c r="O66" s="19">
        <f>IF(AND('Fuel Equipment'!O$44&gt;0,'Fuel Equipment'!O$45&gt;0),IF(AND($A66&gt;='Fuel Equipment'!O$17,$A66&lt;='Fuel Equipment'!O$18),('Fuel Equipment'!O$19*'Fuel Equipment'!O$20*'Fuel Equipment'!O$21)*('Fuel Equipment'!O$45-'Fuel Equipment'!O$44)*
(VLOOKUP(IF('Fuel Equipment'!O$22=Report!$A$25,Report!$A$19,'Fuel Equipment'!O$22),Report!$A$18:$L$34,'Actual-CO2 Calculations'!$AK69,FALSE)),0),0)</f>
        <v>0</v>
      </c>
      <c r="P66" s="19">
        <f>IF(AND('Fuel Equipment'!P$44&gt;0,'Fuel Equipment'!P$45&gt;0),IF(AND($A66&gt;='Fuel Equipment'!P$17,$A66&lt;='Fuel Equipment'!P$18),('Fuel Equipment'!P$19*'Fuel Equipment'!P$20*'Fuel Equipment'!P$21)*('Fuel Equipment'!P$45-'Fuel Equipment'!P$44)*
(VLOOKUP(IF('Fuel Equipment'!P$22=Report!$A$25,Report!$A$19,'Fuel Equipment'!P$22),Report!$A$18:$L$34,'Actual-CO2 Calculations'!$AK69,FALSE)),0),0)</f>
        <v>0</v>
      </c>
      <c r="Q66" s="19">
        <f>IF(AND('Fuel Equipment'!Q$44&gt;0,'Fuel Equipment'!Q$45&gt;0),IF(AND($A66&gt;='Fuel Equipment'!Q$17,$A66&lt;='Fuel Equipment'!Q$18),('Fuel Equipment'!Q$19*'Fuel Equipment'!Q$20*'Fuel Equipment'!Q$21)*('Fuel Equipment'!Q$45-'Fuel Equipment'!Q$44)*
(VLOOKUP(IF('Fuel Equipment'!Q$22=Report!$A$25,Report!$A$19,'Fuel Equipment'!Q$22),Report!$A$18:$L$34,'Actual-CO2 Calculations'!$AK69,FALSE)),0),0)</f>
        <v>0</v>
      </c>
      <c r="R66" s="19">
        <f>IF(AND('Fuel Equipment'!R$44&gt;0,'Fuel Equipment'!R$45&gt;0),IF(AND($A66&gt;='Fuel Equipment'!R$17,$A66&lt;='Fuel Equipment'!R$18),('Fuel Equipment'!R$19*'Fuel Equipment'!R$20*'Fuel Equipment'!R$21)*('Fuel Equipment'!R$45-'Fuel Equipment'!R$44)*
(VLOOKUP(IF('Fuel Equipment'!R$22=Report!$A$25,Report!$A$19,'Fuel Equipment'!R$22),Report!$A$18:$L$34,'Actual-CO2 Calculations'!$AK69,FALSE)),0),0)</f>
        <v>0</v>
      </c>
      <c r="S66" s="19">
        <f>IF(AND('Fuel Equipment'!S$44&gt;0,'Fuel Equipment'!S$45&gt;0),IF(AND($A66&gt;='Fuel Equipment'!S$17,$A66&lt;='Fuel Equipment'!S$18),('Fuel Equipment'!S$19*'Fuel Equipment'!S$20*'Fuel Equipment'!S$21)*('Fuel Equipment'!S$45-'Fuel Equipment'!S$44)*
(VLOOKUP(IF('Fuel Equipment'!S$22=Report!$A$25,Report!$A$19,'Fuel Equipment'!S$22),Report!$A$18:$L$34,'Actual-CO2 Calculations'!$AK69,FALSE)),0),0)</f>
        <v>0</v>
      </c>
      <c r="V66" s="671">
        <f t="shared" si="0"/>
        <v>11227.446475968793</v>
      </c>
    </row>
    <row r="67" spans="1:22">
      <c r="A67" s="21" t="s">
        <v>76</v>
      </c>
      <c r="B67" s="19">
        <f>IF(AND('Fuel Equipment'!B$44&gt;0,'Fuel Equipment'!B$45&gt;0),IF(AND($A67&gt;='Fuel Equipment'!B$17,$A67&lt;='Fuel Equipment'!B$18),('Fuel Equipment'!B$19*'Fuel Equipment'!B$20*'Fuel Equipment'!B$21)*('Fuel Equipment'!B$45-'Fuel Equipment'!B$44)*
(VLOOKUP(IF('Fuel Equipment'!B$22=Report!$A$25,Report!$A$19,'Fuel Equipment'!B$22),Report!$A$18:$L$34,'Actual-CO2 Calculations'!$AK70,FALSE)),0),0)</f>
        <v>2314.605176470589</v>
      </c>
      <c r="C67" s="19">
        <f>IF(AND('Fuel Equipment'!C$44&gt;0,'Fuel Equipment'!C$45&gt;0),IF(AND($A67&gt;='Fuel Equipment'!C$17,$A67&lt;='Fuel Equipment'!C$18),('Fuel Equipment'!C$19*'Fuel Equipment'!C$20*'Fuel Equipment'!C$21)*('Fuel Equipment'!C$45-'Fuel Equipment'!C$44)*
(VLOOKUP(IF('Fuel Equipment'!C$22=Report!$A$25,Report!$A$19,'Fuel Equipment'!C$22),Report!$A$18:$L$34,'Actual-CO2 Calculations'!$AK70,FALSE)),0),0)</f>
        <v>509.28688172043098</v>
      </c>
      <c r="D67" s="19">
        <f>IF(AND('Fuel Equipment'!D$44&gt;0,'Fuel Equipment'!D$45&gt;0),IF(AND($A67&gt;='Fuel Equipment'!D$17,$A67&lt;='Fuel Equipment'!D$18),('Fuel Equipment'!D$19*'Fuel Equipment'!D$20*'Fuel Equipment'!D$21)*('Fuel Equipment'!D$45-'Fuel Equipment'!D$44)*
(VLOOKUP(IF('Fuel Equipment'!D$22=Report!$A$25,Report!$A$19,'Fuel Equipment'!D$22),Report!$A$18:$L$34,'Actual-CO2 Calculations'!$AK70,FALSE)),0),0)</f>
        <v>5396.3366399999959</v>
      </c>
      <c r="E67" s="19">
        <f>IF(AND('Fuel Equipment'!E$44&gt;0,'Fuel Equipment'!E$45&gt;0),IF(AND($A67&gt;='Fuel Equipment'!E$17,$A67&lt;='Fuel Equipment'!E$18),('Fuel Equipment'!E$19*'Fuel Equipment'!E$20*'Fuel Equipment'!E$21)*('Fuel Equipment'!E$45-'Fuel Equipment'!E$44)*
(VLOOKUP(IF('Fuel Equipment'!E$22=Report!$A$25,Report!$A$19,'Fuel Equipment'!E$22),Report!$A$18:$L$34,'Actual-CO2 Calculations'!$AK70,FALSE)),0),0)</f>
        <v>3007.2177777777779</v>
      </c>
      <c r="F67" s="19">
        <f>IF(AND('Fuel Equipment'!F$44&gt;0,'Fuel Equipment'!F$45&gt;0),IF(AND($A67&gt;='Fuel Equipment'!F$17,$A67&lt;='Fuel Equipment'!F$18),('Fuel Equipment'!F$19*'Fuel Equipment'!F$20*'Fuel Equipment'!F$21)*('Fuel Equipment'!F$45-'Fuel Equipment'!F$44)*
(VLOOKUP(IF('Fuel Equipment'!F$22=Report!$A$25,Report!$A$19,'Fuel Equipment'!F$22),Report!$A$18:$L$34,'Actual-CO2 Calculations'!$AK70,FALSE)),0),0)</f>
        <v>0</v>
      </c>
      <c r="G67" s="19">
        <f>IF(AND('Fuel Equipment'!G$44&gt;0,'Fuel Equipment'!G$45&gt;0),IF(AND($A67&gt;='Fuel Equipment'!G$17,$A67&lt;='Fuel Equipment'!G$18),('Fuel Equipment'!G$19*'Fuel Equipment'!G$20*'Fuel Equipment'!G$21)*('Fuel Equipment'!G$45-'Fuel Equipment'!G$44)*
(VLOOKUP(IF('Fuel Equipment'!G$22=Report!$A$25,Report!$A$19,'Fuel Equipment'!G$22),Report!$A$18:$L$34,'Actual-CO2 Calculations'!$AK70,FALSE)),0),0)</f>
        <v>0</v>
      </c>
      <c r="H67" s="19">
        <f>IF(AND('Fuel Equipment'!H$44&gt;0,'Fuel Equipment'!H$45&gt;0),IF(AND($A67&gt;='Fuel Equipment'!H$17,$A67&lt;='Fuel Equipment'!H$18),('Fuel Equipment'!H$19*'Fuel Equipment'!H$20*'Fuel Equipment'!H$21)*('Fuel Equipment'!H$45-'Fuel Equipment'!H$44)*
(VLOOKUP(IF('Fuel Equipment'!H$22=Report!$A$25,Report!$A$19,'Fuel Equipment'!H$22),Report!$A$18:$L$34,'Actual-CO2 Calculations'!$AK70,FALSE)),0),0)</f>
        <v>0</v>
      </c>
      <c r="I67" s="19">
        <f>IF(AND('Fuel Equipment'!I$44&gt;0,'Fuel Equipment'!I$45&gt;0),IF(AND($A67&gt;='Fuel Equipment'!I$17,$A67&lt;='Fuel Equipment'!I$18),('Fuel Equipment'!I$19*'Fuel Equipment'!I$20*'Fuel Equipment'!I$21)*('Fuel Equipment'!I$45-'Fuel Equipment'!I$44)*
(VLOOKUP(IF('Fuel Equipment'!I$22=Report!$A$25,Report!$A$19,'Fuel Equipment'!I$22),Report!$A$18:$L$34,'Actual-CO2 Calculations'!$AK70,FALSE)),0),0)</f>
        <v>0</v>
      </c>
      <c r="J67" s="19">
        <f>IF(AND('Fuel Equipment'!J$44&gt;0,'Fuel Equipment'!J$45&gt;0),IF(AND($A67&gt;='Fuel Equipment'!J$17,$A67&lt;='Fuel Equipment'!J$18),('Fuel Equipment'!J$19*'Fuel Equipment'!J$20*'Fuel Equipment'!J$21)*('Fuel Equipment'!J$45-'Fuel Equipment'!J$44)*
(VLOOKUP(IF('Fuel Equipment'!J$22=Report!$A$25,Report!$A$19,'Fuel Equipment'!J$22),Report!$A$18:$L$34,'Actual-CO2 Calculations'!$AK70,FALSE)),0),0)</f>
        <v>0</v>
      </c>
      <c r="K67" s="19">
        <f>IF(AND('Fuel Equipment'!K$44&gt;0,'Fuel Equipment'!K$45&gt;0),IF(AND($A67&gt;='Fuel Equipment'!K$17,$A67&lt;='Fuel Equipment'!K$18),('Fuel Equipment'!K$19*'Fuel Equipment'!K$20*'Fuel Equipment'!K$21)*('Fuel Equipment'!K$45-'Fuel Equipment'!K$44)*
(VLOOKUP(IF('Fuel Equipment'!K$22=Report!$A$25,Report!$A$19,'Fuel Equipment'!K$22),Report!$A$18:$L$34,'Actual-CO2 Calculations'!$AK70,FALSE)),0),0)</f>
        <v>0</v>
      </c>
      <c r="L67" s="19">
        <f>IF(AND('Fuel Equipment'!L$44&gt;0,'Fuel Equipment'!L$45&gt;0),IF(AND($A67&gt;='Fuel Equipment'!L$17,$A67&lt;='Fuel Equipment'!L$18),('Fuel Equipment'!L$19*'Fuel Equipment'!L$20*'Fuel Equipment'!L$21)*('Fuel Equipment'!L$45-'Fuel Equipment'!L$44)*
(VLOOKUP(IF('Fuel Equipment'!L$22=Report!$A$25,Report!$A$19,'Fuel Equipment'!L$22),Report!$A$18:$L$34,'Actual-CO2 Calculations'!$AK70,FALSE)),0),0)</f>
        <v>0</v>
      </c>
      <c r="M67" s="19">
        <f>IF(AND('Fuel Equipment'!M$44&gt;0,'Fuel Equipment'!M$45&gt;0),IF(AND($A67&gt;='Fuel Equipment'!M$17,$A67&lt;='Fuel Equipment'!M$18),('Fuel Equipment'!M$19*'Fuel Equipment'!M$20*'Fuel Equipment'!M$21)*('Fuel Equipment'!M$45-'Fuel Equipment'!M$44)*
(VLOOKUP(IF('Fuel Equipment'!M$22=Report!$A$25,Report!$A$19,'Fuel Equipment'!M$22),Report!$A$18:$L$34,'Actual-CO2 Calculations'!$AK70,FALSE)),0),0)</f>
        <v>0</v>
      </c>
      <c r="N67" s="19">
        <f>IF(AND('Fuel Equipment'!N$44&gt;0,'Fuel Equipment'!N$45&gt;0),IF(AND($A67&gt;='Fuel Equipment'!N$17,$A67&lt;='Fuel Equipment'!N$18),('Fuel Equipment'!N$19*'Fuel Equipment'!N$20*'Fuel Equipment'!N$21)*('Fuel Equipment'!N$45-'Fuel Equipment'!N$44)*
(VLOOKUP(IF('Fuel Equipment'!N$22=Report!$A$25,Report!$A$19,'Fuel Equipment'!N$22),Report!$A$18:$L$34,'Actual-CO2 Calculations'!$AK70,FALSE)),0),0)</f>
        <v>0</v>
      </c>
      <c r="O67" s="19">
        <f>IF(AND('Fuel Equipment'!O$44&gt;0,'Fuel Equipment'!O$45&gt;0),IF(AND($A67&gt;='Fuel Equipment'!O$17,$A67&lt;='Fuel Equipment'!O$18),('Fuel Equipment'!O$19*'Fuel Equipment'!O$20*'Fuel Equipment'!O$21)*('Fuel Equipment'!O$45-'Fuel Equipment'!O$44)*
(VLOOKUP(IF('Fuel Equipment'!O$22=Report!$A$25,Report!$A$19,'Fuel Equipment'!O$22),Report!$A$18:$L$34,'Actual-CO2 Calculations'!$AK70,FALSE)),0),0)</f>
        <v>0</v>
      </c>
      <c r="P67" s="19">
        <f>IF(AND('Fuel Equipment'!P$44&gt;0,'Fuel Equipment'!P$45&gt;0),IF(AND($A67&gt;='Fuel Equipment'!P$17,$A67&lt;='Fuel Equipment'!P$18),('Fuel Equipment'!P$19*'Fuel Equipment'!P$20*'Fuel Equipment'!P$21)*('Fuel Equipment'!P$45-'Fuel Equipment'!P$44)*
(VLOOKUP(IF('Fuel Equipment'!P$22=Report!$A$25,Report!$A$19,'Fuel Equipment'!P$22),Report!$A$18:$L$34,'Actual-CO2 Calculations'!$AK70,FALSE)),0),0)</f>
        <v>0</v>
      </c>
      <c r="Q67" s="19">
        <f>IF(AND('Fuel Equipment'!Q$44&gt;0,'Fuel Equipment'!Q$45&gt;0),IF(AND($A67&gt;='Fuel Equipment'!Q$17,$A67&lt;='Fuel Equipment'!Q$18),('Fuel Equipment'!Q$19*'Fuel Equipment'!Q$20*'Fuel Equipment'!Q$21)*('Fuel Equipment'!Q$45-'Fuel Equipment'!Q$44)*
(VLOOKUP(IF('Fuel Equipment'!Q$22=Report!$A$25,Report!$A$19,'Fuel Equipment'!Q$22),Report!$A$18:$L$34,'Actual-CO2 Calculations'!$AK70,FALSE)),0),0)</f>
        <v>0</v>
      </c>
      <c r="R67" s="19">
        <f>IF(AND('Fuel Equipment'!R$44&gt;0,'Fuel Equipment'!R$45&gt;0),IF(AND($A67&gt;='Fuel Equipment'!R$17,$A67&lt;='Fuel Equipment'!R$18),('Fuel Equipment'!R$19*'Fuel Equipment'!R$20*'Fuel Equipment'!R$21)*('Fuel Equipment'!R$45-'Fuel Equipment'!R$44)*
(VLOOKUP(IF('Fuel Equipment'!R$22=Report!$A$25,Report!$A$19,'Fuel Equipment'!R$22),Report!$A$18:$L$34,'Actual-CO2 Calculations'!$AK70,FALSE)),0),0)</f>
        <v>0</v>
      </c>
      <c r="S67" s="19">
        <f>IF(AND('Fuel Equipment'!S$44&gt;0,'Fuel Equipment'!S$45&gt;0),IF(AND($A67&gt;='Fuel Equipment'!S$17,$A67&lt;='Fuel Equipment'!S$18),('Fuel Equipment'!S$19*'Fuel Equipment'!S$20*'Fuel Equipment'!S$21)*('Fuel Equipment'!S$45-'Fuel Equipment'!S$44)*
(VLOOKUP(IF('Fuel Equipment'!S$22=Report!$A$25,Report!$A$19,'Fuel Equipment'!S$22),Report!$A$18:$L$34,'Actual-CO2 Calculations'!$AK70,FALSE)),0),0)</f>
        <v>0</v>
      </c>
      <c r="V67" s="671">
        <f t="shared" ref="V67:V121" si="1">SUM(B67:S67)</f>
        <v>11227.446475968793</v>
      </c>
    </row>
    <row r="68" spans="1:22">
      <c r="A68" s="21" t="s">
        <v>77</v>
      </c>
      <c r="B68" s="19">
        <f>IF(AND('Fuel Equipment'!B$44&gt;0,'Fuel Equipment'!B$45&gt;0),IF(AND($A68&gt;='Fuel Equipment'!B$17,$A68&lt;='Fuel Equipment'!B$18),('Fuel Equipment'!B$19*'Fuel Equipment'!B$20*'Fuel Equipment'!B$21)*('Fuel Equipment'!B$45-'Fuel Equipment'!B$44)*
(VLOOKUP(IF('Fuel Equipment'!B$22=Report!$A$25,Report!$A$19,'Fuel Equipment'!B$22),Report!$A$18:$L$34,'Actual-CO2 Calculations'!$AK71,FALSE)),0),0)</f>
        <v>2314.605176470589</v>
      </c>
      <c r="C68" s="19">
        <f>IF(AND('Fuel Equipment'!C$44&gt;0,'Fuel Equipment'!C$45&gt;0),IF(AND($A68&gt;='Fuel Equipment'!C$17,$A68&lt;='Fuel Equipment'!C$18),('Fuel Equipment'!C$19*'Fuel Equipment'!C$20*'Fuel Equipment'!C$21)*('Fuel Equipment'!C$45-'Fuel Equipment'!C$44)*
(VLOOKUP(IF('Fuel Equipment'!C$22=Report!$A$25,Report!$A$19,'Fuel Equipment'!C$22),Report!$A$18:$L$34,'Actual-CO2 Calculations'!$AK71,FALSE)),0),0)</f>
        <v>509.28688172043098</v>
      </c>
      <c r="D68" s="19">
        <f>IF(AND('Fuel Equipment'!D$44&gt;0,'Fuel Equipment'!D$45&gt;0),IF(AND($A68&gt;='Fuel Equipment'!D$17,$A68&lt;='Fuel Equipment'!D$18),('Fuel Equipment'!D$19*'Fuel Equipment'!D$20*'Fuel Equipment'!D$21)*('Fuel Equipment'!D$45-'Fuel Equipment'!D$44)*
(VLOOKUP(IF('Fuel Equipment'!D$22=Report!$A$25,Report!$A$19,'Fuel Equipment'!D$22),Report!$A$18:$L$34,'Actual-CO2 Calculations'!$AK71,FALSE)),0),0)</f>
        <v>5396.3366399999959</v>
      </c>
      <c r="E68" s="19">
        <f>IF(AND('Fuel Equipment'!E$44&gt;0,'Fuel Equipment'!E$45&gt;0),IF(AND($A68&gt;='Fuel Equipment'!E$17,$A68&lt;='Fuel Equipment'!E$18),('Fuel Equipment'!E$19*'Fuel Equipment'!E$20*'Fuel Equipment'!E$21)*('Fuel Equipment'!E$45-'Fuel Equipment'!E$44)*
(VLOOKUP(IF('Fuel Equipment'!E$22=Report!$A$25,Report!$A$19,'Fuel Equipment'!E$22),Report!$A$18:$L$34,'Actual-CO2 Calculations'!$AK71,FALSE)),0),0)</f>
        <v>3007.2177777777779</v>
      </c>
      <c r="F68" s="19">
        <f>IF(AND('Fuel Equipment'!F$44&gt;0,'Fuel Equipment'!F$45&gt;0),IF(AND($A68&gt;='Fuel Equipment'!F$17,$A68&lt;='Fuel Equipment'!F$18),('Fuel Equipment'!F$19*'Fuel Equipment'!F$20*'Fuel Equipment'!F$21)*('Fuel Equipment'!F$45-'Fuel Equipment'!F$44)*
(VLOOKUP(IF('Fuel Equipment'!F$22=Report!$A$25,Report!$A$19,'Fuel Equipment'!F$22),Report!$A$18:$L$34,'Actual-CO2 Calculations'!$AK71,FALSE)),0),0)</f>
        <v>0</v>
      </c>
      <c r="G68" s="19">
        <f>IF(AND('Fuel Equipment'!G$44&gt;0,'Fuel Equipment'!G$45&gt;0),IF(AND($A68&gt;='Fuel Equipment'!G$17,$A68&lt;='Fuel Equipment'!G$18),('Fuel Equipment'!G$19*'Fuel Equipment'!G$20*'Fuel Equipment'!G$21)*('Fuel Equipment'!G$45-'Fuel Equipment'!G$44)*
(VLOOKUP(IF('Fuel Equipment'!G$22=Report!$A$25,Report!$A$19,'Fuel Equipment'!G$22),Report!$A$18:$L$34,'Actual-CO2 Calculations'!$AK71,FALSE)),0),0)</f>
        <v>0</v>
      </c>
      <c r="H68" s="19">
        <f>IF(AND('Fuel Equipment'!H$44&gt;0,'Fuel Equipment'!H$45&gt;0),IF(AND($A68&gt;='Fuel Equipment'!H$17,$A68&lt;='Fuel Equipment'!H$18),('Fuel Equipment'!H$19*'Fuel Equipment'!H$20*'Fuel Equipment'!H$21)*('Fuel Equipment'!H$45-'Fuel Equipment'!H$44)*
(VLOOKUP(IF('Fuel Equipment'!H$22=Report!$A$25,Report!$A$19,'Fuel Equipment'!H$22),Report!$A$18:$L$34,'Actual-CO2 Calculations'!$AK71,FALSE)),0),0)</f>
        <v>0</v>
      </c>
      <c r="I68" s="19">
        <f>IF(AND('Fuel Equipment'!I$44&gt;0,'Fuel Equipment'!I$45&gt;0),IF(AND($A68&gt;='Fuel Equipment'!I$17,$A68&lt;='Fuel Equipment'!I$18),('Fuel Equipment'!I$19*'Fuel Equipment'!I$20*'Fuel Equipment'!I$21)*('Fuel Equipment'!I$45-'Fuel Equipment'!I$44)*
(VLOOKUP(IF('Fuel Equipment'!I$22=Report!$A$25,Report!$A$19,'Fuel Equipment'!I$22),Report!$A$18:$L$34,'Actual-CO2 Calculations'!$AK71,FALSE)),0),0)</f>
        <v>0</v>
      </c>
      <c r="J68" s="19">
        <f>IF(AND('Fuel Equipment'!J$44&gt;0,'Fuel Equipment'!J$45&gt;0),IF(AND($A68&gt;='Fuel Equipment'!J$17,$A68&lt;='Fuel Equipment'!J$18),('Fuel Equipment'!J$19*'Fuel Equipment'!J$20*'Fuel Equipment'!J$21)*('Fuel Equipment'!J$45-'Fuel Equipment'!J$44)*
(VLOOKUP(IF('Fuel Equipment'!J$22=Report!$A$25,Report!$A$19,'Fuel Equipment'!J$22),Report!$A$18:$L$34,'Actual-CO2 Calculations'!$AK71,FALSE)),0),0)</f>
        <v>0</v>
      </c>
      <c r="K68" s="19">
        <f>IF(AND('Fuel Equipment'!K$44&gt;0,'Fuel Equipment'!K$45&gt;0),IF(AND($A68&gt;='Fuel Equipment'!K$17,$A68&lt;='Fuel Equipment'!K$18),('Fuel Equipment'!K$19*'Fuel Equipment'!K$20*'Fuel Equipment'!K$21)*('Fuel Equipment'!K$45-'Fuel Equipment'!K$44)*
(VLOOKUP(IF('Fuel Equipment'!K$22=Report!$A$25,Report!$A$19,'Fuel Equipment'!K$22),Report!$A$18:$L$34,'Actual-CO2 Calculations'!$AK71,FALSE)),0),0)</f>
        <v>0</v>
      </c>
      <c r="L68" s="19">
        <f>IF(AND('Fuel Equipment'!L$44&gt;0,'Fuel Equipment'!L$45&gt;0),IF(AND($A68&gt;='Fuel Equipment'!L$17,$A68&lt;='Fuel Equipment'!L$18),('Fuel Equipment'!L$19*'Fuel Equipment'!L$20*'Fuel Equipment'!L$21)*('Fuel Equipment'!L$45-'Fuel Equipment'!L$44)*
(VLOOKUP(IF('Fuel Equipment'!L$22=Report!$A$25,Report!$A$19,'Fuel Equipment'!L$22),Report!$A$18:$L$34,'Actual-CO2 Calculations'!$AK71,FALSE)),0),0)</f>
        <v>0</v>
      </c>
      <c r="M68" s="19">
        <f>IF(AND('Fuel Equipment'!M$44&gt;0,'Fuel Equipment'!M$45&gt;0),IF(AND($A68&gt;='Fuel Equipment'!M$17,$A68&lt;='Fuel Equipment'!M$18),('Fuel Equipment'!M$19*'Fuel Equipment'!M$20*'Fuel Equipment'!M$21)*('Fuel Equipment'!M$45-'Fuel Equipment'!M$44)*
(VLOOKUP(IF('Fuel Equipment'!M$22=Report!$A$25,Report!$A$19,'Fuel Equipment'!M$22),Report!$A$18:$L$34,'Actual-CO2 Calculations'!$AK71,FALSE)),0),0)</f>
        <v>0</v>
      </c>
      <c r="N68" s="19">
        <f>IF(AND('Fuel Equipment'!N$44&gt;0,'Fuel Equipment'!N$45&gt;0),IF(AND($A68&gt;='Fuel Equipment'!N$17,$A68&lt;='Fuel Equipment'!N$18),('Fuel Equipment'!N$19*'Fuel Equipment'!N$20*'Fuel Equipment'!N$21)*('Fuel Equipment'!N$45-'Fuel Equipment'!N$44)*
(VLOOKUP(IF('Fuel Equipment'!N$22=Report!$A$25,Report!$A$19,'Fuel Equipment'!N$22),Report!$A$18:$L$34,'Actual-CO2 Calculations'!$AK71,FALSE)),0),0)</f>
        <v>0</v>
      </c>
      <c r="O68" s="19">
        <f>IF(AND('Fuel Equipment'!O$44&gt;0,'Fuel Equipment'!O$45&gt;0),IF(AND($A68&gt;='Fuel Equipment'!O$17,$A68&lt;='Fuel Equipment'!O$18),('Fuel Equipment'!O$19*'Fuel Equipment'!O$20*'Fuel Equipment'!O$21)*('Fuel Equipment'!O$45-'Fuel Equipment'!O$44)*
(VLOOKUP(IF('Fuel Equipment'!O$22=Report!$A$25,Report!$A$19,'Fuel Equipment'!O$22),Report!$A$18:$L$34,'Actual-CO2 Calculations'!$AK71,FALSE)),0),0)</f>
        <v>0</v>
      </c>
      <c r="P68" s="19">
        <f>IF(AND('Fuel Equipment'!P$44&gt;0,'Fuel Equipment'!P$45&gt;0),IF(AND($A68&gt;='Fuel Equipment'!P$17,$A68&lt;='Fuel Equipment'!P$18),('Fuel Equipment'!P$19*'Fuel Equipment'!P$20*'Fuel Equipment'!P$21)*('Fuel Equipment'!P$45-'Fuel Equipment'!P$44)*
(VLOOKUP(IF('Fuel Equipment'!P$22=Report!$A$25,Report!$A$19,'Fuel Equipment'!P$22),Report!$A$18:$L$34,'Actual-CO2 Calculations'!$AK71,FALSE)),0),0)</f>
        <v>0</v>
      </c>
      <c r="Q68" s="19">
        <f>IF(AND('Fuel Equipment'!Q$44&gt;0,'Fuel Equipment'!Q$45&gt;0),IF(AND($A68&gt;='Fuel Equipment'!Q$17,$A68&lt;='Fuel Equipment'!Q$18),('Fuel Equipment'!Q$19*'Fuel Equipment'!Q$20*'Fuel Equipment'!Q$21)*('Fuel Equipment'!Q$45-'Fuel Equipment'!Q$44)*
(VLOOKUP(IF('Fuel Equipment'!Q$22=Report!$A$25,Report!$A$19,'Fuel Equipment'!Q$22),Report!$A$18:$L$34,'Actual-CO2 Calculations'!$AK71,FALSE)),0),0)</f>
        <v>0</v>
      </c>
      <c r="R68" s="19">
        <f>IF(AND('Fuel Equipment'!R$44&gt;0,'Fuel Equipment'!R$45&gt;0),IF(AND($A68&gt;='Fuel Equipment'!R$17,$A68&lt;='Fuel Equipment'!R$18),('Fuel Equipment'!R$19*'Fuel Equipment'!R$20*'Fuel Equipment'!R$21)*('Fuel Equipment'!R$45-'Fuel Equipment'!R$44)*
(VLOOKUP(IF('Fuel Equipment'!R$22=Report!$A$25,Report!$A$19,'Fuel Equipment'!R$22),Report!$A$18:$L$34,'Actual-CO2 Calculations'!$AK71,FALSE)),0),0)</f>
        <v>0</v>
      </c>
      <c r="S68" s="19">
        <f>IF(AND('Fuel Equipment'!S$44&gt;0,'Fuel Equipment'!S$45&gt;0),IF(AND($A68&gt;='Fuel Equipment'!S$17,$A68&lt;='Fuel Equipment'!S$18),('Fuel Equipment'!S$19*'Fuel Equipment'!S$20*'Fuel Equipment'!S$21)*('Fuel Equipment'!S$45-'Fuel Equipment'!S$44)*
(VLOOKUP(IF('Fuel Equipment'!S$22=Report!$A$25,Report!$A$19,'Fuel Equipment'!S$22),Report!$A$18:$L$34,'Actual-CO2 Calculations'!$AK71,FALSE)),0),0)</f>
        <v>0</v>
      </c>
      <c r="V68" s="671">
        <f t="shared" si="1"/>
        <v>11227.446475968793</v>
      </c>
    </row>
    <row r="69" spans="1:22">
      <c r="A69" s="21" t="s">
        <v>78</v>
      </c>
      <c r="B69" s="19">
        <f>IF(AND('Fuel Equipment'!B$44&gt;0,'Fuel Equipment'!B$45&gt;0),IF(AND($A69&gt;='Fuel Equipment'!B$17,$A69&lt;='Fuel Equipment'!B$18),('Fuel Equipment'!B$19*'Fuel Equipment'!B$20*'Fuel Equipment'!B$21)*('Fuel Equipment'!B$45-'Fuel Equipment'!B$44)*
(VLOOKUP(IF('Fuel Equipment'!B$22=Report!$A$25,Report!$A$19,'Fuel Equipment'!B$22),Report!$A$18:$L$34,'Actual-CO2 Calculations'!$AK72,FALSE)),0),0)</f>
        <v>2298.1510588235305</v>
      </c>
      <c r="C69" s="19">
        <f>IF(AND('Fuel Equipment'!C$44&gt;0,'Fuel Equipment'!C$45&gt;0),IF(AND($A69&gt;='Fuel Equipment'!C$17,$A69&lt;='Fuel Equipment'!C$18),('Fuel Equipment'!C$19*'Fuel Equipment'!C$20*'Fuel Equipment'!C$21)*('Fuel Equipment'!C$45-'Fuel Equipment'!C$44)*
(VLOOKUP(IF('Fuel Equipment'!C$22=Report!$A$25,Report!$A$19,'Fuel Equipment'!C$22),Report!$A$18:$L$34,'Actual-CO2 Calculations'!$AK72,FALSE)),0),0)</f>
        <v>505.66645161290415</v>
      </c>
      <c r="D69" s="19">
        <f>IF(AND('Fuel Equipment'!D$44&gt;0,'Fuel Equipment'!D$45&gt;0),IF(AND($A69&gt;='Fuel Equipment'!D$17,$A69&lt;='Fuel Equipment'!D$18),('Fuel Equipment'!D$19*'Fuel Equipment'!D$20*'Fuel Equipment'!D$21)*('Fuel Equipment'!D$45-'Fuel Equipment'!D$44)*
(VLOOKUP(IF('Fuel Equipment'!D$22=Report!$A$25,Report!$A$19,'Fuel Equipment'!D$22),Report!$A$18:$L$34,'Actual-CO2 Calculations'!$AK72,FALSE)),0),0)</f>
        <v>5357.9750399999957</v>
      </c>
      <c r="E69" s="19">
        <f>IF(AND('Fuel Equipment'!E$44&gt;0,'Fuel Equipment'!E$45&gt;0),IF(AND($A69&gt;='Fuel Equipment'!E$17,$A69&lt;='Fuel Equipment'!E$18),('Fuel Equipment'!E$19*'Fuel Equipment'!E$20*'Fuel Equipment'!E$21)*('Fuel Equipment'!E$45-'Fuel Equipment'!E$44)*
(VLOOKUP(IF('Fuel Equipment'!E$22=Report!$A$25,Report!$A$19,'Fuel Equipment'!E$22),Report!$A$18:$L$34,'Actual-CO2 Calculations'!$AK72,FALSE)),0),0)</f>
        <v>2985.84</v>
      </c>
      <c r="F69" s="19">
        <f>IF(AND('Fuel Equipment'!F$44&gt;0,'Fuel Equipment'!F$45&gt;0),IF(AND($A69&gt;='Fuel Equipment'!F$17,$A69&lt;='Fuel Equipment'!F$18),('Fuel Equipment'!F$19*'Fuel Equipment'!F$20*'Fuel Equipment'!F$21)*('Fuel Equipment'!F$45-'Fuel Equipment'!F$44)*
(VLOOKUP(IF('Fuel Equipment'!F$22=Report!$A$25,Report!$A$19,'Fuel Equipment'!F$22),Report!$A$18:$L$34,'Actual-CO2 Calculations'!$AK72,FALSE)),0),0)</f>
        <v>0</v>
      </c>
      <c r="G69" s="19">
        <f>IF(AND('Fuel Equipment'!G$44&gt;0,'Fuel Equipment'!G$45&gt;0),IF(AND($A69&gt;='Fuel Equipment'!G$17,$A69&lt;='Fuel Equipment'!G$18),('Fuel Equipment'!G$19*'Fuel Equipment'!G$20*'Fuel Equipment'!G$21)*('Fuel Equipment'!G$45-'Fuel Equipment'!G$44)*
(VLOOKUP(IF('Fuel Equipment'!G$22=Report!$A$25,Report!$A$19,'Fuel Equipment'!G$22),Report!$A$18:$L$34,'Actual-CO2 Calculations'!$AK72,FALSE)),0),0)</f>
        <v>0</v>
      </c>
      <c r="H69" s="19">
        <f>IF(AND('Fuel Equipment'!H$44&gt;0,'Fuel Equipment'!H$45&gt;0),IF(AND($A69&gt;='Fuel Equipment'!H$17,$A69&lt;='Fuel Equipment'!H$18),('Fuel Equipment'!H$19*'Fuel Equipment'!H$20*'Fuel Equipment'!H$21)*('Fuel Equipment'!H$45-'Fuel Equipment'!H$44)*
(VLOOKUP(IF('Fuel Equipment'!H$22=Report!$A$25,Report!$A$19,'Fuel Equipment'!H$22),Report!$A$18:$L$34,'Actual-CO2 Calculations'!$AK72,FALSE)),0),0)</f>
        <v>0</v>
      </c>
      <c r="I69" s="19">
        <f>IF(AND('Fuel Equipment'!I$44&gt;0,'Fuel Equipment'!I$45&gt;0),IF(AND($A69&gt;='Fuel Equipment'!I$17,$A69&lt;='Fuel Equipment'!I$18),('Fuel Equipment'!I$19*'Fuel Equipment'!I$20*'Fuel Equipment'!I$21)*('Fuel Equipment'!I$45-'Fuel Equipment'!I$44)*
(VLOOKUP(IF('Fuel Equipment'!I$22=Report!$A$25,Report!$A$19,'Fuel Equipment'!I$22),Report!$A$18:$L$34,'Actual-CO2 Calculations'!$AK72,FALSE)),0),0)</f>
        <v>0</v>
      </c>
      <c r="J69" s="19">
        <f>IF(AND('Fuel Equipment'!J$44&gt;0,'Fuel Equipment'!J$45&gt;0),IF(AND($A69&gt;='Fuel Equipment'!J$17,$A69&lt;='Fuel Equipment'!J$18),('Fuel Equipment'!J$19*'Fuel Equipment'!J$20*'Fuel Equipment'!J$21)*('Fuel Equipment'!J$45-'Fuel Equipment'!J$44)*
(VLOOKUP(IF('Fuel Equipment'!J$22=Report!$A$25,Report!$A$19,'Fuel Equipment'!J$22),Report!$A$18:$L$34,'Actual-CO2 Calculations'!$AK72,FALSE)),0),0)</f>
        <v>0</v>
      </c>
      <c r="K69" s="19">
        <f>IF(AND('Fuel Equipment'!K$44&gt;0,'Fuel Equipment'!K$45&gt;0),IF(AND($A69&gt;='Fuel Equipment'!K$17,$A69&lt;='Fuel Equipment'!K$18),('Fuel Equipment'!K$19*'Fuel Equipment'!K$20*'Fuel Equipment'!K$21)*('Fuel Equipment'!K$45-'Fuel Equipment'!K$44)*
(VLOOKUP(IF('Fuel Equipment'!K$22=Report!$A$25,Report!$A$19,'Fuel Equipment'!K$22),Report!$A$18:$L$34,'Actual-CO2 Calculations'!$AK72,FALSE)),0),0)</f>
        <v>0</v>
      </c>
      <c r="L69" s="19">
        <f>IF(AND('Fuel Equipment'!L$44&gt;0,'Fuel Equipment'!L$45&gt;0),IF(AND($A69&gt;='Fuel Equipment'!L$17,$A69&lt;='Fuel Equipment'!L$18),('Fuel Equipment'!L$19*'Fuel Equipment'!L$20*'Fuel Equipment'!L$21)*('Fuel Equipment'!L$45-'Fuel Equipment'!L$44)*
(VLOOKUP(IF('Fuel Equipment'!L$22=Report!$A$25,Report!$A$19,'Fuel Equipment'!L$22),Report!$A$18:$L$34,'Actual-CO2 Calculations'!$AK72,FALSE)),0),0)</f>
        <v>0</v>
      </c>
      <c r="M69" s="19">
        <f>IF(AND('Fuel Equipment'!M$44&gt;0,'Fuel Equipment'!M$45&gt;0),IF(AND($A69&gt;='Fuel Equipment'!M$17,$A69&lt;='Fuel Equipment'!M$18),('Fuel Equipment'!M$19*'Fuel Equipment'!M$20*'Fuel Equipment'!M$21)*('Fuel Equipment'!M$45-'Fuel Equipment'!M$44)*
(VLOOKUP(IF('Fuel Equipment'!M$22=Report!$A$25,Report!$A$19,'Fuel Equipment'!M$22),Report!$A$18:$L$34,'Actual-CO2 Calculations'!$AK72,FALSE)),0),0)</f>
        <v>0</v>
      </c>
      <c r="N69" s="19">
        <f>IF(AND('Fuel Equipment'!N$44&gt;0,'Fuel Equipment'!N$45&gt;0),IF(AND($A69&gt;='Fuel Equipment'!N$17,$A69&lt;='Fuel Equipment'!N$18),('Fuel Equipment'!N$19*'Fuel Equipment'!N$20*'Fuel Equipment'!N$21)*('Fuel Equipment'!N$45-'Fuel Equipment'!N$44)*
(VLOOKUP(IF('Fuel Equipment'!N$22=Report!$A$25,Report!$A$19,'Fuel Equipment'!N$22),Report!$A$18:$L$34,'Actual-CO2 Calculations'!$AK72,FALSE)),0),0)</f>
        <v>0</v>
      </c>
      <c r="O69" s="19">
        <f>IF(AND('Fuel Equipment'!O$44&gt;0,'Fuel Equipment'!O$45&gt;0),IF(AND($A69&gt;='Fuel Equipment'!O$17,$A69&lt;='Fuel Equipment'!O$18),('Fuel Equipment'!O$19*'Fuel Equipment'!O$20*'Fuel Equipment'!O$21)*('Fuel Equipment'!O$45-'Fuel Equipment'!O$44)*
(VLOOKUP(IF('Fuel Equipment'!O$22=Report!$A$25,Report!$A$19,'Fuel Equipment'!O$22),Report!$A$18:$L$34,'Actual-CO2 Calculations'!$AK72,FALSE)),0),0)</f>
        <v>0</v>
      </c>
      <c r="P69" s="19">
        <f>IF(AND('Fuel Equipment'!P$44&gt;0,'Fuel Equipment'!P$45&gt;0),IF(AND($A69&gt;='Fuel Equipment'!P$17,$A69&lt;='Fuel Equipment'!P$18),('Fuel Equipment'!P$19*'Fuel Equipment'!P$20*'Fuel Equipment'!P$21)*('Fuel Equipment'!P$45-'Fuel Equipment'!P$44)*
(VLOOKUP(IF('Fuel Equipment'!P$22=Report!$A$25,Report!$A$19,'Fuel Equipment'!P$22),Report!$A$18:$L$34,'Actual-CO2 Calculations'!$AK72,FALSE)),0),0)</f>
        <v>0</v>
      </c>
      <c r="Q69" s="19">
        <f>IF(AND('Fuel Equipment'!Q$44&gt;0,'Fuel Equipment'!Q$45&gt;0),IF(AND($A69&gt;='Fuel Equipment'!Q$17,$A69&lt;='Fuel Equipment'!Q$18),('Fuel Equipment'!Q$19*'Fuel Equipment'!Q$20*'Fuel Equipment'!Q$21)*('Fuel Equipment'!Q$45-'Fuel Equipment'!Q$44)*
(VLOOKUP(IF('Fuel Equipment'!Q$22=Report!$A$25,Report!$A$19,'Fuel Equipment'!Q$22),Report!$A$18:$L$34,'Actual-CO2 Calculations'!$AK72,FALSE)),0),0)</f>
        <v>0</v>
      </c>
      <c r="R69" s="19">
        <f>IF(AND('Fuel Equipment'!R$44&gt;0,'Fuel Equipment'!R$45&gt;0),IF(AND($A69&gt;='Fuel Equipment'!R$17,$A69&lt;='Fuel Equipment'!R$18),('Fuel Equipment'!R$19*'Fuel Equipment'!R$20*'Fuel Equipment'!R$21)*('Fuel Equipment'!R$45-'Fuel Equipment'!R$44)*
(VLOOKUP(IF('Fuel Equipment'!R$22=Report!$A$25,Report!$A$19,'Fuel Equipment'!R$22),Report!$A$18:$L$34,'Actual-CO2 Calculations'!$AK72,FALSE)),0),0)</f>
        <v>0</v>
      </c>
      <c r="S69" s="19">
        <f>IF(AND('Fuel Equipment'!S$44&gt;0,'Fuel Equipment'!S$45&gt;0),IF(AND($A69&gt;='Fuel Equipment'!S$17,$A69&lt;='Fuel Equipment'!S$18),('Fuel Equipment'!S$19*'Fuel Equipment'!S$20*'Fuel Equipment'!S$21)*('Fuel Equipment'!S$45-'Fuel Equipment'!S$44)*
(VLOOKUP(IF('Fuel Equipment'!S$22=Report!$A$25,Report!$A$19,'Fuel Equipment'!S$22),Report!$A$18:$L$34,'Actual-CO2 Calculations'!$AK72,FALSE)),0),0)</f>
        <v>0</v>
      </c>
      <c r="V69" s="671">
        <f t="shared" si="1"/>
        <v>11147.63255043643</v>
      </c>
    </row>
    <row r="70" spans="1:22">
      <c r="A70" s="21" t="s">
        <v>79</v>
      </c>
      <c r="B70" s="19">
        <f>IF(AND('Fuel Equipment'!B$44&gt;0,'Fuel Equipment'!B$45&gt;0),IF(AND($A70&gt;='Fuel Equipment'!B$17,$A70&lt;='Fuel Equipment'!B$18),('Fuel Equipment'!B$19*'Fuel Equipment'!B$20*'Fuel Equipment'!B$21)*('Fuel Equipment'!B$45-'Fuel Equipment'!B$44)*
(VLOOKUP(IF('Fuel Equipment'!B$22=Report!$A$25,Report!$A$19,'Fuel Equipment'!B$22),Report!$A$18:$L$34,'Actual-CO2 Calculations'!$AK73,FALSE)),0),0)</f>
        <v>2298.1510588235305</v>
      </c>
      <c r="C70" s="19">
        <f>IF(AND('Fuel Equipment'!C$44&gt;0,'Fuel Equipment'!C$45&gt;0),IF(AND($A70&gt;='Fuel Equipment'!C$17,$A70&lt;='Fuel Equipment'!C$18),('Fuel Equipment'!C$19*'Fuel Equipment'!C$20*'Fuel Equipment'!C$21)*('Fuel Equipment'!C$45-'Fuel Equipment'!C$44)*
(VLOOKUP(IF('Fuel Equipment'!C$22=Report!$A$25,Report!$A$19,'Fuel Equipment'!C$22),Report!$A$18:$L$34,'Actual-CO2 Calculations'!$AK73,FALSE)),0),0)</f>
        <v>505.66645161290415</v>
      </c>
      <c r="D70" s="19">
        <f>IF(AND('Fuel Equipment'!D$44&gt;0,'Fuel Equipment'!D$45&gt;0),IF(AND($A70&gt;='Fuel Equipment'!D$17,$A70&lt;='Fuel Equipment'!D$18),('Fuel Equipment'!D$19*'Fuel Equipment'!D$20*'Fuel Equipment'!D$21)*('Fuel Equipment'!D$45-'Fuel Equipment'!D$44)*
(VLOOKUP(IF('Fuel Equipment'!D$22=Report!$A$25,Report!$A$19,'Fuel Equipment'!D$22),Report!$A$18:$L$34,'Actual-CO2 Calculations'!$AK73,FALSE)),0),0)</f>
        <v>5357.9750399999957</v>
      </c>
      <c r="E70" s="19">
        <f>IF(AND('Fuel Equipment'!E$44&gt;0,'Fuel Equipment'!E$45&gt;0),IF(AND($A70&gt;='Fuel Equipment'!E$17,$A70&lt;='Fuel Equipment'!E$18),('Fuel Equipment'!E$19*'Fuel Equipment'!E$20*'Fuel Equipment'!E$21)*('Fuel Equipment'!E$45-'Fuel Equipment'!E$44)*
(VLOOKUP(IF('Fuel Equipment'!E$22=Report!$A$25,Report!$A$19,'Fuel Equipment'!E$22),Report!$A$18:$L$34,'Actual-CO2 Calculations'!$AK73,FALSE)),0),0)</f>
        <v>2985.84</v>
      </c>
      <c r="F70" s="19">
        <f>IF(AND('Fuel Equipment'!F$44&gt;0,'Fuel Equipment'!F$45&gt;0),IF(AND($A70&gt;='Fuel Equipment'!F$17,$A70&lt;='Fuel Equipment'!F$18),('Fuel Equipment'!F$19*'Fuel Equipment'!F$20*'Fuel Equipment'!F$21)*('Fuel Equipment'!F$45-'Fuel Equipment'!F$44)*
(VLOOKUP(IF('Fuel Equipment'!F$22=Report!$A$25,Report!$A$19,'Fuel Equipment'!F$22),Report!$A$18:$L$34,'Actual-CO2 Calculations'!$AK73,FALSE)),0),0)</f>
        <v>0</v>
      </c>
      <c r="G70" s="19">
        <f>IF(AND('Fuel Equipment'!G$44&gt;0,'Fuel Equipment'!G$45&gt;0),IF(AND($A70&gt;='Fuel Equipment'!G$17,$A70&lt;='Fuel Equipment'!G$18),('Fuel Equipment'!G$19*'Fuel Equipment'!G$20*'Fuel Equipment'!G$21)*('Fuel Equipment'!G$45-'Fuel Equipment'!G$44)*
(VLOOKUP(IF('Fuel Equipment'!G$22=Report!$A$25,Report!$A$19,'Fuel Equipment'!G$22),Report!$A$18:$L$34,'Actual-CO2 Calculations'!$AK73,FALSE)),0),0)</f>
        <v>0</v>
      </c>
      <c r="H70" s="19">
        <f>IF(AND('Fuel Equipment'!H$44&gt;0,'Fuel Equipment'!H$45&gt;0),IF(AND($A70&gt;='Fuel Equipment'!H$17,$A70&lt;='Fuel Equipment'!H$18),('Fuel Equipment'!H$19*'Fuel Equipment'!H$20*'Fuel Equipment'!H$21)*('Fuel Equipment'!H$45-'Fuel Equipment'!H$44)*
(VLOOKUP(IF('Fuel Equipment'!H$22=Report!$A$25,Report!$A$19,'Fuel Equipment'!H$22),Report!$A$18:$L$34,'Actual-CO2 Calculations'!$AK73,FALSE)),0),0)</f>
        <v>0</v>
      </c>
      <c r="I70" s="19">
        <f>IF(AND('Fuel Equipment'!I$44&gt;0,'Fuel Equipment'!I$45&gt;0),IF(AND($A70&gt;='Fuel Equipment'!I$17,$A70&lt;='Fuel Equipment'!I$18),('Fuel Equipment'!I$19*'Fuel Equipment'!I$20*'Fuel Equipment'!I$21)*('Fuel Equipment'!I$45-'Fuel Equipment'!I$44)*
(VLOOKUP(IF('Fuel Equipment'!I$22=Report!$A$25,Report!$A$19,'Fuel Equipment'!I$22),Report!$A$18:$L$34,'Actual-CO2 Calculations'!$AK73,FALSE)),0),0)</f>
        <v>0</v>
      </c>
      <c r="J70" s="19">
        <f>IF(AND('Fuel Equipment'!J$44&gt;0,'Fuel Equipment'!J$45&gt;0),IF(AND($A70&gt;='Fuel Equipment'!J$17,$A70&lt;='Fuel Equipment'!J$18),('Fuel Equipment'!J$19*'Fuel Equipment'!J$20*'Fuel Equipment'!J$21)*('Fuel Equipment'!J$45-'Fuel Equipment'!J$44)*
(VLOOKUP(IF('Fuel Equipment'!J$22=Report!$A$25,Report!$A$19,'Fuel Equipment'!J$22),Report!$A$18:$L$34,'Actual-CO2 Calculations'!$AK73,FALSE)),0),0)</f>
        <v>0</v>
      </c>
      <c r="K70" s="19">
        <f>IF(AND('Fuel Equipment'!K$44&gt;0,'Fuel Equipment'!K$45&gt;0),IF(AND($A70&gt;='Fuel Equipment'!K$17,$A70&lt;='Fuel Equipment'!K$18),('Fuel Equipment'!K$19*'Fuel Equipment'!K$20*'Fuel Equipment'!K$21)*('Fuel Equipment'!K$45-'Fuel Equipment'!K$44)*
(VLOOKUP(IF('Fuel Equipment'!K$22=Report!$A$25,Report!$A$19,'Fuel Equipment'!K$22),Report!$A$18:$L$34,'Actual-CO2 Calculations'!$AK73,FALSE)),0),0)</f>
        <v>0</v>
      </c>
      <c r="L70" s="19">
        <f>IF(AND('Fuel Equipment'!L$44&gt;0,'Fuel Equipment'!L$45&gt;0),IF(AND($A70&gt;='Fuel Equipment'!L$17,$A70&lt;='Fuel Equipment'!L$18),('Fuel Equipment'!L$19*'Fuel Equipment'!L$20*'Fuel Equipment'!L$21)*('Fuel Equipment'!L$45-'Fuel Equipment'!L$44)*
(VLOOKUP(IF('Fuel Equipment'!L$22=Report!$A$25,Report!$A$19,'Fuel Equipment'!L$22),Report!$A$18:$L$34,'Actual-CO2 Calculations'!$AK73,FALSE)),0),0)</f>
        <v>0</v>
      </c>
      <c r="M70" s="19">
        <f>IF(AND('Fuel Equipment'!M$44&gt;0,'Fuel Equipment'!M$45&gt;0),IF(AND($A70&gt;='Fuel Equipment'!M$17,$A70&lt;='Fuel Equipment'!M$18),('Fuel Equipment'!M$19*'Fuel Equipment'!M$20*'Fuel Equipment'!M$21)*('Fuel Equipment'!M$45-'Fuel Equipment'!M$44)*
(VLOOKUP(IF('Fuel Equipment'!M$22=Report!$A$25,Report!$A$19,'Fuel Equipment'!M$22),Report!$A$18:$L$34,'Actual-CO2 Calculations'!$AK73,FALSE)),0),0)</f>
        <v>0</v>
      </c>
      <c r="N70" s="19">
        <f>IF(AND('Fuel Equipment'!N$44&gt;0,'Fuel Equipment'!N$45&gt;0),IF(AND($A70&gt;='Fuel Equipment'!N$17,$A70&lt;='Fuel Equipment'!N$18),('Fuel Equipment'!N$19*'Fuel Equipment'!N$20*'Fuel Equipment'!N$21)*('Fuel Equipment'!N$45-'Fuel Equipment'!N$44)*
(VLOOKUP(IF('Fuel Equipment'!N$22=Report!$A$25,Report!$A$19,'Fuel Equipment'!N$22),Report!$A$18:$L$34,'Actual-CO2 Calculations'!$AK73,FALSE)),0),0)</f>
        <v>0</v>
      </c>
      <c r="O70" s="19">
        <f>IF(AND('Fuel Equipment'!O$44&gt;0,'Fuel Equipment'!O$45&gt;0),IF(AND($A70&gt;='Fuel Equipment'!O$17,$A70&lt;='Fuel Equipment'!O$18),('Fuel Equipment'!O$19*'Fuel Equipment'!O$20*'Fuel Equipment'!O$21)*('Fuel Equipment'!O$45-'Fuel Equipment'!O$44)*
(VLOOKUP(IF('Fuel Equipment'!O$22=Report!$A$25,Report!$A$19,'Fuel Equipment'!O$22),Report!$A$18:$L$34,'Actual-CO2 Calculations'!$AK73,FALSE)),0),0)</f>
        <v>0</v>
      </c>
      <c r="P70" s="19">
        <f>IF(AND('Fuel Equipment'!P$44&gt;0,'Fuel Equipment'!P$45&gt;0),IF(AND($A70&gt;='Fuel Equipment'!P$17,$A70&lt;='Fuel Equipment'!P$18),('Fuel Equipment'!P$19*'Fuel Equipment'!P$20*'Fuel Equipment'!P$21)*('Fuel Equipment'!P$45-'Fuel Equipment'!P$44)*
(VLOOKUP(IF('Fuel Equipment'!P$22=Report!$A$25,Report!$A$19,'Fuel Equipment'!P$22),Report!$A$18:$L$34,'Actual-CO2 Calculations'!$AK73,FALSE)),0),0)</f>
        <v>0</v>
      </c>
      <c r="Q70" s="19">
        <f>IF(AND('Fuel Equipment'!Q$44&gt;0,'Fuel Equipment'!Q$45&gt;0),IF(AND($A70&gt;='Fuel Equipment'!Q$17,$A70&lt;='Fuel Equipment'!Q$18),('Fuel Equipment'!Q$19*'Fuel Equipment'!Q$20*'Fuel Equipment'!Q$21)*('Fuel Equipment'!Q$45-'Fuel Equipment'!Q$44)*
(VLOOKUP(IF('Fuel Equipment'!Q$22=Report!$A$25,Report!$A$19,'Fuel Equipment'!Q$22),Report!$A$18:$L$34,'Actual-CO2 Calculations'!$AK73,FALSE)),0),0)</f>
        <v>0</v>
      </c>
      <c r="R70" s="19">
        <f>IF(AND('Fuel Equipment'!R$44&gt;0,'Fuel Equipment'!R$45&gt;0),IF(AND($A70&gt;='Fuel Equipment'!R$17,$A70&lt;='Fuel Equipment'!R$18),('Fuel Equipment'!R$19*'Fuel Equipment'!R$20*'Fuel Equipment'!R$21)*('Fuel Equipment'!R$45-'Fuel Equipment'!R$44)*
(VLOOKUP(IF('Fuel Equipment'!R$22=Report!$A$25,Report!$A$19,'Fuel Equipment'!R$22),Report!$A$18:$L$34,'Actual-CO2 Calculations'!$AK73,FALSE)),0),0)</f>
        <v>0</v>
      </c>
      <c r="S70" s="19">
        <f>IF(AND('Fuel Equipment'!S$44&gt;0,'Fuel Equipment'!S$45&gt;0),IF(AND($A70&gt;='Fuel Equipment'!S$17,$A70&lt;='Fuel Equipment'!S$18),('Fuel Equipment'!S$19*'Fuel Equipment'!S$20*'Fuel Equipment'!S$21)*('Fuel Equipment'!S$45-'Fuel Equipment'!S$44)*
(VLOOKUP(IF('Fuel Equipment'!S$22=Report!$A$25,Report!$A$19,'Fuel Equipment'!S$22),Report!$A$18:$L$34,'Actual-CO2 Calculations'!$AK73,FALSE)),0),0)</f>
        <v>0</v>
      </c>
      <c r="V70" s="671">
        <f t="shared" si="1"/>
        <v>11147.63255043643</v>
      </c>
    </row>
    <row r="71" spans="1:22">
      <c r="A71" s="21" t="s">
        <v>80</v>
      </c>
      <c r="B71" s="19">
        <f>IF(AND('Fuel Equipment'!B$44&gt;0,'Fuel Equipment'!B$45&gt;0),IF(AND($A71&gt;='Fuel Equipment'!B$17,$A71&lt;='Fuel Equipment'!B$18),('Fuel Equipment'!B$19*'Fuel Equipment'!B$20*'Fuel Equipment'!B$21)*('Fuel Equipment'!B$45-'Fuel Equipment'!B$44)*
(VLOOKUP(IF('Fuel Equipment'!B$22=Report!$A$25,Report!$A$19,'Fuel Equipment'!B$22),Report!$A$18:$L$34,'Actual-CO2 Calculations'!$AK74,FALSE)),0),0)</f>
        <v>2298.1510588235305</v>
      </c>
      <c r="C71" s="19">
        <f>IF(AND('Fuel Equipment'!C$44&gt;0,'Fuel Equipment'!C$45&gt;0),IF(AND($A71&gt;='Fuel Equipment'!C$17,$A71&lt;='Fuel Equipment'!C$18),('Fuel Equipment'!C$19*'Fuel Equipment'!C$20*'Fuel Equipment'!C$21)*('Fuel Equipment'!C$45-'Fuel Equipment'!C$44)*
(VLOOKUP(IF('Fuel Equipment'!C$22=Report!$A$25,Report!$A$19,'Fuel Equipment'!C$22),Report!$A$18:$L$34,'Actual-CO2 Calculations'!$AK74,FALSE)),0),0)</f>
        <v>505.66645161290415</v>
      </c>
      <c r="D71" s="19">
        <f>IF(AND('Fuel Equipment'!D$44&gt;0,'Fuel Equipment'!D$45&gt;0),IF(AND($A71&gt;='Fuel Equipment'!D$17,$A71&lt;='Fuel Equipment'!D$18),('Fuel Equipment'!D$19*'Fuel Equipment'!D$20*'Fuel Equipment'!D$21)*('Fuel Equipment'!D$45-'Fuel Equipment'!D$44)*
(VLOOKUP(IF('Fuel Equipment'!D$22=Report!$A$25,Report!$A$19,'Fuel Equipment'!D$22),Report!$A$18:$L$34,'Actual-CO2 Calculations'!$AK74,FALSE)),0),0)</f>
        <v>5357.9750399999957</v>
      </c>
      <c r="E71" s="19">
        <f>IF(AND('Fuel Equipment'!E$44&gt;0,'Fuel Equipment'!E$45&gt;0),IF(AND($A71&gt;='Fuel Equipment'!E$17,$A71&lt;='Fuel Equipment'!E$18),('Fuel Equipment'!E$19*'Fuel Equipment'!E$20*'Fuel Equipment'!E$21)*('Fuel Equipment'!E$45-'Fuel Equipment'!E$44)*
(VLOOKUP(IF('Fuel Equipment'!E$22=Report!$A$25,Report!$A$19,'Fuel Equipment'!E$22),Report!$A$18:$L$34,'Actual-CO2 Calculations'!$AK74,FALSE)),0),0)</f>
        <v>2985.84</v>
      </c>
      <c r="F71" s="19">
        <f>IF(AND('Fuel Equipment'!F$44&gt;0,'Fuel Equipment'!F$45&gt;0),IF(AND($A71&gt;='Fuel Equipment'!F$17,$A71&lt;='Fuel Equipment'!F$18),('Fuel Equipment'!F$19*'Fuel Equipment'!F$20*'Fuel Equipment'!F$21)*('Fuel Equipment'!F$45-'Fuel Equipment'!F$44)*
(VLOOKUP(IF('Fuel Equipment'!F$22=Report!$A$25,Report!$A$19,'Fuel Equipment'!F$22),Report!$A$18:$L$34,'Actual-CO2 Calculations'!$AK74,FALSE)),0),0)</f>
        <v>0</v>
      </c>
      <c r="G71" s="19">
        <f>IF(AND('Fuel Equipment'!G$44&gt;0,'Fuel Equipment'!G$45&gt;0),IF(AND($A71&gt;='Fuel Equipment'!G$17,$A71&lt;='Fuel Equipment'!G$18),('Fuel Equipment'!G$19*'Fuel Equipment'!G$20*'Fuel Equipment'!G$21)*('Fuel Equipment'!G$45-'Fuel Equipment'!G$44)*
(VLOOKUP(IF('Fuel Equipment'!G$22=Report!$A$25,Report!$A$19,'Fuel Equipment'!G$22),Report!$A$18:$L$34,'Actual-CO2 Calculations'!$AK74,FALSE)),0),0)</f>
        <v>0</v>
      </c>
      <c r="H71" s="19">
        <f>IF(AND('Fuel Equipment'!H$44&gt;0,'Fuel Equipment'!H$45&gt;0),IF(AND($A71&gt;='Fuel Equipment'!H$17,$A71&lt;='Fuel Equipment'!H$18),('Fuel Equipment'!H$19*'Fuel Equipment'!H$20*'Fuel Equipment'!H$21)*('Fuel Equipment'!H$45-'Fuel Equipment'!H$44)*
(VLOOKUP(IF('Fuel Equipment'!H$22=Report!$A$25,Report!$A$19,'Fuel Equipment'!H$22),Report!$A$18:$L$34,'Actual-CO2 Calculations'!$AK74,FALSE)),0),0)</f>
        <v>0</v>
      </c>
      <c r="I71" s="19">
        <f>IF(AND('Fuel Equipment'!I$44&gt;0,'Fuel Equipment'!I$45&gt;0),IF(AND($A71&gt;='Fuel Equipment'!I$17,$A71&lt;='Fuel Equipment'!I$18),('Fuel Equipment'!I$19*'Fuel Equipment'!I$20*'Fuel Equipment'!I$21)*('Fuel Equipment'!I$45-'Fuel Equipment'!I$44)*
(VLOOKUP(IF('Fuel Equipment'!I$22=Report!$A$25,Report!$A$19,'Fuel Equipment'!I$22),Report!$A$18:$L$34,'Actual-CO2 Calculations'!$AK74,FALSE)),0),0)</f>
        <v>0</v>
      </c>
      <c r="J71" s="19">
        <f>IF(AND('Fuel Equipment'!J$44&gt;0,'Fuel Equipment'!J$45&gt;0),IF(AND($A71&gt;='Fuel Equipment'!J$17,$A71&lt;='Fuel Equipment'!J$18),('Fuel Equipment'!J$19*'Fuel Equipment'!J$20*'Fuel Equipment'!J$21)*('Fuel Equipment'!J$45-'Fuel Equipment'!J$44)*
(VLOOKUP(IF('Fuel Equipment'!J$22=Report!$A$25,Report!$A$19,'Fuel Equipment'!J$22),Report!$A$18:$L$34,'Actual-CO2 Calculations'!$AK74,FALSE)),0),0)</f>
        <v>0</v>
      </c>
      <c r="K71" s="19">
        <f>IF(AND('Fuel Equipment'!K$44&gt;0,'Fuel Equipment'!K$45&gt;0),IF(AND($A71&gt;='Fuel Equipment'!K$17,$A71&lt;='Fuel Equipment'!K$18),('Fuel Equipment'!K$19*'Fuel Equipment'!K$20*'Fuel Equipment'!K$21)*('Fuel Equipment'!K$45-'Fuel Equipment'!K$44)*
(VLOOKUP(IF('Fuel Equipment'!K$22=Report!$A$25,Report!$A$19,'Fuel Equipment'!K$22),Report!$A$18:$L$34,'Actual-CO2 Calculations'!$AK74,FALSE)),0),0)</f>
        <v>0</v>
      </c>
      <c r="L71" s="19">
        <f>IF(AND('Fuel Equipment'!L$44&gt;0,'Fuel Equipment'!L$45&gt;0),IF(AND($A71&gt;='Fuel Equipment'!L$17,$A71&lt;='Fuel Equipment'!L$18),('Fuel Equipment'!L$19*'Fuel Equipment'!L$20*'Fuel Equipment'!L$21)*('Fuel Equipment'!L$45-'Fuel Equipment'!L$44)*
(VLOOKUP(IF('Fuel Equipment'!L$22=Report!$A$25,Report!$A$19,'Fuel Equipment'!L$22),Report!$A$18:$L$34,'Actual-CO2 Calculations'!$AK74,FALSE)),0),0)</f>
        <v>0</v>
      </c>
      <c r="M71" s="19">
        <f>IF(AND('Fuel Equipment'!M$44&gt;0,'Fuel Equipment'!M$45&gt;0),IF(AND($A71&gt;='Fuel Equipment'!M$17,$A71&lt;='Fuel Equipment'!M$18),('Fuel Equipment'!M$19*'Fuel Equipment'!M$20*'Fuel Equipment'!M$21)*('Fuel Equipment'!M$45-'Fuel Equipment'!M$44)*
(VLOOKUP(IF('Fuel Equipment'!M$22=Report!$A$25,Report!$A$19,'Fuel Equipment'!M$22),Report!$A$18:$L$34,'Actual-CO2 Calculations'!$AK74,FALSE)),0),0)</f>
        <v>0</v>
      </c>
      <c r="N71" s="19">
        <f>IF(AND('Fuel Equipment'!N$44&gt;0,'Fuel Equipment'!N$45&gt;0),IF(AND($A71&gt;='Fuel Equipment'!N$17,$A71&lt;='Fuel Equipment'!N$18),('Fuel Equipment'!N$19*'Fuel Equipment'!N$20*'Fuel Equipment'!N$21)*('Fuel Equipment'!N$45-'Fuel Equipment'!N$44)*
(VLOOKUP(IF('Fuel Equipment'!N$22=Report!$A$25,Report!$A$19,'Fuel Equipment'!N$22),Report!$A$18:$L$34,'Actual-CO2 Calculations'!$AK74,FALSE)),0),0)</f>
        <v>0</v>
      </c>
      <c r="O71" s="19">
        <f>IF(AND('Fuel Equipment'!O$44&gt;0,'Fuel Equipment'!O$45&gt;0),IF(AND($A71&gt;='Fuel Equipment'!O$17,$A71&lt;='Fuel Equipment'!O$18),('Fuel Equipment'!O$19*'Fuel Equipment'!O$20*'Fuel Equipment'!O$21)*('Fuel Equipment'!O$45-'Fuel Equipment'!O$44)*
(VLOOKUP(IF('Fuel Equipment'!O$22=Report!$A$25,Report!$A$19,'Fuel Equipment'!O$22),Report!$A$18:$L$34,'Actual-CO2 Calculations'!$AK74,FALSE)),0),0)</f>
        <v>0</v>
      </c>
      <c r="P71" s="19">
        <f>IF(AND('Fuel Equipment'!P$44&gt;0,'Fuel Equipment'!P$45&gt;0),IF(AND($A71&gt;='Fuel Equipment'!P$17,$A71&lt;='Fuel Equipment'!P$18),('Fuel Equipment'!P$19*'Fuel Equipment'!P$20*'Fuel Equipment'!P$21)*('Fuel Equipment'!P$45-'Fuel Equipment'!P$44)*
(VLOOKUP(IF('Fuel Equipment'!P$22=Report!$A$25,Report!$A$19,'Fuel Equipment'!P$22),Report!$A$18:$L$34,'Actual-CO2 Calculations'!$AK74,FALSE)),0),0)</f>
        <v>0</v>
      </c>
      <c r="Q71" s="19">
        <f>IF(AND('Fuel Equipment'!Q$44&gt;0,'Fuel Equipment'!Q$45&gt;0),IF(AND($A71&gt;='Fuel Equipment'!Q$17,$A71&lt;='Fuel Equipment'!Q$18),('Fuel Equipment'!Q$19*'Fuel Equipment'!Q$20*'Fuel Equipment'!Q$21)*('Fuel Equipment'!Q$45-'Fuel Equipment'!Q$44)*
(VLOOKUP(IF('Fuel Equipment'!Q$22=Report!$A$25,Report!$A$19,'Fuel Equipment'!Q$22),Report!$A$18:$L$34,'Actual-CO2 Calculations'!$AK74,FALSE)),0),0)</f>
        <v>0</v>
      </c>
      <c r="R71" s="19">
        <f>IF(AND('Fuel Equipment'!R$44&gt;0,'Fuel Equipment'!R$45&gt;0),IF(AND($A71&gt;='Fuel Equipment'!R$17,$A71&lt;='Fuel Equipment'!R$18),('Fuel Equipment'!R$19*'Fuel Equipment'!R$20*'Fuel Equipment'!R$21)*('Fuel Equipment'!R$45-'Fuel Equipment'!R$44)*
(VLOOKUP(IF('Fuel Equipment'!R$22=Report!$A$25,Report!$A$19,'Fuel Equipment'!R$22),Report!$A$18:$L$34,'Actual-CO2 Calculations'!$AK74,FALSE)),0),0)</f>
        <v>0</v>
      </c>
      <c r="S71" s="19">
        <f>IF(AND('Fuel Equipment'!S$44&gt;0,'Fuel Equipment'!S$45&gt;0),IF(AND($A71&gt;='Fuel Equipment'!S$17,$A71&lt;='Fuel Equipment'!S$18),('Fuel Equipment'!S$19*'Fuel Equipment'!S$20*'Fuel Equipment'!S$21)*('Fuel Equipment'!S$45-'Fuel Equipment'!S$44)*
(VLOOKUP(IF('Fuel Equipment'!S$22=Report!$A$25,Report!$A$19,'Fuel Equipment'!S$22),Report!$A$18:$L$34,'Actual-CO2 Calculations'!$AK74,FALSE)),0),0)</f>
        <v>0</v>
      </c>
      <c r="V71" s="671">
        <f t="shared" si="1"/>
        <v>11147.63255043643</v>
      </c>
    </row>
    <row r="72" spans="1:22">
      <c r="A72" s="21" t="s">
        <v>81</v>
      </c>
      <c r="B72" s="19">
        <f>IF(AND('Fuel Equipment'!B$44&gt;0,'Fuel Equipment'!B$45&gt;0),IF(AND($A72&gt;='Fuel Equipment'!B$17,$A72&lt;='Fuel Equipment'!B$18),('Fuel Equipment'!B$19*'Fuel Equipment'!B$20*'Fuel Equipment'!B$21)*('Fuel Equipment'!B$45-'Fuel Equipment'!B$44)*
(VLOOKUP(IF('Fuel Equipment'!B$22=Report!$A$25,Report!$A$19,'Fuel Equipment'!B$22),Report!$A$18:$L$34,'Actual-CO2 Calculations'!$AK75,FALSE)),0),0)</f>
        <v>2298.1510588235305</v>
      </c>
      <c r="C72" s="19">
        <f>IF(AND('Fuel Equipment'!C$44&gt;0,'Fuel Equipment'!C$45&gt;0),IF(AND($A72&gt;='Fuel Equipment'!C$17,$A72&lt;='Fuel Equipment'!C$18),('Fuel Equipment'!C$19*'Fuel Equipment'!C$20*'Fuel Equipment'!C$21)*('Fuel Equipment'!C$45-'Fuel Equipment'!C$44)*
(VLOOKUP(IF('Fuel Equipment'!C$22=Report!$A$25,Report!$A$19,'Fuel Equipment'!C$22),Report!$A$18:$L$34,'Actual-CO2 Calculations'!$AK75,FALSE)),0),0)</f>
        <v>505.66645161290415</v>
      </c>
      <c r="D72" s="19">
        <f>IF(AND('Fuel Equipment'!D$44&gt;0,'Fuel Equipment'!D$45&gt;0),IF(AND($A72&gt;='Fuel Equipment'!D$17,$A72&lt;='Fuel Equipment'!D$18),('Fuel Equipment'!D$19*'Fuel Equipment'!D$20*'Fuel Equipment'!D$21)*('Fuel Equipment'!D$45-'Fuel Equipment'!D$44)*
(VLOOKUP(IF('Fuel Equipment'!D$22=Report!$A$25,Report!$A$19,'Fuel Equipment'!D$22),Report!$A$18:$L$34,'Actual-CO2 Calculations'!$AK75,FALSE)),0),0)</f>
        <v>5357.9750399999957</v>
      </c>
      <c r="E72" s="19">
        <f>IF(AND('Fuel Equipment'!E$44&gt;0,'Fuel Equipment'!E$45&gt;0),IF(AND($A72&gt;='Fuel Equipment'!E$17,$A72&lt;='Fuel Equipment'!E$18),('Fuel Equipment'!E$19*'Fuel Equipment'!E$20*'Fuel Equipment'!E$21)*('Fuel Equipment'!E$45-'Fuel Equipment'!E$44)*
(VLOOKUP(IF('Fuel Equipment'!E$22=Report!$A$25,Report!$A$19,'Fuel Equipment'!E$22),Report!$A$18:$L$34,'Actual-CO2 Calculations'!$AK75,FALSE)),0),0)</f>
        <v>2985.84</v>
      </c>
      <c r="F72" s="19">
        <f>IF(AND('Fuel Equipment'!F$44&gt;0,'Fuel Equipment'!F$45&gt;0),IF(AND($A72&gt;='Fuel Equipment'!F$17,$A72&lt;='Fuel Equipment'!F$18),('Fuel Equipment'!F$19*'Fuel Equipment'!F$20*'Fuel Equipment'!F$21)*('Fuel Equipment'!F$45-'Fuel Equipment'!F$44)*
(VLOOKUP(IF('Fuel Equipment'!F$22=Report!$A$25,Report!$A$19,'Fuel Equipment'!F$22),Report!$A$18:$L$34,'Actual-CO2 Calculations'!$AK75,FALSE)),0),0)</f>
        <v>0</v>
      </c>
      <c r="G72" s="19">
        <f>IF(AND('Fuel Equipment'!G$44&gt;0,'Fuel Equipment'!G$45&gt;0),IF(AND($A72&gt;='Fuel Equipment'!G$17,$A72&lt;='Fuel Equipment'!G$18),('Fuel Equipment'!G$19*'Fuel Equipment'!G$20*'Fuel Equipment'!G$21)*('Fuel Equipment'!G$45-'Fuel Equipment'!G$44)*
(VLOOKUP(IF('Fuel Equipment'!G$22=Report!$A$25,Report!$A$19,'Fuel Equipment'!G$22),Report!$A$18:$L$34,'Actual-CO2 Calculations'!$AK75,FALSE)),0),0)</f>
        <v>0</v>
      </c>
      <c r="H72" s="19">
        <f>IF(AND('Fuel Equipment'!H$44&gt;0,'Fuel Equipment'!H$45&gt;0),IF(AND($A72&gt;='Fuel Equipment'!H$17,$A72&lt;='Fuel Equipment'!H$18),('Fuel Equipment'!H$19*'Fuel Equipment'!H$20*'Fuel Equipment'!H$21)*('Fuel Equipment'!H$45-'Fuel Equipment'!H$44)*
(VLOOKUP(IF('Fuel Equipment'!H$22=Report!$A$25,Report!$A$19,'Fuel Equipment'!H$22),Report!$A$18:$L$34,'Actual-CO2 Calculations'!$AK75,FALSE)),0),0)</f>
        <v>0</v>
      </c>
      <c r="I72" s="19">
        <f>IF(AND('Fuel Equipment'!I$44&gt;0,'Fuel Equipment'!I$45&gt;0),IF(AND($A72&gt;='Fuel Equipment'!I$17,$A72&lt;='Fuel Equipment'!I$18),('Fuel Equipment'!I$19*'Fuel Equipment'!I$20*'Fuel Equipment'!I$21)*('Fuel Equipment'!I$45-'Fuel Equipment'!I$44)*
(VLOOKUP(IF('Fuel Equipment'!I$22=Report!$A$25,Report!$A$19,'Fuel Equipment'!I$22),Report!$A$18:$L$34,'Actual-CO2 Calculations'!$AK75,FALSE)),0),0)</f>
        <v>0</v>
      </c>
      <c r="J72" s="19">
        <f>IF(AND('Fuel Equipment'!J$44&gt;0,'Fuel Equipment'!J$45&gt;0),IF(AND($A72&gt;='Fuel Equipment'!J$17,$A72&lt;='Fuel Equipment'!J$18),('Fuel Equipment'!J$19*'Fuel Equipment'!J$20*'Fuel Equipment'!J$21)*('Fuel Equipment'!J$45-'Fuel Equipment'!J$44)*
(VLOOKUP(IF('Fuel Equipment'!J$22=Report!$A$25,Report!$A$19,'Fuel Equipment'!J$22),Report!$A$18:$L$34,'Actual-CO2 Calculations'!$AK75,FALSE)),0),0)</f>
        <v>0</v>
      </c>
      <c r="K72" s="19">
        <f>IF(AND('Fuel Equipment'!K$44&gt;0,'Fuel Equipment'!K$45&gt;0),IF(AND($A72&gt;='Fuel Equipment'!K$17,$A72&lt;='Fuel Equipment'!K$18),('Fuel Equipment'!K$19*'Fuel Equipment'!K$20*'Fuel Equipment'!K$21)*('Fuel Equipment'!K$45-'Fuel Equipment'!K$44)*
(VLOOKUP(IF('Fuel Equipment'!K$22=Report!$A$25,Report!$A$19,'Fuel Equipment'!K$22),Report!$A$18:$L$34,'Actual-CO2 Calculations'!$AK75,FALSE)),0),0)</f>
        <v>0</v>
      </c>
      <c r="L72" s="19">
        <f>IF(AND('Fuel Equipment'!L$44&gt;0,'Fuel Equipment'!L$45&gt;0),IF(AND($A72&gt;='Fuel Equipment'!L$17,$A72&lt;='Fuel Equipment'!L$18),('Fuel Equipment'!L$19*'Fuel Equipment'!L$20*'Fuel Equipment'!L$21)*('Fuel Equipment'!L$45-'Fuel Equipment'!L$44)*
(VLOOKUP(IF('Fuel Equipment'!L$22=Report!$A$25,Report!$A$19,'Fuel Equipment'!L$22),Report!$A$18:$L$34,'Actual-CO2 Calculations'!$AK75,FALSE)),0),0)</f>
        <v>0</v>
      </c>
      <c r="M72" s="19">
        <f>IF(AND('Fuel Equipment'!M$44&gt;0,'Fuel Equipment'!M$45&gt;0),IF(AND($A72&gt;='Fuel Equipment'!M$17,$A72&lt;='Fuel Equipment'!M$18),('Fuel Equipment'!M$19*'Fuel Equipment'!M$20*'Fuel Equipment'!M$21)*('Fuel Equipment'!M$45-'Fuel Equipment'!M$44)*
(VLOOKUP(IF('Fuel Equipment'!M$22=Report!$A$25,Report!$A$19,'Fuel Equipment'!M$22),Report!$A$18:$L$34,'Actual-CO2 Calculations'!$AK75,FALSE)),0),0)</f>
        <v>0</v>
      </c>
      <c r="N72" s="19">
        <f>IF(AND('Fuel Equipment'!N$44&gt;0,'Fuel Equipment'!N$45&gt;0),IF(AND($A72&gt;='Fuel Equipment'!N$17,$A72&lt;='Fuel Equipment'!N$18),('Fuel Equipment'!N$19*'Fuel Equipment'!N$20*'Fuel Equipment'!N$21)*('Fuel Equipment'!N$45-'Fuel Equipment'!N$44)*
(VLOOKUP(IF('Fuel Equipment'!N$22=Report!$A$25,Report!$A$19,'Fuel Equipment'!N$22),Report!$A$18:$L$34,'Actual-CO2 Calculations'!$AK75,FALSE)),0),0)</f>
        <v>0</v>
      </c>
      <c r="O72" s="19">
        <f>IF(AND('Fuel Equipment'!O$44&gt;0,'Fuel Equipment'!O$45&gt;0),IF(AND($A72&gt;='Fuel Equipment'!O$17,$A72&lt;='Fuel Equipment'!O$18),('Fuel Equipment'!O$19*'Fuel Equipment'!O$20*'Fuel Equipment'!O$21)*('Fuel Equipment'!O$45-'Fuel Equipment'!O$44)*
(VLOOKUP(IF('Fuel Equipment'!O$22=Report!$A$25,Report!$A$19,'Fuel Equipment'!O$22),Report!$A$18:$L$34,'Actual-CO2 Calculations'!$AK75,FALSE)),0),0)</f>
        <v>0</v>
      </c>
      <c r="P72" s="19">
        <f>IF(AND('Fuel Equipment'!P$44&gt;0,'Fuel Equipment'!P$45&gt;0),IF(AND($A72&gt;='Fuel Equipment'!P$17,$A72&lt;='Fuel Equipment'!P$18),('Fuel Equipment'!P$19*'Fuel Equipment'!P$20*'Fuel Equipment'!P$21)*('Fuel Equipment'!P$45-'Fuel Equipment'!P$44)*
(VLOOKUP(IF('Fuel Equipment'!P$22=Report!$A$25,Report!$A$19,'Fuel Equipment'!P$22),Report!$A$18:$L$34,'Actual-CO2 Calculations'!$AK75,FALSE)),0),0)</f>
        <v>0</v>
      </c>
      <c r="Q72" s="19">
        <f>IF(AND('Fuel Equipment'!Q$44&gt;0,'Fuel Equipment'!Q$45&gt;0),IF(AND($A72&gt;='Fuel Equipment'!Q$17,$A72&lt;='Fuel Equipment'!Q$18),('Fuel Equipment'!Q$19*'Fuel Equipment'!Q$20*'Fuel Equipment'!Q$21)*('Fuel Equipment'!Q$45-'Fuel Equipment'!Q$44)*
(VLOOKUP(IF('Fuel Equipment'!Q$22=Report!$A$25,Report!$A$19,'Fuel Equipment'!Q$22),Report!$A$18:$L$34,'Actual-CO2 Calculations'!$AK75,FALSE)),0),0)</f>
        <v>0</v>
      </c>
      <c r="R72" s="19">
        <f>IF(AND('Fuel Equipment'!R$44&gt;0,'Fuel Equipment'!R$45&gt;0),IF(AND($A72&gt;='Fuel Equipment'!R$17,$A72&lt;='Fuel Equipment'!R$18),('Fuel Equipment'!R$19*'Fuel Equipment'!R$20*'Fuel Equipment'!R$21)*('Fuel Equipment'!R$45-'Fuel Equipment'!R$44)*
(VLOOKUP(IF('Fuel Equipment'!R$22=Report!$A$25,Report!$A$19,'Fuel Equipment'!R$22),Report!$A$18:$L$34,'Actual-CO2 Calculations'!$AK75,FALSE)),0),0)</f>
        <v>0</v>
      </c>
      <c r="S72" s="19">
        <f>IF(AND('Fuel Equipment'!S$44&gt;0,'Fuel Equipment'!S$45&gt;0),IF(AND($A72&gt;='Fuel Equipment'!S$17,$A72&lt;='Fuel Equipment'!S$18),('Fuel Equipment'!S$19*'Fuel Equipment'!S$20*'Fuel Equipment'!S$21)*('Fuel Equipment'!S$45-'Fuel Equipment'!S$44)*
(VLOOKUP(IF('Fuel Equipment'!S$22=Report!$A$25,Report!$A$19,'Fuel Equipment'!S$22),Report!$A$18:$L$34,'Actual-CO2 Calculations'!$AK75,FALSE)),0),0)</f>
        <v>0</v>
      </c>
      <c r="V72" s="671">
        <f t="shared" si="1"/>
        <v>11147.63255043643</v>
      </c>
    </row>
    <row r="73" spans="1:22">
      <c r="A73" s="21" t="s">
        <v>82</v>
      </c>
      <c r="B73" s="19">
        <f>IF(AND('Fuel Equipment'!B$44&gt;0,'Fuel Equipment'!B$45&gt;0),IF(AND($A73&gt;='Fuel Equipment'!B$17,$A73&lt;='Fuel Equipment'!B$18),('Fuel Equipment'!B$19*'Fuel Equipment'!B$20*'Fuel Equipment'!B$21)*('Fuel Equipment'!B$45-'Fuel Equipment'!B$44)*
(VLOOKUP(IF('Fuel Equipment'!B$22=Report!$A$25,Report!$A$19,'Fuel Equipment'!B$22),Report!$A$18:$L$34,'Actual-CO2 Calculations'!$AK76,FALSE)),0),0)</f>
        <v>2298.1510588235305</v>
      </c>
      <c r="C73" s="19">
        <f>IF(AND('Fuel Equipment'!C$44&gt;0,'Fuel Equipment'!C$45&gt;0),IF(AND($A73&gt;='Fuel Equipment'!C$17,$A73&lt;='Fuel Equipment'!C$18),('Fuel Equipment'!C$19*'Fuel Equipment'!C$20*'Fuel Equipment'!C$21)*('Fuel Equipment'!C$45-'Fuel Equipment'!C$44)*
(VLOOKUP(IF('Fuel Equipment'!C$22=Report!$A$25,Report!$A$19,'Fuel Equipment'!C$22),Report!$A$18:$L$34,'Actual-CO2 Calculations'!$AK76,FALSE)),0),0)</f>
        <v>505.66645161290415</v>
      </c>
      <c r="D73" s="19">
        <f>IF(AND('Fuel Equipment'!D$44&gt;0,'Fuel Equipment'!D$45&gt;0),IF(AND($A73&gt;='Fuel Equipment'!D$17,$A73&lt;='Fuel Equipment'!D$18),('Fuel Equipment'!D$19*'Fuel Equipment'!D$20*'Fuel Equipment'!D$21)*('Fuel Equipment'!D$45-'Fuel Equipment'!D$44)*
(VLOOKUP(IF('Fuel Equipment'!D$22=Report!$A$25,Report!$A$19,'Fuel Equipment'!D$22),Report!$A$18:$L$34,'Actual-CO2 Calculations'!$AK76,FALSE)),0),0)</f>
        <v>5357.9750399999957</v>
      </c>
      <c r="E73" s="19">
        <f>IF(AND('Fuel Equipment'!E$44&gt;0,'Fuel Equipment'!E$45&gt;0),IF(AND($A73&gt;='Fuel Equipment'!E$17,$A73&lt;='Fuel Equipment'!E$18),('Fuel Equipment'!E$19*'Fuel Equipment'!E$20*'Fuel Equipment'!E$21)*('Fuel Equipment'!E$45-'Fuel Equipment'!E$44)*
(VLOOKUP(IF('Fuel Equipment'!E$22=Report!$A$25,Report!$A$19,'Fuel Equipment'!E$22),Report!$A$18:$L$34,'Actual-CO2 Calculations'!$AK76,FALSE)),0),0)</f>
        <v>2985.84</v>
      </c>
      <c r="F73" s="19">
        <f>IF(AND('Fuel Equipment'!F$44&gt;0,'Fuel Equipment'!F$45&gt;0),IF(AND($A73&gt;='Fuel Equipment'!F$17,$A73&lt;='Fuel Equipment'!F$18),('Fuel Equipment'!F$19*'Fuel Equipment'!F$20*'Fuel Equipment'!F$21)*('Fuel Equipment'!F$45-'Fuel Equipment'!F$44)*
(VLOOKUP(IF('Fuel Equipment'!F$22=Report!$A$25,Report!$A$19,'Fuel Equipment'!F$22),Report!$A$18:$L$34,'Actual-CO2 Calculations'!$AK76,FALSE)),0),0)</f>
        <v>0</v>
      </c>
      <c r="G73" s="19">
        <f>IF(AND('Fuel Equipment'!G$44&gt;0,'Fuel Equipment'!G$45&gt;0),IF(AND($A73&gt;='Fuel Equipment'!G$17,$A73&lt;='Fuel Equipment'!G$18),('Fuel Equipment'!G$19*'Fuel Equipment'!G$20*'Fuel Equipment'!G$21)*('Fuel Equipment'!G$45-'Fuel Equipment'!G$44)*
(VLOOKUP(IF('Fuel Equipment'!G$22=Report!$A$25,Report!$A$19,'Fuel Equipment'!G$22),Report!$A$18:$L$34,'Actual-CO2 Calculations'!$AK76,FALSE)),0),0)</f>
        <v>0</v>
      </c>
      <c r="H73" s="19">
        <f>IF(AND('Fuel Equipment'!H$44&gt;0,'Fuel Equipment'!H$45&gt;0),IF(AND($A73&gt;='Fuel Equipment'!H$17,$A73&lt;='Fuel Equipment'!H$18),('Fuel Equipment'!H$19*'Fuel Equipment'!H$20*'Fuel Equipment'!H$21)*('Fuel Equipment'!H$45-'Fuel Equipment'!H$44)*
(VLOOKUP(IF('Fuel Equipment'!H$22=Report!$A$25,Report!$A$19,'Fuel Equipment'!H$22),Report!$A$18:$L$34,'Actual-CO2 Calculations'!$AK76,FALSE)),0),0)</f>
        <v>0</v>
      </c>
      <c r="I73" s="19">
        <f>IF(AND('Fuel Equipment'!I$44&gt;0,'Fuel Equipment'!I$45&gt;0),IF(AND($A73&gt;='Fuel Equipment'!I$17,$A73&lt;='Fuel Equipment'!I$18),('Fuel Equipment'!I$19*'Fuel Equipment'!I$20*'Fuel Equipment'!I$21)*('Fuel Equipment'!I$45-'Fuel Equipment'!I$44)*
(VLOOKUP(IF('Fuel Equipment'!I$22=Report!$A$25,Report!$A$19,'Fuel Equipment'!I$22),Report!$A$18:$L$34,'Actual-CO2 Calculations'!$AK76,FALSE)),0),0)</f>
        <v>0</v>
      </c>
      <c r="J73" s="19">
        <f>IF(AND('Fuel Equipment'!J$44&gt;0,'Fuel Equipment'!J$45&gt;0),IF(AND($A73&gt;='Fuel Equipment'!J$17,$A73&lt;='Fuel Equipment'!J$18),('Fuel Equipment'!J$19*'Fuel Equipment'!J$20*'Fuel Equipment'!J$21)*('Fuel Equipment'!J$45-'Fuel Equipment'!J$44)*
(VLOOKUP(IF('Fuel Equipment'!J$22=Report!$A$25,Report!$A$19,'Fuel Equipment'!J$22),Report!$A$18:$L$34,'Actual-CO2 Calculations'!$AK76,FALSE)),0),0)</f>
        <v>0</v>
      </c>
      <c r="K73" s="19">
        <f>IF(AND('Fuel Equipment'!K$44&gt;0,'Fuel Equipment'!K$45&gt;0),IF(AND($A73&gt;='Fuel Equipment'!K$17,$A73&lt;='Fuel Equipment'!K$18),('Fuel Equipment'!K$19*'Fuel Equipment'!K$20*'Fuel Equipment'!K$21)*('Fuel Equipment'!K$45-'Fuel Equipment'!K$44)*
(VLOOKUP(IF('Fuel Equipment'!K$22=Report!$A$25,Report!$A$19,'Fuel Equipment'!K$22),Report!$A$18:$L$34,'Actual-CO2 Calculations'!$AK76,FALSE)),0),0)</f>
        <v>0</v>
      </c>
      <c r="L73" s="19">
        <f>IF(AND('Fuel Equipment'!L$44&gt;0,'Fuel Equipment'!L$45&gt;0),IF(AND($A73&gt;='Fuel Equipment'!L$17,$A73&lt;='Fuel Equipment'!L$18),('Fuel Equipment'!L$19*'Fuel Equipment'!L$20*'Fuel Equipment'!L$21)*('Fuel Equipment'!L$45-'Fuel Equipment'!L$44)*
(VLOOKUP(IF('Fuel Equipment'!L$22=Report!$A$25,Report!$A$19,'Fuel Equipment'!L$22),Report!$A$18:$L$34,'Actual-CO2 Calculations'!$AK76,FALSE)),0),0)</f>
        <v>0</v>
      </c>
      <c r="M73" s="19">
        <f>IF(AND('Fuel Equipment'!M$44&gt;0,'Fuel Equipment'!M$45&gt;0),IF(AND($A73&gt;='Fuel Equipment'!M$17,$A73&lt;='Fuel Equipment'!M$18),('Fuel Equipment'!M$19*'Fuel Equipment'!M$20*'Fuel Equipment'!M$21)*('Fuel Equipment'!M$45-'Fuel Equipment'!M$44)*
(VLOOKUP(IF('Fuel Equipment'!M$22=Report!$A$25,Report!$A$19,'Fuel Equipment'!M$22),Report!$A$18:$L$34,'Actual-CO2 Calculations'!$AK76,FALSE)),0),0)</f>
        <v>0</v>
      </c>
      <c r="N73" s="19">
        <f>IF(AND('Fuel Equipment'!N$44&gt;0,'Fuel Equipment'!N$45&gt;0),IF(AND($A73&gt;='Fuel Equipment'!N$17,$A73&lt;='Fuel Equipment'!N$18),('Fuel Equipment'!N$19*'Fuel Equipment'!N$20*'Fuel Equipment'!N$21)*('Fuel Equipment'!N$45-'Fuel Equipment'!N$44)*
(VLOOKUP(IF('Fuel Equipment'!N$22=Report!$A$25,Report!$A$19,'Fuel Equipment'!N$22),Report!$A$18:$L$34,'Actual-CO2 Calculations'!$AK76,FALSE)),0),0)</f>
        <v>0</v>
      </c>
      <c r="O73" s="19">
        <f>IF(AND('Fuel Equipment'!O$44&gt;0,'Fuel Equipment'!O$45&gt;0),IF(AND($A73&gt;='Fuel Equipment'!O$17,$A73&lt;='Fuel Equipment'!O$18),('Fuel Equipment'!O$19*'Fuel Equipment'!O$20*'Fuel Equipment'!O$21)*('Fuel Equipment'!O$45-'Fuel Equipment'!O$44)*
(VLOOKUP(IF('Fuel Equipment'!O$22=Report!$A$25,Report!$A$19,'Fuel Equipment'!O$22),Report!$A$18:$L$34,'Actual-CO2 Calculations'!$AK76,FALSE)),0),0)</f>
        <v>0</v>
      </c>
      <c r="P73" s="19">
        <f>IF(AND('Fuel Equipment'!P$44&gt;0,'Fuel Equipment'!P$45&gt;0),IF(AND($A73&gt;='Fuel Equipment'!P$17,$A73&lt;='Fuel Equipment'!P$18),('Fuel Equipment'!P$19*'Fuel Equipment'!P$20*'Fuel Equipment'!P$21)*('Fuel Equipment'!P$45-'Fuel Equipment'!P$44)*
(VLOOKUP(IF('Fuel Equipment'!P$22=Report!$A$25,Report!$A$19,'Fuel Equipment'!P$22),Report!$A$18:$L$34,'Actual-CO2 Calculations'!$AK76,FALSE)),0),0)</f>
        <v>0</v>
      </c>
      <c r="Q73" s="19">
        <f>IF(AND('Fuel Equipment'!Q$44&gt;0,'Fuel Equipment'!Q$45&gt;0),IF(AND($A73&gt;='Fuel Equipment'!Q$17,$A73&lt;='Fuel Equipment'!Q$18),('Fuel Equipment'!Q$19*'Fuel Equipment'!Q$20*'Fuel Equipment'!Q$21)*('Fuel Equipment'!Q$45-'Fuel Equipment'!Q$44)*
(VLOOKUP(IF('Fuel Equipment'!Q$22=Report!$A$25,Report!$A$19,'Fuel Equipment'!Q$22),Report!$A$18:$L$34,'Actual-CO2 Calculations'!$AK76,FALSE)),0),0)</f>
        <v>0</v>
      </c>
      <c r="R73" s="19">
        <f>IF(AND('Fuel Equipment'!R$44&gt;0,'Fuel Equipment'!R$45&gt;0),IF(AND($A73&gt;='Fuel Equipment'!R$17,$A73&lt;='Fuel Equipment'!R$18),('Fuel Equipment'!R$19*'Fuel Equipment'!R$20*'Fuel Equipment'!R$21)*('Fuel Equipment'!R$45-'Fuel Equipment'!R$44)*
(VLOOKUP(IF('Fuel Equipment'!R$22=Report!$A$25,Report!$A$19,'Fuel Equipment'!R$22),Report!$A$18:$L$34,'Actual-CO2 Calculations'!$AK76,FALSE)),0),0)</f>
        <v>0</v>
      </c>
      <c r="S73" s="19">
        <f>IF(AND('Fuel Equipment'!S$44&gt;0,'Fuel Equipment'!S$45&gt;0),IF(AND($A73&gt;='Fuel Equipment'!S$17,$A73&lt;='Fuel Equipment'!S$18),('Fuel Equipment'!S$19*'Fuel Equipment'!S$20*'Fuel Equipment'!S$21)*('Fuel Equipment'!S$45-'Fuel Equipment'!S$44)*
(VLOOKUP(IF('Fuel Equipment'!S$22=Report!$A$25,Report!$A$19,'Fuel Equipment'!S$22),Report!$A$18:$L$34,'Actual-CO2 Calculations'!$AK76,FALSE)),0),0)</f>
        <v>0</v>
      </c>
      <c r="V73" s="671">
        <f t="shared" si="1"/>
        <v>11147.63255043643</v>
      </c>
    </row>
    <row r="74" spans="1:22">
      <c r="A74" s="21" t="s">
        <v>83</v>
      </c>
      <c r="B74" s="19">
        <f>IF(AND('Fuel Equipment'!B$44&gt;0,'Fuel Equipment'!B$45&gt;0),IF(AND($A74&gt;='Fuel Equipment'!B$17,$A74&lt;='Fuel Equipment'!B$18),('Fuel Equipment'!B$19*'Fuel Equipment'!B$20*'Fuel Equipment'!B$21)*('Fuel Equipment'!B$45-'Fuel Equipment'!B$44)*
(VLOOKUP(IF('Fuel Equipment'!B$22=Report!$A$25,Report!$A$19,'Fuel Equipment'!B$22),Report!$A$18:$L$34,'Actual-CO2 Calculations'!$AK77,FALSE)),0),0)</f>
        <v>2298.1510588235305</v>
      </c>
      <c r="C74" s="19">
        <f>IF(AND('Fuel Equipment'!C$44&gt;0,'Fuel Equipment'!C$45&gt;0),IF(AND($A74&gt;='Fuel Equipment'!C$17,$A74&lt;='Fuel Equipment'!C$18),('Fuel Equipment'!C$19*'Fuel Equipment'!C$20*'Fuel Equipment'!C$21)*('Fuel Equipment'!C$45-'Fuel Equipment'!C$44)*
(VLOOKUP(IF('Fuel Equipment'!C$22=Report!$A$25,Report!$A$19,'Fuel Equipment'!C$22),Report!$A$18:$L$34,'Actual-CO2 Calculations'!$AK77,FALSE)),0),0)</f>
        <v>505.66645161290415</v>
      </c>
      <c r="D74" s="19">
        <f>IF(AND('Fuel Equipment'!D$44&gt;0,'Fuel Equipment'!D$45&gt;0),IF(AND($A74&gt;='Fuel Equipment'!D$17,$A74&lt;='Fuel Equipment'!D$18),('Fuel Equipment'!D$19*'Fuel Equipment'!D$20*'Fuel Equipment'!D$21)*('Fuel Equipment'!D$45-'Fuel Equipment'!D$44)*
(VLOOKUP(IF('Fuel Equipment'!D$22=Report!$A$25,Report!$A$19,'Fuel Equipment'!D$22),Report!$A$18:$L$34,'Actual-CO2 Calculations'!$AK77,FALSE)),0),0)</f>
        <v>5357.9750399999957</v>
      </c>
      <c r="E74" s="19">
        <f>IF(AND('Fuel Equipment'!E$44&gt;0,'Fuel Equipment'!E$45&gt;0),IF(AND($A74&gt;='Fuel Equipment'!E$17,$A74&lt;='Fuel Equipment'!E$18),('Fuel Equipment'!E$19*'Fuel Equipment'!E$20*'Fuel Equipment'!E$21)*('Fuel Equipment'!E$45-'Fuel Equipment'!E$44)*
(VLOOKUP(IF('Fuel Equipment'!E$22=Report!$A$25,Report!$A$19,'Fuel Equipment'!E$22),Report!$A$18:$L$34,'Actual-CO2 Calculations'!$AK77,FALSE)),0),0)</f>
        <v>2985.84</v>
      </c>
      <c r="F74" s="19">
        <f>IF(AND('Fuel Equipment'!F$44&gt;0,'Fuel Equipment'!F$45&gt;0),IF(AND($A74&gt;='Fuel Equipment'!F$17,$A74&lt;='Fuel Equipment'!F$18),('Fuel Equipment'!F$19*'Fuel Equipment'!F$20*'Fuel Equipment'!F$21)*('Fuel Equipment'!F$45-'Fuel Equipment'!F$44)*
(VLOOKUP(IF('Fuel Equipment'!F$22=Report!$A$25,Report!$A$19,'Fuel Equipment'!F$22),Report!$A$18:$L$34,'Actual-CO2 Calculations'!$AK77,FALSE)),0),0)</f>
        <v>0</v>
      </c>
      <c r="G74" s="19">
        <f>IF(AND('Fuel Equipment'!G$44&gt;0,'Fuel Equipment'!G$45&gt;0),IF(AND($A74&gt;='Fuel Equipment'!G$17,$A74&lt;='Fuel Equipment'!G$18),('Fuel Equipment'!G$19*'Fuel Equipment'!G$20*'Fuel Equipment'!G$21)*('Fuel Equipment'!G$45-'Fuel Equipment'!G$44)*
(VLOOKUP(IF('Fuel Equipment'!G$22=Report!$A$25,Report!$A$19,'Fuel Equipment'!G$22),Report!$A$18:$L$34,'Actual-CO2 Calculations'!$AK77,FALSE)),0),0)</f>
        <v>0</v>
      </c>
      <c r="H74" s="19">
        <f>IF(AND('Fuel Equipment'!H$44&gt;0,'Fuel Equipment'!H$45&gt;0),IF(AND($A74&gt;='Fuel Equipment'!H$17,$A74&lt;='Fuel Equipment'!H$18),('Fuel Equipment'!H$19*'Fuel Equipment'!H$20*'Fuel Equipment'!H$21)*('Fuel Equipment'!H$45-'Fuel Equipment'!H$44)*
(VLOOKUP(IF('Fuel Equipment'!H$22=Report!$A$25,Report!$A$19,'Fuel Equipment'!H$22),Report!$A$18:$L$34,'Actual-CO2 Calculations'!$AK77,FALSE)),0),0)</f>
        <v>0</v>
      </c>
      <c r="I74" s="19">
        <f>IF(AND('Fuel Equipment'!I$44&gt;0,'Fuel Equipment'!I$45&gt;0),IF(AND($A74&gt;='Fuel Equipment'!I$17,$A74&lt;='Fuel Equipment'!I$18),('Fuel Equipment'!I$19*'Fuel Equipment'!I$20*'Fuel Equipment'!I$21)*('Fuel Equipment'!I$45-'Fuel Equipment'!I$44)*
(VLOOKUP(IF('Fuel Equipment'!I$22=Report!$A$25,Report!$A$19,'Fuel Equipment'!I$22),Report!$A$18:$L$34,'Actual-CO2 Calculations'!$AK77,FALSE)),0),0)</f>
        <v>0</v>
      </c>
      <c r="J74" s="19">
        <f>IF(AND('Fuel Equipment'!J$44&gt;0,'Fuel Equipment'!J$45&gt;0),IF(AND($A74&gt;='Fuel Equipment'!J$17,$A74&lt;='Fuel Equipment'!J$18),('Fuel Equipment'!J$19*'Fuel Equipment'!J$20*'Fuel Equipment'!J$21)*('Fuel Equipment'!J$45-'Fuel Equipment'!J$44)*
(VLOOKUP(IF('Fuel Equipment'!J$22=Report!$A$25,Report!$A$19,'Fuel Equipment'!J$22),Report!$A$18:$L$34,'Actual-CO2 Calculations'!$AK77,FALSE)),0),0)</f>
        <v>0</v>
      </c>
      <c r="K74" s="19">
        <f>IF(AND('Fuel Equipment'!K$44&gt;0,'Fuel Equipment'!K$45&gt;0),IF(AND($A74&gt;='Fuel Equipment'!K$17,$A74&lt;='Fuel Equipment'!K$18),('Fuel Equipment'!K$19*'Fuel Equipment'!K$20*'Fuel Equipment'!K$21)*('Fuel Equipment'!K$45-'Fuel Equipment'!K$44)*
(VLOOKUP(IF('Fuel Equipment'!K$22=Report!$A$25,Report!$A$19,'Fuel Equipment'!K$22),Report!$A$18:$L$34,'Actual-CO2 Calculations'!$AK77,FALSE)),0),0)</f>
        <v>0</v>
      </c>
      <c r="L74" s="19">
        <f>IF(AND('Fuel Equipment'!L$44&gt;0,'Fuel Equipment'!L$45&gt;0),IF(AND($A74&gt;='Fuel Equipment'!L$17,$A74&lt;='Fuel Equipment'!L$18),('Fuel Equipment'!L$19*'Fuel Equipment'!L$20*'Fuel Equipment'!L$21)*('Fuel Equipment'!L$45-'Fuel Equipment'!L$44)*
(VLOOKUP(IF('Fuel Equipment'!L$22=Report!$A$25,Report!$A$19,'Fuel Equipment'!L$22),Report!$A$18:$L$34,'Actual-CO2 Calculations'!$AK77,FALSE)),0),0)</f>
        <v>0</v>
      </c>
      <c r="M74" s="19">
        <f>IF(AND('Fuel Equipment'!M$44&gt;0,'Fuel Equipment'!M$45&gt;0),IF(AND($A74&gt;='Fuel Equipment'!M$17,$A74&lt;='Fuel Equipment'!M$18),('Fuel Equipment'!M$19*'Fuel Equipment'!M$20*'Fuel Equipment'!M$21)*('Fuel Equipment'!M$45-'Fuel Equipment'!M$44)*
(VLOOKUP(IF('Fuel Equipment'!M$22=Report!$A$25,Report!$A$19,'Fuel Equipment'!M$22),Report!$A$18:$L$34,'Actual-CO2 Calculations'!$AK77,FALSE)),0),0)</f>
        <v>0</v>
      </c>
      <c r="N74" s="19">
        <f>IF(AND('Fuel Equipment'!N$44&gt;0,'Fuel Equipment'!N$45&gt;0),IF(AND($A74&gt;='Fuel Equipment'!N$17,$A74&lt;='Fuel Equipment'!N$18),('Fuel Equipment'!N$19*'Fuel Equipment'!N$20*'Fuel Equipment'!N$21)*('Fuel Equipment'!N$45-'Fuel Equipment'!N$44)*
(VLOOKUP(IF('Fuel Equipment'!N$22=Report!$A$25,Report!$A$19,'Fuel Equipment'!N$22),Report!$A$18:$L$34,'Actual-CO2 Calculations'!$AK77,FALSE)),0),0)</f>
        <v>0</v>
      </c>
      <c r="O74" s="19">
        <f>IF(AND('Fuel Equipment'!O$44&gt;0,'Fuel Equipment'!O$45&gt;0),IF(AND($A74&gt;='Fuel Equipment'!O$17,$A74&lt;='Fuel Equipment'!O$18),('Fuel Equipment'!O$19*'Fuel Equipment'!O$20*'Fuel Equipment'!O$21)*('Fuel Equipment'!O$45-'Fuel Equipment'!O$44)*
(VLOOKUP(IF('Fuel Equipment'!O$22=Report!$A$25,Report!$A$19,'Fuel Equipment'!O$22),Report!$A$18:$L$34,'Actual-CO2 Calculations'!$AK77,FALSE)),0),0)</f>
        <v>0</v>
      </c>
      <c r="P74" s="19">
        <f>IF(AND('Fuel Equipment'!P$44&gt;0,'Fuel Equipment'!P$45&gt;0),IF(AND($A74&gt;='Fuel Equipment'!P$17,$A74&lt;='Fuel Equipment'!P$18),('Fuel Equipment'!P$19*'Fuel Equipment'!P$20*'Fuel Equipment'!P$21)*('Fuel Equipment'!P$45-'Fuel Equipment'!P$44)*
(VLOOKUP(IF('Fuel Equipment'!P$22=Report!$A$25,Report!$A$19,'Fuel Equipment'!P$22),Report!$A$18:$L$34,'Actual-CO2 Calculations'!$AK77,FALSE)),0),0)</f>
        <v>0</v>
      </c>
      <c r="Q74" s="19">
        <f>IF(AND('Fuel Equipment'!Q$44&gt;0,'Fuel Equipment'!Q$45&gt;0),IF(AND($A74&gt;='Fuel Equipment'!Q$17,$A74&lt;='Fuel Equipment'!Q$18),('Fuel Equipment'!Q$19*'Fuel Equipment'!Q$20*'Fuel Equipment'!Q$21)*('Fuel Equipment'!Q$45-'Fuel Equipment'!Q$44)*
(VLOOKUP(IF('Fuel Equipment'!Q$22=Report!$A$25,Report!$A$19,'Fuel Equipment'!Q$22),Report!$A$18:$L$34,'Actual-CO2 Calculations'!$AK77,FALSE)),0),0)</f>
        <v>0</v>
      </c>
      <c r="R74" s="19">
        <f>IF(AND('Fuel Equipment'!R$44&gt;0,'Fuel Equipment'!R$45&gt;0),IF(AND($A74&gt;='Fuel Equipment'!R$17,$A74&lt;='Fuel Equipment'!R$18),('Fuel Equipment'!R$19*'Fuel Equipment'!R$20*'Fuel Equipment'!R$21)*('Fuel Equipment'!R$45-'Fuel Equipment'!R$44)*
(VLOOKUP(IF('Fuel Equipment'!R$22=Report!$A$25,Report!$A$19,'Fuel Equipment'!R$22),Report!$A$18:$L$34,'Actual-CO2 Calculations'!$AK77,FALSE)),0),0)</f>
        <v>0</v>
      </c>
      <c r="S74" s="19">
        <f>IF(AND('Fuel Equipment'!S$44&gt;0,'Fuel Equipment'!S$45&gt;0),IF(AND($A74&gt;='Fuel Equipment'!S$17,$A74&lt;='Fuel Equipment'!S$18),('Fuel Equipment'!S$19*'Fuel Equipment'!S$20*'Fuel Equipment'!S$21)*('Fuel Equipment'!S$45-'Fuel Equipment'!S$44)*
(VLOOKUP(IF('Fuel Equipment'!S$22=Report!$A$25,Report!$A$19,'Fuel Equipment'!S$22),Report!$A$18:$L$34,'Actual-CO2 Calculations'!$AK77,FALSE)),0),0)</f>
        <v>0</v>
      </c>
      <c r="V74" s="671">
        <f t="shared" si="1"/>
        <v>11147.63255043643</v>
      </c>
    </row>
    <row r="75" spans="1:22">
      <c r="A75" s="21" t="s">
        <v>84</v>
      </c>
      <c r="B75" s="19">
        <f>IF(AND('Fuel Equipment'!B$44&gt;0,'Fuel Equipment'!B$45&gt;0),IF(AND($A75&gt;='Fuel Equipment'!B$17,$A75&lt;='Fuel Equipment'!B$18),('Fuel Equipment'!B$19*'Fuel Equipment'!B$20*'Fuel Equipment'!B$21)*('Fuel Equipment'!B$45-'Fuel Equipment'!B$44)*
(VLOOKUP(IF('Fuel Equipment'!B$22=Report!$A$25,Report!$A$19,'Fuel Equipment'!B$22),Report!$A$18:$L$34,'Actual-CO2 Calculations'!$AK78,FALSE)),0),0)</f>
        <v>2298.1510588235305</v>
      </c>
      <c r="C75" s="19">
        <f>IF(AND('Fuel Equipment'!C$44&gt;0,'Fuel Equipment'!C$45&gt;0),IF(AND($A75&gt;='Fuel Equipment'!C$17,$A75&lt;='Fuel Equipment'!C$18),('Fuel Equipment'!C$19*'Fuel Equipment'!C$20*'Fuel Equipment'!C$21)*('Fuel Equipment'!C$45-'Fuel Equipment'!C$44)*
(VLOOKUP(IF('Fuel Equipment'!C$22=Report!$A$25,Report!$A$19,'Fuel Equipment'!C$22),Report!$A$18:$L$34,'Actual-CO2 Calculations'!$AK78,FALSE)),0),0)</f>
        <v>505.66645161290415</v>
      </c>
      <c r="D75" s="19">
        <f>IF(AND('Fuel Equipment'!D$44&gt;0,'Fuel Equipment'!D$45&gt;0),IF(AND($A75&gt;='Fuel Equipment'!D$17,$A75&lt;='Fuel Equipment'!D$18),('Fuel Equipment'!D$19*'Fuel Equipment'!D$20*'Fuel Equipment'!D$21)*('Fuel Equipment'!D$45-'Fuel Equipment'!D$44)*
(VLOOKUP(IF('Fuel Equipment'!D$22=Report!$A$25,Report!$A$19,'Fuel Equipment'!D$22),Report!$A$18:$L$34,'Actual-CO2 Calculations'!$AK78,FALSE)),0),0)</f>
        <v>5357.9750399999957</v>
      </c>
      <c r="E75" s="19">
        <f>IF(AND('Fuel Equipment'!E$44&gt;0,'Fuel Equipment'!E$45&gt;0),IF(AND($A75&gt;='Fuel Equipment'!E$17,$A75&lt;='Fuel Equipment'!E$18),('Fuel Equipment'!E$19*'Fuel Equipment'!E$20*'Fuel Equipment'!E$21)*('Fuel Equipment'!E$45-'Fuel Equipment'!E$44)*
(VLOOKUP(IF('Fuel Equipment'!E$22=Report!$A$25,Report!$A$19,'Fuel Equipment'!E$22),Report!$A$18:$L$34,'Actual-CO2 Calculations'!$AK78,FALSE)),0),0)</f>
        <v>2985.84</v>
      </c>
      <c r="F75" s="19">
        <f>IF(AND('Fuel Equipment'!F$44&gt;0,'Fuel Equipment'!F$45&gt;0),IF(AND($A75&gt;='Fuel Equipment'!F$17,$A75&lt;='Fuel Equipment'!F$18),('Fuel Equipment'!F$19*'Fuel Equipment'!F$20*'Fuel Equipment'!F$21)*('Fuel Equipment'!F$45-'Fuel Equipment'!F$44)*
(VLOOKUP(IF('Fuel Equipment'!F$22=Report!$A$25,Report!$A$19,'Fuel Equipment'!F$22),Report!$A$18:$L$34,'Actual-CO2 Calculations'!$AK78,FALSE)),0),0)</f>
        <v>0</v>
      </c>
      <c r="G75" s="19">
        <f>IF(AND('Fuel Equipment'!G$44&gt;0,'Fuel Equipment'!G$45&gt;0),IF(AND($A75&gt;='Fuel Equipment'!G$17,$A75&lt;='Fuel Equipment'!G$18),('Fuel Equipment'!G$19*'Fuel Equipment'!G$20*'Fuel Equipment'!G$21)*('Fuel Equipment'!G$45-'Fuel Equipment'!G$44)*
(VLOOKUP(IF('Fuel Equipment'!G$22=Report!$A$25,Report!$A$19,'Fuel Equipment'!G$22),Report!$A$18:$L$34,'Actual-CO2 Calculations'!$AK78,FALSE)),0),0)</f>
        <v>0</v>
      </c>
      <c r="H75" s="19">
        <f>IF(AND('Fuel Equipment'!H$44&gt;0,'Fuel Equipment'!H$45&gt;0),IF(AND($A75&gt;='Fuel Equipment'!H$17,$A75&lt;='Fuel Equipment'!H$18),('Fuel Equipment'!H$19*'Fuel Equipment'!H$20*'Fuel Equipment'!H$21)*('Fuel Equipment'!H$45-'Fuel Equipment'!H$44)*
(VLOOKUP(IF('Fuel Equipment'!H$22=Report!$A$25,Report!$A$19,'Fuel Equipment'!H$22),Report!$A$18:$L$34,'Actual-CO2 Calculations'!$AK78,FALSE)),0),0)</f>
        <v>0</v>
      </c>
      <c r="I75" s="19">
        <f>IF(AND('Fuel Equipment'!I$44&gt;0,'Fuel Equipment'!I$45&gt;0),IF(AND($A75&gt;='Fuel Equipment'!I$17,$A75&lt;='Fuel Equipment'!I$18),('Fuel Equipment'!I$19*'Fuel Equipment'!I$20*'Fuel Equipment'!I$21)*('Fuel Equipment'!I$45-'Fuel Equipment'!I$44)*
(VLOOKUP(IF('Fuel Equipment'!I$22=Report!$A$25,Report!$A$19,'Fuel Equipment'!I$22),Report!$A$18:$L$34,'Actual-CO2 Calculations'!$AK78,FALSE)),0),0)</f>
        <v>0</v>
      </c>
      <c r="J75" s="19">
        <f>IF(AND('Fuel Equipment'!J$44&gt;0,'Fuel Equipment'!J$45&gt;0),IF(AND($A75&gt;='Fuel Equipment'!J$17,$A75&lt;='Fuel Equipment'!J$18),('Fuel Equipment'!J$19*'Fuel Equipment'!J$20*'Fuel Equipment'!J$21)*('Fuel Equipment'!J$45-'Fuel Equipment'!J$44)*
(VLOOKUP(IF('Fuel Equipment'!J$22=Report!$A$25,Report!$A$19,'Fuel Equipment'!J$22),Report!$A$18:$L$34,'Actual-CO2 Calculations'!$AK78,FALSE)),0),0)</f>
        <v>0</v>
      </c>
      <c r="K75" s="19">
        <f>IF(AND('Fuel Equipment'!K$44&gt;0,'Fuel Equipment'!K$45&gt;0),IF(AND($A75&gt;='Fuel Equipment'!K$17,$A75&lt;='Fuel Equipment'!K$18),('Fuel Equipment'!K$19*'Fuel Equipment'!K$20*'Fuel Equipment'!K$21)*('Fuel Equipment'!K$45-'Fuel Equipment'!K$44)*
(VLOOKUP(IF('Fuel Equipment'!K$22=Report!$A$25,Report!$A$19,'Fuel Equipment'!K$22),Report!$A$18:$L$34,'Actual-CO2 Calculations'!$AK78,FALSE)),0),0)</f>
        <v>0</v>
      </c>
      <c r="L75" s="19">
        <f>IF(AND('Fuel Equipment'!L$44&gt;0,'Fuel Equipment'!L$45&gt;0),IF(AND($A75&gt;='Fuel Equipment'!L$17,$A75&lt;='Fuel Equipment'!L$18),('Fuel Equipment'!L$19*'Fuel Equipment'!L$20*'Fuel Equipment'!L$21)*('Fuel Equipment'!L$45-'Fuel Equipment'!L$44)*
(VLOOKUP(IF('Fuel Equipment'!L$22=Report!$A$25,Report!$A$19,'Fuel Equipment'!L$22),Report!$A$18:$L$34,'Actual-CO2 Calculations'!$AK78,FALSE)),0),0)</f>
        <v>0</v>
      </c>
      <c r="M75" s="19">
        <f>IF(AND('Fuel Equipment'!M$44&gt;0,'Fuel Equipment'!M$45&gt;0),IF(AND($A75&gt;='Fuel Equipment'!M$17,$A75&lt;='Fuel Equipment'!M$18),('Fuel Equipment'!M$19*'Fuel Equipment'!M$20*'Fuel Equipment'!M$21)*('Fuel Equipment'!M$45-'Fuel Equipment'!M$44)*
(VLOOKUP(IF('Fuel Equipment'!M$22=Report!$A$25,Report!$A$19,'Fuel Equipment'!M$22),Report!$A$18:$L$34,'Actual-CO2 Calculations'!$AK78,FALSE)),0),0)</f>
        <v>0</v>
      </c>
      <c r="N75" s="19">
        <f>IF(AND('Fuel Equipment'!N$44&gt;0,'Fuel Equipment'!N$45&gt;0),IF(AND($A75&gt;='Fuel Equipment'!N$17,$A75&lt;='Fuel Equipment'!N$18),('Fuel Equipment'!N$19*'Fuel Equipment'!N$20*'Fuel Equipment'!N$21)*('Fuel Equipment'!N$45-'Fuel Equipment'!N$44)*
(VLOOKUP(IF('Fuel Equipment'!N$22=Report!$A$25,Report!$A$19,'Fuel Equipment'!N$22),Report!$A$18:$L$34,'Actual-CO2 Calculations'!$AK78,FALSE)),0),0)</f>
        <v>0</v>
      </c>
      <c r="O75" s="19">
        <f>IF(AND('Fuel Equipment'!O$44&gt;0,'Fuel Equipment'!O$45&gt;0),IF(AND($A75&gt;='Fuel Equipment'!O$17,$A75&lt;='Fuel Equipment'!O$18),('Fuel Equipment'!O$19*'Fuel Equipment'!O$20*'Fuel Equipment'!O$21)*('Fuel Equipment'!O$45-'Fuel Equipment'!O$44)*
(VLOOKUP(IF('Fuel Equipment'!O$22=Report!$A$25,Report!$A$19,'Fuel Equipment'!O$22),Report!$A$18:$L$34,'Actual-CO2 Calculations'!$AK78,FALSE)),0),0)</f>
        <v>0</v>
      </c>
      <c r="P75" s="19">
        <f>IF(AND('Fuel Equipment'!P$44&gt;0,'Fuel Equipment'!P$45&gt;0),IF(AND($A75&gt;='Fuel Equipment'!P$17,$A75&lt;='Fuel Equipment'!P$18),('Fuel Equipment'!P$19*'Fuel Equipment'!P$20*'Fuel Equipment'!P$21)*('Fuel Equipment'!P$45-'Fuel Equipment'!P$44)*
(VLOOKUP(IF('Fuel Equipment'!P$22=Report!$A$25,Report!$A$19,'Fuel Equipment'!P$22),Report!$A$18:$L$34,'Actual-CO2 Calculations'!$AK78,FALSE)),0),0)</f>
        <v>0</v>
      </c>
      <c r="Q75" s="19">
        <f>IF(AND('Fuel Equipment'!Q$44&gt;0,'Fuel Equipment'!Q$45&gt;0),IF(AND($A75&gt;='Fuel Equipment'!Q$17,$A75&lt;='Fuel Equipment'!Q$18),('Fuel Equipment'!Q$19*'Fuel Equipment'!Q$20*'Fuel Equipment'!Q$21)*('Fuel Equipment'!Q$45-'Fuel Equipment'!Q$44)*
(VLOOKUP(IF('Fuel Equipment'!Q$22=Report!$A$25,Report!$A$19,'Fuel Equipment'!Q$22),Report!$A$18:$L$34,'Actual-CO2 Calculations'!$AK78,FALSE)),0),0)</f>
        <v>0</v>
      </c>
      <c r="R75" s="19">
        <f>IF(AND('Fuel Equipment'!R$44&gt;0,'Fuel Equipment'!R$45&gt;0),IF(AND($A75&gt;='Fuel Equipment'!R$17,$A75&lt;='Fuel Equipment'!R$18),('Fuel Equipment'!R$19*'Fuel Equipment'!R$20*'Fuel Equipment'!R$21)*('Fuel Equipment'!R$45-'Fuel Equipment'!R$44)*
(VLOOKUP(IF('Fuel Equipment'!R$22=Report!$A$25,Report!$A$19,'Fuel Equipment'!R$22),Report!$A$18:$L$34,'Actual-CO2 Calculations'!$AK78,FALSE)),0),0)</f>
        <v>0</v>
      </c>
      <c r="S75" s="19">
        <f>IF(AND('Fuel Equipment'!S$44&gt;0,'Fuel Equipment'!S$45&gt;0),IF(AND($A75&gt;='Fuel Equipment'!S$17,$A75&lt;='Fuel Equipment'!S$18),('Fuel Equipment'!S$19*'Fuel Equipment'!S$20*'Fuel Equipment'!S$21)*('Fuel Equipment'!S$45-'Fuel Equipment'!S$44)*
(VLOOKUP(IF('Fuel Equipment'!S$22=Report!$A$25,Report!$A$19,'Fuel Equipment'!S$22),Report!$A$18:$L$34,'Actual-CO2 Calculations'!$AK78,FALSE)),0),0)</f>
        <v>0</v>
      </c>
      <c r="V75" s="671">
        <f t="shared" si="1"/>
        <v>11147.63255043643</v>
      </c>
    </row>
    <row r="76" spans="1:22">
      <c r="A76" s="19" t="s">
        <v>16</v>
      </c>
      <c r="B76" s="19">
        <f>IF(AND('Fuel Equipment'!B$44&gt;0,'Fuel Equipment'!B$45&gt;0),IF(AND($A76&gt;='Fuel Equipment'!B$17,$A76&lt;='Fuel Equipment'!B$18),('Fuel Equipment'!B$19*'Fuel Equipment'!B$20*'Fuel Equipment'!B$21)*('Fuel Equipment'!B$45-'Fuel Equipment'!B$44)*
(VLOOKUP(IF('Fuel Equipment'!B$22=Report!$A$25,Report!$A$19,'Fuel Equipment'!B$22),Report!$A$18:$L$34,'Actual-CO2 Calculations'!$AK79,FALSE)),0),0)</f>
        <v>2298.1510588235305</v>
      </c>
      <c r="C76" s="19">
        <f>IF(AND('Fuel Equipment'!C$44&gt;0,'Fuel Equipment'!C$45&gt;0),IF(AND($A76&gt;='Fuel Equipment'!C$17,$A76&lt;='Fuel Equipment'!C$18),('Fuel Equipment'!C$19*'Fuel Equipment'!C$20*'Fuel Equipment'!C$21)*('Fuel Equipment'!C$45-'Fuel Equipment'!C$44)*
(VLOOKUP(IF('Fuel Equipment'!C$22=Report!$A$25,Report!$A$19,'Fuel Equipment'!C$22),Report!$A$18:$L$34,'Actual-CO2 Calculations'!$AK79,FALSE)),0),0)</f>
        <v>505.66645161290415</v>
      </c>
      <c r="D76" s="19">
        <f>IF(AND('Fuel Equipment'!D$44&gt;0,'Fuel Equipment'!D$45&gt;0),IF(AND($A76&gt;='Fuel Equipment'!D$17,$A76&lt;='Fuel Equipment'!D$18),('Fuel Equipment'!D$19*'Fuel Equipment'!D$20*'Fuel Equipment'!D$21)*('Fuel Equipment'!D$45-'Fuel Equipment'!D$44)*
(VLOOKUP(IF('Fuel Equipment'!D$22=Report!$A$25,Report!$A$19,'Fuel Equipment'!D$22),Report!$A$18:$L$34,'Actual-CO2 Calculations'!$AK79,FALSE)),0),0)</f>
        <v>5357.9750399999957</v>
      </c>
      <c r="E76" s="19">
        <f>IF(AND('Fuel Equipment'!E$44&gt;0,'Fuel Equipment'!E$45&gt;0),IF(AND($A76&gt;='Fuel Equipment'!E$17,$A76&lt;='Fuel Equipment'!E$18),('Fuel Equipment'!E$19*'Fuel Equipment'!E$20*'Fuel Equipment'!E$21)*('Fuel Equipment'!E$45-'Fuel Equipment'!E$44)*
(VLOOKUP(IF('Fuel Equipment'!E$22=Report!$A$25,Report!$A$19,'Fuel Equipment'!E$22),Report!$A$18:$L$34,'Actual-CO2 Calculations'!$AK79,FALSE)),0),0)</f>
        <v>2985.84</v>
      </c>
      <c r="F76" s="19">
        <f>IF(AND('Fuel Equipment'!F$44&gt;0,'Fuel Equipment'!F$45&gt;0),IF(AND($A76&gt;='Fuel Equipment'!F$17,$A76&lt;='Fuel Equipment'!F$18),('Fuel Equipment'!F$19*'Fuel Equipment'!F$20*'Fuel Equipment'!F$21)*('Fuel Equipment'!F$45-'Fuel Equipment'!F$44)*
(VLOOKUP(IF('Fuel Equipment'!F$22=Report!$A$25,Report!$A$19,'Fuel Equipment'!F$22),Report!$A$18:$L$34,'Actual-CO2 Calculations'!$AK79,FALSE)),0),0)</f>
        <v>0</v>
      </c>
      <c r="G76" s="19">
        <f>IF(AND('Fuel Equipment'!G$44&gt;0,'Fuel Equipment'!G$45&gt;0),IF(AND($A76&gt;='Fuel Equipment'!G$17,$A76&lt;='Fuel Equipment'!G$18),('Fuel Equipment'!G$19*'Fuel Equipment'!G$20*'Fuel Equipment'!G$21)*('Fuel Equipment'!G$45-'Fuel Equipment'!G$44)*
(VLOOKUP(IF('Fuel Equipment'!G$22=Report!$A$25,Report!$A$19,'Fuel Equipment'!G$22),Report!$A$18:$L$34,'Actual-CO2 Calculations'!$AK79,FALSE)),0),0)</f>
        <v>0</v>
      </c>
      <c r="H76" s="19">
        <f>IF(AND('Fuel Equipment'!H$44&gt;0,'Fuel Equipment'!H$45&gt;0),IF(AND($A76&gt;='Fuel Equipment'!H$17,$A76&lt;='Fuel Equipment'!H$18),('Fuel Equipment'!H$19*'Fuel Equipment'!H$20*'Fuel Equipment'!H$21)*('Fuel Equipment'!H$45-'Fuel Equipment'!H$44)*
(VLOOKUP(IF('Fuel Equipment'!H$22=Report!$A$25,Report!$A$19,'Fuel Equipment'!H$22),Report!$A$18:$L$34,'Actual-CO2 Calculations'!$AK79,FALSE)),0),0)</f>
        <v>0</v>
      </c>
      <c r="I76" s="19">
        <f>IF(AND('Fuel Equipment'!I$44&gt;0,'Fuel Equipment'!I$45&gt;0),IF(AND($A76&gt;='Fuel Equipment'!I$17,$A76&lt;='Fuel Equipment'!I$18),('Fuel Equipment'!I$19*'Fuel Equipment'!I$20*'Fuel Equipment'!I$21)*('Fuel Equipment'!I$45-'Fuel Equipment'!I$44)*
(VLOOKUP(IF('Fuel Equipment'!I$22=Report!$A$25,Report!$A$19,'Fuel Equipment'!I$22),Report!$A$18:$L$34,'Actual-CO2 Calculations'!$AK79,FALSE)),0),0)</f>
        <v>0</v>
      </c>
      <c r="J76" s="19">
        <f>IF(AND('Fuel Equipment'!J$44&gt;0,'Fuel Equipment'!J$45&gt;0),IF(AND($A76&gt;='Fuel Equipment'!J$17,$A76&lt;='Fuel Equipment'!J$18),('Fuel Equipment'!J$19*'Fuel Equipment'!J$20*'Fuel Equipment'!J$21)*('Fuel Equipment'!J$45-'Fuel Equipment'!J$44)*
(VLOOKUP(IF('Fuel Equipment'!J$22=Report!$A$25,Report!$A$19,'Fuel Equipment'!J$22),Report!$A$18:$L$34,'Actual-CO2 Calculations'!$AK79,FALSE)),0),0)</f>
        <v>0</v>
      </c>
      <c r="K76" s="19">
        <f>IF(AND('Fuel Equipment'!K$44&gt;0,'Fuel Equipment'!K$45&gt;0),IF(AND($A76&gt;='Fuel Equipment'!K$17,$A76&lt;='Fuel Equipment'!K$18),('Fuel Equipment'!K$19*'Fuel Equipment'!K$20*'Fuel Equipment'!K$21)*('Fuel Equipment'!K$45-'Fuel Equipment'!K$44)*
(VLOOKUP(IF('Fuel Equipment'!K$22=Report!$A$25,Report!$A$19,'Fuel Equipment'!K$22),Report!$A$18:$L$34,'Actual-CO2 Calculations'!$AK79,FALSE)),0),0)</f>
        <v>0</v>
      </c>
      <c r="L76" s="19">
        <f>IF(AND('Fuel Equipment'!L$44&gt;0,'Fuel Equipment'!L$45&gt;0),IF(AND($A76&gt;='Fuel Equipment'!L$17,$A76&lt;='Fuel Equipment'!L$18),('Fuel Equipment'!L$19*'Fuel Equipment'!L$20*'Fuel Equipment'!L$21)*('Fuel Equipment'!L$45-'Fuel Equipment'!L$44)*
(VLOOKUP(IF('Fuel Equipment'!L$22=Report!$A$25,Report!$A$19,'Fuel Equipment'!L$22),Report!$A$18:$L$34,'Actual-CO2 Calculations'!$AK79,FALSE)),0),0)</f>
        <v>0</v>
      </c>
      <c r="M76" s="19">
        <f>IF(AND('Fuel Equipment'!M$44&gt;0,'Fuel Equipment'!M$45&gt;0),IF(AND($A76&gt;='Fuel Equipment'!M$17,$A76&lt;='Fuel Equipment'!M$18),('Fuel Equipment'!M$19*'Fuel Equipment'!M$20*'Fuel Equipment'!M$21)*('Fuel Equipment'!M$45-'Fuel Equipment'!M$44)*
(VLOOKUP(IF('Fuel Equipment'!M$22=Report!$A$25,Report!$A$19,'Fuel Equipment'!M$22),Report!$A$18:$L$34,'Actual-CO2 Calculations'!$AK79,FALSE)),0),0)</f>
        <v>0</v>
      </c>
      <c r="N76" s="19">
        <f>IF(AND('Fuel Equipment'!N$44&gt;0,'Fuel Equipment'!N$45&gt;0),IF(AND($A76&gt;='Fuel Equipment'!N$17,$A76&lt;='Fuel Equipment'!N$18),('Fuel Equipment'!N$19*'Fuel Equipment'!N$20*'Fuel Equipment'!N$21)*('Fuel Equipment'!N$45-'Fuel Equipment'!N$44)*
(VLOOKUP(IF('Fuel Equipment'!N$22=Report!$A$25,Report!$A$19,'Fuel Equipment'!N$22),Report!$A$18:$L$34,'Actual-CO2 Calculations'!$AK79,FALSE)),0),0)</f>
        <v>0</v>
      </c>
      <c r="O76" s="19">
        <f>IF(AND('Fuel Equipment'!O$44&gt;0,'Fuel Equipment'!O$45&gt;0),IF(AND($A76&gt;='Fuel Equipment'!O$17,$A76&lt;='Fuel Equipment'!O$18),('Fuel Equipment'!O$19*'Fuel Equipment'!O$20*'Fuel Equipment'!O$21)*('Fuel Equipment'!O$45-'Fuel Equipment'!O$44)*
(VLOOKUP(IF('Fuel Equipment'!O$22=Report!$A$25,Report!$A$19,'Fuel Equipment'!O$22),Report!$A$18:$L$34,'Actual-CO2 Calculations'!$AK79,FALSE)),0),0)</f>
        <v>0</v>
      </c>
      <c r="P76" s="19">
        <f>IF(AND('Fuel Equipment'!P$44&gt;0,'Fuel Equipment'!P$45&gt;0),IF(AND($A76&gt;='Fuel Equipment'!P$17,$A76&lt;='Fuel Equipment'!P$18),('Fuel Equipment'!P$19*'Fuel Equipment'!P$20*'Fuel Equipment'!P$21)*('Fuel Equipment'!P$45-'Fuel Equipment'!P$44)*
(VLOOKUP(IF('Fuel Equipment'!P$22=Report!$A$25,Report!$A$19,'Fuel Equipment'!P$22),Report!$A$18:$L$34,'Actual-CO2 Calculations'!$AK79,FALSE)),0),0)</f>
        <v>0</v>
      </c>
      <c r="Q76" s="19">
        <f>IF(AND('Fuel Equipment'!Q$44&gt;0,'Fuel Equipment'!Q$45&gt;0),IF(AND($A76&gt;='Fuel Equipment'!Q$17,$A76&lt;='Fuel Equipment'!Q$18),('Fuel Equipment'!Q$19*'Fuel Equipment'!Q$20*'Fuel Equipment'!Q$21)*('Fuel Equipment'!Q$45-'Fuel Equipment'!Q$44)*
(VLOOKUP(IF('Fuel Equipment'!Q$22=Report!$A$25,Report!$A$19,'Fuel Equipment'!Q$22),Report!$A$18:$L$34,'Actual-CO2 Calculations'!$AK79,FALSE)),0),0)</f>
        <v>0</v>
      </c>
      <c r="R76" s="19">
        <f>IF(AND('Fuel Equipment'!R$44&gt;0,'Fuel Equipment'!R$45&gt;0),IF(AND($A76&gt;='Fuel Equipment'!R$17,$A76&lt;='Fuel Equipment'!R$18),('Fuel Equipment'!R$19*'Fuel Equipment'!R$20*'Fuel Equipment'!R$21)*('Fuel Equipment'!R$45-'Fuel Equipment'!R$44)*
(VLOOKUP(IF('Fuel Equipment'!R$22=Report!$A$25,Report!$A$19,'Fuel Equipment'!R$22),Report!$A$18:$L$34,'Actual-CO2 Calculations'!$AK79,FALSE)),0),0)</f>
        <v>0</v>
      </c>
      <c r="S76" s="19">
        <f>IF(AND('Fuel Equipment'!S$44&gt;0,'Fuel Equipment'!S$45&gt;0),IF(AND($A76&gt;='Fuel Equipment'!S$17,$A76&lt;='Fuel Equipment'!S$18),('Fuel Equipment'!S$19*'Fuel Equipment'!S$20*'Fuel Equipment'!S$21)*('Fuel Equipment'!S$45-'Fuel Equipment'!S$44)*
(VLOOKUP(IF('Fuel Equipment'!S$22=Report!$A$25,Report!$A$19,'Fuel Equipment'!S$22),Report!$A$18:$L$34,'Actual-CO2 Calculations'!$AK79,FALSE)),0),0)</f>
        <v>0</v>
      </c>
      <c r="V76" s="671">
        <f t="shared" si="1"/>
        <v>11147.63255043643</v>
      </c>
    </row>
    <row r="77" spans="1:22">
      <c r="A77" s="19" t="s">
        <v>17</v>
      </c>
      <c r="B77" s="19">
        <f>IF(AND('Fuel Equipment'!B$44&gt;0,'Fuel Equipment'!B$45&gt;0),IF(AND($A77&gt;='Fuel Equipment'!B$17,$A77&lt;='Fuel Equipment'!B$18),('Fuel Equipment'!B$19*'Fuel Equipment'!B$20*'Fuel Equipment'!B$21)*('Fuel Equipment'!B$45-'Fuel Equipment'!B$44)*
(VLOOKUP(IF('Fuel Equipment'!B$22=Report!$A$25,Report!$A$19,'Fuel Equipment'!B$22),Report!$A$18:$L$34,'Actual-CO2 Calculations'!$AK80,FALSE)),0),0)</f>
        <v>2298.1510588235305</v>
      </c>
      <c r="C77" s="19">
        <f>IF(AND('Fuel Equipment'!C$44&gt;0,'Fuel Equipment'!C$45&gt;0),IF(AND($A77&gt;='Fuel Equipment'!C$17,$A77&lt;='Fuel Equipment'!C$18),('Fuel Equipment'!C$19*'Fuel Equipment'!C$20*'Fuel Equipment'!C$21)*('Fuel Equipment'!C$45-'Fuel Equipment'!C$44)*
(VLOOKUP(IF('Fuel Equipment'!C$22=Report!$A$25,Report!$A$19,'Fuel Equipment'!C$22),Report!$A$18:$L$34,'Actual-CO2 Calculations'!$AK80,FALSE)),0),0)</f>
        <v>505.66645161290415</v>
      </c>
      <c r="D77" s="19">
        <f>IF(AND('Fuel Equipment'!D$44&gt;0,'Fuel Equipment'!D$45&gt;0),IF(AND($A77&gt;='Fuel Equipment'!D$17,$A77&lt;='Fuel Equipment'!D$18),('Fuel Equipment'!D$19*'Fuel Equipment'!D$20*'Fuel Equipment'!D$21)*('Fuel Equipment'!D$45-'Fuel Equipment'!D$44)*
(VLOOKUP(IF('Fuel Equipment'!D$22=Report!$A$25,Report!$A$19,'Fuel Equipment'!D$22),Report!$A$18:$L$34,'Actual-CO2 Calculations'!$AK80,FALSE)),0),0)</f>
        <v>5357.9750399999957</v>
      </c>
      <c r="E77" s="19">
        <f>IF(AND('Fuel Equipment'!E$44&gt;0,'Fuel Equipment'!E$45&gt;0),IF(AND($A77&gt;='Fuel Equipment'!E$17,$A77&lt;='Fuel Equipment'!E$18),('Fuel Equipment'!E$19*'Fuel Equipment'!E$20*'Fuel Equipment'!E$21)*('Fuel Equipment'!E$45-'Fuel Equipment'!E$44)*
(VLOOKUP(IF('Fuel Equipment'!E$22=Report!$A$25,Report!$A$19,'Fuel Equipment'!E$22),Report!$A$18:$L$34,'Actual-CO2 Calculations'!$AK80,FALSE)),0),0)</f>
        <v>2985.84</v>
      </c>
      <c r="F77" s="19">
        <f>IF(AND('Fuel Equipment'!F$44&gt;0,'Fuel Equipment'!F$45&gt;0),IF(AND($A77&gt;='Fuel Equipment'!F$17,$A77&lt;='Fuel Equipment'!F$18),('Fuel Equipment'!F$19*'Fuel Equipment'!F$20*'Fuel Equipment'!F$21)*('Fuel Equipment'!F$45-'Fuel Equipment'!F$44)*
(VLOOKUP(IF('Fuel Equipment'!F$22=Report!$A$25,Report!$A$19,'Fuel Equipment'!F$22),Report!$A$18:$L$34,'Actual-CO2 Calculations'!$AK80,FALSE)),0),0)</f>
        <v>0</v>
      </c>
      <c r="G77" s="19">
        <f>IF(AND('Fuel Equipment'!G$44&gt;0,'Fuel Equipment'!G$45&gt;0),IF(AND($A77&gt;='Fuel Equipment'!G$17,$A77&lt;='Fuel Equipment'!G$18),('Fuel Equipment'!G$19*'Fuel Equipment'!G$20*'Fuel Equipment'!G$21)*('Fuel Equipment'!G$45-'Fuel Equipment'!G$44)*
(VLOOKUP(IF('Fuel Equipment'!G$22=Report!$A$25,Report!$A$19,'Fuel Equipment'!G$22),Report!$A$18:$L$34,'Actual-CO2 Calculations'!$AK80,FALSE)),0),0)</f>
        <v>0</v>
      </c>
      <c r="H77" s="19">
        <f>IF(AND('Fuel Equipment'!H$44&gt;0,'Fuel Equipment'!H$45&gt;0),IF(AND($A77&gt;='Fuel Equipment'!H$17,$A77&lt;='Fuel Equipment'!H$18),('Fuel Equipment'!H$19*'Fuel Equipment'!H$20*'Fuel Equipment'!H$21)*('Fuel Equipment'!H$45-'Fuel Equipment'!H$44)*
(VLOOKUP(IF('Fuel Equipment'!H$22=Report!$A$25,Report!$A$19,'Fuel Equipment'!H$22),Report!$A$18:$L$34,'Actual-CO2 Calculations'!$AK80,FALSE)),0),0)</f>
        <v>0</v>
      </c>
      <c r="I77" s="19">
        <f>IF(AND('Fuel Equipment'!I$44&gt;0,'Fuel Equipment'!I$45&gt;0),IF(AND($A77&gt;='Fuel Equipment'!I$17,$A77&lt;='Fuel Equipment'!I$18),('Fuel Equipment'!I$19*'Fuel Equipment'!I$20*'Fuel Equipment'!I$21)*('Fuel Equipment'!I$45-'Fuel Equipment'!I$44)*
(VLOOKUP(IF('Fuel Equipment'!I$22=Report!$A$25,Report!$A$19,'Fuel Equipment'!I$22),Report!$A$18:$L$34,'Actual-CO2 Calculations'!$AK80,FALSE)),0),0)</f>
        <v>0</v>
      </c>
      <c r="J77" s="19">
        <f>IF(AND('Fuel Equipment'!J$44&gt;0,'Fuel Equipment'!J$45&gt;0),IF(AND($A77&gt;='Fuel Equipment'!J$17,$A77&lt;='Fuel Equipment'!J$18),('Fuel Equipment'!J$19*'Fuel Equipment'!J$20*'Fuel Equipment'!J$21)*('Fuel Equipment'!J$45-'Fuel Equipment'!J$44)*
(VLOOKUP(IF('Fuel Equipment'!J$22=Report!$A$25,Report!$A$19,'Fuel Equipment'!J$22),Report!$A$18:$L$34,'Actual-CO2 Calculations'!$AK80,FALSE)),0),0)</f>
        <v>0</v>
      </c>
      <c r="K77" s="19">
        <f>IF(AND('Fuel Equipment'!K$44&gt;0,'Fuel Equipment'!K$45&gt;0),IF(AND($A77&gt;='Fuel Equipment'!K$17,$A77&lt;='Fuel Equipment'!K$18),('Fuel Equipment'!K$19*'Fuel Equipment'!K$20*'Fuel Equipment'!K$21)*('Fuel Equipment'!K$45-'Fuel Equipment'!K$44)*
(VLOOKUP(IF('Fuel Equipment'!K$22=Report!$A$25,Report!$A$19,'Fuel Equipment'!K$22),Report!$A$18:$L$34,'Actual-CO2 Calculations'!$AK80,FALSE)),0),0)</f>
        <v>0</v>
      </c>
      <c r="L77" s="19">
        <f>IF(AND('Fuel Equipment'!L$44&gt;0,'Fuel Equipment'!L$45&gt;0),IF(AND($A77&gt;='Fuel Equipment'!L$17,$A77&lt;='Fuel Equipment'!L$18),('Fuel Equipment'!L$19*'Fuel Equipment'!L$20*'Fuel Equipment'!L$21)*('Fuel Equipment'!L$45-'Fuel Equipment'!L$44)*
(VLOOKUP(IF('Fuel Equipment'!L$22=Report!$A$25,Report!$A$19,'Fuel Equipment'!L$22),Report!$A$18:$L$34,'Actual-CO2 Calculations'!$AK80,FALSE)),0),0)</f>
        <v>0</v>
      </c>
      <c r="M77" s="19">
        <f>IF(AND('Fuel Equipment'!M$44&gt;0,'Fuel Equipment'!M$45&gt;0),IF(AND($A77&gt;='Fuel Equipment'!M$17,$A77&lt;='Fuel Equipment'!M$18),('Fuel Equipment'!M$19*'Fuel Equipment'!M$20*'Fuel Equipment'!M$21)*('Fuel Equipment'!M$45-'Fuel Equipment'!M$44)*
(VLOOKUP(IF('Fuel Equipment'!M$22=Report!$A$25,Report!$A$19,'Fuel Equipment'!M$22),Report!$A$18:$L$34,'Actual-CO2 Calculations'!$AK80,FALSE)),0),0)</f>
        <v>0</v>
      </c>
      <c r="N77" s="19">
        <f>IF(AND('Fuel Equipment'!N$44&gt;0,'Fuel Equipment'!N$45&gt;0),IF(AND($A77&gt;='Fuel Equipment'!N$17,$A77&lt;='Fuel Equipment'!N$18),('Fuel Equipment'!N$19*'Fuel Equipment'!N$20*'Fuel Equipment'!N$21)*('Fuel Equipment'!N$45-'Fuel Equipment'!N$44)*
(VLOOKUP(IF('Fuel Equipment'!N$22=Report!$A$25,Report!$A$19,'Fuel Equipment'!N$22),Report!$A$18:$L$34,'Actual-CO2 Calculations'!$AK80,FALSE)),0),0)</f>
        <v>0</v>
      </c>
      <c r="O77" s="19">
        <f>IF(AND('Fuel Equipment'!O$44&gt;0,'Fuel Equipment'!O$45&gt;0),IF(AND($A77&gt;='Fuel Equipment'!O$17,$A77&lt;='Fuel Equipment'!O$18),('Fuel Equipment'!O$19*'Fuel Equipment'!O$20*'Fuel Equipment'!O$21)*('Fuel Equipment'!O$45-'Fuel Equipment'!O$44)*
(VLOOKUP(IF('Fuel Equipment'!O$22=Report!$A$25,Report!$A$19,'Fuel Equipment'!O$22),Report!$A$18:$L$34,'Actual-CO2 Calculations'!$AK80,FALSE)),0),0)</f>
        <v>0</v>
      </c>
      <c r="P77" s="19">
        <f>IF(AND('Fuel Equipment'!P$44&gt;0,'Fuel Equipment'!P$45&gt;0),IF(AND($A77&gt;='Fuel Equipment'!P$17,$A77&lt;='Fuel Equipment'!P$18),('Fuel Equipment'!P$19*'Fuel Equipment'!P$20*'Fuel Equipment'!P$21)*('Fuel Equipment'!P$45-'Fuel Equipment'!P$44)*
(VLOOKUP(IF('Fuel Equipment'!P$22=Report!$A$25,Report!$A$19,'Fuel Equipment'!P$22),Report!$A$18:$L$34,'Actual-CO2 Calculations'!$AK80,FALSE)),0),0)</f>
        <v>0</v>
      </c>
      <c r="Q77" s="19">
        <f>IF(AND('Fuel Equipment'!Q$44&gt;0,'Fuel Equipment'!Q$45&gt;0),IF(AND($A77&gt;='Fuel Equipment'!Q$17,$A77&lt;='Fuel Equipment'!Q$18),('Fuel Equipment'!Q$19*'Fuel Equipment'!Q$20*'Fuel Equipment'!Q$21)*('Fuel Equipment'!Q$45-'Fuel Equipment'!Q$44)*
(VLOOKUP(IF('Fuel Equipment'!Q$22=Report!$A$25,Report!$A$19,'Fuel Equipment'!Q$22),Report!$A$18:$L$34,'Actual-CO2 Calculations'!$AK80,FALSE)),0),0)</f>
        <v>0</v>
      </c>
      <c r="R77" s="19">
        <f>IF(AND('Fuel Equipment'!R$44&gt;0,'Fuel Equipment'!R$45&gt;0),IF(AND($A77&gt;='Fuel Equipment'!R$17,$A77&lt;='Fuel Equipment'!R$18),('Fuel Equipment'!R$19*'Fuel Equipment'!R$20*'Fuel Equipment'!R$21)*('Fuel Equipment'!R$45-'Fuel Equipment'!R$44)*
(VLOOKUP(IF('Fuel Equipment'!R$22=Report!$A$25,Report!$A$19,'Fuel Equipment'!R$22),Report!$A$18:$L$34,'Actual-CO2 Calculations'!$AK80,FALSE)),0),0)</f>
        <v>0</v>
      </c>
      <c r="S77" s="19">
        <f>IF(AND('Fuel Equipment'!S$44&gt;0,'Fuel Equipment'!S$45&gt;0),IF(AND($A77&gt;='Fuel Equipment'!S$17,$A77&lt;='Fuel Equipment'!S$18),('Fuel Equipment'!S$19*'Fuel Equipment'!S$20*'Fuel Equipment'!S$21)*('Fuel Equipment'!S$45-'Fuel Equipment'!S$44)*
(VLOOKUP(IF('Fuel Equipment'!S$22=Report!$A$25,Report!$A$19,'Fuel Equipment'!S$22),Report!$A$18:$L$34,'Actual-CO2 Calculations'!$AK80,FALSE)),0),0)</f>
        <v>0</v>
      </c>
      <c r="V77" s="671">
        <f t="shared" si="1"/>
        <v>11147.63255043643</v>
      </c>
    </row>
    <row r="78" spans="1:22">
      <c r="A78" s="19" t="s">
        <v>18</v>
      </c>
      <c r="B78" s="19">
        <f>IF(AND('Fuel Equipment'!B$44&gt;0,'Fuel Equipment'!B$45&gt;0),IF(AND($A78&gt;='Fuel Equipment'!B$17,$A78&lt;='Fuel Equipment'!B$18),('Fuel Equipment'!B$19*'Fuel Equipment'!B$20*'Fuel Equipment'!B$21)*('Fuel Equipment'!B$45-'Fuel Equipment'!B$44)*
(VLOOKUP(IF('Fuel Equipment'!B$22=Report!$A$25,Report!$A$19,'Fuel Equipment'!B$22),Report!$A$18:$L$34,'Actual-CO2 Calculations'!$AK81,FALSE)),0),0)</f>
        <v>2298.1510588235305</v>
      </c>
      <c r="C78" s="19">
        <f>IF(AND('Fuel Equipment'!C$44&gt;0,'Fuel Equipment'!C$45&gt;0),IF(AND($A78&gt;='Fuel Equipment'!C$17,$A78&lt;='Fuel Equipment'!C$18),('Fuel Equipment'!C$19*'Fuel Equipment'!C$20*'Fuel Equipment'!C$21)*('Fuel Equipment'!C$45-'Fuel Equipment'!C$44)*
(VLOOKUP(IF('Fuel Equipment'!C$22=Report!$A$25,Report!$A$19,'Fuel Equipment'!C$22),Report!$A$18:$L$34,'Actual-CO2 Calculations'!$AK81,FALSE)),0),0)</f>
        <v>505.66645161290415</v>
      </c>
      <c r="D78" s="19">
        <f>IF(AND('Fuel Equipment'!D$44&gt;0,'Fuel Equipment'!D$45&gt;0),IF(AND($A78&gt;='Fuel Equipment'!D$17,$A78&lt;='Fuel Equipment'!D$18),('Fuel Equipment'!D$19*'Fuel Equipment'!D$20*'Fuel Equipment'!D$21)*('Fuel Equipment'!D$45-'Fuel Equipment'!D$44)*
(VLOOKUP(IF('Fuel Equipment'!D$22=Report!$A$25,Report!$A$19,'Fuel Equipment'!D$22),Report!$A$18:$L$34,'Actual-CO2 Calculations'!$AK81,FALSE)),0),0)</f>
        <v>5357.9750399999957</v>
      </c>
      <c r="E78" s="19">
        <f>IF(AND('Fuel Equipment'!E$44&gt;0,'Fuel Equipment'!E$45&gt;0),IF(AND($A78&gt;='Fuel Equipment'!E$17,$A78&lt;='Fuel Equipment'!E$18),('Fuel Equipment'!E$19*'Fuel Equipment'!E$20*'Fuel Equipment'!E$21)*('Fuel Equipment'!E$45-'Fuel Equipment'!E$44)*
(VLOOKUP(IF('Fuel Equipment'!E$22=Report!$A$25,Report!$A$19,'Fuel Equipment'!E$22),Report!$A$18:$L$34,'Actual-CO2 Calculations'!$AK81,FALSE)),0),0)</f>
        <v>2985.84</v>
      </c>
      <c r="F78" s="19">
        <f>IF(AND('Fuel Equipment'!F$44&gt;0,'Fuel Equipment'!F$45&gt;0),IF(AND($A78&gt;='Fuel Equipment'!F$17,$A78&lt;='Fuel Equipment'!F$18),('Fuel Equipment'!F$19*'Fuel Equipment'!F$20*'Fuel Equipment'!F$21)*('Fuel Equipment'!F$45-'Fuel Equipment'!F$44)*
(VLOOKUP(IF('Fuel Equipment'!F$22=Report!$A$25,Report!$A$19,'Fuel Equipment'!F$22),Report!$A$18:$L$34,'Actual-CO2 Calculations'!$AK81,FALSE)),0),0)</f>
        <v>0</v>
      </c>
      <c r="G78" s="19">
        <f>IF(AND('Fuel Equipment'!G$44&gt;0,'Fuel Equipment'!G$45&gt;0),IF(AND($A78&gt;='Fuel Equipment'!G$17,$A78&lt;='Fuel Equipment'!G$18),('Fuel Equipment'!G$19*'Fuel Equipment'!G$20*'Fuel Equipment'!G$21)*('Fuel Equipment'!G$45-'Fuel Equipment'!G$44)*
(VLOOKUP(IF('Fuel Equipment'!G$22=Report!$A$25,Report!$A$19,'Fuel Equipment'!G$22),Report!$A$18:$L$34,'Actual-CO2 Calculations'!$AK81,FALSE)),0),0)</f>
        <v>0</v>
      </c>
      <c r="H78" s="19">
        <f>IF(AND('Fuel Equipment'!H$44&gt;0,'Fuel Equipment'!H$45&gt;0),IF(AND($A78&gt;='Fuel Equipment'!H$17,$A78&lt;='Fuel Equipment'!H$18),('Fuel Equipment'!H$19*'Fuel Equipment'!H$20*'Fuel Equipment'!H$21)*('Fuel Equipment'!H$45-'Fuel Equipment'!H$44)*
(VLOOKUP(IF('Fuel Equipment'!H$22=Report!$A$25,Report!$A$19,'Fuel Equipment'!H$22),Report!$A$18:$L$34,'Actual-CO2 Calculations'!$AK81,FALSE)),0),0)</f>
        <v>0</v>
      </c>
      <c r="I78" s="19">
        <f>IF(AND('Fuel Equipment'!I$44&gt;0,'Fuel Equipment'!I$45&gt;0),IF(AND($A78&gt;='Fuel Equipment'!I$17,$A78&lt;='Fuel Equipment'!I$18),('Fuel Equipment'!I$19*'Fuel Equipment'!I$20*'Fuel Equipment'!I$21)*('Fuel Equipment'!I$45-'Fuel Equipment'!I$44)*
(VLOOKUP(IF('Fuel Equipment'!I$22=Report!$A$25,Report!$A$19,'Fuel Equipment'!I$22),Report!$A$18:$L$34,'Actual-CO2 Calculations'!$AK81,FALSE)),0),0)</f>
        <v>0</v>
      </c>
      <c r="J78" s="19">
        <f>IF(AND('Fuel Equipment'!J$44&gt;0,'Fuel Equipment'!J$45&gt;0),IF(AND($A78&gt;='Fuel Equipment'!J$17,$A78&lt;='Fuel Equipment'!J$18),('Fuel Equipment'!J$19*'Fuel Equipment'!J$20*'Fuel Equipment'!J$21)*('Fuel Equipment'!J$45-'Fuel Equipment'!J$44)*
(VLOOKUP(IF('Fuel Equipment'!J$22=Report!$A$25,Report!$A$19,'Fuel Equipment'!J$22),Report!$A$18:$L$34,'Actual-CO2 Calculations'!$AK81,FALSE)),0),0)</f>
        <v>0</v>
      </c>
      <c r="K78" s="19">
        <f>IF(AND('Fuel Equipment'!K$44&gt;0,'Fuel Equipment'!K$45&gt;0),IF(AND($A78&gt;='Fuel Equipment'!K$17,$A78&lt;='Fuel Equipment'!K$18),('Fuel Equipment'!K$19*'Fuel Equipment'!K$20*'Fuel Equipment'!K$21)*('Fuel Equipment'!K$45-'Fuel Equipment'!K$44)*
(VLOOKUP(IF('Fuel Equipment'!K$22=Report!$A$25,Report!$A$19,'Fuel Equipment'!K$22),Report!$A$18:$L$34,'Actual-CO2 Calculations'!$AK81,FALSE)),0),0)</f>
        <v>0</v>
      </c>
      <c r="L78" s="19">
        <f>IF(AND('Fuel Equipment'!L$44&gt;0,'Fuel Equipment'!L$45&gt;0),IF(AND($A78&gt;='Fuel Equipment'!L$17,$A78&lt;='Fuel Equipment'!L$18),('Fuel Equipment'!L$19*'Fuel Equipment'!L$20*'Fuel Equipment'!L$21)*('Fuel Equipment'!L$45-'Fuel Equipment'!L$44)*
(VLOOKUP(IF('Fuel Equipment'!L$22=Report!$A$25,Report!$A$19,'Fuel Equipment'!L$22),Report!$A$18:$L$34,'Actual-CO2 Calculations'!$AK81,FALSE)),0),0)</f>
        <v>0</v>
      </c>
      <c r="M78" s="19">
        <f>IF(AND('Fuel Equipment'!M$44&gt;0,'Fuel Equipment'!M$45&gt;0),IF(AND($A78&gt;='Fuel Equipment'!M$17,$A78&lt;='Fuel Equipment'!M$18),('Fuel Equipment'!M$19*'Fuel Equipment'!M$20*'Fuel Equipment'!M$21)*('Fuel Equipment'!M$45-'Fuel Equipment'!M$44)*
(VLOOKUP(IF('Fuel Equipment'!M$22=Report!$A$25,Report!$A$19,'Fuel Equipment'!M$22),Report!$A$18:$L$34,'Actual-CO2 Calculations'!$AK81,FALSE)),0),0)</f>
        <v>0</v>
      </c>
      <c r="N78" s="19">
        <f>IF(AND('Fuel Equipment'!N$44&gt;0,'Fuel Equipment'!N$45&gt;0),IF(AND($A78&gt;='Fuel Equipment'!N$17,$A78&lt;='Fuel Equipment'!N$18),('Fuel Equipment'!N$19*'Fuel Equipment'!N$20*'Fuel Equipment'!N$21)*('Fuel Equipment'!N$45-'Fuel Equipment'!N$44)*
(VLOOKUP(IF('Fuel Equipment'!N$22=Report!$A$25,Report!$A$19,'Fuel Equipment'!N$22),Report!$A$18:$L$34,'Actual-CO2 Calculations'!$AK81,FALSE)),0),0)</f>
        <v>0</v>
      </c>
      <c r="O78" s="19">
        <f>IF(AND('Fuel Equipment'!O$44&gt;0,'Fuel Equipment'!O$45&gt;0),IF(AND($A78&gt;='Fuel Equipment'!O$17,$A78&lt;='Fuel Equipment'!O$18),('Fuel Equipment'!O$19*'Fuel Equipment'!O$20*'Fuel Equipment'!O$21)*('Fuel Equipment'!O$45-'Fuel Equipment'!O$44)*
(VLOOKUP(IF('Fuel Equipment'!O$22=Report!$A$25,Report!$A$19,'Fuel Equipment'!O$22),Report!$A$18:$L$34,'Actual-CO2 Calculations'!$AK81,FALSE)),0),0)</f>
        <v>0</v>
      </c>
      <c r="P78" s="19">
        <f>IF(AND('Fuel Equipment'!P$44&gt;0,'Fuel Equipment'!P$45&gt;0),IF(AND($A78&gt;='Fuel Equipment'!P$17,$A78&lt;='Fuel Equipment'!P$18),('Fuel Equipment'!P$19*'Fuel Equipment'!P$20*'Fuel Equipment'!P$21)*('Fuel Equipment'!P$45-'Fuel Equipment'!P$44)*
(VLOOKUP(IF('Fuel Equipment'!P$22=Report!$A$25,Report!$A$19,'Fuel Equipment'!P$22),Report!$A$18:$L$34,'Actual-CO2 Calculations'!$AK81,FALSE)),0),0)</f>
        <v>0</v>
      </c>
      <c r="Q78" s="19">
        <f>IF(AND('Fuel Equipment'!Q$44&gt;0,'Fuel Equipment'!Q$45&gt;0),IF(AND($A78&gt;='Fuel Equipment'!Q$17,$A78&lt;='Fuel Equipment'!Q$18),('Fuel Equipment'!Q$19*'Fuel Equipment'!Q$20*'Fuel Equipment'!Q$21)*('Fuel Equipment'!Q$45-'Fuel Equipment'!Q$44)*
(VLOOKUP(IF('Fuel Equipment'!Q$22=Report!$A$25,Report!$A$19,'Fuel Equipment'!Q$22),Report!$A$18:$L$34,'Actual-CO2 Calculations'!$AK81,FALSE)),0),0)</f>
        <v>0</v>
      </c>
      <c r="R78" s="19">
        <f>IF(AND('Fuel Equipment'!R$44&gt;0,'Fuel Equipment'!R$45&gt;0),IF(AND($A78&gt;='Fuel Equipment'!R$17,$A78&lt;='Fuel Equipment'!R$18),('Fuel Equipment'!R$19*'Fuel Equipment'!R$20*'Fuel Equipment'!R$21)*('Fuel Equipment'!R$45-'Fuel Equipment'!R$44)*
(VLOOKUP(IF('Fuel Equipment'!R$22=Report!$A$25,Report!$A$19,'Fuel Equipment'!R$22),Report!$A$18:$L$34,'Actual-CO2 Calculations'!$AK81,FALSE)),0),0)</f>
        <v>0</v>
      </c>
      <c r="S78" s="19">
        <f>IF(AND('Fuel Equipment'!S$44&gt;0,'Fuel Equipment'!S$45&gt;0),IF(AND($A78&gt;='Fuel Equipment'!S$17,$A78&lt;='Fuel Equipment'!S$18),('Fuel Equipment'!S$19*'Fuel Equipment'!S$20*'Fuel Equipment'!S$21)*('Fuel Equipment'!S$45-'Fuel Equipment'!S$44)*
(VLOOKUP(IF('Fuel Equipment'!S$22=Report!$A$25,Report!$A$19,'Fuel Equipment'!S$22),Report!$A$18:$L$34,'Actual-CO2 Calculations'!$AK81,FALSE)),0),0)</f>
        <v>0</v>
      </c>
      <c r="V78" s="671">
        <f t="shared" si="1"/>
        <v>11147.63255043643</v>
      </c>
    </row>
    <row r="79" spans="1:22">
      <c r="A79" s="19" t="s">
        <v>19</v>
      </c>
      <c r="B79" s="19">
        <f>IF(AND('Fuel Equipment'!B$44&gt;0,'Fuel Equipment'!B$45&gt;0),IF(AND($A79&gt;='Fuel Equipment'!B$17,$A79&lt;='Fuel Equipment'!B$18),('Fuel Equipment'!B$19*'Fuel Equipment'!B$20*'Fuel Equipment'!B$21)*('Fuel Equipment'!B$45-'Fuel Equipment'!B$44)*
(VLOOKUP(IF('Fuel Equipment'!B$22=Report!$A$25,Report!$A$19,'Fuel Equipment'!B$22),Report!$A$18:$L$34,'Actual-CO2 Calculations'!$AK82,FALSE)),0),0)</f>
        <v>2298.1510588235305</v>
      </c>
      <c r="C79" s="19">
        <f>IF(AND('Fuel Equipment'!C$44&gt;0,'Fuel Equipment'!C$45&gt;0),IF(AND($A79&gt;='Fuel Equipment'!C$17,$A79&lt;='Fuel Equipment'!C$18),('Fuel Equipment'!C$19*'Fuel Equipment'!C$20*'Fuel Equipment'!C$21)*('Fuel Equipment'!C$45-'Fuel Equipment'!C$44)*
(VLOOKUP(IF('Fuel Equipment'!C$22=Report!$A$25,Report!$A$19,'Fuel Equipment'!C$22),Report!$A$18:$L$34,'Actual-CO2 Calculations'!$AK82,FALSE)),0),0)</f>
        <v>505.66645161290415</v>
      </c>
      <c r="D79" s="19">
        <f>IF(AND('Fuel Equipment'!D$44&gt;0,'Fuel Equipment'!D$45&gt;0),IF(AND($A79&gt;='Fuel Equipment'!D$17,$A79&lt;='Fuel Equipment'!D$18),('Fuel Equipment'!D$19*'Fuel Equipment'!D$20*'Fuel Equipment'!D$21)*('Fuel Equipment'!D$45-'Fuel Equipment'!D$44)*
(VLOOKUP(IF('Fuel Equipment'!D$22=Report!$A$25,Report!$A$19,'Fuel Equipment'!D$22),Report!$A$18:$L$34,'Actual-CO2 Calculations'!$AK82,FALSE)),0),0)</f>
        <v>5357.9750399999957</v>
      </c>
      <c r="E79" s="19">
        <f>IF(AND('Fuel Equipment'!E$44&gt;0,'Fuel Equipment'!E$45&gt;0),IF(AND($A79&gt;='Fuel Equipment'!E$17,$A79&lt;='Fuel Equipment'!E$18),('Fuel Equipment'!E$19*'Fuel Equipment'!E$20*'Fuel Equipment'!E$21)*('Fuel Equipment'!E$45-'Fuel Equipment'!E$44)*
(VLOOKUP(IF('Fuel Equipment'!E$22=Report!$A$25,Report!$A$19,'Fuel Equipment'!E$22),Report!$A$18:$L$34,'Actual-CO2 Calculations'!$AK82,FALSE)),0),0)</f>
        <v>2985.84</v>
      </c>
      <c r="F79" s="19">
        <f>IF(AND('Fuel Equipment'!F$44&gt;0,'Fuel Equipment'!F$45&gt;0),IF(AND($A79&gt;='Fuel Equipment'!F$17,$A79&lt;='Fuel Equipment'!F$18),('Fuel Equipment'!F$19*'Fuel Equipment'!F$20*'Fuel Equipment'!F$21)*('Fuel Equipment'!F$45-'Fuel Equipment'!F$44)*
(VLOOKUP(IF('Fuel Equipment'!F$22=Report!$A$25,Report!$A$19,'Fuel Equipment'!F$22),Report!$A$18:$L$34,'Actual-CO2 Calculations'!$AK82,FALSE)),0),0)</f>
        <v>0</v>
      </c>
      <c r="G79" s="19">
        <f>IF(AND('Fuel Equipment'!G$44&gt;0,'Fuel Equipment'!G$45&gt;0),IF(AND($A79&gt;='Fuel Equipment'!G$17,$A79&lt;='Fuel Equipment'!G$18),('Fuel Equipment'!G$19*'Fuel Equipment'!G$20*'Fuel Equipment'!G$21)*('Fuel Equipment'!G$45-'Fuel Equipment'!G$44)*
(VLOOKUP(IF('Fuel Equipment'!G$22=Report!$A$25,Report!$A$19,'Fuel Equipment'!G$22),Report!$A$18:$L$34,'Actual-CO2 Calculations'!$AK82,FALSE)),0),0)</f>
        <v>0</v>
      </c>
      <c r="H79" s="19">
        <f>IF(AND('Fuel Equipment'!H$44&gt;0,'Fuel Equipment'!H$45&gt;0),IF(AND($A79&gt;='Fuel Equipment'!H$17,$A79&lt;='Fuel Equipment'!H$18),('Fuel Equipment'!H$19*'Fuel Equipment'!H$20*'Fuel Equipment'!H$21)*('Fuel Equipment'!H$45-'Fuel Equipment'!H$44)*
(VLOOKUP(IF('Fuel Equipment'!H$22=Report!$A$25,Report!$A$19,'Fuel Equipment'!H$22),Report!$A$18:$L$34,'Actual-CO2 Calculations'!$AK82,FALSE)),0),0)</f>
        <v>0</v>
      </c>
      <c r="I79" s="19">
        <f>IF(AND('Fuel Equipment'!I$44&gt;0,'Fuel Equipment'!I$45&gt;0),IF(AND($A79&gt;='Fuel Equipment'!I$17,$A79&lt;='Fuel Equipment'!I$18),('Fuel Equipment'!I$19*'Fuel Equipment'!I$20*'Fuel Equipment'!I$21)*('Fuel Equipment'!I$45-'Fuel Equipment'!I$44)*
(VLOOKUP(IF('Fuel Equipment'!I$22=Report!$A$25,Report!$A$19,'Fuel Equipment'!I$22),Report!$A$18:$L$34,'Actual-CO2 Calculations'!$AK82,FALSE)),0),0)</f>
        <v>0</v>
      </c>
      <c r="J79" s="19">
        <f>IF(AND('Fuel Equipment'!J$44&gt;0,'Fuel Equipment'!J$45&gt;0),IF(AND($A79&gt;='Fuel Equipment'!J$17,$A79&lt;='Fuel Equipment'!J$18),('Fuel Equipment'!J$19*'Fuel Equipment'!J$20*'Fuel Equipment'!J$21)*('Fuel Equipment'!J$45-'Fuel Equipment'!J$44)*
(VLOOKUP(IF('Fuel Equipment'!J$22=Report!$A$25,Report!$A$19,'Fuel Equipment'!J$22),Report!$A$18:$L$34,'Actual-CO2 Calculations'!$AK82,FALSE)),0),0)</f>
        <v>0</v>
      </c>
      <c r="K79" s="19">
        <f>IF(AND('Fuel Equipment'!K$44&gt;0,'Fuel Equipment'!K$45&gt;0),IF(AND($A79&gt;='Fuel Equipment'!K$17,$A79&lt;='Fuel Equipment'!K$18),('Fuel Equipment'!K$19*'Fuel Equipment'!K$20*'Fuel Equipment'!K$21)*('Fuel Equipment'!K$45-'Fuel Equipment'!K$44)*
(VLOOKUP(IF('Fuel Equipment'!K$22=Report!$A$25,Report!$A$19,'Fuel Equipment'!K$22),Report!$A$18:$L$34,'Actual-CO2 Calculations'!$AK82,FALSE)),0),0)</f>
        <v>0</v>
      </c>
      <c r="L79" s="19">
        <f>IF(AND('Fuel Equipment'!L$44&gt;0,'Fuel Equipment'!L$45&gt;0),IF(AND($A79&gt;='Fuel Equipment'!L$17,$A79&lt;='Fuel Equipment'!L$18),('Fuel Equipment'!L$19*'Fuel Equipment'!L$20*'Fuel Equipment'!L$21)*('Fuel Equipment'!L$45-'Fuel Equipment'!L$44)*
(VLOOKUP(IF('Fuel Equipment'!L$22=Report!$A$25,Report!$A$19,'Fuel Equipment'!L$22),Report!$A$18:$L$34,'Actual-CO2 Calculations'!$AK82,FALSE)),0),0)</f>
        <v>0</v>
      </c>
      <c r="M79" s="19">
        <f>IF(AND('Fuel Equipment'!M$44&gt;0,'Fuel Equipment'!M$45&gt;0),IF(AND($A79&gt;='Fuel Equipment'!M$17,$A79&lt;='Fuel Equipment'!M$18),('Fuel Equipment'!M$19*'Fuel Equipment'!M$20*'Fuel Equipment'!M$21)*('Fuel Equipment'!M$45-'Fuel Equipment'!M$44)*
(VLOOKUP(IF('Fuel Equipment'!M$22=Report!$A$25,Report!$A$19,'Fuel Equipment'!M$22),Report!$A$18:$L$34,'Actual-CO2 Calculations'!$AK82,FALSE)),0),0)</f>
        <v>0</v>
      </c>
      <c r="N79" s="19">
        <f>IF(AND('Fuel Equipment'!N$44&gt;0,'Fuel Equipment'!N$45&gt;0),IF(AND($A79&gt;='Fuel Equipment'!N$17,$A79&lt;='Fuel Equipment'!N$18),('Fuel Equipment'!N$19*'Fuel Equipment'!N$20*'Fuel Equipment'!N$21)*('Fuel Equipment'!N$45-'Fuel Equipment'!N$44)*
(VLOOKUP(IF('Fuel Equipment'!N$22=Report!$A$25,Report!$A$19,'Fuel Equipment'!N$22),Report!$A$18:$L$34,'Actual-CO2 Calculations'!$AK82,FALSE)),0),0)</f>
        <v>0</v>
      </c>
      <c r="O79" s="19">
        <f>IF(AND('Fuel Equipment'!O$44&gt;0,'Fuel Equipment'!O$45&gt;0),IF(AND($A79&gt;='Fuel Equipment'!O$17,$A79&lt;='Fuel Equipment'!O$18),('Fuel Equipment'!O$19*'Fuel Equipment'!O$20*'Fuel Equipment'!O$21)*('Fuel Equipment'!O$45-'Fuel Equipment'!O$44)*
(VLOOKUP(IF('Fuel Equipment'!O$22=Report!$A$25,Report!$A$19,'Fuel Equipment'!O$22),Report!$A$18:$L$34,'Actual-CO2 Calculations'!$AK82,FALSE)),0),0)</f>
        <v>0</v>
      </c>
      <c r="P79" s="19">
        <f>IF(AND('Fuel Equipment'!P$44&gt;0,'Fuel Equipment'!P$45&gt;0),IF(AND($A79&gt;='Fuel Equipment'!P$17,$A79&lt;='Fuel Equipment'!P$18),('Fuel Equipment'!P$19*'Fuel Equipment'!P$20*'Fuel Equipment'!P$21)*('Fuel Equipment'!P$45-'Fuel Equipment'!P$44)*
(VLOOKUP(IF('Fuel Equipment'!P$22=Report!$A$25,Report!$A$19,'Fuel Equipment'!P$22),Report!$A$18:$L$34,'Actual-CO2 Calculations'!$AK82,FALSE)),0),0)</f>
        <v>0</v>
      </c>
      <c r="Q79" s="19">
        <f>IF(AND('Fuel Equipment'!Q$44&gt;0,'Fuel Equipment'!Q$45&gt;0),IF(AND($A79&gt;='Fuel Equipment'!Q$17,$A79&lt;='Fuel Equipment'!Q$18),('Fuel Equipment'!Q$19*'Fuel Equipment'!Q$20*'Fuel Equipment'!Q$21)*('Fuel Equipment'!Q$45-'Fuel Equipment'!Q$44)*
(VLOOKUP(IF('Fuel Equipment'!Q$22=Report!$A$25,Report!$A$19,'Fuel Equipment'!Q$22),Report!$A$18:$L$34,'Actual-CO2 Calculations'!$AK82,FALSE)),0),0)</f>
        <v>0</v>
      </c>
      <c r="R79" s="19">
        <f>IF(AND('Fuel Equipment'!R$44&gt;0,'Fuel Equipment'!R$45&gt;0),IF(AND($A79&gt;='Fuel Equipment'!R$17,$A79&lt;='Fuel Equipment'!R$18),('Fuel Equipment'!R$19*'Fuel Equipment'!R$20*'Fuel Equipment'!R$21)*('Fuel Equipment'!R$45-'Fuel Equipment'!R$44)*
(VLOOKUP(IF('Fuel Equipment'!R$22=Report!$A$25,Report!$A$19,'Fuel Equipment'!R$22),Report!$A$18:$L$34,'Actual-CO2 Calculations'!$AK82,FALSE)),0),0)</f>
        <v>0</v>
      </c>
      <c r="S79" s="19">
        <f>IF(AND('Fuel Equipment'!S$44&gt;0,'Fuel Equipment'!S$45&gt;0),IF(AND($A79&gt;='Fuel Equipment'!S$17,$A79&lt;='Fuel Equipment'!S$18),('Fuel Equipment'!S$19*'Fuel Equipment'!S$20*'Fuel Equipment'!S$21)*('Fuel Equipment'!S$45-'Fuel Equipment'!S$44)*
(VLOOKUP(IF('Fuel Equipment'!S$22=Report!$A$25,Report!$A$19,'Fuel Equipment'!S$22),Report!$A$18:$L$34,'Actual-CO2 Calculations'!$AK82,FALSE)),0),0)</f>
        <v>0</v>
      </c>
      <c r="V79" s="671">
        <f t="shared" si="1"/>
        <v>11147.63255043643</v>
      </c>
    </row>
    <row r="80" spans="1:22">
      <c r="A80" s="21" t="s">
        <v>85</v>
      </c>
      <c r="B80" s="19">
        <f>IF(AND('Fuel Equipment'!B$44&gt;0,'Fuel Equipment'!B$45&gt;0),IF(AND($A80&gt;='Fuel Equipment'!B$17,$A80&lt;='Fuel Equipment'!B$18),('Fuel Equipment'!B$19*'Fuel Equipment'!B$20*'Fuel Equipment'!B$21)*('Fuel Equipment'!B$45-'Fuel Equipment'!B$44)*
(VLOOKUP(IF('Fuel Equipment'!B$22=Report!$A$25,Report!$A$19,'Fuel Equipment'!B$22),Report!$A$18:$L$34,'Actual-CO2 Calculations'!$AK83,FALSE)),0),0)</f>
        <v>0</v>
      </c>
      <c r="C80" s="19">
        <f>IF(AND('Fuel Equipment'!C$44&gt;0,'Fuel Equipment'!C$45&gt;0),IF(AND($A80&gt;='Fuel Equipment'!C$17,$A80&lt;='Fuel Equipment'!C$18),('Fuel Equipment'!C$19*'Fuel Equipment'!C$20*'Fuel Equipment'!C$21)*('Fuel Equipment'!C$45-'Fuel Equipment'!C$44)*
(VLOOKUP(IF('Fuel Equipment'!C$22=Report!$A$25,Report!$A$19,'Fuel Equipment'!C$22),Report!$A$18:$L$34,'Actual-CO2 Calculations'!$AK83,FALSE)),0),0)</f>
        <v>0</v>
      </c>
      <c r="D80" s="19">
        <f>IF(AND('Fuel Equipment'!D$44&gt;0,'Fuel Equipment'!D$45&gt;0),IF(AND($A80&gt;='Fuel Equipment'!D$17,$A80&lt;='Fuel Equipment'!D$18),('Fuel Equipment'!D$19*'Fuel Equipment'!D$20*'Fuel Equipment'!D$21)*('Fuel Equipment'!D$45-'Fuel Equipment'!D$44)*
(VLOOKUP(IF('Fuel Equipment'!D$22=Report!$A$25,Report!$A$19,'Fuel Equipment'!D$22),Report!$A$18:$L$34,'Actual-CO2 Calculations'!$AK83,FALSE)),0),0)</f>
        <v>0</v>
      </c>
      <c r="E80" s="19">
        <f>IF(AND('Fuel Equipment'!E$44&gt;0,'Fuel Equipment'!E$45&gt;0),IF(AND($A80&gt;='Fuel Equipment'!E$17,$A80&lt;='Fuel Equipment'!E$18),('Fuel Equipment'!E$19*'Fuel Equipment'!E$20*'Fuel Equipment'!E$21)*('Fuel Equipment'!E$45-'Fuel Equipment'!E$44)*
(VLOOKUP(IF('Fuel Equipment'!E$22=Report!$A$25,Report!$A$19,'Fuel Equipment'!E$22),Report!$A$18:$L$34,'Actual-CO2 Calculations'!$AK83,FALSE)),0),0)</f>
        <v>0</v>
      </c>
      <c r="F80" s="19">
        <f>IF(AND('Fuel Equipment'!F$44&gt;0,'Fuel Equipment'!F$45&gt;0),IF(AND($A80&gt;='Fuel Equipment'!F$17,$A80&lt;='Fuel Equipment'!F$18),('Fuel Equipment'!F$19*'Fuel Equipment'!F$20*'Fuel Equipment'!F$21)*('Fuel Equipment'!F$45-'Fuel Equipment'!F$44)*
(VLOOKUP(IF('Fuel Equipment'!F$22=Report!$A$25,Report!$A$19,'Fuel Equipment'!F$22),Report!$A$18:$L$34,'Actual-CO2 Calculations'!$AK83,FALSE)),0),0)</f>
        <v>0</v>
      </c>
      <c r="G80" s="19">
        <f>IF(AND('Fuel Equipment'!G$44&gt;0,'Fuel Equipment'!G$45&gt;0),IF(AND($A80&gt;='Fuel Equipment'!G$17,$A80&lt;='Fuel Equipment'!G$18),('Fuel Equipment'!G$19*'Fuel Equipment'!G$20*'Fuel Equipment'!G$21)*('Fuel Equipment'!G$45-'Fuel Equipment'!G$44)*
(VLOOKUP(IF('Fuel Equipment'!G$22=Report!$A$25,Report!$A$19,'Fuel Equipment'!G$22),Report!$A$18:$L$34,'Actual-CO2 Calculations'!$AK83,FALSE)),0),0)</f>
        <v>0</v>
      </c>
      <c r="H80" s="19">
        <f>IF(AND('Fuel Equipment'!H$44&gt;0,'Fuel Equipment'!H$45&gt;0),IF(AND($A80&gt;='Fuel Equipment'!H$17,$A80&lt;='Fuel Equipment'!H$18),('Fuel Equipment'!H$19*'Fuel Equipment'!H$20*'Fuel Equipment'!H$21)*('Fuel Equipment'!H$45-'Fuel Equipment'!H$44)*
(VLOOKUP(IF('Fuel Equipment'!H$22=Report!$A$25,Report!$A$19,'Fuel Equipment'!H$22),Report!$A$18:$L$34,'Actual-CO2 Calculations'!$AK83,FALSE)),0),0)</f>
        <v>0</v>
      </c>
      <c r="I80" s="19">
        <f>IF(AND('Fuel Equipment'!I$44&gt;0,'Fuel Equipment'!I$45&gt;0),IF(AND($A80&gt;='Fuel Equipment'!I$17,$A80&lt;='Fuel Equipment'!I$18),('Fuel Equipment'!I$19*'Fuel Equipment'!I$20*'Fuel Equipment'!I$21)*('Fuel Equipment'!I$45-'Fuel Equipment'!I$44)*
(VLOOKUP(IF('Fuel Equipment'!I$22=Report!$A$25,Report!$A$19,'Fuel Equipment'!I$22),Report!$A$18:$L$34,'Actual-CO2 Calculations'!$AK83,FALSE)),0),0)</f>
        <v>0</v>
      </c>
      <c r="J80" s="19">
        <f>IF(AND('Fuel Equipment'!J$44&gt;0,'Fuel Equipment'!J$45&gt;0),IF(AND($A80&gt;='Fuel Equipment'!J$17,$A80&lt;='Fuel Equipment'!J$18),('Fuel Equipment'!J$19*'Fuel Equipment'!J$20*'Fuel Equipment'!J$21)*('Fuel Equipment'!J$45-'Fuel Equipment'!J$44)*
(VLOOKUP(IF('Fuel Equipment'!J$22=Report!$A$25,Report!$A$19,'Fuel Equipment'!J$22),Report!$A$18:$L$34,'Actual-CO2 Calculations'!$AK83,FALSE)),0),0)</f>
        <v>0</v>
      </c>
      <c r="K80" s="19">
        <f>IF(AND('Fuel Equipment'!K$44&gt;0,'Fuel Equipment'!K$45&gt;0),IF(AND($A80&gt;='Fuel Equipment'!K$17,$A80&lt;='Fuel Equipment'!K$18),('Fuel Equipment'!K$19*'Fuel Equipment'!K$20*'Fuel Equipment'!K$21)*('Fuel Equipment'!K$45-'Fuel Equipment'!K$44)*
(VLOOKUP(IF('Fuel Equipment'!K$22=Report!$A$25,Report!$A$19,'Fuel Equipment'!K$22),Report!$A$18:$L$34,'Actual-CO2 Calculations'!$AK83,FALSE)),0),0)</f>
        <v>0</v>
      </c>
      <c r="L80" s="19">
        <f>IF(AND('Fuel Equipment'!L$44&gt;0,'Fuel Equipment'!L$45&gt;0),IF(AND($A80&gt;='Fuel Equipment'!L$17,$A80&lt;='Fuel Equipment'!L$18),('Fuel Equipment'!L$19*'Fuel Equipment'!L$20*'Fuel Equipment'!L$21)*('Fuel Equipment'!L$45-'Fuel Equipment'!L$44)*
(VLOOKUP(IF('Fuel Equipment'!L$22=Report!$A$25,Report!$A$19,'Fuel Equipment'!L$22),Report!$A$18:$L$34,'Actual-CO2 Calculations'!$AK83,FALSE)),0),0)</f>
        <v>0</v>
      </c>
      <c r="M80" s="19">
        <f>IF(AND('Fuel Equipment'!M$44&gt;0,'Fuel Equipment'!M$45&gt;0),IF(AND($A80&gt;='Fuel Equipment'!M$17,$A80&lt;='Fuel Equipment'!M$18),('Fuel Equipment'!M$19*'Fuel Equipment'!M$20*'Fuel Equipment'!M$21)*('Fuel Equipment'!M$45-'Fuel Equipment'!M$44)*
(VLOOKUP(IF('Fuel Equipment'!M$22=Report!$A$25,Report!$A$19,'Fuel Equipment'!M$22),Report!$A$18:$L$34,'Actual-CO2 Calculations'!$AK83,FALSE)),0),0)</f>
        <v>0</v>
      </c>
      <c r="N80" s="19">
        <f>IF(AND('Fuel Equipment'!N$44&gt;0,'Fuel Equipment'!N$45&gt;0),IF(AND($A80&gt;='Fuel Equipment'!N$17,$A80&lt;='Fuel Equipment'!N$18),('Fuel Equipment'!N$19*'Fuel Equipment'!N$20*'Fuel Equipment'!N$21)*('Fuel Equipment'!N$45-'Fuel Equipment'!N$44)*
(VLOOKUP(IF('Fuel Equipment'!N$22=Report!$A$25,Report!$A$19,'Fuel Equipment'!N$22),Report!$A$18:$L$34,'Actual-CO2 Calculations'!$AK83,FALSE)),0),0)</f>
        <v>0</v>
      </c>
      <c r="O80" s="19">
        <f>IF(AND('Fuel Equipment'!O$44&gt;0,'Fuel Equipment'!O$45&gt;0),IF(AND($A80&gt;='Fuel Equipment'!O$17,$A80&lt;='Fuel Equipment'!O$18),('Fuel Equipment'!O$19*'Fuel Equipment'!O$20*'Fuel Equipment'!O$21)*('Fuel Equipment'!O$45-'Fuel Equipment'!O$44)*
(VLOOKUP(IF('Fuel Equipment'!O$22=Report!$A$25,Report!$A$19,'Fuel Equipment'!O$22),Report!$A$18:$L$34,'Actual-CO2 Calculations'!$AK83,FALSE)),0),0)</f>
        <v>0</v>
      </c>
      <c r="P80" s="19">
        <f>IF(AND('Fuel Equipment'!P$44&gt;0,'Fuel Equipment'!P$45&gt;0),IF(AND($A80&gt;='Fuel Equipment'!P$17,$A80&lt;='Fuel Equipment'!P$18),('Fuel Equipment'!P$19*'Fuel Equipment'!P$20*'Fuel Equipment'!P$21)*('Fuel Equipment'!P$45-'Fuel Equipment'!P$44)*
(VLOOKUP(IF('Fuel Equipment'!P$22=Report!$A$25,Report!$A$19,'Fuel Equipment'!P$22),Report!$A$18:$L$34,'Actual-CO2 Calculations'!$AK83,FALSE)),0),0)</f>
        <v>0</v>
      </c>
      <c r="Q80" s="19">
        <f>IF(AND('Fuel Equipment'!Q$44&gt;0,'Fuel Equipment'!Q$45&gt;0),IF(AND($A80&gt;='Fuel Equipment'!Q$17,$A80&lt;='Fuel Equipment'!Q$18),('Fuel Equipment'!Q$19*'Fuel Equipment'!Q$20*'Fuel Equipment'!Q$21)*('Fuel Equipment'!Q$45-'Fuel Equipment'!Q$44)*
(VLOOKUP(IF('Fuel Equipment'!Q$22=Report!$A$25,Report!$A$19,'Fuel Equipment'!Q$22),Report!$A$18:$L$34,'Actual-CO2 Calculations'!$AK83,FALSE)),0),0)</f>
        <v>0</v>
      </c>
      <c r="R80" s="19">
        <f>IF(AND('Fuel Equipment'!R$44&gt;0,'Fuel Equipment'!R$45&gt;0),IF(AND($A80&gt;='Fuel Equipment'!R$17,$A80&lt;='Fuel Equipment'!R$18),('Fuel Equipment'!R$19*'Fuel Equipment'!R$20*'Fuel Equipment'!R$21)*('Fuel Equipment'!R$45-'Fuel Equipment'!R$44)*
(VLOOKUP(IF('Fuel Equipment'!R$22=Report!$A$25,Report!$A$19,'Fuel Equipment'!R$22),Report!$A$18:$L$34,'Actual-CO2 Calculations'!$AK83,FALSE)),0),0)</f>
        <v>0</v>
      </c>
      <c r="S80" s="19">
        <f>IF(AND('Fuel Equipment'!S$44&gt;0,'Fuel Equipment'!S$45&gt;0),IF(AND($A80&gt;='Fuel Equipment'!S$17,$A80&lt;='Fuel Equipment'!S$18),('Fuel Equipment'!S$19*'Fuel Equipment'!S$20*'Fuel Equipment'!S$21)*('Fuel Equipment'!S$45-'Fuel Equipment'!S$44)*
(VLOOKUP(IF('Fuel Equipment'!S$22=Report!$A$25,Report!$A$19,'Fuel Equipment'!S$22),Report!$A$18:$L$34,'Actual-CO2 Calculations'!$AK83,FALSE)),0),0)</f>
        <v>0</v>
      </c>
      <c r="V80" s="671">
        <f t="shared" si="1"/>
        <v>0</v>
      </c>
    </row>
    <row r="81" spans="1:22">
      <c r="A81" s="21" t="s">
        <v>86</v>
      </c>
      <c r="B81" s="19">
        <f>IF(AND('Fuel Equipment'!B$44&gt;0,'Fuel Equipment'!B$45&gt;0),IF(AND($A81&gt;='Fuel Equipment'!B$17,$A81&lt;='Fuel Equipment'!B$18),('Fuel Equipment'!B$19*'Fuel Equipment'!B$20*'Fuel Equipment'!B$21)*('Fuel Equipment'!B$45-'Fuel Equipment'!B$44)*
(VLOOKUP(IF('Fuel Equipment'!B$22=Report!$A$25,Report!$A$19,'Fuel Equipment'!B$22),Report!$A$18:$L$34,'Actual-CO2 Calculations'!$AK84,FALSE)),0),0)</f>
        <v>0</v>
      </c>
      <c r="C81" s="19">
        <f>IF(AND('Fuel Equipment'!C$44&gt;0,'Fuel Equipment'!C$45&gt;0),IF(AND($A81&gt;='Fuel Equipment'!C$17,$A81&lt;='Fuel Equipment'!C$18),('Fuel Equipment'!C$19*'Fuel Equipment'!C$20*'Fuel Equipment'!C$21)*('Fuel Equipment'!C$45-'Fuel Equipment'!C$44)*
(VLOOKUP(IF('Fuel Equipment'!C$22=Report!$A$25,Report!$A$19,'Fuel Equipment'!C$22),Report!$A$18:$L$34,'Actual-CO2 Calculations'!$AK84,FALSE)),0),0)</f>
        <v>0</v>
      </c>
      <c r="D81" s="19">
        <f>IF(AND('Fuel Equipment'!D$44&gt;0,'Fuel Equipment'!D$45&gt;0),IF(AND($A81&gt;='Fuel Equipment'!D$17,$A81&lt;='Fuel Equipment'!D$18),('Fuel Equipment'!D$19*'Fuel Equipment'!D$20*'Fuel Equipment'!D$21)*('Fuel Equipment'!D$45-'Fuel Equipment'!D$44)*
(VLOOKUP(IF('Fuel Equipment'!D$22=Report!$A$25,Report!$A$19,'Fuel Equipment'!D$22),Report!$A$18:$L$34,'Actual-CO2 Calculations'!$AK84,FALSE)),0),0)</f>
        <v>0</v>
      </c>
      <c r="E81" s="19">
        <f>IF(AND('Fuel Equipment'!E$44&gt;0,'Fuel Equipment'!E$45&gt;0),IF(AND($A81&gt;='Fuel Equipment'!E$17,$A81&lt;='Fuel Equipment'!E$18),('Fuel Equipment'!E$19*'Fuel Equipment'!E$20*'Fuel Equipment'!E$21)*('Fuel Equipment'!E$45-'Fuel Equipment'!E$44)*
(VLOOKUP(IF('Fuel Equipment'!E$22=Report!$A$25,Report!$A$19,'Fuel Equipment'!E$22),Report!$A$18:$L$34,'Actual-CO2 Calculations'!$AK84,FALSE)),0),0)</f>
        <v>0</v>
      </c>
      <c r="F81" s="19">
        <f>IF(AND('Fuel Equipment'!F$44&gt;0,'Fuel Equipment'!F$45&gt;0),IF(AND($A81&gt;='Fuel Equipment'!F$17,$A81&lt;='Fuel Equipment'!F$18),('Fuel Equipment'!F$19*'Fuel Equipment'!F$20*'Fuel Equipment'!F$21)*('Fuel Equipment'!F$45-'Fuel Equipment'!F$44)*
(VLOOKUP(IF('Fuel Equipment'!F$22=Report!$A$25,Report!$A$19,'Fuel Equipment'!F$22),Report!$A$18:$L$34,'Actual-CO2 Calculations'!$AK84,FALSE)),0),0)</f>
        <v>0</v>
      </c>
      <c r="G81" s="19">
        <f>IF(AND('Fuel Equipment'!G$44&gt;0,'Fuel Equipment'!G$45&gt;0),IF(AND($A81&gt;='Fuel Equipment'!G$17,$A81&lt;='Fuel Equipment'!G$18),('Fuel Equipment'!G$19*'Fuel Equipment'!G$20*'Fuel Equipment'!G$21)*('Fuel Equipment'!G$45-'Fuel Equipment'!G$44)*
(VLOOKUP(IF('Fuel Equipment'!G$22=Report!$A$25,Report!$A$19,'Fuel Equipment'!G$22),Report!$A$18:$L$34,'Actual-CO2 Calculations'!$AK84,FALSE)),0),0)</f>
        <v>0</v>
      </c>
      <c r="H81" s="19">
        <f>IF(AND('Fuel Equipment'!H$44&gt;0,'Fuel Equipment'!H$45&gt;0),IF(AND($A81&gt;='Fuel Equipment'!H$17,$A81&lt;='Fuel Equipment'!H$18),('Fuel Equipment'!H$19*'Fuel Equipment'!H$20*'Fuel Equipment'!H$21)*('Fuel Equipment'!H$45-'Fuel Equipment'!H$44)*
(VLOOKUP(IF('Fuel Equipment'!H$22=Report!$A$25,Report!$A$19,'Fuel Equipment'!H$22),Report!$A$18:$L$34,'Actual-CO2 Calculations'!$AK84,FALSE)),0),0)</f>
        <v>0</v>
      </c>
      <c r="I81" s="19">
        <f>IF(AND('Fuel Equipment'!I$44&gt;0,'Fuel Equipment'!I$45&gt;0),IF(AND($A81&gt;='Fuel Equipment'!I$17,$A81&lt;='Fuel Equipment'!I$18),('Fuel Equipment'!I$19*'Fuel Equipment'!I$20*'Fuel Equipment'!I$21)*('Fuel Equipment'!I$45-'Fuel Equipment'!I$44)*
(VLOOKUP(IF('Fuel Equipment'!I$22=Report!$A$25,Report!$A$19,'Fuel Equipment'!I$22),Report!$A$18:$L$34,'Actual-CO2 Calculations'!$AK84,FALSE)),0),0)</f>
        <v>0</v>
      </c>
      <c r="J81" s="19">
        <f>IF(AND('Fuel Equipment'!J$44&gt;0,'Fuel Equipment'!J$45&gt;0),IF(AND($A81&gt;='Fuel Equipment'!J$17,$A81&lt;='Fuel Equipment'!J$18),('Fuel Equipment'!J$19*'Fuel Equipment'!J$20*'Fuel Equipment'!J$21)*('Fuel Equipment'!J$45-'Fuel Equipment'!J$44)*
(VLOOKUP(IF('Fuel Equipment'!J$22=Report!$A$25,Report!$A$19,'Fuel Equipment'!J$22),Report!$A$18:$L$34,'Actual-CO2 Calculations'!$AK84,FALSE)),0),0)</f>
        <v>0</v>
      </c>
      <c r="K81" s="19">
        <f>IF(AND('Fuel Equipment'!K$44&gt;0,'Fuel Equipment'!K$45&gt;0),IF(AND($A81&gt;='Fuel Equipment'!K$17,$A81&lt;='Fuel Equipment'!K$18),('Fuel Equipment'!K$19*'Fuel Equipment'!K$20*'Fuel Equipment'!K$21)*('Fuel Equipment'!K$45-'Fuel Equipment'!K$44)*
(VLOOKUP(IF('Fuel Equipment'!K$22=Report!$A$25,Report!$A$19,'Fuel Equipment'!K$22),Report!$A$18:$L$34,'Actual-CO2 Calculations'!$AK84,FALSE)),0),0)</f>
        <v>0</v>
      </c>
      <c r="L81" s="19">
        <f>IF(AND('Fuel Equipment'!L$44&gt;0,'Fuel Equipment'!L$45&gt;0),IF(AND($A81&gt;='Fuel Equipment'!L$17,$A81&lt;='Fuel Equipment'!L$18),('Fuel Equipment'!L$19*'Fuel Equipment'!L$20*'Fuel Equipment'!L$21)*('Fuel Equipment'!L$45-'Fuel Equipment'!L$44)*
(VLOOKUP(IF('Fuel Equipment'!L$22=Report!$A$25,Report!$A$19,'Fuel Equipment'!L$22),Report!$A$18:$L$34,'Actual-CO2 Calculations'!$AK84,FALSE)),0),0)</f>
        <v>0</v>
      </c>
      <c r="M81" s="19">
        <f>IF(AND('Fuel Equipment'!M$44&gt;0,'Fuel Equipment'!M$45&gt;0),IF(AND($A81&gt;='Fuel Equipment'!M$17,$A81&lt;='Fuel Equipment'!M$18),('Fuel Equipment'!M$19*'Fuel Equipment'!M$20*'Fuel Equipment'!M$21)*('Fuel Equipment'!M$45-'Fuel Equipment'!M$44)*
(VLOOKUP(IF('Fuel Equipment'!M$22=Report!$A$25,Report!$A$19,'Fuel Equipment'!M$22),Report!$A$18:$L$34,'Actual-CO2 Calculations'!$AK84,FALSE)),0),0)</f>
        <v>0</v>
      </c>
      <c r="N81" s="19">
        <f>IF(AND('Fuel Equipment'!N$44&gt;0,'Fuel Equipment'!N$45&gt;0),IF(AND($A81&gt;='Fuel Equipment'!N$17,$A81&lt;='Fuel Equipment'!N$18),('Fuel Equipment'!N$19*'Fuel Equipment'!N$20*'Fuel Equipment'!N$21)*('Fuel Equipment'!N$45-'Fuel Equipment'!N$44)*
(VLOOKUP(IF('Fuel Equipment'!N$22=Report!$A$25,Report!$A$19,'Fuel Equipment'!N$22),Report!$A$18:$L$34,'Actual-CO2 Calculations'!$AK84,FALSE)),0),0)</f>
        <v>0</v>
      </c>
      <c r="O81" s="19">
        <f>IF(AND('Fuel Equipment'!O$44&gt;0,'Fuel Equipment'!O$45&gt;0),IF(AND($A81&gt;='Fuel Equipment'!O$17,$A81&lt;='Fuel Equipment'!O$18),('Fuel Equipment'!O$19*'Fuel Equipment'!O$20*'Fuel Equipment'!O$21)*('Fuel Equipment'!O$45-'Fuel Equipment'!O$44)*
(VLOOKUP(IF('Fuel Equipment'!O$22=Report!$A$25,Report!$A$19,'Fuel Equipment'!O$22),Report!$A$18:$L$34,'Actual-CO2 Calculations'!$AK84,FALSE)),0),0)</f>
        <v>0</v>
      </c>
      <c r="P81" s="19">
        <f>IF(AND('Fuel Equipment'!P$44&gt;0,'Fuel Equipment'!P$45&gt;0),IF(AND($A81&gt;='Fuel Equipment'!P$17,$A81&lt;='Fuel Equipment'!P$18),('Fuel Equipment'!P$19*'Fuel Equipment'!P$20*'Fuel Equipment'!P$21)*('Fuel Equipment'!P$45-'Fuel Equipment'!P$44)*
(VLOOKUP(IF('Fuel Equipment'!P$22=Report!$A$25,Report!$A$19,'Fuel Equipment'!P$22),Report!$A$18:$L$34,'Actual-CO2 Calculations'!$AK84,FALSE)),0),0)</f>
        <v>0</v>
      </c>
      <c r="Q81" s="19">
        <f>IF(AND('Fuel Equipment'!Q$44&gt;0,'Fuel Equipment'!Q$45&gt;0),IF(AND($A81&gt;='Fuel Equipment'!Q$17,$A81&lt;='Fuel Equipment'!Q$18),('Fuel Equipment'!Q$19*'Fuel Equipment'!Q$20*'Fuel Equipment'!Q$21)*('Fuel Equipment'!Q$45-'Fuel Equipment'!Q$44)*
(VLOOKUP(IF('Fuel Equipment'!Q$22=Report!$A$25,Report!$A$19,'Fuel Equipment'!Q$22),Report!$A$18:$L$34,'Actual-CO2 Calculations'!$AK84,FALSE)),0),0)</f>
        <v>0</v>
      </c>
      <c r="R81" s="19">
        <f>IF(AND('Fuel Equipment'!R$44&gt;0,'Fuel Equipment'!R$45&gt;0),IF(AND($A81&gt;='Fuel Equipment'!R$17,$A81&lt;='Fuel Equipment'!R$18),('Fuel Equipment'!R$19*'Fuel Equipment'!R$20*'Fuel Equipment'!R$21)*('Fuel Equipment'!R$45-'Fuel Equipment'!R$44)*
(VLOOKUP(IF('Fuel Equipment'!R$22=Report!$A$25,Report!$A$19,'Fuel Equipment'!R$22),Report!$A$18:$L$34,'Actual-CO2 Calculations'!$AK84,FALSE)),0),0)</f>
        <v>0</v>
      </c>
      <c r="S81" s="19">
        <f>IF(AND('Fuel Equipment'!S$44&gt;0,'Fuel Equipment'!S$45&gt;0),IF(AND($A81&gt;='Fuel Equipment'!S$17,$A81&lt;='Fuel Equipment'!S$18),('Fuel Equipment'!S$19*'Fuel Equipment'!S$20*'Fuel Equipment'!S$21)*('Fuel Equipment'!S$45-'Fuel Equipment'!S$44)*
(VLOOKUP(IF('Fuel Equipment'!S$22=Report!$A$25,Report!$A$19,'Fuel Equipment'!S$22),Report!$A$18:$L$34,'Actual-CO2 Calculations'!$AK84,FALSE)),0),0)</f>
        <v>0</v>
      </c>
      <c r="V81" s="671">
        <f t="shared" si="1"/>
        <v>0</v>
      </c>
    </row>
    <row r="82" spans="1:22">
      <c r="A82" s="21" t="s">
        <v>87</v>
      </c>
      <c r="B82" s="19">
        <f>IF(AND('Fuel Equipment'!B$44&gt;0,'Fuel Equipment'!B$45&gt;0),IF(AND($A82&gt;='Fuel Equipment'!B$17,$A82&lt;='Fuel Equipment'!B$18),('Fuel Equipment'!B$19*'Fuel Equipment'!B$20*'Fuel Equipment'!B$21)*('Fuel Equipment'!B$45-'Fuel Equipment'!B$44)*
(VLOOKUP(IF('Fuel Equipment'!B$22=Report!$A$25,Report!$A$19,'Fuel Equipment'!B$22),Report!$A$18:$L$34,'Actual-CO2 Calculations'!$AK85,FALSE)),0),0)</f>
        <v>0</v>
      </c>
      <c r="C82" s="19">
        <f>IF(AND('Fuel Equipment'!C$44&gt;0,'Fuel Equipment'!C$45&gt;0),IF(AND($A82&gt;='Fuel Equipment'!C$17,$A82&lt;='Fuel Equipment'!C$18),('Fuel Equipment'!C$19*'Fuel Equipment'!C$20*'Fuel Equipment'!C$21)*('Fuel Equipment'!C$45-'Fuel Equipment'!C$44)*
(VLOOKUP(IF('Fuel Equipment'!C$22=Report!$A$25,Report!$A$19,'Fuel Equipment'!C$22),Report!$A$18:$L$34,'Actual-CO2 Calculations'!$AK85,FALSE)),0),0)</f>
        <v>0</v>
      </c>
      <c r="D82" s="19">
        <f>IF(AND('Fuel Equipment'!D$44&gt;0,'Fuel Equipment'!D$45&gt;0),IF(AND($A82&gt;='Fuel Equipment'!D$17,$A82&lt;='Fuel Equipment'!D$18),('Fuel Equipment'!D$19*'Fuel Equipment'!D$20*'Fuel Equipment'!D$21)*('Fuel Equipment'!D$45-'Fuel Equipment'!D$44)*
(VLOOKUP(IF('Fuel Equipment'!D$22=Report!$A$25,Report!$A$19,'Fuel Equipment'!D$22),Report!$A$18:$L$34,'Actual-CO2 Calculations'!$AK85,FALSE)),0),0)</f>
        <v>0</v>
      </c>
      <c r="E82" s="19">
        <f>IF(AND('Fuel Equipment'!E$44&gt;0,'Fuel Equipment'!E$45&gt;0),IF(AND($A82&gt;='Fuel Equipment'!E$17,$A82&lt;='Fuel Equipment'!E$18),('Fuel Equipment'!E$19*'Fuel Equipment'!E$20*'Fuel Equipment'!E$21)*('Fuel Equipment'!E$45-'Fuel Equipment'!E$44)*
(VLOOKUP(IF('Fuel Equipment'!E$22=Report!$A$25,Report!$A$19,'Fuel Equipment'!E$22),Report!$A$18:$L$34,'Actual-CO2 Calculations'!$AK85,FALSE)),0),0)</f>
        <v>0</v>
      </c>
      <c r="F82" s="19">
        <f>IF(AND('Fuel Equipment'!F$44&gt;0,'Fuel Equipment'!F$45&gt;0),IF(AND($A82&gt;='Fuel Equipment'!F$17,$A82&lt;='Fuel Equipment'!F$18),('Fuel Equipment'!F$19*'Fuel Equipment'!F$20*'Fuel Equipment'!F$21)*('Fuel Equipment'!F$45-'Fuel Equipment'!F$44)*
(VLOOKUP(IF('Fuel Equipment'!F$22=Report!$A$25,Report!$A$19,'Fuel Equipment'!F$22),Report!$A$18:$L$34,'Actual-CO2 Calculations'!$AK85,FALSE)),0),0)</f>
        <v>0</v>
      </c>
      <c r="G82" s="19">
        <f>IF(AND('Fuel Equipment'!G$44&gt;0,'Fuel Equipment'!G$45&gt;0),IF(AND($A82&gt;='Fuel Equipment'!G$17,$A82&lt;='Fuel Equipment'!G$18),('Fuel Equipment'!G$19*'Fuel Equipment'!G$20*'Fuel Equipment'!G$21)*('Fuel Equipment'!G$45-'Fuel Equipment'!G$44)*
(VLOOKUP(IF('Fuel Equipment'!G$22=Report!$A$25,Report!$A$19,'Fuel Equipment'!G$22),Report!$A$18:$L$34,'Actual-CO2 Calculations'!$AK85,FALSE)),0),0)</f>
        <v>0</v>
      </c>
      <c r="H82" s="19">
        <f>IF(AND('Fuel Equipment'!H$44&gt;0,'Fuel Equipment'!H$45&gt;0),IF(AND($A82&gt;='Fuel Equipment'!H$17,$A82&lt;='Fuel Equipment'!H$18),('Fuel Equipment'!H$19*'Fuel Equipment'!H$20*'Fuel Equipment'!H$21)*('Fuel Equipment'!H$45-'Fuel Equipment'!H$44)*
(VLOOKUP(IF('Fuel Equipment'!H$22=Report!$A$25,Report!$A$19,'Fuel Equipment'!H$22),Report!$A$18:$L$34,'Actual-CO2 Calculations'!$AK85,FALSE)),0),0)</f>
        <v>0</v>
      </c>
      <c r="I82" s="19">
        <f>IF(AND('Fuel Equipment'!I$44&gt;0,'Fuel Equipment'!I$45&gt;0),IF(AND($A82&gt;='Fuel Equipment'!I$17,$A82&lt;='Fuel Equipment'!I$18),('Fuel Equipment'!I$19*'Fuel Equipment'!I$20*'Fuel Equipment'!I$21)*('Fuel Equipment'!I$45-'Fuel Equipment'!I$44)*
(VLOOKUP(IF('Fuel Equipment'!I$22=Report!$A$25,Report!$A$19,'Fuel Equipment'!I$22),Report!$A$18:$L$34,'Actual-CO2 Calculations'!$AK85,FALSE)),0),0)</f>
        <v>0</v>
      </c>
      <c r="J82" s="19">
        <f>IF(AND('Fuel Equipment'!J$44&gt;0,'Fuel Equipment'!J$45&gt;0),IF(AND($A82&gt;='Fuel Equipment'!J$17,$A82&lt;='Fuel Equipment'!J$18),('Fuel Equipment'!J$19*'Fuel Equipment'!J$20*'Fuel Equipment'!J$21)*('Fuel Equipment'!J$45-'Fuel Equipment'!J$44)*
(VLOOKUP(IF('Fuel Equipment'!J$22=Report!$A$25,Report!$A$19,'Fuel Equipment'!J$22),Report!$A$18:$L$34,'Actual-CO2 Calculations'!$AK85,FALSE)),0),0)</f>
        <v>0</v>
      </c>
      <c r="K82" s="19">
        <f>IF(AND('Fuel Equipment'!K$44&gt;0,'Fuel Equipment'!K$45&gt;0),IF(AND($A82&gt;='Fuel Equipment'!K$17,$A82&lt;='Fuel Equipment'!K$18),('Fuel Equipment'!K$19*'Fuel Equipment'!K$20*'Fuel Equipment'!K$21)*('Fuel Equipment'!K$45-'Fuel Equipment'!K$44)*
(VLOOKUP(IF('Fuel Equipment'!K$22=Report!$A$25,Report!$A$19,'Fuel Equipment'!K$22),Report!$A$18:$L$34,'Actual-CO2 Calculations'!$AK85,FALSE)),0),0)</f>
        <v>0</v>
      </c>
      <c r="L82" s="19">
        <f>IF(AND('Fuel Equipment'!L$44&gt;0,'Fuel Equipment'!L$45&gt;0),IF(AND($A82&gt;='Fuel Equipment'!L$17,$A82&lt;='Fuel Equipment'!L$18),('Fuel Equipment'!L$19*'Fuel Equipment'!L$20*'Fuel Equipment'!L$21)*('Fuel Equipment'!L$45-'Fuel Equipment'!L$44)*
(VLOOKUP(IF('Fuel Equipment'!L$22=Report!$A$25,Report!$A$19,'Fuel Equipment'!L$22),Report!$A$18:$L$34,'Actual-CO2 Calculations'!$AK85,FALSE)),0),0)</f>
        <v>0</v>
      </c>
      <c r="M82" s="19">
        <f>IF(AND('Fuel Equipment'!M$44&gt;0,'Fuel Equipment'!M$45&gt;0),IF(AND($A82&gt;='Fuel Equipment'!M$17,$A82&lt;='Fuel Equipment'!M$18),('Fuel Equipment'!M$19*'Fuel Equipment'!M$20*'Fuel Equipment'!M$21)*('Fuel Equipment'!M$45-'Fuel Equipment'!M$44)*
(VLOOKUP(IF('Fuel Equipment'!M$22=Report!$A$25,Report!$A$19,'Fuel Equipment'!M$22),Report!$A$18:$L$34,'Actual-CO2 Calculations'!$AK85,FALSE)),0),0)</f>
        <v>0</v>
      </c>
      <c r="N82" s="19">
        <f>IF(AND('Fuel Equipment'!N$44&gt;0,'Fuel Equipment'!N$45&gt;0),IF(AND($A82&gt;='Fuel Equipment'!N$17,$A82&lt;='Fuel Equipment'!N$18),('Fuel Equipment'!N$19*'Fuel Equipment'!N$20*'Fuel Equipment'!N$21)*('Fuel Equipment'!N$45-'Fuel Equipment'!N$44)*
(VLOOKUP(IF('Fuel Equipment'!N$22=Report!$A$25,Report!$A$19,'Fuel Equipment'!N$22),Report!$A$18:$L$34,'Actual-CO2 Calculations'!$AK85,FALSE)),0),0)</f>
        <v>0</v>
      </c>
      <c r="O82" s="19">
        <f>IF(AND('Fuel Equipment'!O$44&gt;0,'Fuel Equipment'!O$45&gt;0),IF(AND($A82&gt;='Fuel Equipment'!O$17,$A82&lt;='Fuel Equipment'!O$18),('Fuel Equipment'!O$19*'Fuel Equipment'!O$20*'Fuel Equipment'!O$21)*('Fuel Equipment'!O$45-'Fuel Equipment'!O$44)*
(VLOOKUP(IF('Fuel Equipment'!O$22=Report!$A$25,Report!$A$19,'Fuel Equipment'!O$22),Report!$A$18:$L$34,'Actual-CO2 Calculations'!$AK85,FALSE)),0),0)</f>
        <v>0</v>
      </c>
      <c r="P82" s="19">
        <f>IF(AND('Fuel Equipment'!P$44&gt;0,'Fuel Equipment'!P$45&gt;0),IF(AND($A82&gt;='Fuel Equipment'!P$17,$A82&lt;='Fuel Equipment'!P$18),('Fuel Equipment'!P$19*'Fuel Equipment'!P$20*'Fuel Equipment'!P$21)*('Fuel Equipment'!P$45-'Fuel Equipment'!P$44)*
(VLOOKUP(IF('Fuel Equipment'!P$22=Report!$A$25,Report!$A$19,'Fuel Equipment'!P$22),Report!$A$18:$L$34,'Actual-CO2 Calculations'!$AK85,FALSE)),0),0)</f>
        <v>0</v>
      </c>
      <c r="Q82" s="19">
        <f>IF(AND('Fuel Equipment'!Q$44&gt;0,'Fuel Equipment'!Q$45&gt;0),IF(AND($A82&gt;='Fuel Equipment'!Q$17,$A82&lt;='Fuel Equipment'!Q$18),('Fuel Equipment'!Q$19*'Fuel Equipment'!Q$20*'Fuel Equipment'!Q$21)*('Fuel Equipment'!Q$45-'Fuel Equipment'!Q$44)*
(VLOOKUP(IF('Fuel Equipment'!Q$22=Report!$A$25,Report!$A$19,'Fuel Equipment'!Q$22),Report!$A$18:$L$34,'Actual-CO2 Calculations'!$AK85,FALSE)),0),0)</f>
        <v>0</v>
      </c>
      <c r="R82" s="19">
        <f>IF(AND('Fuel Equipment'!R$44&gt;0,'Fuel Equipment'!R$45&gt;0),IF(AND($A82&gt;='Fuel Equipment'!R$17,$A82&lt;='Fuel Equipment'!R$18),('Fuel Equipment'!R$19*'Fuel Equipment'!R$20*'Fuel Equipment'!R$21)*('Fuel Equipment'!R$45-'Fuel Equipment'!R$44)*
(VLOOKUP(IF('Fuel Equipment'!R$22=Report!$A$25,Report!$A$19,'Fuel Equipment'!R$22),Report!$A$18:$L$34,'Actual-CO2 Calculations'!$AK85,FALSE)),0),0)</f>
        <v>0</v>
      </c>
      <c r="S82" s="19">
        <f>IF(AND('Fuel Equipment'!S$44&gt;0,'Fuel Equipment'!S$45&gt;0),IF(AND($A82&gt;='Fuel Equipment'!S$17,$A82&lt;='Fuel Equipment'!S$18),('Fuel Equipment'!S$19*'Fuel Equipment'!S$20*'Fuel Equipment'!S$21)*('Fuel Equipment'!S$45-'Fuel Equipment'!S$44)*
(VLOOKUP(IF('Fuel Equipment'!S$22=Report!$A$25,Report!$A$19,'Fuel Equipment'!S$22),Report!$A$18:$L$34,'Actual-CO2 Calculations'!$AK85,FALSE)),0),0)</f>
        <v>0</v>
      </c>
      <c r="V82" s="671">
        <f t="shared" si="1"/>
        <v>0</v>
      </c>
    </row>
    <row r="83" spans="1:22">
      <c r="A83" s="21" t="s">
        <v>88</v>
      </c>
      <c r="B83" s="19">
        <f>IF(AND('Fuel Equipment'!B$44&gt;0,'Fuel Equipment'!B$45&gt;0),IF(AND($A83&gt;='Fuel Equipment'!B$17,$A83&lt;='Fuel Equipment'!B$18),('Fuel Equipment'!B$19*'Fuel Equipment'!B$20*'Fuel Equipment'!B$21)*('Fuel Equipment'!B$45-'Fuel Equipment'!B$44)*
(VLOOKUP(IF('Fuel Equipment'!B$22=Report!$A$25,Report!$A$19,'Fuel Equipment'!B$22),Report!$A$18:$L$34,'Actual-CO2 Calculations'!$AK86,FALSE)),0),0)</f>
        <v>0</v>
      </c>
      <c r="C83" s="19">
        <f>IF(AND('Fuel Equipment'!C$44&gt;0,'Fuel Equipment'!C$45&gt;0),IF(AND($A83&gt;='Fuel Equipment'!C$17,$A83&lt;='Fuel Equipment'!C$18),('Fuel Equipment'!C$19*'Fuel Equipment'!C$20*'Fuel Equipment'!C$21)*('Fuel Equipment'!C$45-'Fuel Equipment'!C$44)*
(VLOOKUP(IF('Fuel Equipment'!C$22=Report!$A$25,Report!$A$19,'Fuel Equipment'!C$22),Report!$A$18:$L$34,'Actual-CO2 Calculations'!$AK86,FALSE)),0),0)</f>
        <v>0</v>
      </c>
      <c r="D83" s="19">
        <f>IF(AND('Fuel Equipment'!D$44&gt;0,'Fuel Equipment'!D$45&gt;0),IF(AND($A83&gt;='Fuel Equipment'!D$17,$A83&lt;='Fuel Equipment'!D$18),('Fuel Equipment'!D$19*'Fuel Equipment'!D$20*'Fuel Equipment'!D$21)*('Fuel Equipment'!D$45-'Fuel Equipment'!D$44)*
(VLOOKUP(IF('Fuel Equipment'!D$22=Report!$A$25,Report!$A$19,'Fuel Equipment'!D$22),Report!$A$18:$L$34,'Actual-CO2 Calculations'!$AK86,FALSE)),0),0)</f>
        <v>0</v>
      </c>
      <c r="E83" s="19">
        <f>IF(AND('Fuel Equipment'!E$44&gt;0,'Fuel Equipment'!E$45&gt;0),IF(AND($A83&gt;='Fuel Equipment'!E$17,$A83&lt;='Fuel Equipment'!E$18),('Fuel Equipment'!E$19*'Fuel Equipment'!E$20*'Fuel Equipment'!E$21)*('Fuel Equipment'!E$45-'Fuel Equipment'!E$44)*
(VLOOKUP(IF('Fuel Equipment'!E$22=Report!$A$25,Report!$A$19,'Fuel Equipment'!E$22),Report!$A$18:$L$34,'Actual-CO2 Calculations'!$AK86,FALSE)),0),0)</f>
        <v>0</v>
      </c>
      <c r="F83" s="19">
        <f>IF(AND('Fuel Equipment'!F$44&gt;0,'Fuel Equipment'!F$45&gt;0),IF(AND($A83&gt;='Fuel Equipment'!F$17,$A83&lt;='Fuel Equipment'!F$18),('Fuel Equipment'!F$19*'Fuel Equipment'!F$20*'Fuel Equipment'!F$21)*('Fuel Equipment'!F$45-'Fuel Equipment'!F$44)*
(VLOOKUP(IF('Fuel Equipment'!F$22=Report!$A$25,Report!$A$19,'Fuel Equipment'!F$22),Report!$A$18:$L$34,'Actual-CO2 Calculations'!$AK86,FALSE)),0),0)</f>
        <v>0</v>
      </c>
      <c r="G83" s="19">
        <f>IF(AND('Fuel Equipment'!G$44&gt;0,'Fuel Equipment'!G$45&gt;0),IF(AND($A83&gt;='Fuel Equipment'!G$17,$A83&lt;='Fuel Equipment'!G$18),('Fuel Equipment'!G$19*'Fuel Equipment'!G$20*'Fuel Equipment'!G$21)*('Fuel Equipment'!G$45-'Fuel Equipment'!G$44)*
(VLOOKUP(IF('Fuel Equipment'!G$22=Report!$A$25,Report!$A$19,'Fuel Equipment'!G$22),Report!$A$18:$L$34,'Actual-CO2 Calculations'!$AK86,FALSE)),0),0)</f>
        <v>0</v>
      </c>
      <c r="H83" s="19">
        <f>IF(AND('Fuel Equipment'!H$44&gt;0,'Fuel Equipment'!H$45&gt;0),IF(AND($A83&gt;='Fuel Equipment'!H$17,$A83&lt;='Fuel Equipment'!H$18),('Fuel Equipment'!H$19*'Fuel Equipment'!H$20*'Fuel Equipment'!H$21)*('Fuel Equipment'!H$45-'Fuel Equipment'!H$44)*
(VLOOKUP(IF('Fuel Equipment'!H$22=Report!$A$25,Report!$A$19,'Fuel Equipment'!H$22),Report!$A$18:$L$34,'Actual-CO2 Calculations'!$AK86,FALSE)),0),0)</f>
        <v>0</v>
      </c>
      <c r="I83" s="19">
        <f>IF(AND('Fuel Equipment'!I$44&gt;0,'Fuel Equipment'!I$45&gt;0),IF(AND($A83&gt;='Fuel Equipment'!I$17,$A83&lt;='Fuel Equipment'!I$18),('Fuel Equipment'!I$19*'Fuel Equipment'!I$20*'Fuel Equipment'!I$21)*('Fuel Equipment'!I$45-'Fuel Equipment'!I$44)*
(VLOOKUP(IF('Fuel Equipment'!I$22=Report!$A$25,Report!$A$19,'Fuel Equipment'!I$22),Report!$A$18:$L$34,'Actual-CO2 Calculations'!$AK86,FALSE)),0),0)</f>
        <v>0</v>
      </c>
      <c r="J83" s="19">
        <f>IF(AND('Fuel Equipment'!J$44&gt;0,'Fuel Equipment'!J$45&gt;0),IF(AND($A83&gt;='Fuel Equipment'!J$17,$A83&lt;='Fuel Equipment'!J$18),('Fuel Equipment'!J$19*'Fuel Equipment'!J$20*'Fuel Equipment'!J$21)*('Fuel Equipment'!J$45-'Fuel Equipment'!J$44)*
(VLOOKUP(IF('Fuel Equipment'!J$22=Report!$A$25,Report!$A$19,'Fuel Equipment'!J$22),Report!$A$18:$L$34,'Actual-CO2 Calculations'!$AK86,FALSE)),0),0)</f>
        <v>0</v>
      </c>
      <c r="K83" s="19">
        <f>IF(AND('Fuel Equipment'!K$44&gt;0,'Fuel Equipment'!K$45&gt;0),IF(AND($A83&gt;='Fuel Equipment'!K$17,$A83&lt;='Fuel Equipment'!K$18),('Fuel Equipment'!K$19*'Fuel Equipment'!K$20*'Fuel Equipment'!K$21)*('Fuel Equipment'!K$45-'Fuel Equipment'!K$44)*
(VLOOKUP(IF('Fuel Equipment'!K$22=Report!$A$25,Report!$A$19,'Fuel Equipment'!K$22),Report!$A$18:$L$34,'Actual-CO2 Calculations'!$AK86,FALSE)),0),0)</f>
        <v>0</v>
      </c>
      <c r="L83" s="19">
        <f>IF(AND('Fuel Equipment'!L$44&gt;0,'Fuel Equipment'!L$45&gt;0),IF(AND($A83&gt;='Fuel Equipment'!L$17,$A83&lt;='Fuel Equipment'!L$18),('Fuel Equipment'!L$19*'Fuel Equipment'!L$20*'Fuel Equipment'!L$21)*('Fuel Equipment'!L$45-'Fuel Equipment'!L$44)*
(VLOOKUP(IF('Fuel Equipment'!L$22=Report!$A$25,Report!$A$19,'Fuel Equipment'!L$22),Report!$A$18:$L$34,'Actual-CO2 Calculations'!$AK86,FALSE)),0),0)</f>
        <v>0</v>
      </c>
      <c r="M83" s="19">
        <f>IF(AND('Fuel Equipment'!M$44&gt;0,'Fuel Equipment'!M$45&gt;0),IF(AND($A83&gt;='Fuel Equipment'!M$17,$A83&lt;='Fuel Equipment'!M$18),('Fuel Equipment'!M$19*'Fuel Equipment'!M$20*'Fuel Equipment'!M$21)*('Fuel Equipment'!M$45-'Fuel Equipment'!M$44)*
(VLOOKUP(IF('Fuel Equipment'!M$22=Report!$A$25,Report!$A$19,'Fuel Equipment'!M$22),Report!$A$18:$L$34,'Actual-CO2 Calculations'!$AK86,FALSE)),0),0)</f>
        <v>0</v>
      </c>
      <c r="N83" s="19">
        <f>IF(AND('Fuel Equipment'!N$44&gt;0,'Fuel Equipment'!N$45&gt;0),IF(AND($A83&gt;='Fuel Equipment'!N$17,$A83&lt;='Fuel Equipment'!N$18),('Fuel Equipment'!N$19*'Fuel Equipment'!N$20*'Fuel Equipment'!N$21)*('Fuel Equipment'!N$45-'Fuel Equipment'!N$44)*
(VLOOKUP(IF('Fuel Equipment'!N$22=Report!$A$25,Report!$A$19,'Fuel Equipment'!N$22),Report!$A$18:$L$34,'Actual-CO2 Calculations'!$AK86,FALSE)),0),0)</f>
        <v>0</v>
      </c>
      <c r="O83" s="19">
        <f>IF(AND('Fuel Equipment'!O$44&gt;0,'Fuel Equipment'!O$45&gt;0),IF(AND($A83&gt;='Fuel Equipment'!O$17,$A83&lt;='Fuel Equipment'!O$18),('Fuel Equipment'!O$19*'Fuel Equipment'!O$20*'Fuel Equipment'!O$21)*('Fuel Equipment'!O$45-'Fuel Equipment'!O$44)*
(VLOOKUP(IF('Fuel Equipment'!O$22=Report!$A$25,Report!$A$19,'Fuel Equipment'!O$22),Report!$A$18:$L$34,'Actual-CO2 Calculations'!$AK86,FALSE)),0),0)</f>
        <v>0</v>
      </c>
      <c r="P83" s="19">
        <f>IF(AND('Fuel Equipment'!P$44&gt;0,'Fuel Equipment'!P$45&gt;0),IF(AND($A83&gt;='Fuel Equipment'!P$17,$A83&lt;='Fuel Equipment'!P$18),('Fuel Equipment'!P$19*'Fuel Equipment'!P$20*'Fuel Equipment'!P$21)*('Fuel Equipment'!P$45-'Fuel Equipment'!P$44)*
(VLOOKUP(IF('Fuel Equipment'!P$22=Report!$A$25,Report!$A$19,'Fuel Equipment'!P$22),Report!$A$18:$L$34,'Actual-CO2 Calculations'!$AK86,FALSE)),0),0)</f>
        <v>0</v>
      </c>
      <c r="Q83" s="19">
        <f>IF(AND('Fuel Equipment'!Q$44&gt;0,'Fuel Equipment'!Q$45&gt;0),IF(AND($A83&gt;='Fuel Equipment'!Q$17,$A83&lt;='Fuel Equipment'!Q$18),('Fuel Equipment'!Q$19*'Fuel Equipment'!Q$20*'Fuel Equipment'!Q$21)*('Fuel Equipment'!Q$45-'Fuel Equipment'!Q$44)*
(VLOOKUP(IF('Fuel Equipment'!Q$22=Report!$A$25,Report!$A$19,'Fuel Equipment'!Q$22),Report!$A$18:$L$34,'Actual-CO2 Calculations'!$AK86,FALSE)),0),0)</f>
        <v>0</v>
      </c>
      <c r="R83" s="19">
        <f>IF(AND('Fuel Equipment'!R$44&gt;0,'Fuel Equipment'!R$45&gt;0),IF(AND($A83&gt;='Fuel Equipment'!R$17,$A83&lt;='Fuel Equipment'!R$18),('Fuel Equipment'!R$19*'Fuel Equipment'!R$20*'Fuel Equipment'!R$21)*('Fuel Equipment'!R$45-'Fuel Equipment'!R$44)*
(VLOOKUP(IF('Fuel Equipment'!R$22=Report!$A$25,Report!$A$19,'Fuel Equipment'!R$22),Report!$A$18:$L$34,'Actual-CO2 Calculations'!$AK86,FALSE)),0),0)</f>
        <v>0</v>
      </c>
      <c r="S83" s="19">
        <f>IF(AND('Fuel Equipment'!S$44&gt;0,'Fuel Equipment'!S$45&gt;0),IF(AND($A83&gt;='Fuel Equipment'!S$17,$A83&lt;='Fuel Equipment'!S$18),('Fuel Equipment'!S$19*'Fuel Equipment'!S$20*'Fuel Equipment'!S$21)*('Fuel Equipment'!S$45-'Fuel Equipment'!S$44)*
(VLOOKUP(IF('Fuel Equipment'!S$22=Report!$A$25,Report!$A$19,'Fuel Equipment'!S$22),Report!$A$18:$L$34,'Actual-CO2 Calculations'!$AK86,FALSE)),0),0)</f>
        <v>0</v>
      </c>
      <c r="V83" s="671">
        <f t="shared" si="1"/>
        <v>0</v>
      </c>
    </row>
    <row r="84" spans="1:22">
      <c r="A84" s="21" t="s">
        <v>89</v>
      </c>
      <c r="B84" s="19">
        <f>IF(AND('Fuel Equipment'!B$44&gt;0,'Fuel Equipment'!B$45&gt;0),IF(AND($A84&gt;='Fuel Equipment'!B$17,$A84&lt;='Fuel Equipment'!B$18),('Fuel Equipment'!B$19*'Fuel Equipment'!B$20*'Fuel Equipment'!B$21)*('Fuel Equipment'!B$45-'Fuel Equipment'!B$44)*
(VLOOKUP(IF('Fuel Equipment'!B$22=Report!$A$25,Report!$A$19,'Fuel Equipment'!B$22),Report!$A$18:$L$34,'Actual-CO2 Calculations'!$AK87,FALSE)),0),0)</f>
        <v>0</v>
      </c>
      <c r="C84" s="19">
        <f>IF(AND('Fuel Equipment'!C$44&gt;0,'Fuel Equipment'!C$45&gt;0),IF(AND($A84&gt;='Fuel Equipment'!C$17,$A84&lt;='Fuel Equipment'!C$18),('Fuel Equipment'!C$19*'Fuel Equipment'!C$20*'Fuel Equipment'!C$21)*('Fuel Equipment'!C$45-'Fuel Equipment'!C$44)*
(VLOOKUP(IF('Fuel Equipment'!C$22=Report!$A$25,Report!$A$19,'Fuel Equipment'!C$22),Report!$A$18:$L$34,'Actual-CO2 Calculations'!$AK87,FALSE)),0),0)</f>
        <v>0</v>
      </c>
      <c r="D84" s="19">
        <f>IF(AND('Fuel Equipment'!D$44&gt;0,'Fuel Equipment'!D$45&gt;0),IF(AND($A84&gt;='Fuel Equipment'!D$17,$A84&lt;='Fuel Equipment'!D$18),('Fuel Equipment'!D$19*'Fuel Equipment'!D$20*'Fuel Equipment'!D$21)*('Fuel Equipment'!D$45-'Fuel Equipment'!D$44)*
(VLOOKUP(IF('Fuel Equipment'!D$22=Report!$A$25,Report!$A$19,'Fuel Equipment'!D$22),Report!$A$18:$L$34,'Actual-CO2 Calculations'!$AK87,FALSE)),0),0)</f>
        <v>0</v>
      </c>
      <c r="E84" s="19">
        <f>IF(AND('Fuel Equipment'!E$44&gt;0,'Fuel Equipment'!E$45&gt;0),IF(AND($A84&gt;='Fuel Equipment'!E$17,$A84&lt;='Fuel Equipment'!E$18),('Fuel Equipment'!E$19*'Fuel Equipment'!E$20*'Fuel Equipment'!E$21)*('Fuel Equipment'!E$45-'Fuel Equipment'!E$44)*
(VLOOKUP(IF('Fuel Equipment'!E$22=Report!$A$25,Report!$A$19,'Fuel Equipment'!E$22),Report!$A$18:$L$34,'Actual-CO2 Calculations'!$AK87,FALSE)),0),0)</f>
        <v>0</v>
      </c>
      <c r="F84" s="19">
        <f>IF(AND('Fuel Equipment'!F$44&gt;0,'Fuel Equipment'!F$45&gt;0),IF(AND($A84&gt;='Fuel Equipment'!F$17,$A84&lt;='Fuel Equipment'!F$18),('Fuel Equipment'!F$19*'Fuel Equipment'!F$20*'Fuel Equipment'!F$21)*('Fuel Equipment'!F$45-'Fuel Equipment'!F$44)*
(VLOOKUP(IF('Fuel Equipment'!F$22=Report!$A$25,Report!$A$19,'Fuel Equipment'!F$22),Report!$A$18:$L$34,'Actual-CO2 Calculations'!$AK87,FALSE)),0),0)</f>
        <v>0</v>
      </c>
      <c r="G84" s="19">
        <f>IF(AND('Fuel Equipment'!G$44&gt;0,'Fuel Equipment'!G$45&gt;0),IF(AND($A84&gt;='Fuel Equipment'!G$17,$A84&lt;='Fuel Equipment'!G$18),('Fuel Equipment'!G$19*'Fuel Equipment'!G$20*'Fuel Equipment'!G$21)*('Fuel Equipment'!G$45-'Fuel Equipment'!G$44)*
(VLOOKUP(IF('Fuel Equipment'!G$22=Report!$A$25,Report!$A$19,'Fuel Equipment'!G$22),Report!$A$18:$L$34,'Actual-CO2 Calculations'!$AK87,FALSE)),0),0)</f>
        <v>0</v>
      </c>
      <c r="H84" s="19">
        <f>IF(AND('Fuel Equipment'!H$44&gt;0,'Fuel Equipment'!H$45&gt;0),IF(AND($A84&gt;='Fuel Equipment'!H$17,$A84&lt;='Fuel Equipment'!H$18),('Fuel Equipment'!H$19*'Fuel Equipment'!H$20*'Fuel Equipment'!H$21)*('Fuel Equipment'!H$45-'Fuel Equipment'!H$44)*
(VLOOKUP(IF('Fuel Equipment'!H$22=Report!$A$25,Report!$A$19,'Fuel Equipment'!H$22),Report!$A$18:$L$34,'Actual-CO2 Calculations'!$AK87,FALSE)),0),0)</f>
        <v>0</v>
      </c>
      <c r="I84" s="19">
        <f>IF(AND('Fuel Equipment'!I$44&gt;0,'Fuel Equipment'!I$45&gt;0),IF(AND($A84&gt;='Fuel Equipment'!I$17,$A84&lt;='Fuel Equipment'!I$18),('Fuel Equipment'!I$19*'Fuel Equipment'!I$20*'Fuel Equipment'!I$21)*('Fuel Equipment'!I$45-'Fuel Equipment'!I$44)*
(VLOOKUP(IF('Fuel Equipment'!I$22=Report!$A$25,Report!$A$19,'Fuel Equipment'!I$22),Report!$A$18:$L$34,'Actual-CO2 Calculations'!$AK87,FALSE)),0),0)</f>
        <v>0</v>
      </c>
      <c r="J84" s="19">
        <f>IF(AND('Fuel Equipment'!J$44&gt;0,'Fuel Equipment'!J$45&gt;0),IF(AND($A84&gt;='Fuel Equipment'!J$17,$A84&lt;='Fuel Equipment'!J$18),('Fuel Equipment'!J$19*'Fuel Equipment'!J$20*'Fuel Equipment'!J$21)*('Fuel Equipment'!J$45-'Fuel Equipment'!J$44)*
(VLOOKUP(IF('Fuel Equipment'!J$22=Report!$A$25,Report!$A$19,'Fuel Equipment'!J$22),Report!$A$18:$L$34,'Actual-CO2 Calculations'!$AK87,FALSE)),0),0)</f>
        <v>0</v>
      </c>
      <c r="K84" s="19">
        <f>IF(AND('Fuel Equipment'!K$44&gt;0,'Fuel Equipment'!K$45&gt;0),IF(AND($A84&gt;='Fuel Equipment'!K$17,$A84&lt;='Fuel Equipment'!K$18),('Fuel Equipment'!K$19*'Fuel Equipment'!K$20*'Fuel Equipment'!K$21)*('Fuel Equipment'!K$45-'Fuel Equipment'!K$44)*
(VLOOKUP(IF('Fuel Equipment'!K$22=Report!$A$25,Report!$A$19,'Fuel Equipment'!K$22),Report!$A$18:$L$34,'Actual-CO2 Calculations'!$AK87,FALSE)),0),0)</f>
        <v>0</v>
      </c>
      <c r="L84" s="19">
        <f>IF(AND('Fuel Equipment'!L$44&gt;0,'Fuel Equipment'!L$45&gt;0),IF(AND($A84&gt;='Fuel Equipment'!L$17,$A84&lt;='Fuel Equipment'!L$18),('Fuel Equipment'!L$19*'Fuel Equipment'!L$20*'Fuel Equipment'!L$21)*('Fuel Equipment'!L$45-'Fuel Equipment'!L$44)*
(VLOOKUP(IF('Fuel Equipment'!L$22=Report!$A$25,Report!$A$19,'Fuel Equipment'!L$22),Report!$A$18:$L$34,'Actual-CO2 Calculations'!$AK87,FALSE)),0),0)</f>
        <v>0</v>
      </c>
      <c r="M84" s="19">
        <f>IF(AND('Fuel Equipment'!M$44&gt;0,'Fuel Equipment'!M$45&gt;0),IF(AND($A84&gt;='Fuel Equipment'!M$17,$A84&lt;='Fuel Equipment'!M$18),('Fuel Equipment'!M$19*'Fuel Equipment'!M$20*'Fuel Equipment'!M$21)*('Fuel Equipment'!M$45-'Fuel Equipment'!M$44)*
(VLOOKUP(IF('Fuel Equipment'!M$22=Report!$A$25,Report!$A$19,'Fuel Equipment'!M$22),Report!$A$18:$L$34,'Actual-CO2 Calculations'!$AK87,FALSE)),0),0)</f>
        <v>0</v>
      </c>
      <c r="N84" s="19">
        <f>IF(AND('Fuel Equipment'!N$44&gt;0,'Fuel Equipment'!N$45&gt;0),IF(AND($A84&gt;='Fuel Equipment'!N$17,$A84&lt;='Fuel Equipment'!N$18),('Fuel Equipment'!N$19*'Fuel Equipment'!N$20*'Fuel Equipment'!N$21)*('Fuel Equipment'!N$45-'Fuel Equipment'!N$44)*
(VLOOKUP(IF('Fuel Equipment'!N$22=Report!$A$25,Report!$A$19,'Fuel Equipment'!N$22),Report!$A$18:$L$34,'Actual-CO2 Calculations'!$AK87,FALSE)),0),0)</f>
        <v>0</v>
      </c>
      <c r="O84" s="19">
        <f>IF(AND('Fuel Equipment'!O$44&gt;0,'Fuel Equipment'!O$45&gt;0),IF(AND($A84&gt;='Fuel Equipment'!O$17,$A84&lt;='Fuel Equipment'!O$18),('Fuel Equipment'!O$19*'Fuel Equipment'!O$20*'Fuel Equipment'!O$21)*('Fuel Equipment'!O$45-'Fuel Equipment'!O$44)*
(VLOOKUP(IF('Fuel Equipment'!O$22=Report!$A$25,Report!$A$19,'Fuel Equipment'!O$22),Report!$A$18:$L$34,'Actual-CO2 Calculations'!$AK87,FALSE)),0),0)</f>
        <v>0</v>
      </c>
      <c r="P84" s="19">
        <f>IF(AND('Fuel Equipment'!P$44&gt;0,'Fuel Equipment'!P$45&gt;0),IF(AND($A84&gt;='Fuel Equipment'!P$17,$A84&lt;='Fuel Equipment'!P$18),('Fuel Equipment'!P$19*'Fuel Equipment'!P$20*'Fuel Equipment'!P$21)*('Fuel Equipment'!P$45-'Fuel Equipment'!P$44)*
(VLOOKUP(IF('Fuel Equipment'!P$22=Report!$A$25,Report!$A$19,'Fuel Equipment'!P$22),Report!$A$18:$L$34,'Actual-CO2 Calculations'!$AK87,FALSE)),0),0)</f>
        <v>0</v>
      </c>
      <c r="Q84" s="19">
        <f>IF(AND('Fuel Equipment'!Q$44&gt;0,'Fuel Equipment'!Q$45&gt;0),IF(AND($A84&gt;='Fuel Equipment'!Q$17,$A84&lt;='Fuel Equipment'!Q$18),('Fuel Equipment'!Q$19*'Fuel Equipment'!Q$20*'Fuel Equipment'!Q$21)*('Fuel Equipment'!Q$45-'Fuel Equipment'!Q$44)*
(VLOOKUP(IF('Fuel Equipment'!Q$22=Report!$A$25,Report!$A$19,'Fuel Equipment'!Q$22),Report!$A$18:$L$34,'Actual-CO2 Calculations'!$AK87,FALSE)),0),0)</f>
        <v>0</v>
      </c>
      <c r="R84" s="19">
        <f>IF(AND('Fuel Equipment'!R$44&gt;0,'Fuel Equipment'!R$45&gt;0),IF(AND($A84&gt;='Fuel Equipment'!R$17,$A84&lt;='Fuel Equipment'!R$18),('Fuel Equipment'!R$19*'Fuel Equipment'!R$20*'Fuel Equipment'!R$21)*('Fuel Equipment'!R$45-'Fuel Equipment'!R$44)*
(VLOOKUP(IF('Fuel Equipment'!R$22=Report!$A$25,Report!$A$19,'Fuel Equipment'!R$22),Report!$A$18:$L$34,'Actual-CO2 Calculations'!$AK87,FALSE)),0),0)</f>
        <v>0</v>
      </c>
      <c r="S84" s="19">
        <f>IF(AND('Fuel Equipment'!S$44&gt;0,'Fuel Equipment'!S$45&gt;0),IF(AND($A84&gt;='Fuel Equipment'!S$17,$A84&lt;='Fuel Equipment'!S$18),('Fuel Equipment'!S$19*'Fuel Equipment'!S$20*'Fuel Equipment'!S$21)*('Fuel Equipment'!S$45-'Fuel Equipment'!S$44)*
(VLOOKUP(IF('Fuel Equipment'!S$22=Report!$A$25,Report!$A$19,'Fuel Equipment'!S$22),Report!$A$18:$L$34,'Actual-CO2 Calculations'!$AK87,FALSE)),0),0)</f>
        <v>0</v>
      </c>
      <c r="V84" s="671">
        <f t="shared" si="1"/>
        <v>0</v>
      </c>
    </row>
    <row r="85" spans="1:22">
      <c r="A85" s="21" t="s">
        <v>90</v>
      </c>
      <c r="B85" s="19">
        <f>IF(AND('Fuel Equipment'!B$44&gt;0,'Fuel Equipment'!B$45&gt;0),IF(AND($A85&gt;='Fuel Equipment'!B$17,$A85&lt;='Fuel Equipment'!B$18),('Fuel Equipment'!B$19*'Fuel Equipment'!B$20*'Fuel Equipment'!B$21)*('Fuel Equipment'!B$45-'Fuel Equipment'!B$44)*
(VLOOKUP(IF('Fuel Equipment'!B$22=Report!$A$25,Report!$A$19,'Fuel Equipment'!B$22),Report!$A$18:$L$34,'Actual-CO2 Calculations'!$AK88,FALSE)),0),0)</f>
        <v>0</v>
      </c>
      <c r="C85" s="19">
        <f>IF(AND('Fuel Equipment'!C$44&gt;0,'Fuel Equipment'!C$45&gt;0),IF(AND($A85&gt;='Fuel Equipment'!C$17,$A85&lt;='Fuel Equipment'!C$18),('Fuel Equipment'!C$19*'Fuel Equipment'!C$20*'Fuel Equipment'!C$21)*('Fuel Equipment'!C$45-'Fuel Equipment'!C$44)*
(VLOOKUP(IF('Fuel Equipment'!C$22=Report!$A$25,Report!$A$19,'Fuel Equipment'!C$22),Report!$A$18:$L$34,'Actual-CO2 Calculations'!$AK88,FALSE)),0),0)</f>
        <v>0</v>
      </c>
      <c r="D85" s="19">
        <f>IF(AND('Fuel Equipment'!D$44&gt;0,'Fuel Equipment'!D$45&gt;0),IF(AND($A85&gt;='Fuel Equipment'!D$17,$A85&lt;='Fuel Equipment'!D$18),('Fuel Equipment'!D$19*'Fuel Equipment'!D$20*'Fuel Equipment'!D$21)*('Fuel Equipment'!D$45-'Fuel Equipment'!D$44)*
(VLOOKUP(IF('Fuel Equipment'!D$22=Report!$A$25,Report!$A$19,'Fuel Equipment'!D$22),Report!$A$18:$L$34,'Actual-CO2 Calculations'!$AK88,FALSE)),0),0)</f>
        <v>0</v>
      </c>
      <c r="E85" s="19">
        <f>IF(AND('Fuel Equipment'!E$44&gt;0,'Fuel Equipment'!E$45&gt;0),IF(AND($A85&gt;='Fuel Equipment'!E$17,$A85&lt;='Fuel Equipment'!E$18),('Fuel Equipment'!E$19*'Fuel Equipment'!E$20*'Fuel Equipment'!E$21)*('Fuel Equipment'!E$45-'Fuel Equipment'!E$44)*
(VLOOKUP(IF('Fuel Equipment'!E$22=Report!$A$25,Report!$A$19,'Fuel Equipment'!E$22),Report!$A$18:$L$34,'Actual-CO2 Calculations'!$AK88,FALSE)),0),0)</f>
        <v>0</v>
      </c>
      <c r="F85" s="19">
        <f>IF(AND('Fuel Equipment'!F$44&gt;0,'Fuel Equipment'!F$45&gt;0),IF(AND($A85&gt;='Fuel Equipment'!F$17,$A85&lt;='Fuel Equipment'!F$18),('Fuel Equipment'!F$19*'Fuel Equipment'!F$20*'Fuel Equipment'!F$21)*('Fuel Equipment'!F$45-'Fuel Equipment'!F$44)*
(VLOOKUP(IF('Fuel Equipment'!F$22=Report!$A$25,Report!$A$19,'Fuel Equipment'!F$22),Report!$A$18:$L$34,'Actual-CO2 Calculations'!$AK88,FALSE)),0),0)</f>
        <v>0</v>
      </c>
      <c r="G85" s="19">
        <f>IF(AND('Fuel Equipment'!G$44&gt;0,'Fuel Equipment'!G$45&gt;0),IF(AND($A85&gt;='Fuel Equipment'!G$17,$A85&lt;='Fuel Equipment'!G$18),('Fuel Equipment'!G$19*'Fuel Equipment'!G$20*'Fuel Equipment'!G$21)*('Fuel Equipment'!G$45-'Fuel Equipment'!G$44)*
(VLOOKUP(IF('Fuel Equipment'!G$22=Report!$A$25,Report!$A$19,'Fuel Equipment'!G$22),Report!$A$18:$L$34,'Actual-CO2 Calculations'!$AK88,FALSE)),0),0)</f>
        <v>0</v>
      </c>
      <c r="H85" s="19">
        <f>IF(AND('Fuel Equipment'!H$44&gt;0,'Fuel Equipment'!H$45&gt;0),IF(AND($A85&gt;='Fuel Equipment'!H$17,$A85&lt;='Fuel Equipment'!H$18),('Fuel Equipment'!H$19*'Fuel Equipment'!H$20*'Fuel Equipment'!H$21)*('Fuel Equipment'!H$45-'Fuel Equipment'!H$44)*
(VLOOKUP(IF('Fuel Equipment'!H$22=Report!$A$25,Report!$A$19,'Fuel Equipment'!H$22),Report!$A$18:$L$34,'Actual-CO2 Calculations'!$AK88,FALSE)),0),0)</f>
        <v>0</v>
      </c>
      <c r="I85" s="19">
        <f>IF(AND('Fuel Equipment'!I$44&gt;0,'Fuel Equipment'!I$45&gt;0),IF(AND($A85&gt;='Fuel Equipment'!I$17,$A85&lt;='Fuel Equipment'!I$18),('Fuel Equipment'!I$19*'Fuel Equipment'!I$20*'Fuel Equipment'!I$21)*('Fuel Equipment'!I$45-'Fuel Equipment'!I$44)*
(VLOOKUP(IF('Fuel Equipment'!I$22=Report!$A$25,Report!$A$19,'Fuel Equipment'!I$22),Report!$A$18:$L$34,'Actual-CO2 Calculations'!$AK88,FALSE)),0),0)</f>
        <v>0</v>
      </c>
      <c r="J85" s="19">
        <f>IF(AND('Fuel Equipment'!J$44&gt;0,'Fuel Equipment'!J$45&gt;0),IF(AND($A85&gt;='Fuel Equipment'!J$17,$A85&lt;='Fuel Equipment'!J$18),('Fuel Equipment'!J$19*'Fuel Equipment'!J$20*'Fuel Equipment'!J$21)*('Fuel Equipment'!J$45-'Fuel Equipment'!J$44)*
(VLOOKUP(IF('Fuel Equipment'!J$22=Report!$A$25,Report!$A$19,'Fuel Equipment'!J$22),Report!$A$18:$L$34,'Actual-CO2 Calculations'!$AK88,FALSE)),0),0)</f>
        <v>0</v>
      </c>
      <c r="K85" s="19">
        <f>IF(AND('Fuel Equipment'!K$44&gt;0,'Fuel Equipment'!K$45&gt;0),IF(AND($A85&gt;='Fuel Equipment'!K$17,$A85&lt;='Fuel Equipment'!K$18),('Fuel Equipment'!K$19*'Fuel Equipment'!K$20*'Fuel Equipment'!K$21)*('Fuel Equipment'!K$45-'Fuel Equipment'!K$44)*
(VLOOKUP(IF('Fuel Equipment'!K$22=Report!$A$25,Report!$A$19,'Fuel Equipment'!K$22),Report!$A$18:$L$34,'Actual-CO2 Calculations'!$AK88,FALSE)),0),0)</f>
        <v>0</v>
      </c>
      <c r="L85" s="19">
        <f>IF(AND('Fuel Equipment'!L$44&gt;0,'Fuel Equipment'!L$45&gt;0),IF(AND($A85&gt;='Fuel Equipment'!L$17,$A85&lt;='Fuel Equipment'!L$18),('Fuel Equipment'!L$19*'Fuel Equipment'!L$20*'Fuel Equipment'!L$21)*('Fuel Equipment'!L$45-'Fuel Equipment'!L$44)*
(VLOOKUP(IF('Fuel Equipment'!L$22=Report!$A$25,Report!$A$19,'Fuel Equipment'!L$22),Report!$A$18:$L$34,'Actual-CO2 Calculations'!$AK88,FALSE)),0),0)</f>
        <v>0</v>
      </c>
      <c r="M85" s="19">
        <f>IF(AND('Fuel Equipment'!M$44&gt;0,'Fuel Equipment'!M$45&gt;0),IF(AND($A85&gt;='Fuel Equipment'!M$17,$A85&lt;='Fuel Equipment'!M$18),('Fuel Equipment'!M$19*'Fuel Equipment'!M$20*'Fuel Equipment'!M$21)*('Fuel Equipment'!M$45-'Fuel Equipment'!M$44)*
(VLOOKUP(IF('Fuel Equipment'!M$22=Report!$A$25,Report!$A$19,'Fuel Equipment'!M$22),Report!$A$18:$L$34,'Actual-CO2 Calculations'!$AK88,FALSE)),0),0)</f>
        <v>0</v>
      </c>
      <c r="N85" s="19">
        <f>IF(AND('Fuel Equipment'!N$44&gt;0,'Fuel Equipment'!N$45&gt;0),IF(AND($A85&gt;='Fuel Equipment'!N$17,$A85&lt;='Fuel Equipment'!N$18),('Fuel Equipment'!N$19*'Fuel Equipment'!N$20*'Fuel Equipment'!N$21)*('Fuel Equipment'!N$45-'Fuel Equipment'!N$44)*
(VLOOKUP(IF('Fuel Equipment'!N$22=Report!$A$25,Report!$A$19,'Fuel Equipment'!N$22),Report!$A$18:$L$34,'Actual-CO2 Calculations'!$AK88,FALSE)),0),0)</f>
        <v>0</v>
      </c>
      <c r="O85" s="19">
        <f>IF(AND('Fuel Equipment'!O$44&gt;0,'Fuel Equipment'!O$45&gt;0),IF(AND($A85&gt;='Fuel Equipment'!O$17,$A85&lt;='Fuel Equipment'!O$18),('Fuel Equipment'!O$19*'Fuel Equipment'!O$20*'Fuel Equipment'!O$21)*('Fuel Equipment'!O$45-'Fuel Equipment'!O$44)*
(VLOOKUP(IF('Fuel Equipment'!O$22=Report!$A$25,Report!$A$19,'Fuel Equipment'!O$22),Report!$A$18:$L$34,'Actual-CO2 Calculations'!$AK88,FALSE)),0),0)</f>
        <v>0</v>
      </c>
      <c r="P85" s="19">
        <f>IF(AND('Fuel Equipment'!P$44&gt;0,'Fuel Equipment'!P$45&gt;0),IF(AND($A85&gt;='Fuel Equipment'!P$17,$A85&lt;='Fuel Equipment'!P$18),('Fuel Equipment'!P$19*'Fuel Equipment'!P$20*'Fuel Equipment'!P$21)*('Fuel Equipment'!P$45-'Fuel Equipment'!P$44)*
(VLOOKUP(IF('Fuel Equipment'!P$22=Report!$A$25,Report!$A$19,'Fuel Equipment'!P$22),Report!$A$18:$L$34,'Actual-CO2 Calculations'!$AK88,FALSE)),0),0)</f>
        <v>0</v>
      </c>
      <c r="Q85" s="19">
        <f>IF(AND('Fuel Equipment'!Q$44&gt;0,'Fuel Equipment'!Q$45&gt;0),IF(AND($A85&gt;='Fuel Equipment'!Q$17,$A85&lt;='Fuel Equipment'!Q$18),('Fuel Equipment'!Q$19*'Fuel Equipment'!Q$20*'Fuel Equipment'!Q$21)*('Fuel Equipment'!Q$45-'Fuel Equipment'!Q$44)*
(VLOOKUP(IF('Fuel Equipment'!Q$22=Report!$A$25,Report!$A$19,'Fuel Equipment'!Q$22),Report!$A$18:$L$34,'Actual-CO2 Calculations'!$AK88,FALSE)),0),0)</f>
        <v>0</v>
      </c>
      <c r="R85" s="19">
        <f>IF(AND('Fuel Equipment'!R$44&gt;0,'Fuel Equipment'!R$45&gt;0),IF(AND($A85&gt;='Fuel Equipment'!R$17,$A85&lt;='Fuel Equipment'!R$18),('Fuel Equipment'!R$19*'Fuel Equipment'!R$20*'Fuel Equipment'!R$21)*('Fuel Equipment'!R$45-'Fuel Equipment'!R$44)*
(VLOOKUP(IF('Fuel Equipment'!R$22=Report!$A$25,Report!$A$19,'Fuel Equipment'!R$22),Report!$A$18:$L$34,'Actual-CO2 Calculations'!$AK88,FALSE)),0),0)</f>
        <v>0</v>
      </c>
      <c r="S85" s="19">
        <f>IF(AND('Fuel Equipment'!S$44&gt;0,'Fuel Equipment'!S$45&gt;0),IF(AND($A85&gt;='Fuel Equipment'!S$17,$A85&lt;='Fuel Equipment'!S$18),('Fuel Equipment'!S$19*'Fuel Equipment'!S$20*'Fuel Equipment'!S$21)*('Fuel Equipment'!S$45-'Fuel Equipment'!S$44)*
(VLOOKUP(IF('Fuel Equipment'!S$22=Report!$A$25,Report!$A$19,'Fuel Equipment'!S$22),Report!$A$18:$L$34,'Actual-CO2 Calculations'!$AK88,FALSE)),0),0)</f>
        <v>0</v>
      </c>
      <c r="V85" s="671">
        <f t="shared" si="1"/>
        <v>0</v>
      </c>
    </row>
    <row r="86" spans="1:22">
      <c r="A86" s="21" t="s">
        <v>91</v>
      </c>
      <c r="B86" s="19">
        <f>IF(AND('Fuel Equipment'!B$44&gt;0,'Fuel Equipment'!B$45&gt;0),IF(AND($A86&gt;='Fuel Equipment'!B$17,$A86&lt;='Fuel Equipment'!B$18),('Fuel Equipment'!B$19*'Fuel Equipment'!B$20*'Fuel Equipment'!B$21)*('Fuel Equipment'!B$45-'Fuel Equipment'!B$44)*
(VLOOKUP(IF('Fuel Equipment'!B$22=Report!$A$25,Report!$A$19,'Fuel Equipment'!B$22),Report!$A$18:$L$34,'Actual-CO2 Calculations'!$AK89,FALSE)),0),0)</f>
        <v>0</v>
      </c>
      <c r="C86" s="19">
        <f>IF(AND('Fuel Equipment'!C$44&gt;0,'Fuel Equipment'!C$45&gt;0),IF(AND($A86&gt;='Fuel Equipment'!C$17,$A86&lt;='Fuel Equipment'!C$18),('Fuel Equipment'!C$19*'Fuel Equipment'!C$20*'Fuel Equipment'!C$21)*('Fuel Equipment'!C$45-'Fuel Equipment'!C$44)*
(VLOOKUP(IF('Fuel Equipment'!C$22=Report!$A$25,Report!$A$19,'Fuel Equipment'!C$22),Report!$A$18:$L$34,'Actual-CO2 Calculations'!$AK89,FALSE)),0),0)</f>
        <v>0</v>
      </c>
      <c r="D86" s="19">
        <f>IF(AND('Fuel Equipment'!D$44&gt;0,'Fuel Equipment'!D$45&gt;0),IF(AND($A86&gt;='Fuel Equipment'!D$17,$A86&lt;='Fuel Equipment'!D$18),('Fuel Equipment'!D$19*'Fuel Equipment'!D$20*'Fuel Equipment'!D$21)*('Fuel Equipment'!D$45-'Fuel Equipment'!D$44)*
(VLOOKUP(IF('Fuel Equipment'!D$22=Report!$A$25,Report!$A$19,'Fuel Equipment'!D$22),Report!$A$18:$L$34,'Actual-CO2 Calculations'!$AK89,FALSE)),0),0)</f>
        <v>0</v>
      </c>
      <c r="E86" s="19">
        <f>IF(AND('Fuel Equipment'!E$44&gt;0,'Fuel Equipment'!E$45&gt;0),IF(AND($A86&gt;='Fuel Equipment'!E$17,$A86&lt;='Fuel Equipment'!E$18),('Fuel Equipment'!E$19*'Fuel Equipment'!E$20*'Fuel Equipment'!E$21)*('Fuel Equipment'!E$45-'Fuel Equipment'!E$44)*
(VLOOKUP(IF('Fuel Equipment'!E$22=Report!$A$25,Report!$A$19,'Fuel Equipment'!E$22),Report!$A$18:$L$34,'Actual-CO2 Calculations'!$AK89,FALSE)),0),0)</f>
        <v>0</v>
      </c>
      <c r="F86" s="19">
        <f>IF(AND('Fuel Equipment'!F$44&gt;0,'Fuel Equipment'!F$45&gt;0),IF(AND($A86&gt;='Fuel Equipment'!F$17,$A86&lt;='Fuel Equipment'!F$18),('Fuel Equipment'!F$19*'Fuel Equipment'!F$20*'Fuel Equipment'!F$21)*('Fuel Equipment'!F$45-'Fuel Equipment'!F$44)*
(VLOOKUP(IF('Fuel Equipment'!F$22=Report!$A$25,Report!$A$19,'Fuel Equipment'!F$22),Report!$A$18:$L$34,'Actual-CO2 Calculations'!$AK89,FALSE)),0),0)</f>
        <v>0</v>
      </c>
      <c r="G86" s="19">
        <f>IF(AND('Fuel Equipment'!G$44&gt;0,'Fuel Equipment'!G$45&gt;0),IF(AND($A86&gt;='Fuel Equipment'!G$17,$A86&lt;='Fuel Equipment'!G$18),('Fuel Equipment'!G$19*'Fuel Equipment'!G$20*'Fuel Equipment'!G$21)*('Fuel Equipment'!G$45-'Fuel Equipment'!G$44)*
(VLOOKUP(IF('Fuel Equipment'!G$22=Report!$A$25,Report!$A$19,'Fuel Equipment'!G$22),Report!$A$18:$L$34,'Actual-CO2 Calculations'!$AK89,FALSE)),0),0)</f>
        <v>0</v>
      </c>
      <c r="H86" s="19">
        <f>IF(AND('Fuel Equipment'!H$44&gt;0,'Fuel Equipment'!H$45&gt;0),IF(AND($A86&gt;='Fuel Equipment'!H$17,$A86&lt;='Fuel Equipment'!H$18),('Fuel Equipment'!H$19*'Fuel Equipment'!H$20*'Fuel Equipment'!H$21)*('Fuel Equipment'!H$45-'Fuel Equipment'!H$44)*
(VLOOKUP(IF('Fuel Equipment'!H$22=Report!$A$25,Report!$A$19,'Fuel Equipment'!H$22),Report!$A$18:$L$34,'Actual-CO2 Calculations'!$AK89,FALSE)),0),0)</f>
        <v>0</v>
      </c>
      <c r="I86" s="19">
        <f>IF(AND('Fuel Equipment'!I$44&gt;0,'Fuel Equipment'!I$45&gt;0),IF(AND($A86&gt;='Fuel Equipment'!I$17,$A86&lt;='Fuel Equipment'!I$18),('Fuel Equipment'!I$19*'Fuel Equipment'!I$20*'Fuel Equipment'!I$21)*('Fuel Equipment'!I$45-'Fuel Equipment'!I$44)*
(VLOOKUP(IF('Fuel Equipment'!I$22=Report!$A$25,Report!$A$19,'Fuel Equipment'!I$22),Report!$A$18:$L$34,'Actual-CO2 Calculations'!$AK89,FALSE)),0),0)</f>
        <v>0</v>
      </c>
      <c r="J86" s="19">
        <f>IF(AND('Fuel Equipment'!J$44&gt;0,'Fuel Equipment'!J$45&gt;0),IF(AND($A86&gt;='Fuel Equipment'!J$17,$A86&lt;='Fuel Equipment'!J$18),('Fuel Equipment'!J$19*'Fuel Equipment'!J$20*'Fuel Equipment'!J$21)*('Fuel Equipment'!J$45-'Fuel Equipment'!J$44)*
(VLOOKUP(IF('Fuel Equipment'!J$22=Report!$A$25,Report!$A$19,'Fuel Equipment'!J$22),Report!$A$18:$L$34,'Actual-CO2 Calculations'!$AK89,FALSE)),0),0)</f>
        <v>0</v>
      </c>
      <c r="K86" s="19">
        <f>IF(AND('Fuel Equipment'!K$44&gt;0,'Fuel Equipment'!K$45&gt;0),IF(AND($A86&gt;='Fuel Equipment'!K$17,$A86&lt;='Fuel Equipment'!K$18),('Fuel Equipment'!K$19*'Fuel Equipment'!K$20*'Fuel Equipment'!K$21)*('Fuel Equipment'!K$45-'Fuel Equipment'!K$44)*
(VLOOKUP(IF('Fuel Equipment'!K$22=Report!$A$25,Report!$A$19,'Fuel Equipment'!K$22),Report!$A$18:$L$34,'Actual-CO2 Calculations'!$AK89,FALSE)),0),0)</f>
        <v>0</v>
      </c>
      <c r="L86" s="19">
        <f>IF(AND('Fuel Equipment'!L$44&gt;0,'Fuel Equipment'!L$45&gt;0),IF(AND($A86&gt;='Fuel Equipment'!L$17,$A86&lt;='Fuel Equipment'!L$18),('Fuel Equipment'!L$19*'Fuel Equipment'!L$20*'Fuel Equipment'!L$21)*('Fuel Equipment'!L$45-'Fuel Equipment'!L$44)*
(VLOOKUP(IF('Fuel Equipment'!L$22=Report!$A$25,Report!$A$19,'Fuel Equipment'!L$22),Report!$A$18:$L$34,'Actual-CO2 Calculations'!$AK89,FALSE)),0),0)</f>
        <v>0</v>
      </c>
      <c r="M86" s="19">
        <f>IF(AND('Fuel Equipment'!M$44&gt;0,'Fuel Equipment'!M$45&gt;0),IF(AND($A86&gt;='Fuel Equipment'!M$17,$A86&lt;='Fuel Equipment'!M$18),('Fuel Equipment'!M$19*'Fuel Equipment'!M$20*'Fuel Equipment'!M$21)*('Fuel Equipment'!M$45-'Fuel Equipment'!M$44)*
(VLOOKUP(IF('Fuel Equipment'!M$22=Report!$A$25,Report!$A$19,'Fuel Equipment'!M$22),Report!$A$18:$L$34,'Actual-CO2 Calculations'!$AK89,FALSE)),0),0)</f>
        <v>0</v>
      </c>
      <c r="N86" s="19">
        <f>IF(AND('Fuel Equipment'!N$44&gt;0,'Fuel Equipment'!N$45&gt;0),IF(AND($A86&gt;='Fuel Equipment'!N$17,$A86&lt;='Fuel Equipment'!N$18),('Fuel Equipment'!N$19*'Fuel Equipment'!N$20*'Fuel Equipment'!N$21)*('Fuel Equipment'!N$45-'Fuel Equipment'!N$44)*
(VLOOKUP(IF('Fuel Equipment'!N$22=Report!$A$25,Report!$A$19,'Fuel Equipment'!N$22),Report!$A$18:$L$34,'Actual-CO2 Calculations'!$AK89,FALSE)),0),0)</f>
        <v>0</v>
      </c>
      <c r="O86" s="19">
        <f>IF(AND('Fuel Equipment'!O$44&gt;0,'Fuel Equipment'!O$45&gt;0),IF(AND($A86&gt;='Fuel Equipment'!O$17,$A86&lt;='Fuel Equipment'!O$18),('Fuel Equipment'!O$19*'Fuel Equipment'!O$20*'Fuel Equipment'!O$21)*('Fuel Equipment'!O$45-'Fuel Equipment'!O$44)*
(VLOOKUP(IF('Fuel Equipment'!O$22=Report!$A$25,Report!$A$19,'Fuel Equipment'!O$22),Report!$A$18:$L$34,'Actual-CO2 Calculations'!$AK89,FALSE)),0),0)</f>
        <v>0</v>
      </c>
      <c r="P86" s="19">
        <f>IF(AND('Fuel Equipment'!P$44&gt;0,'Fuel Equipment'!P$45&gt;0),IF(AND($A86&gt;='Fuel Equipment'!P$17,$A86&lt;='Fuel Equipment'!P$18),('Fuel Equipment'!P$19*'Fuel Equipment'!P$20*'Fuel Equipment'!P$21)*('Fuel Equipment'!P$45-'Fuel Equipment'!P$44)*
(VLOOKUP(IF('Fuel Equipment'!P$22=Report!$A$25,Report!$A$19,'Fuel Equipment'!P$22),Report!$A$18:$L$34,'Actual-CO2 Calculations'!$AK89,FALSE)),0),0)</f>
        <v>0</v>
      </c>
      <c r="Q86" s="19">
        <f>IF(AND('Fuel Equipment'!Q$44&gt;0,'Fuel Equipment'!Q$45&gt;0),IF(AND($A86&gt;='Fuel Equipment'!Q$17,$A86&lt;='Fuel Equipment'!Q$18),('Fuel Equipment'!Q$19*'Fuel Equipment'!Q$20*'Fuel Equipment'!Q$21)*('Fuel Equipment'!Q$45-'Fuel Equipment'!Q$44)*
(VLOOKUP(IF('Fuel Equipment'!Q$22=Report!$A$25,Report!$A$19,'Fuel Equipment'!Q$22),Report!$A$18:$L$34,'Actual-CO2 Calculations'!$AK89,FALSE)),0),0)</f>
        <v>0</v>
      </c>
      <c r="R86" s="19">
        <f>IF(AND('Fuel Equipment'!R$44&gt;0,'Fuel Equipment'!R$45&gt;0),IF(AND($A86&gt;='Fuel Equipment'!R$17,$A86&lt;='Fuel Equipment'!R$18),('Fuel Equipment'!R$19*'Fuel Equipment'!R$20*'Fuel Equipment'!R$21)*('Fuel Equipment'!R$45-'Fuel Equipment'!R$44)*
(VLOOKUP(IF('Fuel Equipment'!R$22=Report!$A$25,Report!$A$19,'Fuel Equipment'!R$22),Report!$A$18:$L$34,'Actual-CO2 Calculations'!$AK89,FALSE)),0),0)</f>
        <v>0</v>
      </c>
      <c r="S86" s="19">
        <f>IF(AND('Fuel Equipment'!S$44&gt;0,'Fuel Equipment'!S$45&gt;0),IF(AND($A86&gt;='Fuel Equipment'!S$17,$A86&lt;='Fuel Equipment'!S$18),('Fuel Equipment'!S$19*'Fuel Equipment'!S$20*'Fuel Equipment'!S$21)*('Fuel Equipment'!S$45-'Fuel Equipment'!S$44)*
(VLOOKUP(IF('Fuel Equipment'!S$22=Report!$A$25,Report!$A$19,'Fuel Equipment'!S$22),Report!$A$18:$L$34,'Actual-CO2 Calculations'!$AK89,FALSE)),0),0)</f>
        <v>0</v>
      </c>
      <c r="V86" s="671">
        <f t="shared" si="1"/>
        <v>0</v>
      </c>
    </row>
    <row r="87" spans="1:22">
      <c r="A87" s="21" t="s">
        <v>92</v>
      </c>
      <c r="B87" s="19">
        <f>IF(AND('Fuel Equipment'!B$44&gt;0,'Fuel Equipment'!B$45&gt;0),IF(AND($A87&gt;='Fuel Equipment'!B$17,$A87&lt;='Fuel Equipment'!B$18),('Fuel Equipment'!B$19*'Fuel Equipment'!B$20*'Fuel Equipment'!B$21)*('Fuel Equipment'!B$45-'Fuel Equipment'!B$44)*
(VLOOKUP(IF('Fuel Equipment'!B$22=Report!$A$25,Report!$A$19,'Fuel Equipment'!B$22),Report!$A$18:$L$34,'Actual-CO2 Calculations'!$AK90,FALSE)),0),0)</f>
        <v>0</v>
      </c>
      <c r="C87" s="19">
        <f>IF(AND('Fuel Equipment'!C$44&gt;0,'Fuel Equipment'!C$45&gt;0),IF(AND($A87&gt;='Fuel Equipment'!C$17,$A87&lt;='Fuel Equipment'!C$18),('Fuel Equipment'!C$19*'Fuel Equipment'!C$20*'Fuel Equipment'!C$21)*('Fuel Equipment'!C$45-'Fuel Equipment'!C$44)*
(VLOOKUP(IF('Fuel Equipment'!C$22=Report!$A$25,Report!$A$19,'Fuel Equipment'!C$22),Report!$A$18:$L$34,'Actual-CO2 Calculations'!$AK90,FALSE)),0),0)</f>
        <v>0</v>
      </c>
      <c r="D87" s="19">
        <f>IF(AND('Fuel Equipment'!D$44&gt;0,'Fuel Equipment'!D$45&gt;0),IF(AND($A87&gt;='Fuel Equipment'!D$17,$A87&lt;='Fuel Equipment'!D$18),('Fuel Equipment'!D$19*'Fuel Equipment'!D$20*'Fuel Equipment'!D$21)*('Fuel Equipment'!D$45-'Fuel Equipment'!D$44)*
(VLOOKUP(IF('Fuel Equipment'!D$22=Report!$A$25,Report!$A$19,'Fuel Equipment'!D$22),Report!$A$18:$L$34,'Actual-CO2 Calculations'!$AK90,FALSE)),0),0)</f>
        <v>0</v>
      </c>
      <c r="E87" s="19">
        <f>IF(AND('Fuel Equipment'!E$44&gt;0,'Fuel Equipment'!E$45&gt;0),IF(AND($A87&gt;='Fuel Equipment'!E$17,$A87&lt;='Fuel Equipment'!E$18),('Fuel Equipment'!E$19*'Fuel Equipment'!E$20*'Fuel Equipment'!E$21)*('Fuel Equipment'!E$45-'Fuel Equipment'!E$44)*
(VLOOKUP(IF('Fuel Equipment'!E$22=Report!$A$25,Report!$A$19,'Fuel Equipment'!E$22),Report!$A$18:$L$34,'Actual-CO2 Calculations'!$AK90,FALSE)),0),0)</f>
        <v>0</v>
      </c>
      <c r="F87" s="19">
        <f>IF(AND('Fuel Equipment'!F$44&gt;0,'Fuel Equipment'!F$45&gt;0),IF(AND($A87&gt;='Fuel Equipment'!F$17,$A87&lt;='Fuel Equipment'!F$18),('Fuel Equipment'!F$19*'Fuel Equipment'!F$20*'Fuel Equipment'!F$21)*('Fuel Equipment'!F$45-'Fuel Equipment'!F$44)*
(VLOOKUP(IF('Fuel Equipment'!F$22=Report!$A$25,Report!$A$19,'Fuel Equipment'!F$22),Report!$A$18:$L$34,'Actual-CO2 Calculations'!$AK90,FALSE)),0),0)</f>
        <v>0</v>
      </c>
      <c r="G87" s="19">
        <f>IF(AND('Fuel Equipment'!G$44&gt;0,'Fuel Equipment'!G$45&gt;0),IF(AND($A87&gt;='Fuel Equipment'!G$17,$A87&lt;='Fuel Equipment'!G$18),('Fuel Equipment'!G$19*'Fuel Equipment'!G$20*'Fuel Equipment'!G$21)*('Fuel Equipment'!G$45-'Fuel Equipment'!G$44)*
(VLOOKUP(IF('Fuel Equipment'!G$22=Report!$A$25,Report!$A$19,'Fuel Equipment'!G$22),Report!$A$18:$L$34,'Actual-CO2 Calculations'!$AK90,FALSE)),0),0)</f>
        <v>0</v>
      </c>
      <c r="H87" s="19">
        <f>IF(AND('Fuel Equipment'!H$44&gt;0,'Fuel Equipment'!H$45&gt;0),IF(AND($A87&gt;='Fuel Equipment'!H$17,$A87&lt;='Fuel Equipment'!H$18),('Fuel Equipment'!H$19*'Fuel Equipment'!H$20*'Fuel Equipment'!H$21)*('Fuel Equipment'!H$45-'Fuel Equipment'!H$44)*
(VLOOKUP(IF('Fuel Equipment'!H$22=Report!$A$25,Report!$A$19,'Fuel Equipment'!H$22),Report!$A$18:$L$34,'Actual-CO2 Calculations'!$AK90,FALSE)),0),0)</f>
        <v>0</v>
      </c>
      <c r="I87" s="19">
        <f>IF(AND('Fuel Equipment'!I$44&gt;0,'Fuel Equipment'!I$45&gt;0),IF(AND($A87&gt;='Fuel Equipment'!I$17,$A87&lt;='Fuel Equipment'!I$18),('Fuel Equipment'!I$19*'Fuel Equipment'!I$20*'Fuel Equipment'!I$21)*('Fuel Equipment'!I$45-'Fuel Equipment'!I$44)*
(VLOOKUP(IF('Fuel Equipment'!I$22=Report!$A$25,Report!$A$19,'Fuel Equipment'!I$22),Report!$A$18:$L$34,'Actual-CO2 Calculations'!$AK90,FALSE)),0),0)</f>
        <v>0</v>
      </c>
      <c r="J87" s="19">
        <f>IF(AND('Fuel Equipment'!J$44&gt;0,'Fuel Equipment'!J$45&gt;0),IF(AND($A87&gt;='Fuel Equipment'!J$17,$A87&lt;='Fuel Equipment'!J$18),('Fuel Equipment'!J$19*'Fuel Equipment'!J$20*'Fuel Equipment'!J$21)*('Fuel Equipment'!J$45-'Fuel Equipment'!J$44)*
(VLOOKUP(IF('Fuel Equipment'!J$22=Report!$A$25,Report!$A$19,'Fuel Equipment'!J$22),Report!$A$18:$L$34,'Actual-CO2 Calculations'!$AK90,FALSE)),0),0)</f>
        <v>0</v>
      </c>
      <c r="K87" s="19">
        <f>IF(AND('Fuel Equipment'!K$44&gt;0,'Fuel Equipment'!K$45&gt;0),IF(AND($A87&gt;='Fuel Equipment'!K$17,$A87&lt;='Fuel Equipment'!K$18),('Fuel Equipment'!K$19*'Fuel Equipment'!K$20*'Fuel Equipment'!K$21)*('Fuel Equipment'!K$45-'Fuel Equipment'!K$44)*
(VLOOKUP(IF('Fuel Equipment'!K$22=Report!$A$25,Report!$A$19,'Fuel Equipment'!K$22),Report!$A$18:$L$34,'Actual-CO2 Calculations'!$AK90,FALSE)),0),0)</f>
        <v>0</v>
      </c>
      <c r="L87" s="19">
        <f>IF(AND('Fuel Equipment'!L$44&gt;0,'Fuel Equipment'!L$45&gt;0),IF(AND($A87&gt;='Fuel Equipment'!L$17,$A87&lt;='Fuel Equipment'!L$18),('Fuel Equipment'!L$19*'Fuel Equipment'!L$20*'Fuel Equipment'!L$21)*('Fuel Equipment'!L$45-'Fuel Equipment'!L$44)*
(VLOOKUP(IF('Fuel Equipment'!L$22=Report!$A$25,Report!$A$19,'Fuel Equipment'!L$22),Report!$A$18:$L$34,'Actual-CO2 Calculations'!$AK90,FALSE)),0),0)</f>
        <v>0</v>
      </c>
      <c r="M87" s="19">
        <f>IF(AND('Fuel Equipment'!M$44&gt;0,'Fuel Equipment'!M$45&gt;0),IF(AND($A87&gt;='Fuel Equipment'!M$17,$A87&lt;='Fuel Equipment'!M$18),('Fuel Equipment'!M$19*'Fuel Equipment'!M$20*'Fuel Equipment'!M$21)*('Fuel Equipment'!M$45-'Fuel Equipment'!M$44)*
(VLOOKUP(IF('Fuel Equipment'!M$22=Report!$A$25,Report!$A$19,'Fuel Equipment'!M$22),Report!$A$18:$L$34,'Actual-CO2 Calculations'!$AK90,FALSE)),0),0)</f>
        <v>0</v>
      </c>
      <c r="N87" s="19">
        <f>IF(AND('Fuel Equipment'!N$44&gt;0,'Fuel Equipment'!N$45&gt;0),IF(AND($A87&gt;='Fuel Equipment'!N$17,$A87&lt;='Fuel Equipment'!N$18),('Fuel Equipment'!N$19*'Fuel Equipment'!N$20*'Fuel Equipment'!N$21)*('Fuel Equipment'!N$45-'Fuel Equipment'!N$44)*
(VLOOKUP(IF('Fuel Equipment'!N$22=Report!$A$25,Report!$A$19,'Fuel Equipment'!N$22),Report!$A$18:$L$34,'Actual-CO2 Calculations'!$AK90,FALSE)),0),0)</f>
        <v>0</v>
      </c>
      <c r="O87" s="19">
        <f>IF(AND('Fuel Equipment'!O$44&gt;0,'Fuel Equipment'!O$45&gt;0),IF(AND($A87&gt;='Fuel Equipment'!O$17,$A87&lt;='Fuel Equipment'!O$18),('Fuel Equipment'!O$19*'Fuel Equipment'!O$20*'Fuel Equipment'!O$21)*('Fuel Equipment'!O$45-'Fuel Equipment'!O$44)*
(VLOOKUP(IF('Fuel Equipment'!O$22=Report!$A$25,Report!$A$19,'Fuel Equipment'!O$22),Report!$A$18:$L$34,'Actual-CO2 Calculations'!$AK90,FALSE)),0),0)</f>
        <v>0</v>
      </c>
      <c r="P87" s="19">
        <f>IF(AND('Fuel Equipment'!P$44&gt;0,'Fuel Equipment'!P$45&gt;0),IF(AND($A87&gt;='Fuel Equipment'!P$17,$A87&lt;='Fuel Equipment'!P$18),('Fuel Equipment'!P$19*'Fuel Equipment'!P$20*'Fuel Equipment'!P$21)*('Fuel Equipment'!P$45-'Fuel Equipment'!P$44)*
(VLOOKUP(IF('Fuel Equipment'!P$22=Report!$A$25,Report!$A$19,'Fuel Equipment'!P$22),Report!$A$18:$L$34,'Actual-CO2 Calculations'!$AK90,FALSE)),0),0)</f>
        <v>0</v>
      </c>
      <c r="Q87" s="19">
        <f>IF(AND('Fuel Equipment'!Q$44&gt;0,'Fuel Equipment'!Q$45&gt;0),IF(AND($A87&gt;='Fuel Equipment'!Q$17,$A87&lt;='Fuel Equipment'!Q$18),('Fuel Equipment'!Q$19*'Fuel Equipment'!Q$20*'Fuel Equipment'!Q$21)*('Fuel Equipment'!Q$45-'Fuel Equipment'!Q$44)*
(VLOOKUP(IF('Fuel Equipment'!Q$22=Report!$A$25,Report!$A$19,'Fuel Equipment'!Q$22),Report!$A$18:$L$34,'Actual-CO2 Calculations'!$AK90,FALSE)),0),0)</f>
        <v>0</v>
      </c>
      <c r="R87" s="19">
        <f>IF(AND('Fuel Equipment'!R$44&gt;0,'Fuel Equipment'!R$45&gt;0),IF(AND($A87&gt;='Fuel Equipment'!R$17,$A87&lt;='Fuel Equipment'!R$18),('Fuel Equipment'!R$19*'Fuel Equipment'!R$20*'Fuel Equipment'!R$21)*('Fuel Equipment'!R$45-'Fuel Equipment'!R$44)*
(VLOOKUP(IF('Fuel Equipment'!R$22=Report!$A$25,Report!$A$19,'Fuel Equipment'!R$22),Report!$A$18:$L$34,'Actual-CO2 Calculations'!$AK90,FALSE)),0),0)</f>
        <v>0</v>
      </c>
      <c r="S87" s="19">
        <f>IF(AND('Fuel Equipment'!S$44&gt;0,'Fuel Equipment'!S$45&gt;0),IF(AND($A87&gt;='Fuel Equipment'!S$17,$A87&lt;='Fuel Equipment'!S$18),('Fuel Equipment'!S$19*'Fuel Equipment'!S$20*'Fuel Equipment'!S$21)*('Fuel Equipment'!S$45-'Fuel Equipment'!S$44)*
(VLOOKUP(IF('Fuel Equipment'!S$22=Report!$A$25,Report!$A$19,'Fuel Equipment'!S$22),Report!$A$18:$L$34,'Actual-CO2 Calculations'!$AK90,FALSE)),0),0)</f>
        <v>0</v>
      </c>
      <c r="V87" s="671">
        <f t="shared" si="1"/>
        <v>0</v>
      </c>
    </row>
    <row r="88" spans="1:22">
      <c r="A88" s="21" t="s">
        <v>93</v>
      </c>
      <c r="B88" s="19">
        <f>IF(AND('Fuel Equipment'!B$44&gt;0,'Fuel Equipment'!B$45&gt;0),IF(AND($A88&gt;='Fuel Equipment'!B$17,$A88&lt;='Fuel Equipment'!B$18),('Fuel Equipment'!B$19*'Fuel Equipment'!B$20*'Fuel Equipment'!B$21)*('Fuel Equipment'!B$45-'Fuel Equipment'!B$44)*
(VLOOKUP(IF('Fuel Equipment'!B$22=Report!$A$25,Report!$A$19,'Fuel Equipment'!B$22),Report!$A$18:$L$34,'Actual-CO2 Calculations'!$AK91,FALSE)),0),0)</f>
        <v>0</v>
      </c>
      <c r="C88" s="19">
        <f>IF(AND('Fuel Equipment'!C$44&gt;0,'Fuel Equipment'!C$45&gt;0),IF(AND($A88&gt;='Fuel Equipment'!C$17,$A88&lt;='Fuel Equipment'!C$18),('Fuel Equipment'!C$19*'Fuel Equipment'!C$20*'Fuel Equipment'!C$21)*('Fuel Equipment'!C$45-'Fuel Equipment'!C$44)*
(VLOOKUP(IF('Fuel Equipment'!C$22=Report!$A$25,Report!$A$19,'Fuel Equipment'!C$22),Report!$A$18:$L$34,'Actual-CO2 Calculations'!$AK91,FALSE)),0),0)</f>
        <v>0</v>
      </c>
      <c r="D88" s="19">
        <f>IF(AND('Fuel Equipment'!D$44&gt;0,'Fuel Equipment'!D$45&gt;0),IF(AND($A88&gt;='Fuel Equipment'!D$17,$A88&lt;='Fuel Equipment'!D$18),('Fuel Equipment'!D$19*'Fuel Equipment'!D$20*'Fuel Equipment'!D$21)*('Fuel Equipment'!D$45-'Fuel Equipment'!D$44)*
(VLOOKUP(IF('Fuel Equipment'!D$22=Report!$A$25,Report!$A$19,'Fuel Equipment'!D$22),Report!$A$18:$L$34,'Actual-CO2 Calculations'!$AK91,FALSE)),0),0)</f>
        <v>0</v>
      </c>
      <c r="E88" s="19">
        <f>IF(AND('Fuel Equipment'!E$44&gt;0,'Fuel Equipment'!E$45&gt;0),IF(AND($A88&gt;='Fuel Equipment'!E$17,$A88&lt;='Fuel Equipment'!E$18),('Fuel Equipment'!E$19*'Fuel Equipment'!E$20*'Fuel Equipment'!E$21)*('Fuel Equipment'!E$45-'Fuel Equipment'!E$44)*
(VLOOKUP(IF('Fuel Equipment'!E$22=Report!$A$25,Report!$A$19,'Fuel Equipment'!E$22),Report!$A$18:$L$34,'Actual-CO2 Calculations'!$AK91,FALSE)),0),0)</f>
        <v>0</v>
      </c>
      <c r="F88" s="19">
        <f>IF(AND('Fuel Equipment'!F$44&gt;0,'Fuel Equipment'!F$45&gt;0),IF(AND($A88&gt;='Fuel Equipment'!F$17,$A88&lt;='Fuel Equipment'!F$18),('Fuel Equipment'!F$19*'Fuel Equipment'!F$20*'Fuel Equipment'!F$21)*('Fuel Equipment'!F$45-'Fuel Equipment'!F$44)*
(VLOOKUP(IF('Fuel Equipment'!F$22=Report!$A$25,Report!$A$19,'Fuel Equipment'!F$22),Report!$A$18:$L$34,'Actual-CO2 Calculations'!$AK91,FALSE)),0),0)</f>
        <v>0</v>
      </c>
      <c r="G88" s="19">
        <f>IF(AND('Fuel Equipment'!G$44&gt;0,'Fuel Equipment'!G$45&gt;0),IF(AND($A88&gt;='Fuel Equipment'!G$17,$A88&lt;='Fuel Equipment'!G$18),('Fuel Equipment'!G$19*'Fuel Equipment'!G$20*'Fuel Equipment'!G$21)*('Fuel Equipment'!G$45-'Fuel Equipment'!G$44)*
(VLOOKUP(IF('Fuel Equipment'!G$22=Report!$A$25,Report!$A$19,'Fuel Equipment'!G$22),Report!$A$18:$L$34,'Actual-CO2 Calculations'!$AK91,FALSE)),0),0)</f>
        <v>0</v>
      </c>
      <c r="H88" s="19">
        <f>IF(AND('Fuel Equipment'!H$44&gt;0,'Fuel Equipment'!H$45&gt;0),IF(AND($A88&gt;='Fuel Equipment'!H$17,$A88&lt;='Fuel Equipment'!H$18),('Fuel Equipment'!H$19*'Fuel Equipment'!H$20*'Fuel Equipment'!H$21)*('Fuel Equipment'!H$45-'Fuel Equipment'!H$44)*
(VLOOKUP(IF('Fuel Equipment'!H$22=Report!$A$25,Report!$A$19,'Fuel Equipment'!H$22),Report!$A$18:$L$34,'Actual-CO2 Calculations'!$AK91,FALSE)),0),0)</f>
        <v>0</v>
      </c>
      <c r="I88" s="19">
        <f>IF(AND('Fuel Equipment'!I$44&gt;0,'Fuel Equipment'!I$45&gt;0),IF(AND($A88&gt;='Fuel Equipment'!I$17,$A88&lt;='Fuel Equipment'!I$18),('Fuel Equipment'!I$19*'Fuel Equipment'!I$20*'Fuel Equipment'!I$21)*('Fuel Equipment'!I$45-'Fuel Equipment'!I$44)*
(VLOOKUP(IF('Fuel Equipment'!I$22=Report!$A$25,Report!$A$19,'Fuel Equipment'!I$22),Report!$A$18:$L$34,'Actual-CO2 Calculations'!$AK91,FALSE)),0),0)</f>
        <v>0</v>
      </c>
      <c r="J88" s="19">
        <f>IF(AND('Fuel Equipment'!J$44&gt;0,'Fuel Equipment'!J$45&gt;0),IF(AND($A88&gt;='Fuel Equipment'!J$17,$A88&lt;='Fuel Equipment'!J$18),('Fuel Equipment'!J$19*'Fuel Equipment'!J$20*'Fuel Equipment'!J$21)*('Fuel Equipment'!J$45-'Fuel Equipment'!J$44)*
(VLOOKUP(IF('Fuel Equipment'!J$22=Report!$A$25,Report!$A$19,'Fuel Equipment'!J$22),Report!$A$18:$L$34,'Actual-CO2 Calculations'!$AK91,FALSE)),0),0)</f>
        <v>0</v>
      </c>
      <c r="K88" s="19">
        <f>IF(AND('Fuel Equipment'!K$44&gt;0,'Fuel Equipment'!K$45&gt;0),IF(AND($A88&gt;='Fuel Equipment'!K$17,$A88&lt;='Fuel Equipment'!K$18),('Fuel Equipment'!K$19*'Fuel Equipment'!K$20*'Fuel Equipment'!K$21)*('Fuel Equipment'!K$45-'Fuel Equipment'!K$44)*
(VLOOKUP(IF('Fuel Equipment'!K$22=Report!$A$25,Report!$A$19,'Fuel Equipment'!K$22),Report!$A$18:$L$34,'Actual-CO2 Calculations'!$AK91,FALSE)),0),0)</f>
        <v>0</v>
      </c>
      <c r="L88" s="19">
        <f>IF(AND('Fuel Equipment'!L$44&gt;0,'Fuel Equipment'!L$45&gt;0),IF(AND($A88&gt;='Fuel Equipment'!L$17,$A88&lt;='Fuel Equipment'!L$18),('Fuel Equipment'!L$19*'Fuel Equipment'!L$20*'Fuel Equipment'!L$21)*('Fuel Equipment'!L$45-'Fuel Equipment'!L$44)*
(VLOOKUP(IF('Fuel Equipment'!L$22=Report!$A$25,Report!$A$19,'Fuel Equipment'!L$22),Report!$A$18:$L$34,'Actual-CO2 Calculations'!$AK91,FALSE)),0),0)</f>
        <v>0</v>
      </c>
      <c r="M88" s="19">
        <f>IF(AND('Fuel Equipment'!M$44&gt;0,'Fuel Equipment'!M$45&gt;0),IF(AND($A88&gt;='Fuel Equipment'!M$17,$A88&lt;='Fuel Equipment'!M$18),('Fuel Equipment'!M$19*'Fuel Equipment'!M$20*'Fuel Equipment'!M$21)*('Fuel Equipment'!M$45-'Fuel Equipment'!M$44)*
(VLOOKUP(IF('Fuel Equipment'!M$22=Report!$A$25,Report!$A$19,'Fuel Equipment'!M$22),Report!$A$18:$L$34,'Actual-CO2 Calculations'!$AK91,FALSE)),0),0)</f>
        <v>0</v>
      </c>
      <c r="N88" s="19">
        <f>IF(AND('Fuel Equipment'!N$44&gt;0,'Fuel Equipment'!N$45&gt;0),IF(AND($A88&gt;='Fuel Equipment'!N$17,$A88&lt;='Fuel Equipment'!N$18),('Fuel Equipment'!N$19*'Fuel Equipment'!N$20*'Fuel Equipment'!N$21)*('Fuel Equipment'!N$45-'Fuel Equipment'!N$44)*
(VLOOKUP(IF('Fuel Equipment'!N$22=Report!$A$25,Report!$A$19,'Fuel Equipment'!N$22),Report!$A$18:$L$34,'Actual-CO2 Calculations'!$AK91,FALSE)),0),0)</f>
        <v>0</v>
      </c>
      <c r="O88" s="19">
        <f>IF(AND('Fuel Equipment'!O$44&gt;0,'Fuel Equipment'!O$45&gt;0),IF(AND($A88&gt;='Fuel Equipment'!O$17,$A88&lt;='Fuel Equipment'!O$18),('Fuel Equipment'!O$19*'Fuel Equipment'!O$20*'Fuel Equipment'!O$21)*('Fuel Equipment'!O$45-'Fuel Equipment'!O$44)*
(VLOOKUP(IF('Fuel Equipment'!O$22=Report!$A$25,Report!$A$19,'Fuel Equipment'!O$22),Report!$A$18:$L$34,'Actual-CO2 Calculations'!$AK91,FALSE)),0),0)</f>
        <v>0</v>
      </c>
      <c r="P88" s="19">
        <f>IF(AND('Fuel Equipment'!P$44&gt;0,'Fuel Equipment'!P$45&gt;0),IF(AND($A88&gt;='Fuel Equipment'!P$17,$A88&lt;='Fuel Equipment'!P$18),('Fuel Equipment'!P$19*'Fuel Equipment'!P$20*'Fuel Equipment'!P$21)*('Fuel Equipment'!P$45-'Fuel Equipment'!P$44)*
(VLOOKUP(IF('Fuel Equipment'!P$22=Report!$A$25,Report!$A$19,'Fuel Equipment'!P$22),Report!$A$18:$L$34,'Actual-CO2 Calculations'!$AK91,FALSE)),0),0)</f>
        <v>0</v>
      </c>
      <c r="Q88" s="19">
        <f>IF(AND('Fuel Equipment'!Q$44&gt;0,'Fuel Equipment'!Q$45&gt;0),IF(AND($A88&gt;='Fuel Equipment'!Q$17,$A88&lt;='Fuel Equipment'!Q$18),('Fuel Equipment'!Q$19*'Fuel Equipment'!Q$20*'Fuel Equipment'!Q$21)*('Fuel Equipment'!Q$45-'Fuel Equipment'!Q$44)*
(VLOOKUP(IF('Fuel Equipment'!Q$22=Report!$A$25,Report!$A$19,'Fuel Equipment'!Q$22),Report!$A$18:$L$34,'Actual-CO2 Calculations'!$AK91,FALSE)),0),0)</f>
        <v>0</v>
      </c>
      <c r="R88" s="19">
        <f>IF(AND('Fuel Equipment'!R$44&gt;0,'Fuel Equipment'!R$45&gt;0),IF(AND($A88&gt;='Fuel Equipment'!R$17,$A88&lt;='Fuel Equipment'!R$18),('Fuel Equipment'!R$19*'Fuel Equipment'!R$20*'Fuel Equipment'!R$21)*('Fuel Equipment'!R$45-'Fuel Equipment'!R$44)*
(VLOOKUP(IF('Fuel Equipment'!R$22=Report!$A$25,Report!$A$19,'Fuel Equipment'!R$22),Report!$A$18:$L$34,'Actual-CO2 Calculations'!$AK91,FALSE)),0),0)</f>
        <v>0</v>
      </c>
      <c r="S88" s="19">
        <f>IF(AND('Fuel Equipment'!S$44&gt;0,'Fuel Equipment'!S$45&gt;0),IF(AND($A88&gt;='Fuel Equipment'!S$17,$A88&lt;='Fuel Equipment'!S$18),('Fuel Equipment'!S$19*'Fuel Equipment'!S$20*'Fuel Equipment'!S$21)*('Fuel Equipment'!S$45-'Fuel Equipment'!S$44)*
(VLOOKUP(IF('Fuel Equipment'!S$22=Report!$A$25,Report!$A$19,'Fuel Equipment'!S$22),Report!$A$18:$L$34,'Actual-CO2 Calculations'!$AK91,FALSE)),0),0)</f>
        <v>0</v>
      </c>
      <c r="V88" s="671">
        <f t="shared" si="1"/>
        <v>0</v>
      </c>
    </row>
    <row r="89" spans="1:22">
      <c r="A89" s="19" t="s">
        <v>20</v>
      </c>
      <c r="B89" s="19">
        <f>IF(AND('Fuel Equipment'!B$44&gt;0,'Fuel Equipment'!B$45&gt;0),IF(AND($A89&gt;='Fuel Equipment'!B$17,$A89&lt;='Fuel Equipment'!B$18),('Fuel Equipment'!B$19*'Fuel Equipment'!B$20*'Fuel Equipment'!B$21)*('Fuel Equipment'!B$45-'Fuel Equipment'!B$44)*
(VLOOKUP(IF('Fuel Equipment'!B$22=Report!$A$25,Report!$A$19,'Fuel Equipment'!B$22),Report!$A$18:$L$34,'Actual-CO2 Calculations'!$AK92,FALSE)),0),0)</f>
        <v>0</v>
      </c>
      <c r="C89" s="19">
        <f>IF(AND('Fuel Equipment'!C$44&gt;0,'Fuel Equipment'!C$45&gt;0),IF(AND($A89&gt;='Fuel Equipment'!C$17,$A89&lt;='Fuel Equipment'!C$18),('Fuel Equipment'!C$19*'Fuel Equipment'!C$20*'Fuel Equipment'!C$21)*('Fuel Equipment'!C$45-'Fuel Equipment'!C$44)*
(VLOOKUP(IF('Fuel Equipment'!C$22=Report!$A$25,Report!$A$19,'Fuel Equipment'!C$22),Report!$A$18:$L$34,'Actual-CO2 Calculations'!$AK92,FALSE)),0),0)</f>
        <v>0</v>
      </c>
      <c r="D89" s="19">
        <f>IF(AND('Fuel Equipment'!D$44&gt;0,'Fuel Equipment'!D$45&gt;0),IF(AND($A89&gt;='Fuel Equipment'!D$17,$A89&lt;='Fuel Equipment'!D$18),('Fuel Equipment'!D$19*'Fuel Equipment'!D$20*'Fuel Equipment'!D$21)*('Fuel Equipment'!D$45-'Fuel Equipment'!D$44)*
(VLOOKUP(IF('Fuel Equipment'!D$22=Report!$A$25,Report!$A$19,'Fuel Equipment'!D$22),Report!$A$18:$L$34,'Actual-CO2 Calculations'!$AK92,FALSE)),0),0)</f>
        <v>0</v>
      </c>
      <c r="E89" s="19">
        <f>IF(AND('Fuel Equipment'!E$44&gt;0,'Fuel Equipment'!E$45&gt;0),IF(AND($A89&gt;='Fuel Equipment'!E$17,$A89&lt;='Fuel Equipment'!E$18),('Fuel Equipment'!E$19*'Fuel Equipment'!E$20*'Fuel Equipment'!E$21)*('Fuel Equipment'!E$45-'Fuel Equipment'!E$44)*
(VLOOKUP(IF('Fuel Equipment'!E$22=Report!$A$25,Report!$A$19,'Fuel Equipment'!E$22),Report!$A$18:$L$34,'Actual-CO2 Calculations'!$AK92,FALSE)),0),0)</f>
        <v>0</v>
      </c>
      <c r="F89" s="19">
        <f>IF(AND('Fuel Equipment'!F$44&gt;0,'Fuel Equipment'!F$45&gt;0),IF(AND($A89&gt;='Fuel Equipment'!F$17,$A89&lt;='Fuel Equipment'!F$18),('Fuel Equipment'!F$19*'Fuel Equipment'!F$20*'Fuel Equipment'!F$21)*('Fuel Equipment'!F$45-'Fuel Equipment'!F$44)*
(VLOOKUP(IF('Fuel Equipment'!F$22=Report!$A$25,Report!$A$19,'Fuel Equipment'!F$22),Report!$A$18:$L$34,'Actual-CO2 Calculations'!$AK92,FALSE)),0),0)</f>
        <v>0</v>
      </c>
      <c r="G89" s="19">
        <f>IF(AND('Fuel Equipment'!G$44&gt;0,'Fuel Equipment'!G$45&gt;0),IF(AND($A89&gt;='Fuel Equipment'!G$17,$A89&lt;='Fuel Equipment'!G$18),('Fuel Equipment'!G$19*'Fuel Equipment'!G$20*'Fuel Equipment'!G$21)*('Fuel Equipment'!G$45-'Fuel Equipment'!G$44)*
(VLOOKUP(IF('Fuel Equipment'!G$22=Report!$A$25,Report!$A$19,'Fuel Equipment'!G$22),Report!$A$18:$L$34,'Actual-CO2 Calculations'!$AK92,FALSE)),0),0)</f>
        <v>0</v>
      </c>
      <c r="H89" s="19">
        <f>IF(AND('Fuel Equipment'!H$44&gt;0,'Fuel Equipment'!H$45&gt;0),IF(AND($A89&gt;='Fuel Equipment'!H$17,$A89&lt;='Fuel Equipment'!H$18),('Fuel Equipment'!H$19*'Fuel Equipment'!H$20*'Fuel Equipment'!H$21)*('Fuel Equipment'!H$45-'Fuel Equipment'!H$44)*
(VLOOKUP(IF('Fuel Equipment'!H$22=Report!$A$25,Report!$A$19,'Fuel Equipment'!H$22),Report!$A$18:$L$34,'Actual-CO2 Calculations'!$AK92,FALSE)),0),0)</f>
        <v>0</v>
      </c>
      <c r="I89" s="19">
        <f>IF(AND('Fuel Equipment'!I$44&gt;0,'Fuel Equipment'!I$45&gt;0),IF(AND($A89&gt;='Fuel Equipment'!I$17,$A89&lt;='Fuel Equipment'!I$18),('Fuel Equipment'!I$19*'Fuel Equipment'!I$20*'Fuel Equipment'!I$21)*('Fuel Equipment'!I$45-'Fuel Equipment'!I$44)*
(VLOOKUP(IF('Fuel Equipment'!I$22=Report!$A$25,Report!$A$19,'Fuel Equipment'!I$22),Report!$A$18:$L$34,'Actual-CO2 Calculations'!$AK92,FALSE)),0),0)</f>
        <v>0</v>
      </c>
      <c r="J89" s="19">
        <f>IF(AND('Fuel Equipment'!J$44&gt;0,'Fuel Equipment'!J$45&gt;0),IF(AND($A89&gt;='Fuel Equipment'!J$17,$A89&lt;='Fuel Equipment'!J$18),('Fuel Equipment'!J$19*'Fuel Equipment'!J$20*'Fuel Equipment'!J$21)*('Fuel Equipment'!J$45-'Fuel Equipment'!J$44)*
(VLOOKUP(IF('Fuel Equipment'!J$22=Report!$A$25,Report!$A$19,'Fuel Equipment'!J$22),Report!$A$18:$L$34,'Actual-CO2 Calculations'!$AK92,FALSE)),0),0)</f>
        <v>0</v>
      </c>
      <c r="K89" s="19">
        <f>IF(AND('Fuel Equipment'!K$44&gt;0,'Fuel Equipment'!K$45&gt;0),IF(AND($A89&gt;='Fuel Equipment'!K$17,$A89&lt;='Fuel Equipment'!K$18),('Fuel Equipment'!K$19*'Fuel Equipment'!K$20*'Fuel Equipment'!K$21)*('Fuel Equipment'!K$45-'Fuel Equipment'!K$44)*
(VLOOKUP(IF('Fuel Equipment'!K$22=Report!$A$25,Report!$A$19,'Fuel Equipment'!K$22),Report!$A$18:$L$34,'Actual-CO2 Calculations'!$AK92,FALSE)),0),0)</f>
        <v>0</v>
      </c>
      <c r="L89" s="19">
        <f>IF(AND('Fuel Equipment'!L$44&gt;0,'Fuel Equipment'!L$45&gt;0),IF(AND($A89&gt;='Fuel Equipment'!L$17,$A89&lt;='Fuel Equipment'!L$18),('Fuel Equipment'!L$19*'Fuel Equipment'!L$20*'Fuel Equipment'!L$21)*('Fuel Equipment'!L$45-'Fuel Equipment'!L$44)*
(VLOOKUP(IF('Fuel Equipment'!L$22=Report!$A$25,Report!$A$19,'Fuel Equipment'!L$22),Report!$A$18:$L$34,'Actual-CO2 Calculations'!$AK92,FALSE)),0),0)</f>
        <v>0</v>
      </c>
      <c r="M89" s="19">
        <f>IF(AND('Fuel Equipment'!M$44&gt;0,'Fuel Equipment'!M$45&gt;0),IF(AND($A89&gt;='Fuel Equipment'!M$17,$A89&lt;='Fuel Equipment'!M$18),('Fuel Equipment'!M$19*'Fuel Equipment'!M$20*'Fuel Equipment'!M$21)*('Fuel Equipment'!M$45-'Fuel Equipment'!M$44)*
(VLOOKUP(IF('Fuel Equipment'!M$22=Report!$A$25,Report!$A$19,'Fuel Equipment'!M$22),Report!$A$18:$L$34,'Actual-CO2 Calculations'!$AK92,FALSE)),0),0)</f>
        <v>0</v>
      </c>
      <c r="N89" s="19">
        <f>IF(AND('Fuel Equipment'!N$44&gt;0,'Fuel Equipment'!N$45&gt;0),IF(AND($A89&gt;='Fuel Equipment'!N$17,$A89&lt;='Fuel Equipment'!N$18),('Fuel Equipment'!N$19*'Fuel Equipment'!N$20*'Fuel Equipment'!N$21)*('Fuel Equipment'!N$45-'Fuel Equipment'!N$44)*
(VLOOKUP(IF('Fuel Equipment'!N$22=Report!$A$25,Report!$A$19,'Fuel Equipment'!N$22),Report!$A$18:$L$34,'Actual-CO2 Calculations'!$AK92,FALSE)),0),0)</f>
        <v>0</v>
      </c>
      <c r="O89" s="19">
        <f>IF(AND('Fuel Equipment'!O$44&gt;0,'Fuel Equipment'!O$45&gt;0),IF(AND($A89&gt;='Fuel Equipment'!O$17,$A89&lt;='Fuel Equipment'!O$18),('Fuel Equipment'!O$19*'Fuel Equipment'!O$20*'Fuel Equipment'!O$21)*('Fuel Equipment'!O$45-'Fuel Equipment'!O$44)*
(VLOOKUP(IF('Fuel Equipment'!O$22=Report!$A$25,Report!$A$19,'Fuel Equipment'!O$22),Report!$A$18:$L$34,'Actual-CO2 Calculations'!$AK92,FALSE)),0),0)</f>
        <v>0</v>
      </c>
      <c r="P89" s="19">
        <f>IF(AND('Fuel Equipment'!P$44&gt;0,'Fuel Equipment'!P$45&gt;0),IF(AND($A89&gt;='Fuel Equipment'!P$17,$A89&lt;='Fuel Equipment'!P$18),('Fuel Equipment'!P$19*'Fuel Equipment'!P$20*'Fuel Equipment'!P$21)*('Fuel Equipment'!P$45-'Fuel Equipment'!P$44)*
(VLOOKUP(IF('Fuel Equipment'!P$22=Report!$A$25,Report!$A$19,'Fuel Equipment'!P$22),Report!$A$18:$L$34,'Actual-CO2 Calculations'!$AK92,FALSE)),0),0)</f>
        <v>0</v>
      </c>
      <c r="Q89" s="19">
        <f>IF(AND('Fuel Equipment'!Q$44&gt;0,'Fuel Equipment'!Q$45&gt;0),IF(AND($A89&gt;='Fuel Equipment'!Q$17,$A89&lt;='Fuel Equipment'!Q$18),('Fuel Equipment'!Q$19*'Fuel Equipment'!Q$20*'Fuel Equipment'!Q$21)*('Fuel Equipment'!Q$45-'Fuel Equipment'!Q$44)*
(VLOOKUP(IF('Fuel Equipment'!Q$22=Report!$A$25,Report!$A$19,'Fuel Equipment'!Q$22),Report!$A$18:$L$34,'Actual-CO2 Calculations'!$AK92,FALSE)),0),0)</f>
        <v>0</v>
      </c>
      <c r="R89" s="19">
        <f>IF(AND('Fuel Equipment'!R$44&gt;0,'Fuel Equipment'!R$45&gt;0),IF(AND($A89&gt;='Fuel Equipment'!R$17,$A89&lt;='Fuel Equipment'!R$18),('Fuel Equipment'!R$19*'Fuel Equipment'!R$20*'Fuel Equipment'!R$21)*('Fuel Equipment'!R$45-'Fuel Equipment'!R$44)*
(VLOOKUP(IF('Fuel Equipment'!R$22=Report!$A$25,Report!$A$19,'Fuel Equipment'!R$22),Report!$A$18:$L$34,'Actual-CO2 Calculations'!$AK92,FALSE)),0),0)</f>
        <v>0</v>
      </c>
      <c r="S89" s="19">
        <f>IF(AND('Fuel Equipment'!S$44&gt;0,'Fuel Equipment'!S$45&gt;0),IF(AND($A89&gt;='Fuel Equipment'!S$17,$A89&lt;='Fuel Equipment'!S$18),('Fuel Equipment'!S$19*'Fuel Equipment'!S$20*'Fuel Equipment'!S$21)*('Fuel Equipment'!S$45-'Fuel Equipment'!S$44)*
(VLOOKUP(IF('Fuel Equipment'!S$22=Report!$A$25,Report!$A$19,'Fuel Equipment'!S$22),Report!$A$18:$L$34,'Actual-CO2 Calculations'!$AK92,FALSE)),0),0)</f>
        <v>0</v>
      </c>
      <c r="V89" s="671">
        <f t="shared" si="1"/>
        <v>0</v>
      </c>
    </row>
    <row r="90" spans="1:22">
      <c r="A90" s="19" t="s">
        <v>21</v>
      </c>
      <c r="B90" s="19">
        <f>IF(AND('Fuel Equipment'!B$44&gt;0,'Fuel Equipment'!B$45&gt;0),IF(AND($A90&gt;='Fuel Equipment'!B$17,$A90&lt;='Fuel Equipment'!B$18),('Fuel Equipment'!B$19*'Fuel Equipment'!B$20*'Fuel Equipment'!B$21)*('Fuel Equipment'!B$45-'Fuel Equipment'!B$44)*
(VLOOKUP(IF('Fuel Equipment'!B$22=Report!$A$25,Report!$A$19,'Fuel Equipment'!B$22),Report!$A$18:$L$34,'Actual-CO2 Calculations'!$AK93,FALSE)),0),0)</f>
        <v>0</v>
      </c>
      <c r="C90" s="19">
        <f>IF(AND('Fuel Equipment'!C$44&gt;0,'Fuel Equipment'!C$45&gt;0),IF(AND($A90&gt;='Fuel Equipment'!C$17,$A90&lt;='Fuel Equipment'!C$18),('Fuel Equipment'!C$19*'Fuel Equipment'!C$20*'Fuel Equipment'!C$21)*('Fuel Equipment'!C$45-'Fuel Equipment'!C$44)*
(VLOOKUP(IF('Fuel Equipment'!C$22=Report!$A$25,Report!$A$19,'Fuel Equipment'!C$22),Report!$A$18:$L$34,'Actual-CO2 Calculations'!$AK93,FALSE)),0),0)</f>
        <v>0</v>
      </c>
      <c r="D90" s="19">
        <f>IF(AND('Fuel Equipment'!D$44&gt;0,'Fuel Equipment'!D$45&gt;0),IF(AND($A90&gt;='Fuel Equipment'!D$17,$A90&lt;='Fuel Equipment'!D$18),('Fuel Equipment'!D$19*'Fuel Equipment'!D$20*'Fuel Equipment'!D$21)*('Fuel Equipment'!D$45-'Fuel Equipment'!D$44)*
(VLOOKUP(IF('Fuel Equipment'!D$22=Report!$A$25,Report!$A$19,'Fuel Equipment'!D$22),Report!$A$18:$L$34,'Actual-CO2 Calculations'!$AK93,FALSE)),0),0)</f>
        <v>0</v>
      </c>
      <c r="E90" s="19">
        <f>IF(AND('Fuel Equipment'!E$44&gt;0,'Fuel Equipment'!E$45&gt;0),IF(AND($A90&gt;='Fuel Equipment'!E$17,$A90&lt;='Fuel Equipment'!E$18),('Fuel Equipment'!E$19*'Fuel Equipment'!E$20*'Fuel Equipment'!E$21)*('Fuel Equipment'!E$45-'Fuel Equipment'!E$44)*
(VLOOKUP(IF('Fuel Equipment'!E$22=Report!$A$25,Report!$A$19,'Fuel Equipment'!E$22),Report!$A$18:$L$34,'Actual-CO2 Calculations'!$AK93,FALSE)),0),0)</f>
        <v>0</v>
      </c>
      <c r="F90" s="19">
        <f>IF(AND('Fuel Equipment'!F$44&gt;0,'Fuel Equipment'!F$45&gt;0),IF(AND($A90&gt;='Fuel Equipment'!F$17,$A90&lt;='Fuel Equipment'!F$18),('Fuel Equipment'!F$19*'Fuel Equipment'!F$20*'Fuel Equipment'!F$21)*('Fuel Equipment'!F$45-'Fuel Equipment'!F$44)*
(VLOOKUP(IF('Fuel Equipment'!F$22=Report!$A$25,Report!$A$19,'Fuel Equipment'!F$22),Report!$A$18:$L$34,'Actual-CO2 Calculations'!$AK93,FALSE)),0),0)</f>
        <v>0</v>
      </c>
      <c r="G90" s="19">
        <f>IF(AND('Fuel Equipment'!G$44&gt;0,'Fuel Equipment'!G$45&gt;0),IF(AND($A90&gt;='Fuel Equipment'!G$17,$A90&lt;='Fuel Equipment'!G$18),('Fuel Equipment'!G$19*'Fuel Equipment'!G$20*'Fuel Equipment'!G$21)*('Fuel Equipment'!G$45-'Fuel Equipment'!G$44)*
(VLOOKUP(IF('Fuel Equipment'!G$22=Report!$A$25,Report!$A$19,'Fuel Equipment'!G$22),Report!$A$18:$L$34,'Actual-CO2 Calculations'!$AK93,FALSE)),0),0)</f>
        <v>0</v>
      </c>
      <c r="H90" s="19">
        <f>IF(AND('Fuel Equipment'!H$44&gt;0,'Fuel Equipment'!H$45&gt;0),IF(AND($A90&gt;='Fuel Equipment'!H$17,$A90&lt;='Fuel Equipment'!H$18),('Fuel Equipment'!H$19*'Fuel Equipment'!H$20*'Fuel Equipment'!H$21)*('Fuel Equipment'!H$45-'Fuel Equipment'!H$44)*
(VLOOKUP(IF('Fuel Equipment'!H$22=Report!$A$25,Report!$A$19,'Fuel Equipment'!H$22),Report!$A$18:$L$34,'Actual-CO2 Calculations'!$AK93,FALSE)),0),0)</f>
        <v>0</v>
      </c>
      <c r="I90" s="19">
        <f>IF(AND('Fuel Equipment'!I$44&gt;0,'Fuel Equipment'!I$45&gt;0),IF(AND($A90&gt;='Fuel Equipment'!I$17,$A90&lt;='Fuel Equipment'!I$18),('Fuel Equipment'!I$19*'Fuel Equipment'!I$20*'Fuel Equipment'!I$21)*('Fuel Equipment'!I$45-'Fuel Equipment'!I$44)*
(VLOOKUP(IF('Fuel Equipment'!I$22=Report!$A$25,Report!$A$19,'Fuel Equipment'!I$22),Report!$A$18:$L$34,'Actual-CO2 Calculations'!$AK93,FALSE)),0),0)</f>
        <v>0</v>
      </c>
      <c r="J90" s="19">
        <f>IF(AND('Fuel Equipment'!J$44&gt;0,'Fuel Equipment'!J$45&gt;0),IF(AND($A90&gt;='Fuel Equipment'!J$17,$A90&lt;='Fuel Equipment'!J$18),('Fuel Equipment'!J$19*'Fuel Equipment'!J$20*'Fuel Equipment'!J$21)*('Fuel Equipment'!J$45-'Fuel Equipment'!J$44)*
(VLOOKUP(IF('Fuel Equipment'!J$22=Report!$A$25,Report!$A$19,'Fuel Equipment'!J$22),Report!$A$18:$L$34,'Actual-CO2 Calculations'!$AK93,FALSE)),0),0)</f>
        <v>0</v>
      </c>
      <c r="K90" s="19">
        <f>IF(AND('Fuel Equipment'!K$44&gt;0,'Fuel Equipment'!K$45&gt;0),IF(AND($A90&gt;='Fuel Equipment'!K$17,$A90&lt;='Fuel Equipment'!K$18),('Fuel Equipment'!K$19*'Fuel Equipment'!K$20*'Fuel Equipment'!K$21)*('Fuel Equipment'!K$45-'Fuel Equipment'!K$44)*
(VLOOKUP(IF('Fuel Equipment'!K$22=Report!$A$25,Report!$A$19,'Fuel Equipment'!K$22),Report!$A$18:$L$34,'Actual-CO2 Calculations'!$AK93,FALSE)),0),0)</f>
        <v>0</v>
      </c>
      <c r="L90" s="19">
        <f>IF(AND('Fuel Equipment'!L$44&gt;0,'Fuel Equipment'!L$45&gt;0),IF(AND($A90&gt;='Fuel Equipment'!L$17,$A90&lt;='Fuel Equipment'!L$18),('Fuel Equipment'!L$19*'Fuel Equipment'!L$20*'Fuel Equipment'!L$21)*('Fuel Equipment'!L$45-'Fuel Equipment'!L$44)*
(VLOOKUP(IF('Fuel Equipment'!L$22=Report!$A$25,Report!$A$19,'Fuel Equipment'!L$22),Report!$A$18:$L$34,'Actual-CO2 Calculations'!$AK93,FALSE)),0),0)</f>
        <v>0</v>
      </c>
      <c r="M90" s="19">
        <f>IF(AND('Fuel Equipment'!M$44&gt;0,'Fuel Equipment'!M$45&gt;0),IF(AND($A90&gt;='Fuel Equipment'!M$17,$A90&lt;='Fuel Equipment'!M$18),('Fuel Equipment'!M$19*'Fuel Equipment'!M$20*'Fuel Equipment'!M$21)*('Fuel Equipment'!M$45-'Fuel Equipment'!M$44)*
(VLOOKUP(IF('Fuel Equipment'!M$22=Report!$A$25,Report!$A$19,'Fuel Equipment'!M$22),Report!$A$18:$L$34,'Actual-CO2 Calculations'!$AK93,FALSE)),0),0)</f>
        <v>0</v>
      </c>
      <c r="N90" s="19">
        <f>IF(AND('Fuel Equipment'!N$44&gt;0,'Fuel Equipment'!N$45&gt;0),IF(AND($A90&gt;='Fuel Equipment'!N$17,$A90&lt;='Fuel Equipment'!N$18),('Fuel Equipment'!N$19*'Fuel Equipment'!N$20*'Fuel Equipment'!N$21)*('Fuel Equipment'!N$45-'Fuel Equipment'!N$44)*
(VLOOKUP(IF('Fuel Equipment'!N$22=Report!$A$25,Report!$A$19,'Fuel Equipment'!N$22),Report!$A$18:$L$34,'Actual-CO2 Calculations'!$AK93,FALSE)),0),0)</f>
        <v>0</v>
      </c>
      <c r="O90" s="19">
        <f>IF(AND('Fuel Equipment'!O$44&gt;0,'Fuel Equipment'!O$45&gt;0),IF(AND($A90&gt;='Fuel Equipment'!O$17,$A90&lt;='Fuel Equipment'!O$18),('Fuel Equipment'!O$19*'Fuel Equipment'!O$20*'Fuel Equipment'!O$21)*('Fuel Equipment'!O$45-'Fuel Equipment'!O$44)*
(VLOOKUP(IF('Fuel Equipment'!O$22=Report!$A$25,Report!$A$19,'Fuel Equipment'!O$22),Report!$A$18:$L$34,'Actual-CO2 Calculations'!$AK93,FALSE)),0),0)</f>
        <v>0</v>
      </c>
      <c r="P90" s="19">
        <f>IF(AND('Fuel Equipment'!P$44&gt;0,'Fuel Equipment'!P$45&gt;0),IF(AND($A90&gt;='Fuel Equipment'!P$17,$A90&lt;='Fuel Equipment'!P$18),('Fuel Equipment'!P$19*'Fuel Equipment'!P$20*'Fuel Equipment'!P$21)*('Fuel Equipment'!P$45-'Fuel Equipment'!P$44)*
(VLOOKUP(IF('Fuel Equipment'!P$22=Report!$A$25,Report!$A$19,'Fuel Equipment'!P$22),Report!$A$18:$L$34,'Actual-CO2 Calculations'!$AK93,FALSE)),0),0)</f>
        <v>0</v>
      </c>
      <c r="Q90" s="19">
        <f>IF(AND('Fuel Equipment'!Q$44&gt;0,'Fuel Equipment'!Q$45&gt;0),IF(AND($A90&gt;='Fuel Equipment'!Q$17,$A90&lt;='Fuel Equipment'!Q$18),('Fuel Equipment'!Q$19*'Fuel Equipment'!Q$20*'Fuel Equipment'!Q$21)*('Fuel Equipment'!Q$45-'Fuel Equipment'!Q$44)*
(VLOOKUP(IF('Fuel Equipment'!Q$22=Report!$A$25,Report!$A$19,'Fuel Equipment'!Q$22),Report!$A$18:$L$34,'Actual-CO2 Calculations'!$AK93,FALSE)),0),0)</f>
        <v>0</v>
      </c>
      <c r="R90" s="19">
        <f>IF(AND('Fuel Equipment'!R$44&gt;0,'Fuel Equipment'!R$45&gt;0),IF(AND($A90&gt;='Fuel Equipment'!R$17,$A90&lt;='Fuel Equipment'!R$18),('Fuel Equipment'!R$19*'Fuel Equipment'!R$20*'Fuel Equipment'!R$21)*('Fuel Equipment'!R$45-'Fuel Equipment'!R$44)*
(VLOOKUP(IF('Fuel Equipment'!R$22=Report!$A$25,Report!$A$19,'Fuel Equipment'!R$22),Report!$A$18:$L$34,'Actual-CO2 Calculations'!$AK93,FALSE)),0),0)</f>
        <v>0</v>
      </c>
      <c r="S90" s="19">
        <f>IF(AND('Fuel Equipment'!S$44&gt;0,'Fuel Equipment'!S$45&gt;0),IF(AND($A90&gt;='Fuel Equipment'!S$17,$A90&lt;='Fuel Equipment'!S$18),('Fuel Equipment'!S$19*'Fuel Equipment'!S$20*'Fuel Equipment'!S$21)*('Fuel Equipment'!S$45-'Fuel Equipment'!S$44)*
(VLOOKUP(IF('Fuel Equipment'!S$22=Report!$A$25,Report!$A$19,'Fuel Equipment'!S$22),Report!$A$18:$L$34,'Actual-CO2 Calculations'!$AK93,FALSE)),0),0)</f>
        <v>0</v>
      </c>
      <c r="V90" s="671">
        <f t="shared" si="1"/>
        <v>0</v>
      </c>
    </row>
    <row r="91" spans="1:22">
      <c r="A91" s="19" t="s">
        <v>22</v>
      </c>
      <c r="B91" s="19">
        <f>IF(AND('Fuel Equipment'!B$44&gt;0,'Fuel Equipment'!B$45&gt;0),IF(AND($A91&gt;='Fuel Equipment'!B$17,$A91&lt;='Fuel Equipment'!B$18),('Fuel Equipment'!B$19*'Fuel Equipment'!B$20*'Fuel Equipment'!B$21)*('Fuel Equipment'!B$45-'Fuel Equipment'!B$44)*
(VLOOKUP(IF('Fuel Equipment'!B$22=Report!$A$25,Report!$A$19,'Fuel Equipment'!B$22),Report!$A$18:$L$34,'Actual-CO2 Calculations'!$AK94,FALSE)),0),0)</f>
        <v>0</v>
      </c>
      <c r="C91" s="19">
        <f>IF(AND('Fuel Equipment'!C$44&gt;0,'Fuel Equipment'!C$45&gt;0),IF(AND($A91&gt;='Fuel Equipment'!C$17,$A91&lt;='Fuel Equipment'!C$18),('Fuel Equipment'!C$19*'Fuel Equipment'!C$20*'Fuel Equipment'!C$21)*('Fuel Equipment'!C$45-'Fuel Equipment'!C$44)*
(VLOOKUP(IF('Fuel Equipment'!C$22=Report!$A$25,Report!$A$19,'Fuel Equipment'!C$22),Report!$A$18:$L$34,'Actual-CO2 Calculations'!$AK94,FALSE)),0),0)</f>
        <v>0</v>
      </c>
      <c r="D91" s="19">
        <f>IF(AND('Fuel Equipment'!D$44&gt;0,'Fuel Equipment'!D$45&gt;0),IF(AND($A91&gt;='Fuel Equipment'!D$17,$A91&lt;='Fuel Equipment'!D$18),('Fuel Equipment'!D$19*'Fuel Equipment'!D$20*'Fuel Equipment'!D$21)*('Fuel Equipment'!D$45-'Fuel Equipment'!D$44)*
(VLOOKUP(IF('Fuel Equipment'!D$22=Report!$A$25,Report!$A$19,'Fuel Equipment'!D$22),Report!$A$18:$L$34,'Actual-CO2 Calculations'!$AK94,FALSE)),0),0)</f>
        <v>0</v>
      </c>
      <c r="E91" s="19">
        <f>IF(AND('Fuel Equipment'!E$44&gt;0,'Fuel Equipment'!E$45&gt;0),IF(AND($A91&gt;='Fuel Equipment'!E$17,$A91&lt;='Fuel Equipment'!E$18),('Fuel Equipment'!E$19*'Fuel Equipment'!E$20*'Fuel Equipment'!E$21)*('Fuel Equipment'!E$45-'Fuel Equipment'!E$44)*
(VLOOKUP(IF('Fuel Equipment'!E$22=Report!$A$25,Report!$A$19,'Fuel Equipment'!E$22),Report!$A$18:$L$34,'Actual-CO2 Calculations'!$AK94,FALSE)),0),0)</f>
        <v>0</v>
      </c>
      <c r="F91" s="19">
        <f>IF(AND('Fuel Equipment'!F$44&gt;0,'Fuel Equipment'!F$45&gt;0),IF(AND($A91&gt;='Fuel Equipment'!F$17,$A91&lt;='Fuel Equipment'!F$18),('Fuel Equipment'!F$19*'Fuel Equipment'!F$20*'Fuel Equipment'!F$21)*('Fuel Equipment'!F$45-'Fuel Equipment'!F$44)*
(VLOOKUP(IF('Fuel Equipment'!F$22=Report!$A$25,Report!$A$19,'Fuel Equipment'!F$22),Report!$A$18:$L$34,'Actual-CO2 Calculations'!$AK94,FALSE)),0),0)</f>
        <v>0</v>
      </c>
      <c r="G91" s="19">
        <f>IF(AND('Fuel Equipment'!G$44&gt;0,'Fuel Equipment'!G$45&gt;0),IF(AND($A91&gt;='Fuel Equipment'!G$17,$A91&lt;='Fuel Equipment'!G$18),('Fuel Equipment'!G$19*'Fuel Equipment'!G$20*'Fuel Equipment'!G$21)*('Fuel Equipment'!G$45-'Fuel Equipment'!G$44)*
(VLOOKUP(IF('Fuel Equipment'!G$22=Report!$A$25,Report!$A$19,'Fuel Equipment'!G$22),Report!$A$18:$L$34,'Actual-CO2 Calculations'!$AK94,FALSE)),0),0)</f>
        <v>0</v>
      </c>
      <c r="H91" s="19">
        <f>IF(AND('Fuel Equipment'!H$44&gt;0,'Fuel Equipment'!H$45&gt;0),IF(AND($A91&gt;='Fuel Equipment'!H$17,$A91&lt;='Fuel Equipment'!H$18),('Fuel Equipment'!H$19*'Fuel Equipment'!H$20*'Fuel Equipment'!H$21)*('Fuel Equipment'!H$45-'Fuel Equipment'!H$44)*
(VLOOKUP(IF('Fuel Equipment'!H$22=Report!$A$25,Report!$A$19,'Fuel Equipment'!H$22),Report!$A$18:$L$34,'Actual-CO2 Calculations'!$AK94,FALSE)),0),0)</f>
        <v>0</v>
      </c>
      <c r="I91" s="19">
        <f>IF(AND('Fuel Equipment'!I$44&gt;0,'Fuel Equipment'!I$45&gt;0),IF(AND($A91&gt;='Fuel Equipment'!I$17,$A91&lt;='Fuel Equipment'!I$18),('Fuel Equipment'!I$19*'Fuel Equipment'!I$20*'Fuel Equipment'!I$21)*('Fuel Equipment'!I$45-'Fuel Equipment'!I$44)*
(VLOOKUP(IF('Fuel Equipment'!I$22=Report!$A$25,Report!$A$19,'Fuel Equipment'!I$22),Report!$A$18:$L$34,'Actual-CO2 Calculations'!$AK94,FALSE)),0),0)</f>
        <v>0</v>
      </c>
      <c r="J91" s="19">
        <f>IF(AND('Fuel Equipment'!J$44&gt;0,'Fuel Equipment'!J$45&gt;0),IF(AND($A91&gt;='Fuel Equipment'!J$17,$A91&lt;='Fuel Equipment'!J$18),('Fuel Equipment'!J$19*'Fuel Equipment'!J$20*'Fuel Equipment'!J$21)*('Fuel Equipment'!J$45-'Fuel Equipment'!J$44)*
(VLOOKUP(IF('Fuel Equipment'!J$22=Report!$A$25,Report!$A$19,'Fuel Equipment'!J$22),Report!$A$18:$L$34,'Actual-CO2 Calculations'!$AK94,FALSE)),0),0)</f>
        <v>0</v>
      </c>
      <c r="K91" s="19">
        <f>IF(AND('Fuel Equipment'!K$44&gt;0,'Fuel Equipment'!K$45&gt;0),IF(AND($A91&gt;='Fuel Equipment'!K$17,$A91&lt;='Fuel Equipment'!K$18),('Fuel Equipment'!K$19*'Fuel Equipment'!K$20*'Fuel Equipment'!K$21)*('Fuel Equipment'!K$45-'Fuel Equipment'!K$44)*
(VLOOKUP(IF('Fuel Equipment'!K$22=Report!$A$25,Report!$A$19,'Fuel Equipment'!K$22),Report!$A$18:$L$34,'Actual-CO2 Calculations'!$AK94,FALSE)),0),0)</f>
        <v>0</v>
      </c>
      <c r="L91" s="19">
        <f>IF(AND('Fuel Equipment'!L$44&gt;0,'Fuel Equipment'!L$45&gt;0),IF(AND($A91&gt;='Fuel Equipment'!L$17,$A91&lt;='Fuel Equipment'!L$18),('Fuel Equipment'!L$19*'Fuel Equipment'!L$20*'Fuel Equipment'!L$21)*('Fuel Equipment'!L$45-'Fuel Equipment'!L$44)*
(VLOOKUP(IF('Fuel Equipment'!L$22=Report!$A$25,Report!$A$19,'Fuel Equipment'!L$22),Report!$A$18:$L$34,'Actual-CO2 Calculations'!$AK94,FALSE)),0),0)</f>
        <v>0</v>
      </c>
      <c r="M91" s="19">
        <f>IF(AND('Fuel Equipment'!M$44&gt;0,'Fuel Equipment'!M$45&gt;0),IF(AND($A91&gt;='Fuel Equipment'!M$17,$A91&lt;='Fuel Equipment'!M$18),('Fuel Equipment'!M$19*'Fuel Equipment'!M$20*'Fuel Equipment'!M$21)*('Fuel Equipment'!M$45-'Fuel Equipment'!M$44)*
(VLOOKUP(IF('Fuel Equipment'!M$22=Report!$A$25,Report!$A$19,'Fuel Equipment'!M$22),Report!$A$18:$L$34,'Actual-CO2 Calculations'!$AK94,FALSE)),0),0)</f>
        <v>0</v>
      </c>
      <c r="N91" s="19">
        <f>IF(AND('Fuel Equipment'!N$44&gt;0,'Fuel Equipment'!N$45&gt;0),IF(AND($A91&gt;='Fuel Equipment'!N$17,$A91&lt;='Fuel Equipment'!N$18),('Fuel Equipment'!N$19*'Fuel Equipment'!N$20*'Fuel Equipment'!N$21)*('Fuel Equipment'!N$45-'Fuel Equipment'!N$44)*
(VLOOKUP(IF('Fuel Equipment'!N$22=Report!$A$25,Report!$A$19,'Fuel Equipment'!N$22),Report!$A$18:$L$34,'Actual-CO2 Calculations'!$AK94,FALSE)),0),0)</f>
        <v>0</v>
      </c>
      <c r="O91" s="19">
        <f>IF(AND('Fuel Equipment'!O$44&gt;0,'Fuel Equipment'!O$45&gt;0),IF(AND($A91&gt;='Fuel Equipment'!O$17,$A91&lt;='Fuel Equipment'!O$18),('Fuel Equipment'!O$19*'Fuel Equipment'!O$20*'Fuel Equipment'!O$21)*('Fuel Equipment'!O$45-'Fuel Equipment'!O$44)*
(VLOOKUP(IF('Fuel Equipment'!O$22=Report!$A$25,Report!$A$19,'Fuel Equipment'!O$22),Report!$A$18:$L$34,'Actual-CO2 Calculations'!$AK94,FALSE)),0),0)</f>
        <v>0</v>
      </c>
      <c r="P91" s="19">
        <f>IF(AND('Fuel Equipment'!P$44&gt;0,'Fuel Equipment'!P$45&gt;0),IF(AND($A91&gt;='Fuel Equipment'!P$17,$A91&lt;='Fuel Equipment'!P$18),('Fuel Equipment'!P$19*'Fuel Equipment'!P$20*'Fuel Equipment'!P$21)*('Fuel Equipment'!P$45-'Fuel Equipment'!P$44)*
(VLOOKUP(IF('Fuel Equipment'!P$22=Report!$A$25,Report!$A$19,'Fuel Equipment'!P$22),Report!$A$18:$L$34,'Actual-CO2 Calculations'!$AK94,FALSE)),0),0)</f>
        <v>0</v>
      </c>
      <c r="Q91" s="19">
        <f>IF(AND('Fuel Equipment'!Q$44&gt;0,'Fuel Equipment'!Q$45&gt;0),IF(AND($A91&gt;='Fuel Equipment'!Q$17,$A91&lt;='Fuel Equipment'!Q$18),('Fuel Equipment'!Q$19*'Fuel Equipment'!Q$20*'Fuel Equipment'!Q$21)*('Fuel Equipment'!Q$45-'Fuel Equipment'!Q$44)*
(VLOOKUP(IF('Fuel Equipment'!Q$22=Report!$A$25,Report!$A$19,'Fuel Equipment'!Q$22),Report!$A$18:$L$34,'Actual-CO2 Calculations'!$AK94,FALSE)),0),0)</f>
        <v>0</v>
      </c>
      <c r="R91" s="19">
        <f>IF(AND('Fuel Equipment'!R$44&gt;0,'Fuel Equipment'!R$45&gt;0),IF(AND($A91&gt;='Fuel Equipment'!R$17,$A91&lt;='Fuel Equipment'!R$18),('Fuel Equipment'!R$19*'Fuel Equipment'!R$20*'Fuel Equipment'!R$21)*('Fuel Equipment'!R$45-'Fuel Equipment'!R$44)*
(VLOOKUP(IF('Fuel Equipment'!R$22=Report!$A$25,Report!$A$19,'Fuel Equipment'!R$22),Report!$A$18:$L$34,'Actual-CO2 Calculations'!$AK94,FALSE)),0),0)</f>
        <v>0</v>
      </c>
      <c r="S91" s="19">
        <f>IF(AND('Fuel Equipment'!S$44&gt;0,'Fuel Equipment'!S$45&gt;0),IF(AND($A91&gt;='Fuel Equipment'!S$17,$A91&lt;='Fuel Equipment'!S$18),('Fuel Equipment'!S$19*'Fuel Equipment'!S$20*'Fuel Equipment'!S$21)*('Fuel Equipment'!S$45-'Fuel Equipment'!S$44)*
(VLOOKUP(IF('Fuel Equipment'!S$22=Report!$A$25,Report!$A$19,'Fuel Equipment'!S$22),Report!$A$18:$L$34,'Actual-CO2 Calculations'!$AK94,FALSE)),0),0)</f>
        <v>0</v>
      </c>
      <c r="V91" s="671">
        <f t="shared" si="1"/>
        <v>0</v>
      </c>
    </row>
    <row r="92" spans="1:22">
      <c r="A92" s="19" t="s">
        <v>23</v>
      </c>
      <c r="B92" s="19">
        <f>IF(AND('Fuel Equipment'!B$44&gt;0,'Fuel Equipment'!B$45&gt;0),IF(AND($A92&gt;='Fuel Equipment'!B$17,$A92&lt;='Fuel Equipment'!B$18),('Fuel Equipment'!B$19*'Fuel Equipment'!B$20*'Fuel Equipment'!B$21)*('Fuel Equipment'!B$45-'Fuel Equipment'!B$44)*
(VLOOKUP(IF('Fuel Equipment'!B$22=Report!$A$25,Report!$A$19,'Fuel Equipment'!B$22),Report!$A$18:$L$34,'Actual-CO2 Calculations'!$AK95,FALSE)),0),0)</f>
        <v>0</v>
      </c>
      <c r="C92" s="19">
        <f>IF(AND('Fuel Equipment'!C$44&gt;0,'Fuel Equipment'!C$45&gt;0),IF(AND($A92&gt;='Fuel Equipment'!C$17,$A92&lt;='Fuel Equipment'!C$18),('Fuel Equipment'!C$19*'Fuel Equipment'!C$20*'Fuel Equipment'!C$21)*('Fuel Equipment'!C$45-'Fuel Equipment'!C$44)*
(VLOOKUP(IF('Fuel Equipment'!C$22=Report!$A$25,Report!$A$19,'Fuel Equipment'!C$22),Report!$A$18:$L$34,'Actual-CO2 Calculations'!$AK95,FALSE)),0),0)</f>
        <v>0</v>
      </c>
      <c r="D92" s="19">
        <f>IF(AND('Fuel Equipment'!D$44&gt;0,'Fuel Equipment'!D$45&gt;0),IF(AND($A92&gt;='Fuel Equipment'!D$17,$A92&lt;='Fuel Equipment'!D$18),('Fuel Equipment'!D$19*'Fuel Equipment'!D$20*'Fuel Equipment'!D$21)*('Fuel Equipment'!D$45-'Fuel Equipment'!D$44)*
(VLOOKUP(IF('Fuel Equipment'!D$22=Report!$A$25,Report!$A$19,'Fuel Equipment'!D$22),Report!$A$18:$L$34,'Actual-CO2 Calculations'!$AK95,FALSE)),0),0)</f>
        <v>0</v>
      </c>
      <c r="E92" s="19">
        <f>IF(AND('Fuel Equipment'!E$44&gt;0,'Fuel Equipment'!E$45&gt;0),IF(AND($A92&gt;='Fuel Equipment'!E$17,$A92&lt;='Fuel Equipment'!E$18),('Fuel Equipment'!E$19*'Fuel Equipment'!E$20*'Fuel Equipment'!E$21)*('Fuel Equipment'!E$45-'Fuel Equipment'!E$44)*
(VLOOKUP(IF('Fuel Equipment'!E$22=Report!$A$25,Report!$A$19,'Fuel Equipment'!E$22),Report!$A$18:$L$34,'Actual-CO2 Calculations'!$AK95,FALSE)),0),0)</f>
        <v>0</v>
      </c>
      <c r="F92" s="19">
        <f>IF(AND('Fuel Equipment'!F$44&gt;0,'Fuel Equipment'!F$45&gt;0),IF(AND($A92&gt;='Fuel Equipment'!F$17,$A92&lt;='Fuel Equipment'!F$18),('Fuel Equipment'!F$19*'Fuel Equipment'!F$20*'Fuel Equipment'!F$21)*('Fuel Equipment'!F$45-'Fuel Equipment'!F$44)*
(VLOOKUP(IF('Fuel Equipment'!F$22=Report!$A$25,Report!$A$19,'Fuel Equipment'!F$22),Report!$A$18:$L$34,'Actual-CO2 Calculations'!$AK95,FALSE)),0),0)</f>
        <v>0</v>
      </c>
      <c r="G92" s="19">
        <f>IF(AND('Fuel Equipment'!G$44&gt;0,'Fuel Equipment'!G$45&gt;0),IF(AND($A92&gt;='Fuel Equipment'!G$17,$A92&lt;='Fuel Equipment'!G$18),('Fuel Equipment'!G$19*'Fuel Equipment'!G$20*'Fuel Equipment'!G$21)*('Fuel Equipment'!G$45-'Fuel Equipment'!G$44)*
(VLOOKUP(IF('Fuel Equipment'!G$22=Report!$A$25,Report!$A$19,'Fuel Equipment'!G$22),Report!$A$18:$L$34,'Actual-CO2 Calculations'!$AK95,FALSE)),0),0)</f>
        <v>0</v>
      </c>
      <c r="H92" s="19">
        <f>IF(AND('Fuel Equipment'!H$44&gt;0,'Fuel Equipment'!H$45&gt;0),IF(AND($A92&gt;='Fuel Equipment'!H$17,$A92&lt;='Fuel Equipment'!H$18),('Fuel Equipment'!H$19*'Fuel Equipment'!H$20*'Fuel Equipment'!H$21)*('Fuel Equipment'!H$45-'Fuel Equipment'!H$44)*
(VLOOKUP(IF('Fuel Equipment'!H$22=Report!$A$25,Report!$A$19,'Fuel Equipment'!H$22),Report!$A$18:$L$34,'Actual-CO2 Calculations'!$AK95,FALSE)),0),0)</f>
        <v>0</v>
      </c>
      <c r="I92" s="19">
        <f>IF(AND('Fuel Equipment'!I$44&gt;0,'Fuel Equipment'!I$45&gt;0),IF(AND($A92&gt;='Fuel Equipment'!I$17,$A92&lt;='Fuel Equipment'!I$18),('Fuel Equipment'!I$19*'Fuel Equipment'!I$20*'Fuel Equipment'!I$21)*('Fuel Equipment'!I$45-'Fuel Equipment'!I$44)*
(VLOOKUP(IF('Fuel Equipment'!I$22=Report!$A$25,Report!$A$19,'Fuel Equipment'!I$22),Report!$A$18:$L$34,'Actual-CO2 Calculations'!$AK95,FALSE)),0),0)</f>
        <v>0</v>
      </c>
      <c r="J92" s="19">
        <f>IF(AND('Fuel Equipment'!J$44&gt;0,'Fuel Equipment'!J$45&gt;0),IF(AND($A92&gt;='Fuel Equipment'!J$17,$A92&lt;='Fuel Equipment'!J$18),('Fuel Equipment'!J$19*'Fuel Equipment'!J$20*'Fuel Equipment'!J$21)*('Fuel Equipment'!J$45-'Fuel Equipment'!J$44)*
(VLOOKUP(IF('Fuel Equipment'!J$22=Report!$A$25,Report!$A$19,'Fuel Equipment'!J$22),Report!$A$18:$L$34,'Actual-CO2 Calculations'!$AK95,FALSE)),0),0)</f>
        <v>0</v>
      </c>
      <c r="K92" s="19">
        <f>IF(AND('Fuel Equipment'!K$44&gt;0,'Fuel Equipment'!K$45&gt;0),IF(AND($A92&gt;='Fuel Equipment'!K$17,$A92&lt;='Fuel Equipment'!K$18),('Fuel Equipment'!K$19*'Fuel Equipment'!K$20*'Fuel Equipment'!K$21)*('Fuel Equipment'!K$45-'Fuel Equipment'!K$44)*
(VLOOKUP(IF('Fuel Equipment'!K$22=Report!$A$25,Report!$A$19,'Fuel Equipment'!K$22),Report!$A$18:$L$34,'Actual-CO2 Calculations'!$AK95,FALSE)),0),0)</f>
        <v>0</v>
      </c>
      <c r="L92" s="19">
        <f>IF(AND('Fuel Equipment'!L$44&gt;0,'Fuel Equipment'!L$45&gt;0),IF(AND($A92&gt;='Fuel Equipment'!L$17,$A92&lt;='Fuel Equipment'!L$18),('Fuel Equipment'!L$19*'Fuel Equipment'!L$20*'Fuel Equipment'!L$21)*('Fuel Equipment'!L$45-'Fuel Equipment'!L$44)*
(VLOOKUP(IF('Fuel Equipment'!L$22=Report!$A$25,Report!$A$19,'Fuel Equipment'!L$22),Report!$A$18:$L$34,'Actual-CO2 Calculations'!$AK95,FALSE)),0),0)</f>
        <v>0</v>
      </c>
      <c r="M92" s="19">
        <f>IF(AND('Fuel Equipment'!M$44&gt;0,'Fuel Equipment'!M$45&gt;0),IF(AND($A92&gt;='Fuel Equipment'!M$17,$A92&lt;='Fuel Equipment'!M$18),('Fuel Equipment'!M$19*'Fuel Equipment'!M$20*'Fuel Equipment'!M$21)*('Fuel Equipment'!M$45-'Fuel Equipment'!M$44)*
(VLOOKUP(IF('Fuel Equipment'!M$22=Report!$A$25,Report!$A$19,'Fuel Equipment'!M$22),Report!$A$18:$L$34,'Actual-CO2 Calculations'!$AK95,FALSE)),0),0)</f>
        <v>0</v>
      </c>
      <c r="N92" s="19">
        <f>IF(AND('Fuel Equipment'!N$44&gt;0,'Fuel Equipment'!N$45&gt;0),IF(AND($A92&gt;='Fuel Equipment'!N$17,$A92&lt;='Fuel Equipment'!N$18),('Fuel Equipment'!N$19*'Fuel Equipment'!N$20*'Fuel Equipment'!N$21)*('Fuel Equipment'!N$45-'Fuel Equipment'!N$44)*
(VLOOKUP(IF('Fuel Equipment'!N$22=Report!$A$25,Report!$A$19,'Fuel Equipment'!N$22),Report!$A$18:$L$34,'Actual-CO2 Calculations'!$AK95,FALSE)),0),0)</f>
        <v>0</v>
      </c>
      <c r="O92" s="19">
        <f>IF(AND('Fuel Equipment'!O$44&gt;0,'Fuel Equipment'!O$45&gt;0),IF(AND($A92&gt;='Fuel Equipment'!O$17,$A92&lt;='Fuel Equipment'!O$18),('Fuel Equipment'!O$19*'Fuel Equipment'!O$20*'Fuel Equipment'!O$21)*('Fuel Equipment'!O$45-'Fuel Equipment'!O$44)*
(VLOOKUP(IF('Fuel Equipment'!O$22=Report!$A$25,Report!$A$19,'Fuel Equipment'!O$22),Report!$A$18:$L$34,'Actual-CO2 Calculations'!$AK95,FALSE)),0),0)</f>
        <v>0</v>
      </c>
      <c r="P92" s="19">
        <f>IF(AND('Fuel Equipment'!P$44&gt;0,'Fuel Equipment'!P$45&gt;0),IF(AND($A92&gt;='Fuel Equipment'!P$17,$A92&lt;='Fuel Equipment'!P$18),('Fuel Equipment'!P$19*'Fuel Equipment'!P$20*'Fuel Equipment'!P$21)*('Fuel Equipment'!P$45-'Fuel Equipment'!P$44)*
(VLOOKUP(IF('Fuel Equipment'!P$22=Report!$A$25,Report!$A$19,'Fuel Equipment'!P$22),Report!$A$18:$L$34,'Actual-CO2 Calculations'!$AK95,FALSE)),0),0)</f>
        <v>0</v>
      </c>
      <c r="Q92" s="19">
        <f>IF(AND('Fuel Equipment'!Q$44&gt;0,'Fuel Equipment'!Q$45&gt;0),IF(AND($A92&gt;='Fuel Equipment'!Q$17,$A92&lt;='Fuel Equipment'!Q$18),('Fuel Equipment'!Q$19*'Fuel Equipment'!Q$20*'Fuel Equipment'!Q$21)*('Fuel Equipment'!Q$45-'Fuel Equipment'!Q$44)*
(VLOOKUP(IF('Fuel Equipment'!Q$22=Report!$A$25,Report!$A$19,'Fuel Equipment'!Q$22),Report!$A$18:$L$34,'Actual-CO2 Calculations'!$AK95,FALSE)),0),0)</f>
        <v>0</v>
      </c>
      <c r="R92" s="19">
        <f>IF(AND('Fuel Equipment'!R$44&gt;0,'Fuel Equipment'!R$45&gt;0),IF(AND($A92&gt;='Fuel Equipment'!R$17,$A92&lt;='Fuel Equipment'!R$18),('Fuel Equipment'!R$19*'Fuel Equipment'!R$20*'Fuel Equipment'!R$21)*('Fuel Equipment'!R$45-'Fuel Equipment'!R$44)*
(VLOOKUP(IF('Fuel Equipment'!R$22=Report!$A$25,Report!$A$19,'Fuel Equipment'!R$22),Report!$A$18:$L$34,'Actual-CO2 Calculations'!$AK95,FALSE)),0),0)</f>
        <v>0</v>
      </c>
      <c r="S92" s="19">
        <f>IF(AND('Fuel Equipment'!S$44&gt;0,'Fuel Equipment'!S$45&gt;0),IF(AND($A92&gt;='Fuel Equipment'!S$17,$A92&lt;='Fuel Equipment'!S$18),('Fuel Equipment'!S$19*'Fuel Equipment'!S$20*'Fuel Equipment'!S$21)*('Fuel Equipment'!S$45-'Fuel Equipment'!S$44)*
(VLOOKUP(IF('Fuel Equipment'!S$22=Report!$A$25,Report!$A$19,'Fuel Equipment'!S$22),Report!$A$18:$L$34,'Actual-CO2 Calculations'!$AK95,FALSE)),0),0)</f>
        <v>0</v>
      </c>
      <c r="V92" s="671">
        <f t="shared" si="1"/>
        <v>0</v>
      </c>
    </row>
    <row r="93" spans="1:22">
      <c r="A93" s="19" t="s">
        <v>974</v>
      </c>
      <c r="B93" s="19">
        <f>IF(AND('Fuel Equipment'!B$44&gt;0,'Fuel Equipment'!B$45&gt;0),IF(AND($A93&gt;='Fuel Equipment'!B$17,$A93&lt;='Fuel Equipment'!B$18),('Fuel Equipment'!B$19*'Fuel Equipment'!B$20*'Fuel Equipment'!B$21)*('Fuel Equipment'!B$45-'Fuel Equipment'!B$44)*
(VLOOKUP(IF('Fuel Equipment'!B$22=Report!$A$25,Report!$A$19,'Fuel Equipment'!B$22),Report!$A$18:$L$34,'Actual-CO2 Calculations'!$AK96,FALSE)),0),0)</f>
        <v>0</v>
      </c>
      <c r="C93" s="19">
        <f>IF(AND('Fuel Equipment'!C$44&gt;0,'Fuel Equipment'!C$45&gt;0),IF(AND($A93&gt;='Fuel Equipment'!C$17,$A93&lt;='Fuel Equipment'!C$18),('Fuel Equipment'!C$19*'Fuel Equipment'!C$20*'Fuel Equipment'!C$21)*('Fuel Equipment'!C$45-'Fuel Equipment'!C$44)*
(VLOOKUP(IF('Fuel Equipment'!C$22=Report!$A$25,Report!$A$19,'Fuel Equipment'!C$22),Report!$A$18:$L$34,'Actual-CO2 Calculations'!$AK96,FALSE)),0),0)</f>
        <v>0</v>
      </c>
      <c r="D93" s="19">
        <f>IF(AND('Fuel Equipment'!D$44&gt;0,'Fuel Equipment'!D$45&gt;0),IF(AND($A93&gt;='Fuel Equipment'!D$17,$A93&lt;='Fuel Equipment'!D$18),('Fuel Equipment'!D$19*'Fuel Equipment'!D$20*'Fuel Equipment'!D$21)*('Fuel Equipment'!D$45-'Fuel Equipment'!D$44)*
(VLOOKUP(IF('Fuel Equipment'!D$22=Report!$A$25,Report!$A$19,'Fuel Equipment'!D$22),Report!$A$18:$L$34,'Actual-CO2 Calculations'!$AK96,FALSE)),0),0)</f>
        <v>0</v>
      </c>
      <c r="E93" s="19">
        <f>IF(AND('Fuel Equipment'!E$44&gt;0,'Fuel Equipment'!E$45&gt;0),IF(AND($A93&gt;='Fuel Equipment'!E$17,$A93&lt;='Fuel Equipment'!E$18),('Fuel Equipment'!E$19*'Fuel Equipment'!E$20*'Fuel Equipment'!E$21)*('Fuel Equipment'!E$45-'Fuel Equipment'!E$44)*
(VLOOKUP(IF('Fuel Equipment'!E$22=Report!$A$25,Report!$A$19,'Fuel Equipment'!E$22),Report!$A$18:$L$34,'Actual-CO2 Calculations'!$AK96,FALSE)),0),0)</f>
        <v>0</v>
      </c>
      <c r="F93" s="19">
        <f>IF(AND('Fuel Equipment'!F$44&gt;0,'Fuel Equipment'!F$45&gt;0),IF(AND($A93&gt;='Fuel Equipment'!F$17,$A93&lt;='Fuel Equipment'!F$18),('Fuel Equipment'!F$19*'Fuel Equipment'!F$20*'Fuel Equipment'!F$21)*('Fuel Equipment'!F$45-'Fuel Equipment'!F$44)*
(VLOOKUP(IF('Fuel Equipment'!F$22=Report!$A$25,Report!$A$19,'Fuel Equipment'!F$22),Report!$A$18:$L$34,'Actual-CO2 Calculations'!$AK96,FALSE)),0),0)</f>
        <v>0</v>
      </c>
      <c r="G93" s="19">
        <f>IF(AND('Fuel Equipment'!G$44&gt;0,'Fuel Equipment'!G$45&gt;0),IF(AND($A93&gt;='Fuel Equipment'!G$17,$A93&lt;='Fuel Equipment'!G$18),('Fuel Equipment'!G$19*'Fuel Equipment'!G$20*'Fuel Equipment'!G$21)*('Fuel Equipment'!G$45-'Fuel Equipment'!G$44)*
(VLOOKUP(IF('Fuel Equipment'!G$22=Report!$A$25,Report!$A$19,'Fuel Equipment'!G$22),Report!$A$18:$L$34,'Actual-CO2 Calculations'!$AK96,FALSE)),0),0)</f>
        <v>0</v>
      </c>
      <c r="H93" s="19">
        <f>IF(AND('Fuel Equipment'!H$44&gt;0,'Fuel Equipment'!H$45&gt;0),IF(AND($A93&gt;='Fuel Equipment'!H$17,$A93&lt;='Fuel Equipment'!H$18),('Fuel Equipment'!H$19*'Fuel Equipment'!H$20*'Fuel Equipment'!H$21)*('Fuel Equipment'!H$45-'Fuel Equipment'!H$44)*
(VLOOKUP(IF('Fuel Equipment'!H$22=Report!$A$25,Report!$A$19,'Fuel Equipment'!H$22),Report!$A$18:$L$34,'Actual-CO2 Calculations'!$AK96,FALSE)),0),0)</f>
        <v>0</v>
      </c>
      <c r="I93" s="19">
        <f>IF(AND('Fuel Equipment'!I$44&gt;0,'Fuel Equipment'!I$45&gt;0),IF(AND($A93&gt;='Fuel Equipment'!I$17,$A93&lt;='Fuel Equipment'!I$18),('Fuel Equipment'!I$19*'Fuel Equipment'!I$20*'Fuel Equipment'!I$21)*('Fuel Equipment'!I$45-'Fuel Equipment'!I$44)*
(VLOOKUP(IF('Fuel Equipment'!I$22=Report!$A$25,Report!$A$19,'Fuel Equipment'!I$22),Report!$A$18:$L$34,'Actual-CO2 Calculations'!$AK96,FALSE)),0),0)</f>
        <v>0</v>
      </c>
      <c r="J93" s="19">
        <f>IF(AND('Fuel Equipment'!J$44&gt;0,'Fuel Equipment'!J$45&gt;0),IF(AND($A93&gt;='Fuel Equipment'!J$17,$A93&lt;='Fuel Equipment'!J$18),('Fuel Equipment'!J$19*'Fuel Equipment'!J$20*'Fuel Equipment'!J$21)*('Fuel Equipment'!J$45-'Fuel Equipment'!J$44)*
(VLOOKUP(IF('Fuel Equipment'!J$22=Report!$A$25,Report!$A$19,'Fuel Equipment'!J$22),Report!$A$18:$L$34,'Actual-CO2 Calculations'!$AK96,FALSE)),0),0)</f>
        <v>0</v>
      </c>
      <c r="K93" s="19">
        <f>IF(AND('Fuel Equipment'!K$44&gt;0,'Fuel Equipment'!K$45&gt;0),IF(AND($A93&gt;='Fuel Equipment'!K$17,$A93&lt;='Fuel Equipment'!K$18),('Fuel Equipment'!K$19*'Fuel Equipment'!K$20*'Fuel Equipment'!K$21)*('Fuel Equipment'!K$45-'Fuel Equipment'!K$44)*
(VLOOKUP(IF('Fuel Equipment'!K$22=Report!$A$25,Report!$A$19,'Fuel Equipment'!K$22),Report!$A$18:$L$34,'Actual-CO2 Calculations'!$AK96,FALSE)),0),0)</f>
        <v>0</v>
      </c>
      <c r="L93" s="19">
        <f>IF(AND('Fuel Equipment'!L$44&gt;0,'Fuel Equipment'!L$45&gt;0),IF(AND($A93&gt;='Fuel Equipment'!L$17,$A93&lt;='Fuel Equipment'!L$18),('Fuel Equipment'!L$19*'Fuel Equipment'!L$20*'Fuel Equipment'!L$21)*('Fuel Equipment'!L$45-'Fuel Equipment'!L$44)*
(VLOOKUP(IF('Fuel Equipment'!L$22=Report!$A$25,Report!$A$19,'Fuel Equipment'!L$22),Report!$A$18:$L$34,'Actual-CO2 Calculations'!$AK96,FALSE)),0),0)</f>
        <v>0</v>
      </c>
      <c r="M93" s="19">
        <f>IF(AND('Fuel Equipment'!M$44&gt;0,'Fuel Equipment'!M$45&gt;0),IF(AND($A93&gt;='Fuel Equipment'!M$17,$A93&lt;='Fuel Equipment'!M$18),('Fuel Equipment'!M$19*'Fuel Equipment'!M$20*'Fuel Equipment'!M$21)*('Fuel Equipment'!M$45-'Fuel Equipment'!M$44)*
(VLOOKUP(IF('Fuel Equipment'!M$22=Report!$A$25,Report!$A$19,'Fuel Equipment'!M$22),Report!$A$18:$L$34,'Actual-CO2 Calculations'!$AK96,FALSE)),0),0)</f>
        <v>0</v>
      </c>
      <c r="N93" s="19">
        <f>IF(AND('Fuel Equipment'!N$44&gt;0,'Fuel Equipment'!N$45&gt;0),IF(AND($A93&gt;='Fuel Equipment'!N$17,$A93&lt;='Fuel Equipment'!N$18),('Fuel Equipment'!N$19*'Fuel Equipment'!N$20*'Fuel Equipment'!N$21)*('Fuel Equipment'!N$45-'Fuel Equipment'!N$44)*
(VLOOKUP(IF('Fuel Equipment'!N$22=Report!$A$25,Report!$A$19,'Fuel Equipment'!N$22),Report!$A$18:$L$34,'Actual-CO2 Calculations'!$AK96,FALSE)),0),0)</f>
        <v>0</v>
      </c>
      <c r="O93" s="19">
        <f>IF(AND('Fuel Equipment'!O$44&gt;0,'Fuel Equipment'!O$45&gt;0),IF(AND($A93&gt;='Fuel Equipment'!O$17,$A93&lt;='Fuel Equipment'!O$18),('Fuel Equipment'!O$19*'Fuel Equipment'!O$20*'Fuel Equipment'!O$21)*('Fuel Equipment'!O$45-'Fuel Equipment'!O$44)*
(VLOOKUP(IF('Fuel Equipment'!O$22=Report!$A$25,Report!$A$19,'Fuel Equipment'!O$22),Report!$A$18:$L$34,'Actual-CO2 Calculations'!$AK96,FALSE)),0),0)</f>
        <v>0</v>
      </c>
      <c r="P93" s="19">
        <f>IF(AND('Fuel Equipment'!P$44&gt;0,'Fuel Equipment'!P$45&gt;0),IF(AND($A93&gt;='Fuel Equipment'!P$17,$A93&lt;='Fuel Equipment'!P$18),('Fuel Equipment'!P$19*'Fuel Equipment'!P$20*'Fuel Equipment'!P$21)*('Fuel Equipment'!P$45-'Fuel Equipment'!P$44)*
(VLOOKUP(IF('Fuel Equipment'!P$22=Report!$A$25,Report!$A$19,'Fuel Equipment'!P$22),Report!$A$18:$L$34,'Actual-CO2 Calculations'!$AK96,FALSE)),0),0)</f>
        <v>0</v>
      </c>
      <c r="Q93" s="19">
        <f>IF(AND('Fuel Equipment'!Q$44&gt;0,'Fuel Equipment'!Q$45&gt;0),IF(AND($A93&gt;='Fuel Equipment'!Q$17,$A93&lt;='Fuel Equipment'!Q$18),('Fuel Equipment'!Q$19*'Fuel Equipment'!Q$20*'Fuel Equipment'!Q$21)*('Fuel Equipment'!Q$45-'Fuel Equipment'!Q$44)*
(VLOOKUP(IF('Fuel Equipment'!Q$22=Report!$A$25,Report!$A$19,'Fuel Equipment'!Q$22),Report!$A$18:$L$34,'Actual-CO2 Calculations'!$AK96,FALSE)),0),0)</f>
        <v>0</v>
      </c>
      <c r="R93" s="19">
        <f>IF(AND('Fuel Equipment'!R$44&gt;0,'Fuel Equipment'!R$45&gt;0),IF(AND($A93&gt;='Fuel Equipment'!R$17,$A93&lt;='Fuel Equipment'!R$18),('Fuel Equipment'!R$19*'Fuel Equipment'!R$20*'Fuel Equipment'!R$21)*('Fuel Equipment'!R$45-'Fuel Equipment'!R$44)*
(VLOOKUP(IF('Fuel Equipment'!R$22=Report!$A$25,Report!$A$19,'Fuel Equipment'!R$22),Report!$A$18:$L$34,'Actual-CO2 Calculations'!$AK96,FALSE)),0),0)</f>
        <v>0</v>
      </c>
      <c r="S93" s="19">
        <f>IF(AND('Fuel Equipment'!S$44&gt;0,'Fuel Equipment'!S$45&gt;0),IF(AND($A93&gt;='Fuel Equipment'!S$17,$A93&lt;='Fuel Equipment'!S$18),('Fuel Equipment'!S$19*'Fuel Equipment'!S$20*'Fuel Equipment'!S$21)*('Fuel Equipment'!S$45-'Fuel Equipment'!S$44)*
(VLOOKUP(IF('Fuel Equipment'!S$22=Report!$A$25,Report!$A$19,'Fuel Equipment'!S$22),Report!$A$18:$L$34,'Actual-CO2 Calculations'!$AK96,FALSE)),0),0)</f>
        <v>0</v>
      </c>
      <c r="V93" s="671">
        <f t="shared" si="1"/>
        <v>0</v>
      </c>
    </row>
    <row r="94" spans="1:22">
      <c r="A94" s="19" t="s">
        <v>975</v>
      </c>
      <c r="B94" s="19">
        <f>IF(AND('Fuel Equipment'!B$44&gt;0,'Fuel Equipment'!B$45&gt;0),IF(AND($A94&gt;='Fuel Equipment'!B$17,$A94&lt;='Fuel Equipment'!B$18),('Fuel Equipment'!B$19*'Fuel Equipment'!B$20*'Fuel Equipment'!B$21)*('Fuel Equipment'!B$45-'Fuel Equipment'!B$44)*
(VLOOKUP(IF('Fuel Equipment'!B$22=Report!$A$25,Report!$A$19,'Fuel Equipment'!B$22),Report!$A$18:$L$34,'Actual-CO2 Calculations'!$AK97,FALSE)),0),0)</f>
        <v>0</v>
      </c>
      <c r="C94" s="19">
        <f>IF(AND('Fuel Equipment'!C$44&gt;0,'Fuel Equipment'!C$45&gt;0),IF(AND($A94&gt;='Fuel Equipment'!C$17,$A94&lt;='Fuel Equipment'!C$18),('Fuel Equipment'!C$19*'Fuel Equipment'!C$20*'Fuel Equipment'!C$21)*('Fuel Equipment'!C$45-'Fuel Equipment'!C$44)*
(VLOOKUP(IF('Fuel Equipment'!C$22=Report!$A$25,Report!$A$19,'Fuel Equipment'!C$22),Report!$A$18:$L$34,'Actual-CO2 Calculations'!$AK97,FALSE)),0),0)</f>
        <v>0</v>
      </c>
      <c r="D94" s="19">
        <f>IF(AND('Fuel Equipment'!D$44&gt;0,'Fuel Equipment'!D$45&gt;0),IF(AND($A94&gt;='Fuel Equipment'!D$17,$A94&lt;='Fuel Equipment'!D$18),('Fuel Equipment'!D$19*'Fuel Equipment'!D$20*'Fuel Equipment'!D$21)*('Fuel Equipment'!D$45-'Fuel Equipment'!D$44)*
(VLOOKUP(IF('Fuel Equipment'!D$22=Report!$A$25,Report!$A$19,'Fuel Equipment'!D$22),Report!$A$18:$L$34,'Actual-CO2 Calculations'!$AK97,FALSE)),0),0)</f>
        <v>0</v>
      </c>
      <c r="E94" s="19">
        <f>IF(AND('Fuel Equipment'!E$44&gt;0,'Fuel Equipment'!E$45&gt;0),IF(AND($A94&gt;='Fuel Equipment'!E$17,$A94&lt;='Fuel Equipment'!E$18),('Fuel Equipment'!E$19*'Fuel Equipment'!E$20*'Fuel Equipment'!E$21)*('Fuel Equipment'!E$45-'Fuel Equipment'!E$44)*
(VLOOKUP(IF('Fuel Equipment'!E$22=Report!$A$25,Report!$A$19,'Fuel Equipment'!E$22),Report!$A$18:$L$34,'Actual-CO2 Calculations'!$AK97,FALSE)),0),0)</f>
        <v>0</v>
      </c>
      <c r="F94" s="19">
        <f>IF(AND('Fuel Equipment'!F$44&gt;0,'Fuel Equipment'!F$45&gt;0),IF(AND($A94&gt;='Fuel Equipment'!F$17,$A94&lt;='Fuel Equipment'!F$18),('Fuel Equipment'!F$19*'Fuel Equipment'!F$20*'Fuel Equipment'!F$21)*('Fuel Equipment'!F$45-'Fuel Equipment'!F$44)*
(VLOOKUP(IF('Fuel Equipment'!F$22=Report!$A$25,Report!$A$19,'Fuel Equipment'!F$22),Report!$A$18:$L$34,'Actual-CO2 Calculations'!$AK97,FALSE)),0),0)</f>
        <v>0</v>
      </c>
      <c r="G94" s="19">
        <f>IF(AND('Fuel Equipment'!G$44&gt;0,'Fuel Equipment'!G$45&gt;0),IF(AND($A94&gt;='Fuel Equipment'!G$17,$A94&lt;='Fuel Equipment'!G$18),('Fuel Equipment'!G$19*'Fuel Equipment'!G$20*'Fuel Equipment'!G$21)*('Fuel Equipment'!G$45-'Fuel Equipment'!G$44)*
(VLOOKUP(IF('Fuel Equipment'!G$22=Report!$A$25,Report!$A$19,'Fuel Equipment'!G$22),Report!$A$18:$L$34,'Actual-CO2 Calculations'!$AK97,FALSE)),0),0)</f>
        <v>0</v>
      </c>
      <c r="H94" s="19">
        <f>IF(AND('Fuel Equipment'!H$44&gt;0,'Fuel Equipment'!H$45&gt;0),IF(AND($A94&gt;='Fuel Equipment'!H$17,$A94&lt;='Fuel Equipment'!H$18),('Fuel Equipment'!H$19*'Fuel Equipment'!H$20*'Fuel Equipment'!H$21)*('Fuel Equipment'!H$45-'Fuel Equipment'!H$44)*
(VLOOKUP(IF('Fuel Equipment'!H$22=Report!$A$25,Report!$A$19,'Fuel Equipment'!H$22),Report!$A$18:$L$34,'Actual-CO2 Calculations'!$AK97,FALSE)),0),0)</f>
        <v>0</v>
      </c>
      <c r="I94" s="19">
        <f>IF(AND('Fuel Equipment'!I$44&gt;0,'Fuel Equipment'!I$45&gt;0),IF(AND($A94&gt;='Fuel Equipment'!I$17,$A94&lt;='Fuel Equipment'!I$18),('Fuel Equipment'!I$19*'Fuel Equipment'!I$20*'Fuel Equipment'!I$21)*('Fuel Equipment'!I$45-'Fuel Equipment'!I$44)*
(VLOOKUP(IF('Fuel Equipment'!I$22=Report!$A$25,Report!$A$19,'Fuel Equipment'!I$22),Report!$A$18:$L$34,'Actual-CO2 Calculations'!$AK97,FALSE)),0),0)</f>
        <v>0</v>
      </c>
      <c r="J94" s="19">
        <f>IF(AND('Fuel Equipment'!J$44&gt;0,'Fuel Equipment'!J$45&gt;0),IF(AND($A94&gt;='Fuel Equipment'!J$17,$A94&lt;='Fuel Equipment'!J$18),('Fuel Equipment'!J$19*'Fuel Equipment'!J$20*'Fuel Equipment'!J$21)*('Fuel Equipment'!J$45-'Fuel Equipment'!J$44)*
(VLOOKUP(IF('Fuel Equipment'!J$22=Report!$A$25,Report!$A$19,'Fuel Equipment'!J$22),Report!$A$18:$L$34,'Actual-CO2 Calculations'!$AK97,FALSE)),0),0)</f>
        <v>0</v>
      </c>
      <c r="K94" s="19">
        <f>IF(AND('Fuel Equipment'!K$44&gt;0,'Fuel Equipment'!K$45&gt;0),IF(AND($A94&gt;='Fuel Equipment'!K$17,$A94&lt;='Fuel Equipment'!K$18),('Fuel Equipment'!K$19*'Fuel Equipment'!K$20*'Fuel Equipment'!K$21)*('Fuel Equipment'!K$45-'Fuel Equipment'!K$44)*
(VLOOKUP(IF('Fuel Equipment'!K$22=Report!$A$25,Report!$A$19,'Fuel Equipment'!K$22),Report!$A$18:$L$34,'Actual-CO2 Calculations'!$AK97,FALSE)),0),0)</f>
        <v>0</v>
      </c>
      <c r="L94" s="19">
        <f>IF(AND('Fuel Equipment'!L$44&gt;0,'Fuel Equipment'!L$45&gt;0),IF(AND($A94&gt;='Fuel Equipment'!L$17,$A94&lt;='Fuel Equipment'!L$18),('Fuel Equipment'!L$19*'Fuel Equipment'!L$20*'Fuel Equipment'!L$21)*('Fuel Equipment'!L$45-'Fuel Equipment'!L$44)*
(VLOOKUP(IF('Fuel Equipment'!L$22=Report!$A$25,Report!$A$19,'Fuel Equipment'!L$22),Report!$A$18:$L$34,'Actual-CO2 Calculations'!$AK97,FALSE)),0),0)</f>
        <v>0</v>
      </c>
      <c r="M94" s="19">
        <f>IF(AND('Fuel Equipment'!M$44&gt;0,'Fuel Equipment'!M$45&gt;0),IF(AND($A94&gt;='Fuel Equipment'!M$17,$A94&lt;='Fuel Equipment'!M$18),('Fuel Equipment'!M$19*'Fuel Equipment'!M$20*'Fuel Equipment'!M$21)*('Fuel Equipment'!M$45-'Fuel Equipment'!M$44)*
(VLOOKUP(IF('Fuel Equipment'!M$22=Report!$A$25,Report!$A$19,'Fuel Equipment'!M$22),Report!$A$18:$L$34,'Actual-CO2 Calculations'!$AK97,FALSE)),0),0)</f>
        <v>0</v>
      </c>
      <c r="N94" s="19">
        <f>IF(AND('Fuel Equipment'!N$44&gt;0,'Fuel Equipment'!N$45&gt;0),IF(AND($A94&gt;='Fuel Equipment'!N$17,$A94&lt;='Fuel Equipment'!N$18),('Fuel Equipment'!N$19*'Fuel Equipment'!N$20*'Fuel Equipment'!N$21)*('Fuel Equipment'!N$45-'Fuel Equipment'!N$44)*
(VLOOKUP(IF('Fuel Equipment'!N$22=Report!$A$25,Report!$A$19,'Fuel Equipment'!N$22),Report!$A$18:$L$34,'Actual-CO2 Calculations'!$AK97,FALSE)),0),0)</f>
        <v>0</v>
      </c>
      <c r="O94" s="19">
        <f>IF(AND('Fuel Equipment'!O$44&gt;0,'Fuel Equipment'!O$45&gt;0),IF(AND($A94&gt;='Fuel Equipment'!O$17,$A94&lt;='Fuel Equipment'!O$18),('Fuel Equipment'!O$19*'Fuel Equipment'!O$20*'Fuel Equipment'!O$21)*('Fuel Equipment'!O$45-'Fuel Equipment'!O$44)*
(VLOOKUP(IF('Fuel Equipment'!O$22=Report!$A$25,Report!$A$19,'Fuel Equipment'!O$22),Report!$A$18:$L$34,'Actual-CO2 Calculations'!$AK97,FALSE)),0),0)</f>
        <v>0</v>
      </c>
      <c r="P94" s="19">
        <f>IF(AND('Fuel Equipment'!P$44&gt;0,'Fuel Equipment'!P$45&gt;0),IF(AND($A94&gt;='Fuel Equipment'!P$17,$A94&lt;='Fuel Equipment'!P$18),('Fuel Equipment'!P$19*'Fuel Equipment'!P$20*'Fuel Equipment'!P$21)*('Fuel Equipment'!P$45-'Fuel Equipment'!P$44)*
(VLOOKUP(IF('Fuel Equipment'!P$22=Report!$A$25,Report!$A$19,'Fuel Equipment'!P$22),Report!$A$18:$L$34,'Actual-CO2 Calculations'!$AK97,FALSE)),0),0)</f>
        <v>0</v>
      </c>
      <c r="Q94" s="19">
        <f>IF(AND('Fuel Equipment'!Q$44&gt;0,'Fuel Equipment'!Q$45&gt;0),IF(AND($A94&gt;='Fuel Equipment'!Q$17,$A94&lt;='Fuel Equipment'!Q$18),('Fuel Equipment'!Q$19*'Fuel Equipment'!Q$20*'Fuel Equipment'!Q$21)*('Fuel Equipment'!Q$45-'Fuel Equipment'!Q$44)*
(VLOOKUP(IF('Fuel Equipment'!Q$22=Report!$A$25,Report!$A$19,'Fuel Equipment'!Q$22),Report!$A$18:$L$34,'Actual-CO2 Calculations'!$AK97,FALSE)),0),0)</f>
        <v>0</v>
      </c>
      <c r="R94" s="19">
        <f>IF(AND('Fuel Equipment'!R$44&gt;0,'Fuel Equipment'!R$45&gt;0),IF(AND($A94&gt;='Fuel Equipment'!R$17,$A94&lt;='Fuel Equipment'!R$18),('Fuel Equipment'!R$19*'Fuel Equipment'!R$20*'Fuel Equipment'!R$21)*('Fuel Equipment'!R$45-'Fuel Equipment'!R$44)*
(VLOOKUP(IF('Fuel Equipment'!R$22=Report!$A$25,Report!$A$19,'Fuel Equipment'!R$22),Report!$A$18:$L$34,'Actual-CO2 Calculations'!$AK97,FALSE)),0),0)</f>
        <v>0</v>
      </c>
      <c r="S94" s="19">
        <f>IF(AND('Fuel Equipment'!S$44&gt;0,'Fuel Equipment'!S$45&gt;0),IF(AND($A94&gt;='Fuel Equipment'!S$17,$A94&lt;='Fuel Equipment'!S$18),('Fuel Equipment'!S$19*'Fuel Equipment'!S$20*'Fuel Equipment'!S$21)*('Fuel Equipment'!S$45-'Fuel Equipment'!S$44)*
(VLOOKUP(IF('Fuel Equipment'!S$22=Report!$A$25,Report!$A$19,'Fuel Equipment'!S$22),Report!$A$18:$L$34,'Actual-CO2 Calculations'!$AK97,FALSE)),0),0)</f>
        <v>0</v>
      </c>
      <c r="V94" s="671">
        <f t="shared" si="1"/>
        <v>0</v>
      </c>
    </row>
    <row r="95" spans="1:22">
      <c r="A95" s="19" t="s">
        <v>976</v>
      </c>
      <c r="B95" s="19">
        <f>IF(AND('Fuel Equipment'!B$44&gt;0,'Fuel Equipment'!B$45&gt;0),IF(AND($A95&gt;='Fuel Equipment'!B$17,$A95&lt;='Fuel Equipment'!B$18),('Fuel Equipment'!B$19*'Fuel Equipment'!B$20*'Fuel Equipment'!B$21)*('Fuel Equipment'!B$45-'Fuel Equipment'!B$44)*
(VLOOKUP(IF('Fuel Equipment'!B$22=Report!$A$25,Report!$A$19,'Fuel Equipment'!B$22),Report!$A$18:$L$34,'Actual-CO2 Calculations'!$AK98,FALSE)),0),0)</f>
        <v>0</v>
      </c>
      <c r="C95" s="19">
        <f>IF(AND('Fuel Equipment'!C$44&gt;0,'Fuel Equipment'!C$45&gt;0),IF(AND($A95&gt;='Fuel Equipment'!C$17,$A95&lt;='Fuel Equipment'!C$18),('Fuel Equipment'!C$19*'Fuel Equipment'!C$20*'Fuel Equipment'!C$21)*('Fuel Equipment'!C$45-'Fuel Equipment'!C$44)*
(VLOOKUP(IF('Fuel Equipment'!C$22=Report!$A$25,Report!$A$19,'Fuel Equipment'!C$22),Report!$A$18:$L$34,'Actual-CO2 Calculations'!$AK98,FALSE)),0),0)</f>
        <v>0</v>
      </c>
      <c r="D95" s="19">
        <f>IF(AND('Fuel Equipment'!D$44&gt;0,'Fuel Equipment'!D$45&gt;0),IF(AND($A95&gt;='Fuel Equipment'!D$17,$A95&lt;='Fuel Equipment'!D$18),('Fuel Equipment'!D$19*'Fuel Equipment'!D$20*'Fuel Equipment'!D$21)*('Fuel Equipment'!D$45-'Fuel Equipment'!D$44)*
(VLOOKUP(IF('Fuel Equipment'!D$22=Report!$A$25,Report!$A$19,'Fuel Equipment'!D$22),Report!$A$18:$L$34,'Actual-CO2 Calculations'!$AK98,FALSE)),0),0)</f>
        <v>0</v>
      </c>
      <c r="E95" s="19">
        <f>IF(AND('Fuel Equipment'!E$44&gt;0,'Fuel Equipment'!E$45&gt;0),IF(AND($A95&gt;='Fuel Equipment'!E$17,$A95&lt;='Fuel Equipment'!E$18),('Fuel Equipment'!E$19*'Fuel Equipment'!E$20*'Fuel Equipment'!E$21)*('Fuel Equipment'!E$45-'Fuel Equipment'!E$44)*
(VLOOKUP(IF('Fuel Equipment'!E$22=Report!$A$25,Report!$A$19,'Fuel Equipment'!E$22),Report!$A$18:$L$34,'Actual-CO2 Calculations'!$AK98,FALSE)),0),0)</f>
        <v>0</v>
      </c>
      <c r="F95" s="19">
        <f>IF(AND('Fuel Equipment'!F$44&gt;0,'Fuel Equipment'!F$45&gt;0),IF(AND($A95&gt;='Fuel Equipment'!F$17,$A95&lt;='Fuel Equipment'!F$18),('Fuel Equipment'!F$19*'Fuel Equipment'!F$20*'Fuel Equipment'!F$21)*('Fuel Equipment'!F$45-'Fuel Equipment'!F$44)*
(VLOOKUP(IF('Fuel Equipment'!F$22=Report!$A$25,Report!$A$19,'Fuel Equipment'!F$22),Report!$A$18:$L$34,'Actual-CO2 Calculations'!$AK98,FALSE)),0),0)</f>
        <v>0</v>
      </c>
      <c r="G95" s="19">
        <f>IF(AND('Fuel Equipment'!G$44&gt;0,'Fuel Equipment'!G$45&gt;0),IF(AND($A95&gt;='Fuel Equipment'!G$17,$A95&lt;='Fuel Equipment'!G$18),('Fuel Equipment'!G$19*'Fuel Equipment'!G$20*'Fuel Equipment'!G$21)*('Fuel Equipment'!G$45-'Fuel Equipment'!G$44)*
(VLOOKUP(IF('Fuel Equipment'!G$22=Report!$A$25,Report!$A$19,'Fuel Equipment'!G$22),Report!$A$18:$L$34,'Actual-CO2 Calculations'!$AK98,FALSE)),0),0)</f>
        <v>0</v>
      </c>
      <c r="H95" s="19">
        <f>IF(AND('Fuel Equipment'!H$44&gt;0,'Fuel Equipment'!H$45&gt;0),IF(AND($A95&gt;='Fuel Equipment'!H$17,$A95&lt;='Fuel Equipment'!H$18),('Fuel Equipment'!H$19*'Fuel Equipment'!H$20*'Fuel Equipment'!H$21)*('Fuel Equipment'!H$45-'Fuel Equipment'!H$44)*
(VLOOKUP(IF('Fuel Equipment'!H$22=Report!$A$25,Report!$A$19,'Fuel Equipment'!H$22),Report!$A$18:$L$34,'Actual-CO2 Calculations'!$AK98,FALSE)),0),0)</f>
        <v>0</v>
      </c>
      <c r="I95" s="19">
        <f>IF(AND('Fuel Equipment'!I$44&gt;0,'Fuel Equipment'!I$45&gt;0),IF(AND($A95&gt;='Fuel Equipment'!I$17,$A95&lt;='Fuel Equipment'!I$18),('Fuel Equipment'!I$19*'Fuel Equipment'!I$20*'Fuel Equipment'!I$21)*('Fuel Equipment'!I$45-'Fuel Equipment'!I$44)*
(VLOOKUP(IF('Fuel Equipment'!I$22=Report!$A$25,Report!$A$19,'Fuel Equipment'!I$22),Report!$A$18:$L$34,'Actual-CO2 Calculations'!$AK98,FALSE)),0),0)</f>
        <v>0</v>
      </c>
      <c r="J95" s="19">
        <f>IF(AND('Fuel Equipment'!J$44&gt;0,'Fuel Equipment'!J$45&gt;0),IF(AND($A95&gt;='Fuel Equipment'!J$17,$A95&lt;='Fuel Equipment'!J$18),('Fuel Equipment'!J$19*'Fuel Equipment'!J$20*'Fuel Equipment'!J$21)*('Fuel Equipment'!J$45-'Fuel Equipment'!J$44)*
(VLOOKUP(IF('Fuel Equipment'!J$22=Report!$A$25,Report!$A$19,'Fuel Equipment'!J$22),Report!$A$18:$L$34,'Actual-CO2 Calculations'!$AK98,FALSE)),0),0)</f>
        <v>0</v>
      </c>
      <c r="K95" s="19">
        <f>IF(AND('Fuel Equipment'!K$44&gt;0,'Fuel Equipment'!K$45&gt;0),IF(AND($A95&gt;='Fuel Equipment'!K$17,$A95&lt;='Fuel Equipment'!K$18),('Fuel Equipment'!K$19*'Fuel Equipment'!K$20*'Fuel Equipment'!K$21)*('Fuel Equipment'!K$45-'Fuel Equipment'!K$44)*
(VLOOKUP(IF('Fuel Equipment'!K$22=Report!$A$25,Report!$A$19,'Fuel Equipment'!K$22),Report!$A$18:$L$34,'Actual-CO2 Calculations'!$AK98,FALSE)),0),0)</f>
        <v>0</v>
      </c>
      <c r="L95" s="19">
        <f>IF(AND('Fuel Equipment'!L$44&gt;0,'Fuel Equipment'!L$45&gt;0),IF(AND($A95&gt;='Fuel Equipment'!L$17,$A95&lt;='Fuel Equipment'!L$18),('Fuel Equipment'!L$19*'Fuel Equipment'!L$20*'Fuel Equipment'!L$21)*('Fuel Equipment'!L$45-'Fuel Equipment'!L$44)*
(VLOOKUP(IF('Fuel Equipment'!L$22=Report!$A$25,Report!$A$19,'Fuel Equipment'!L$22),Report!$A$18:$L$34,'Actual-CO2 Calculations'!$AK98,FALSE)),0),0)</f>
        <v>0</v>
      </c>
      <c r="M95" s="19">
        <f>IF(AND('Fuel Equipment'!M$44&gt;0,'Fuel Equipment'!M$45&gt;0),IF(AND($A95&gt;='Fuel Equipment'!M$17,$A95&lt;='Fuel Equipment'!M$18),('Fuel Equipment'!M$19*'Fuel Equipment'!M$20*'Fuel Equipment'!M$21)*('Fuel Equipment'!M$45-'Fuel Equipment'!M$44)*
(VLOOKUP(IF('Fuel Equipment'!M$22=Report!$A$25,Report!$A$19,'Fuel Equipment'!M$22),Report!$A$18:$L$34,'Actual-CO2 Calculations'!$AK98,FALSE)),0),0)</f>
        <v>0</v>
      </c>
      <c r="N95" s="19">
        <f>IF(AND('Fuel Equipment'!N$44&gt;0,'Fuel Equipment'!N$45&gt;0),IF(AND($A95&gt;='Fuel Equipment'!N$17,$A95&lt;='Fuel Equipment'!N$18),('Fuel Equipment'!N$19*'Fuel Equipment'!N$20*'Fuel Equipment'!N$21)*('Fuel Equipment'!N$45-'Fuel Equipment'!N$44)*
(VLOOKUP(IF('Fuel Equipment'!N$22=Report!$A$25,Report!$A$19,'Fuel Equipment'!N$22),Report!$A$18:$L$34,'Actual-CO2 Calculations'!$AK98,FALSE)),0),0)</f>
        <v>0</v>
      </c>
      <c r="O95" s="19">
        <f>IF(AND('Fuel Equipment'!O$44&gt;0,'Fuel Equipment'!O$45&gt;0),IF(AND($A95&gt;='Fuel Equipment'!O$17,$A95&lt;='Fuel Equipment'!O$18),('Fuel Equipment'!O$19*'Fuel Equipment'!O$20*'Fuel Equipment'!O$21)*('Fuel Equipment'!O$45-'Fuel Equipment'!O$44)*
(VLOOKUP(IF('Fuel Equipment'!O$22=Report!$A$25,Report!$A$19,'Fuel Equipment'!O$22),Report!$A$18:$L$34,'Actual-CO2 Calculations'!$AK98,FALSE)),0),0)</f>
        <v>0</v>
      </c>
      <c r="P95" s="19">
        <f>IF(AND('Fuel Equipment'!P$44&gt;0,'Fuel Equipment'!P$45&gt;0),IF(AND($A95&gt;='Fuel Equipment'!P$17,$A95&lt;='Fuel Equipment'!P$18),('Fuel Equipment'!P$19*'Fuel Equipment'!P$20*'Fuel Equipment'!P$21)*('Fuel Equipment'!P$45-'Fuel Equipment'!P$44)*
(VLOOKUP(IF('Fuel Equipment'!P$22=Report!$A$25,Report!$A$19,'Fuel Equipment'!P$22),Report!$A$18:$L$34,'Actual-CO2 Calculations'!$AK98,FALSE)),0),0)</f>
        <v>0</v>
      </c>
      <c r="Q95" s="19">
        <f>IF(AND('Fuel Equipment'!Q$44&gt;0,'Fuel Equipment'!Q$45&gt;0),IF(AND($A95&gt;='Fuel Equipment'!Q$17,$A95&lt;='Fuel Equipment'!Q$18),('Fuel Equipment'!Q$19*'Fuel Equipment'!Q$20*'Fuel Equipment'!Q$21)*('Fuel Equipment'!Q$45-'Fuel Equipment'!Q$44)*
(VLOOKUP(IF('Fuel Equipment'!Q$22=Report!$A$25,Report!$A$19,'Fuel Equipment'!Q$22),Report!$A$18:$L$34,'Actual-CO2 Calculations'!$AK98,FALSE)),0),0)</f>
        <v>0</v>
      </c>
      <c r="R95" s="19">
        <f>IF(AND('Fuel Equipment'!R$44&gt;0,'Fuel Equipment'!R$45&gt;0),IF(AND($A95&gt;='Fuel Equipment'!R$17,$A95&lt;='Fuel Equipment'!R$18),('Fuel Equipment'!R$19*'Fuel Equipment'!R$20*'Fuel Equipment'!R$21)*('Fuel Equipment'!R$45-'Fuel Equipment'!R$44)*
(VLOOKUP(IF('Fuel Equipment'!R$22=Report!$A$25,Report!$A$19,'Fuel Equipment'!R$22),Report!$A$18:$L$34,'Actual-CO2 Calculations'!$AK98,FALSE)),0),0)</f>
        <v>0</v>
      </c>
      <c r="S95" s="19">
        <f>IF(AND('Fuel Equipment'!S$44&gt;0,'Fuel Equipment'!S$45&gt;0),IF(AND($A95&gt;='Fuel Equipment'!S$17,$A95&lt;='Fuel Equipment'!S$18),('Fuel Equipment'!S$19*'Fuel Equipment'!S$20*'Fuel Equipment'!S$21)*('Fuel Equipment'!S$45-'Fuel Equipment'!S$44)*
(VLOOKUP(IF('Fuel Equipment'!S$22=Report!$A$25,Report!$A$19,'Fuel Equipment'!S$22),Report!$A$18:$L$34,'Actual-CO2 Calculations'!$AK98,FALSE)),0),0)</f>
        <v>0</v>
      </c>
      <c r="V95" s="671">
        <f t="shared" si="1"/>
        <v>0</v>
      </c>
    </row>
    <row r="96" spans="1:22">
      <c r="A96" s="19" t="s">
        <v>977</v>
      </c>
      <c r="B96" s="19">
        <f>IF(AND('Fuel Equipment'!B$44&gt;0,'Fuel Equipment'!B$45&gt;0),IF(AND($A96&gt;='Fuel Equipment'!B$17,$A96&lt;='Fuel Equipment'!B$18),('Fuel Equipment'!B$19*'Fuel Equipment'!B$20*'Fuel Equipment'!B$21)*('Fuel Equipment'!B$45-'Fuel Equipment'!B$44)*
(VLOOKUP(IF('Fuel Equipment'!B$22=Report!$A$25,Report!$A$19,'Fuel Equipment'!B$22),Report!$A$18:$L$34,'Actual-CO2 Calculations'!$AK99,FALSE)),0),0)</f>
        <v>0</v>
      </c>
      <c r="C96" s="19">
        <f>IF(AND('Fuel Equipment'!C$44&gt;0,'Fuel Equipment'!C$45&gt;0),IF(AND($A96&gt;='Fuel Equipment'!C$17,$A96&lt;='Fuel Equipment'!C$18),('Fuel Equipment'!C$19*'Fuel Equipment'!C$20*'Fuel Equipment'!C$21)*('Fuel Equipment'!C$45-'Fuel Equipment'!C$44)*
(VLOOKUP(IF('Fuel Equipment'!C$22=Report!$A$25,Report!$A$19,'Fuel Equipment'!C$22),Report!$A$18:$L$34,'Actual-CO2 Calculations'!$AK99,FALSE)),0),0)</f>
        <v>0</v>
      </c>
      <c r="D96" s="19">
        <f>IF(AND('Fuel Equipment'!D$44&gt;0,'Fuel Equipment'!D$45&gt;0),IF(AND($A96&gt;='Fuel Equipment'!D$17,$A96&lt;='Fuel Equipment'!D$18),('Fuel Equipment'!D$19*'Fuel Equipment'!D$20*'Fuel Equipment'!D$21)*('Fuel Equipment'!D$45-'Fuel Equipment'!D$44)*
(VLOOKUP(IF('Fuel Equipment'!D$22=Report!$A$25,Report!$A$19,'Fuel Equipment'!D$22),Report!$A$18:$L$34,'Actual-CO2 Calculations'!$AK99,FALSE)),0),0)</f>
        <v>0</v>
      </c>
      <c r="E96" s="19">
        <f>IF(AND('Fuel Equipment'!E$44&gt;0,'Fuel Equipment'!E$45&gt;0),IF(AND($A96&gt;='Fuel Equipment'!E$17,$A96&lt;='Fuel Equipment'!E$18),('Fuel Equipment'!E$19*'Fuel Equipment'!E$20*'Fuel Equipment'!E$21)*('Fuel Equipment'!E$45-'Fuel Equipment'!E$44)*
(VLOOKUP(IF('Fuel Equipment'!E$22=Report!$A$25,Report!$A$19,'Fuel Equipment'!E$22),Report!$A$18:$L$34,'Actual-CO2 Calculations'!$AK99,FALSE)),0),0)</f>
        <v>0</v>
      </c>
      <c r="F96" s="19">
        <f>IF(AND('Fuel Equipment'!F$44&gt;0,'Fuel Equipment'!F$45&gt;0),IF(AND($A96&gt;='Fuel Equipment'!F$17,$A96&lt;='Fuel Equipment'!F$18),('Fuel Equipment'!F$19*'Fuel Equipment'!F$20*'Fuel Equipment'!F$21)*('Fuel Equipment'!F$45-'Fuel Equipment'!F$44)*
(VLOOKUP(IF('Fuel Equipment'!F$22=Report!$A$25,Report!$A$19,'Fuel Equipment'!F$22),Report!$A$18:$L$34,'Actual-CO2 Calculations'!$AK99,FALSE)),0),0)</f>
        <v>0</v>
      </c>
      <c r="G96" s="19">
        <f>IF(AND('Fuel Equipment'!G$44&gt;0,'Fuel Equipment'!G$45&gt;0),IF(AND($A96&gt;='Fuel Equipment'!G$17,$A96&lt;='Fuel Equipment'!G$18),('Fuel Equipment'!G$19*'Fuel Equipment'!G$20*'Fuel Equipment'!G$21)*('Fuel Equipment'!G$45-'Fuel Equipment'!G$44)*
(VLOOKUP(IF('Fuel Equipment'!G$22=Report!$A$25,Report!$A$19,'Fuel Equipment'!G$22),Report!$A$18:$L$34,'Actual-CO2 Calculations'!$AK99,FALSE)),0),0)</f>
        <v>0</v>
      </c>
      <c r="H96" s="19">
        <f>IF(AND('Fuel Equipment'!H$44&gt;0,'Fuel Equipment'!H$45&gt;0),IF(AND($A96&gt;='Fuel Equipment'!H$17,$A96&lt;='Fuel Equipment'!H$18),('Fuel Equipment'!H$19*'Fuel Equipment'!H$20*'Fuel Equipment'!H$21)*('Fuel Equipment'!H$45-'Fuel Equipment'!H$44)*
(VLOOKUP(IF('Fuel Equipment'!H$22=Report!$A$25,Report!$A$19,'Fuel Equipment'!H$22),Report!$A$18:$L$34,'Actual-CO2 Calculations'!$AK99,FALSE)),0),0)</f>
        <v>0</v>
      </c>
      <c r="I96" s="19">
        <f>IF(AND('Fuel Equipment'!I$44&gt;0,'Fuel Equipment'!I$45&gt;0),IF(AND($A96&gt;='Fuel Equipment'!I$17,$A96&lt;='Fuel Equipment'!I$18),('Fuel Equipment'!I$19*'Fuel Equipment'!I$20*'Fuel Equipment'!I$21)*('Fuel Equipment'!I$45-'Fuel Equipment'!I$44)*
(VLOOKUP(IF('Fuel Equipment'!I$22=Report!$A$25,Report!$A$19,'Fuel Equipment'!I$22),Report!$A$18:$L$34,'Actual-CO2 Calculations'!$AK99,FALSE)),0),0)</f>
        <v>0</v>
      </c>
      <c r="J96" s="19">
        <f>IF(AND('Fuel Equipment'!J$44&gt;0,'Fuel Equipment'!J$45&gt;0),IF(AND($A96&gt;='Fuel Equipment'!J$17,$A96&lt;='Fuel Equipment'!J$18),('Fuel Equipment'!J$19*'Fuel Equipment'!J$20*'Fuel Equipment'!J$21)*('Fuel Equipment'!J$45-'Fuel Equipment'!J$44)*
(VLOOKUP(IF('Fuel Equipment'!J$22=Report!$A$25,Report!$A$19,'Fuel Equipment'!J$22),Report!$A$18:$L$34,'Actual-CO2 Calculations'!$AK99,FALSE)),0),0)</f>
        <v>0</v>
      </c>
      <c r="K96" s="19">
        <f>IF(AND('Fuel Equipment'!K$44&gt;0,'Fuel Equipment'!K$45&gt;0),IF(AND($A96&gt;='Fuel Equipment'!K$17,$A96&lt;='Fuel Equipment'!K$18),('Fuel Equipment'!K$19*'Fuel Equipment'!K$20*'Fuel Equipment'!K$21)*('Fuel Equipment'!K$45-'Fuel Equipment'!K$44)*
(VLOOKUP(IF('Fuel Equipment'!K$22=Report!$A$25,Report!$A$19,'Fuel Equipment'!K$22),Report!$A$18:$L$34,'Actual-CO2 Calculations'!$AK99,FALSE)),0),0)</f>
        <v>0</v>
      </c>
      <c r="L96" s="19">
        <f>IF(AND('Fuel Equipment'!L$44&gt;0,'Fuel Equipment'!L$45&gt;0),IF(AND($A96&gt;='Fuel Equipment'!L$17,$A96&lt;='Fuel Equipment'!L$18),('Fuel Equipment'!L$19*'Fuel Equipment'!L$20*'Fuel Equipment'!L$21)*('Fuel Equipment'!L$45-'Fuel Equipment'!L$44)*
(VLOOKUP(IF('Fuel Equipment'!L$22=Report!$A$25,Report!$A$19,'Fuel Equipment'!L$22),Report!$A$18:$L$34,'Actual-CO2 Calculations'!$AK99,FALSE)),0),0)</f>
        <v>0</v>
      </c>
      <c r="M96" s="19">
        <f>IF(AND('Fuel Equipment'!M$44&gt;0,'Fuel Equipment'!M$45&gt;0),IF(AND($A96&gt;='Fuel Equipment'!M$17,$A96&lt;='Fuel Equipment'!M$18),('Fuel Equipment'!M$19*'Fuel Equipment'!M$20*'Fuel Equipment'!M$21)*('Fuel Equipment'!M$45-'Fuel Equipment'!M$44)*
(VLOOKUP(IF('Fuel Equipment'!M$22=Report!$A$25,Report!$A$19,'Fuel Equipment'!M$22),Report!$A$18:$L$34,'Actual-CO2 Calculations'!$AK99,FALSE)),0),0)</f>
        <v>0</v>
      </c>
      <c r="N96" s="19">
        <f>IF(AND('Fuel Equipment'!N$44&gt;0,'Fuel Equipment'!N$45&gt;0),IF(AND($A96&gt;='Fuel Equipment'!N$17,$A96&lt;='Fuel Equipment'!N$18),('Fuel Equipment'!N$19*'Fuel Equipment'!N$20*'Fuel Equipment'!N$21)*('Fuel Equipment'!N$45-'Fuel Equipment'!N$44)*
(VLOOKUP(IF('Fuel Equipment'!N$22=Report!$A$25,Report!$A$19,'Fuel Equipment'!N$22),Report!$A$18:$L$34,'Actual-CO2 Calculations'!$AK99,FALSE)),0),0)</f>
        <v>0</v>
      </c>
      <c r="O96" s="19">
        <f>IF(AND('Fuel Equipment'!O$44&gt;0,'Fuel Equipment'!O$45&gt;0),IF(AND($A96&gt;='Fuel Equipment'!O$17,$A96&lt;='Fuel Equipment'!O$18),('Fuel Equipment'!O$19*'Fuel Equipment'!O$20*'Fuel Equipment'!O$21)*('Fuel Equipment'!O$45-'Fuel Equipment'!O$44)*
(VLOOKUP(IF('Fuel Equipment'!O$22=Report!$A$25,Report!$A$19,'Fuel Equipment'!O$22),Report!$A$18:$L$34,'Actual-CO2 Calculations'!$AK99,FALSE)),0),0)</f>
        <v>0</v>
      </c>
      <c r="P96" s="19">
        <f>IF(AND('Fuel Equipment'!P$44&gt;0,'Fuel Equipment'!P$45&gt;0),IF(AND($A96&gt;='Fuel Equipment'!P$17,$A96&lt;='Fuel Equipment'!P$18),('Fuel Equipment'!P$19*'Fuel Equipment'!P$20*'Fuel Equipment'!P$21)*('Fuel Equipment'!P$45-'Fuel Equipment'!P$44)*
(VLOOKUP(IF('Fuel Equipment'!P$22=Report!$A$25,Report!$A$19,'Fuel Equipment'!P$22),Report!$A$18:$L$34,'Actual-CO2 Calculations'!$AK99,FALSE)),0),0)</f>
        <v>0</v>
      </c>
      <c r="Q96" s="19">
        <f>IF(AND('Fuel Equipment'!Q$44&gt;0,'Fuel Equipment'!Q$45&gt;0),IF(AND($A96&gt;='Fuel Equipment'!Q$17,$A96&lt;='Fuel Equipment'!Q$18),('Fuel Equipment'!Q$19*'Fuel Equipment'!Q$20*'Fuel Equipment'!Q$21)*('Fuel Equipment'!Q$45-'Fuel Equipment'!Q$44)*
(VLOOKUP(IF('Fuel Equipment'!Q$22=Report!$A$25,Report!$A$19,'Fuel Equipment'!Q$22),Report!$A$18:$L$34,'Actual-CO2 Calculations'!$AK99,FALSE)),0),0)</f>
        <v>0</v>
      </c>
      <c r="R96" s="19">
        <f>IF(AND('Fuel Equipment'!R$44&gt;0,'Fuel Equipment'!R$45&gt;0),IF(AND($A96&gt;='Fuel Equipment'!R$17,$A96&lt;='Fuel Equipment'!R$18),('Fuel Equipment'!R$19*'Fuel Equipment'!R$20*'Fuel Equipment'!R$21)*('Fuel Equipment'!R$45-'Fuel Equipment'!R$44)*
(VLOOKUP(IF('Fuel Equipment'!R$22=Report!$A$25,Report!$A$19,'Fuel Equipment'!R$22),Report!$A$18:$L$34,'Actual-CO2 Calculations'!$AK99,FALSE)),0),0)</f>
        <v>0</v>
      </c>
      <c r="S96" s="19">
        <f>IF(AND('Fuel Equipment'!S$44&gt;0,'Fuel Equipment'!S$45&gt;0),IF(AND($A96&gt;='Fuel Equipment'!S$17,$A96&lt;='Fuel Equipment'!S$18),('Fuel Equipment'!S$19*'Fuel Equipment'!S$20*'Fuel Equipment'!S$21)*('Fuel Equipment'!S$45-'Fuel Equipment'!S$44)*
(VLOOKUP(IF('Fuel Equipment'!S$22=Report!$A$25,Report!$A$19,'Fuel Equipment'!S$22),Report!$A$18:$L$34,'Actual-CO2 Calculations'!$AK99,FALSE)),0),0)</f>
        <v>0</v>
      </c>
      <c r="V96" s="671">
        <f t="shared" si="1"/>
        <v>0</v>
      </c>
    </row>
    <row r="97" spans="1:22">
      <c r="A97" s="19" t="s">
        <v>978</v>
      </c>
      <c r="B97" s="19">
        <f>IF(AND('Fuel Equipment'!B$44&gt;0,'Fuel Equipment'!B$45&gt;0),IF(AND($A97&gt;='Fuel Equipment'!B$17,$A97&lt;='Fuel Equipment'!B$18),('Fuel Equipment'!B$19*'Fuel Equipment'!B$20*'Fuel Equipment'!B$21)*('Fuel Equipment'!B$45-'Fuel Equipment'!B$44)*
(VLOOKUP(IF('Fuel Equipment'!B$22=Report!$A$25,Report!$A$19,'Fuel Equipment'!B$22),Report!$A$18:$L$34,'Actual-CO2 Calculations'!$AK100,FALSE)),0),0)</f>
        <v>0</v>
      </c>
      <c r="C97" s="19">
        <f>IF(AND('Fuel Equipment'!C$44&gt;0,'Fuel Equipment'!C$45&gt;0),IF(AND($A97&gt;='Fuel Equipment'!C$17,$A97&lt;='Fuel Equipment'!C$18),('Fuel Equipment'!C$19*'Fuel Equipment'!C$20*'Fuel Equipment'!C$21)*('Fuel Equipment'!C$45-'Fuel Equipment'!C$44)*
(VLOOKUP(IF('Fuel Equipment'!C$22=Report!$A$25,Report!$A$19,'Fuel Equipment'!C$22),Report!$A$18:$L$34,'Actual-CO2 Calculations'!$AK100,FALSE)),0),0)</f>
        <v>0</v>
      </c>
      <c r="D97" s="19">
        <f>IF(AND('Fuel Equipment'!D$44&gt;0,'Fuel Equipment'!D$45&gt;0),IF(AND($A97&gt;='Fuel Equipment'!D$17,$A97&lt;='Fuel Equipment'!D$18),('Fuel Equipment'!D$19*'Fuel Equipment'!D$20*'Fuel Equipment'!D$21)*('Fuel Equipment'!D$45-'Fuel Equipment'!D$44)*
(VLOOKUP(IF('Fuel Equipment'!D$22=Report!$A$25,Report!$A$19,'Fuel Equipment'!D$22),Report!$A$18:$L$34,'Actual-CO2 Calculations'!$AK100,FALSE)),0),0)</f>
        <v>0</v>
      </c>
      <c r="E97" s="19">
        <f>IF(AND('Fuel Equipment'!E$44&gt;0,'Fuel Equipment'!E$45&gt;0),IF(AND($A97&gt;='Fuel Equipment'!E$17,$A97&lt;='Fuel Equipment'!E$18),('Fuel Equipment'!E$19*'Fuel Equipment'!E$20*'Fuel Equipment'!E$21)*('Fuel Equipment'!E$45-'Fuel Equipment'!E$44)*
(VLOOKUP(IF('Fuel Equipment'!E$22=Report!$A$25,Report!$A$19,'Fuel Equipment'!E$22),Report!$A$18:$L$34,'Actual-CO2 Calculations'!$AK100,FALSE)),0),0)</f>
        <v>0</v>
      </c>
      <c r="F97" s="19">
        <f>IF(AND('Fuel Equipment'!F$44&gt;0,'Fuel Equipment'!F$45&gt;0),IF(AND($A97&gt;='Fuel Equipment'!F$17,$A97&lt;='Fuel Equipment'!F$18),('Fuel Equipment'!F$19*'Fuel Equipment'!F$20*'Fuel Equipment'!F$21)*('Fuel Equipment'!F$45-'Fuel Equipment'!F$44)*
(VLOOKUP(IF('Fuel Equipment'!F$22=Report!$A$25,Report!$A$19,'Fuel Equipment'!F$22),Report!$A$18:$L$34,'Actual-CO2 Calculations'!$AK100,FALSE)),0),0)</f>
        <v>0</v>
      </c>
      <c r="G97" s="19">
        <f>IF(AND('Fuel Equipment'!G$44&gt;0,'Fuel Equipment'!G$45&gt;0),IF(AND($A97&gt;='Fuel Equipment'!G$17,$A97&lt;='Fuel Equipment'!G$18),('Fuel Equipment'!G$19*'Fuel Equipment'!G$20*'Fuel Equipment'!G$21)*('Fuel Equipment'!G$45-'Fuel Equipment'!G$44)*
(VLOOKUP(IF('Fuel Equipment'!G$22=Report!$A$25,Report!$A$19,'Fuel Equipment'!G$22),Report!$A$18:$L$34,'Actual-CO2 Calculations'!$AK100,FALSE)),0),0)</f>
        <v>0</v>
      </c>
      <c r="H97" s="19">
        <f>IF(AND('Fuel Equipment'!H$44&gt;0,'Fuel Equipment'!H$45&gt;0),IF(AND($A97&gt;='Fuel Equipment'!H$17,$A97&lt;='Fuel Equipment'!H$18),('Fuel Equipment'!H$19*'Fuel Equipment'!H$20*'Fuel Equipment'!H$21)*('Fuel Equipment'!H$45-'Fuel Equipment'!H$44)*
(VLOOKUP(IF('Fuel Equipment'!H$22=Report!$A$25,Report!$A$19,'Fuel Equipment'!H$22),Report!$A$18:$L$34,'Actual-CO2 Calculations'!$AK100,FALSE)),0),0)</f>
        <v>0</v>
      </c>
      <c r="I97" s="19">
        <f>IF(AND('Fuel Equipment'!I$44&gt;0,'Fuel Equipment'!I$45&gt;0),IF(AND($A97&gt;='Fuel Equipment'!I$17,$A97&lt;='Fuel Equipment'!I$18),('Fuel Equipment'!I$19*'Fuel Equipment'!I$20*'Fuel Equipment'!I$21)*('Fuel Equipment'!I$45-'Fuel Equipment'!I$44)*
(VLOOKUP(IF('Fuel Equipment'!I$22=Report!$A$25,Report!$A$19,'Fuel Equipment'!I$22),Report!$A$18:$L$34,'Actual-CO2 Calculations'!$AK100,FALSE)),0),0)</f>
        <v>0</v>
      </c>
      <c r="J97" s="19">
        <f>IF(AND('Fuel Equipment'!J$44&gt;0,'Fuel Equipment'!J$45&gt;0),IF(AND($A97&gt;='Fuel Equipment'!J$17,$A97&lt;='Fuel Equipment'!J$18),('Fuel Equipment'!J$19*'Fuel Equipment'!J$20*'Fuel Equipment'!J$21)*('Fuel Equipment'!J$45-'Fuel Equipment'!J$44)*
(VLOOKUP(IF('Fuel Equipment'!J$22=Report!$A$25,Report!$A$19,'Fuel Equipment'!J$22),Report!$A$18:$L$34,'Actual-CO2 Calculations'!$AK100,FALSE)),0),0)</f>
        <v>0</v>
      </c>
      <c r="K97" s="19">
        <f>IF(AND('Fuel Equipment'!K$44&gt;0,'Fuel Equipment'!K$45&gt;0),IF(AND($A97&gt;='Fuel Equipment'!K$17,$A97&lt;='Fuel Equipment'!K$18),('Fuel Equipment'!K$19*'Fuel Equipment'!K$20*'Fuel Equipment'!K$21)*('Fuel Equipment'!K$45-'Fuel Equipment'!K$44)*
(VLOOKUP(IF('Fuel Equipment'!K$22=Report!$A$25,Report!$A$19,'Fuel Equipment'!K$22),Report!$A$18:$L$34,'Actual-CO2 Calculations'!$AK100,FALSE)),0),0)</f>
        <v>0</v>
      </c>
      <c r="L97" s="19">
        <f>IF(AND('Fuel Equipment'!L$44&gt;0,'Fuel Equipment'!L$45&gt;0),IF(AND($A97&gt;='Fuel Equipment'!L$17,$A97&lt;='Fuel Equipment'!L$18),('Fuel Equipment'!L$19*'Fuel Equipment'!L$20*'Fuel Equipment'!L$21)*('Fuel Equipment'!L$45-'Fuel Equipment'!L$44)*
(VLOOKUP(IF('Fuel Equipment'!L$22=Report!$A$25,Report!$A$19,'Fuel Equipment'!L$22),Report!$A$18:$L$34,'Actual-CO2 Calculations'!$AK100,FALSE)),0),0)</f>
        <v>0</v>
      </c>
      <c r="M97" s="19">
        <f>IF(AND('Fuel Equipment'!M$44&gt;0,'Fuel Equipment'!M$45&gt;0),IF(AND($A97&gt;='Fuel Equipment'!M$17,$A97&lt;='Fuel Equipment'!M$18),('Fuel Equipment'!M$19*'Fuel Equipment'!M$20*'Fuel Equipment'!M$21)*('Fuel Equipment'!M$45-'Fuel Equipment'!M$44)*
(VLOOKUP(IF('Fuel Equipment'!M$22=Report!$A$25,Report!$A$19,'Fuel Equipment'!M$22),Report!$A$18:$L$34,'Actual-CO2 Calculations'!$AK100,FALSE)),0),0)</f>
        <v>0</v>
      </c>
      <c r="N97" s="19">
        <f>IF(AND('Fuel Equipment'!N$44&gt;0,'Fuel Equipment'!N$45&gt;0),IF(AND($A97&gt;='Fuel Equipment'!N$17,$A97&lt;='Fuel Equipment'!N$18),('Fuel Equipment'!N$19*'Fuel Equipment'!N$20*'Fuel Equipment'!N$21)*('Fuel Equipment'!N$45-'Fuel Equipment'!N$44)*
(VLOOKUP(IF('Fuel Equipment'!N$22=Report!$A$25,Report!$A$19,'Fuel Equipment'!N$22),Report!$A$18:$L$34,'Actual-CO2 Calculations'!$AK100,FALSE)),0),0)</f>
        <v>0</v>
      </c>
      <c r="O97" s="19">
        <f>IF(AND('Fuel Equipment'!O$44&gt;0,'Fuel Equipment'!O$45&gt;0),IF(AND($A97&gt;='Fuel Equipment'!O$17,$A97&lt;='Fuel Equipment'!O$18),('Fuel Equipment'!O$19*'Fuel Equipment'!O$20*'Fuel Equipment'!O$21)*('Fuel Equipment'!O$45-'Fuel Equipment'!O$44)*
(VLOOKUP(IF('Fuel Equipment'!O$22=Report!$A$25,Report!$A$19,'Fuel Equipment'!O$22),Report!$A$18:$L$34,'Actual-CO2 Calculations'!$AK100,FALSE)),0),0)</f>
        <v>0</v>
      </c>
      <c r="P97" s="19">
        <f>IF(AND('Fuel Equipment'!P$44&gt;0,'Fuel Equipment'!P$45&gt;0),IF(AND($A97&gt;='Fuel Equipment'!P$17,$A97&lt;='Fuel Equipment'!P$18),('Fuel Equipment'!P$19*'Fuel Equipment'!P$20*'Fuel Equipment'!P$21)*('Fuel Equipment'!P$45-'Fuel Equipment'!P$44)*
(VLOOKUP(IF('Fuel Equipment'!P$22=Report!$A$25,Report!$A$19,'Fuel Equipment'!P$22),Report!$A$18:$L$34,'Actual-CO2 Calculations'!$AK100,FALSE)),0),0)</f>
        <v>0</v>
      </c>
      <c r="Q97" s="19">
        <f>IF(AND('Fuel Equipment'!Q$44&gt;0,'Fuel Equipment'!Q$45&gt;0),IF(AND($A97&gt;='Fuel Equipment'!Q$17,$A97&lt;='Fuel Equipment'!Q$18),('Fuel Equipment'!Q$19*'Fuel Equipment'!Q$20*'Fuel Equipment'!Q$21)*('Fuel Equipment'!Q$45-'Fuel Equipment'!Q$44)*
(VLOOKUP(IF('Fuel Equipment'!Q$22=Report!$A$25,Report!$A$19,'Fuel Equipment'!Q$22),Report!$A$18:$L$34,'Actual-CO2 Calculations'!$AK100,FALSE)),0),0)</f>
        <v>0</v>
      </c>
      <c r="R97" s="19">
        <f>IF(AND('Fuel Equipment'!R$44&gt;0,'Fuel Equipment'!R$45&gt;0),IF(AND($A97&gt;='Fuel Equipment'!R$17,$A97&lt;='Fuel Equipment'!R$18),('Fuel Equipment'!R$19*'Fuel Equipment'!R$20*'Fuel Equipment'!R$21)*('Fuel Equipment'!R$45-'Fuel Equipment'!R$44)*
(VLOOKUP(IF('Fuel Equipment'!R$22=Report!$A$25,Report!$A$19,'Fuel Equipment'!R$22),Report!$A$18:$L$34,'Actual-CO2 Calculations'!$AK100,FALSE)),0),0)</f>
        <v>0</v>
      </c>
      <c r="S97" s="19">
        <f>IF(AND('Fuel Equipment'!S$44&gt;0,'Fuel Equipment'!S$45&gt;0),IF(AND($A97&gt;='Fuel Equipment'!S$17,$A97&lt;='Fuel Equipment'!S$18),('Fuel Equipment'!S$19*'Fuel Equipment'!S$20*'Fuel Equipment'!S$21)*('Fuel Equipment'!S$45-'Fuel Equipment'!S$44)*
(VLOOKUP(IF('Fuel Equipment'!S$22=Report!$A$25,Report!$A$19,'Fuel Equipment'!S$22),Report!$A$18:$L$34,'Actual-CO2 Calculations'!$AK100,FALSE)),0),0)</f>
        <v>0</v>
      </c>
      <c r="V97" s="671">
        <f t="shared" si="1"/>
        <v>0</v>
      </c>
    </row>
    <row r="98" spans="1:22">
      <c r="A98" s="19" t="s">
        <v>979</v>
      </c>
      <c r="B98" s="19">
        <f>IF(AND('Fuel Equipment'!B$44&gt;0,'Fuel Equipment'!B$45&gt;0),IF(AND($A98&gt;='Fuel Equipment'!B$17,$A98&lt;='Fuel Equipment'!B$18),('Fuel Equipment'!B$19*'Fuel Equipment'!B$20*'Fuel Equipment'!B$21)*('Fuel Equipment'!B$45-'Fuel Equipment'!B$44)*
(VLOOKUP(IF('Fuel Equipment'!B$22=Report!$A$25,Report!$A$19,'Fuel Equipment'!B$22),Report!$A$18:$L$34,'Actual-CO2 Calculations'!$AK101,FALSE)),0),0)</f>
        <v>0</v>
      </c>
      <c r="C98" s="19">
        <f>IF(AND('Fuel Equipment'!C$44&gt;0,'Fuel Equipment'!C$45&gt;0),IF(AND($A98&gt;='Fuel Equipment'!C$17,$A98&lt;='Fuel Equipment'!C$18),('Fuel Equipment'!C$19*'Fuel Equipment'!C$20*'Fuel Equipment'!C$21)*('Fuel Equipment'!C$45-'Fuel Equipment'!C$44)*
(VLOOKUP(IF('Fuel Equipment'!C$22=Report!$A$25,Report!$A$19,'Fuel Equipment'!C$22),Report!$A$18:$L$34,'Actual-CO2 Calculations'!$AK101,FALSE)),0),0)</f>
        <v>0</v>
      </c>
      <c r="D98" s="19">
        <f>IF(AND('Fuel Equipment'!D$44&gt;0,'Fuel Equipment'!D$45&gt;0),IF(AND($A98&gt;='Fuel Equipment'!D$17,$A98&lt;='Fuel Equipment'!D$18),('Fuel Equipment'!D$19*'Fuel Equipment'!D$20*'Fuel Equipment'!D$21)*('Fuel Equipment'!D$45-'Fuel Equipment'!D$44)*
(VLOOKUP(IF('Fuel Equipment'!D$22=Report!$A$25,Report!$A$19,'Fuel Equipment'!D$22),Report!$A$18:$L$34,'Actual-CO2 Calculations'!$AK101,FALSE)),0),0)</f>
        <v>0</v>
      </c>
      <c r="E98" s="19">
        <f>IF(AND('Fuel Equipment'!E$44&gt;0,'Fuel Equipment'!E$45&gt;0),IF(AND($A98&gt;='Fuel Equipment'!E$17,$A98&lt;='Fuel Equipment'!E$18),('Fuel Equipment'!E$19*'Fuel Equipment'!E$20*'Fuel Equipment'!E$21)*('Fuel Equipment'!E$45-'Fuel Equipment'!E$44)*
(VLOOKUP(IF('Fuel Equipment'!E$22=Report!$A$25,Report!$A$19,'Fuel Equipment'!E$22),Report!$A$18:$L$34,'Actual-CO2 Calculations'!$AK101,FALSE)),0),0)</f>
        <v>0</v>
      </c>
      <c r="F98" s="19">
        <f>IF(AND('Fuel Equipment'!F$44&gt;0,'Fuel Equipment'!F$45&gt;0),IF(AND($A98&gt;='Fuel Equipment'!F$17,$A98&lt;='Fuel Equipment'!F$18),('Fuel Equipment'!F$19*'Fuel Equipment'!F$20*'Fuel Equipment'!F$21)*('Fuel Equipment'!F$45-'Fuel Equipment'!F$44)*
(VLOOKUP(IF('Fuel Equipment'!F$22=Report!$A$25,Report!$A$19,'Fuel Equipment'!F$22),Report!$A$18:$L$34,'Actual-CO2 Calculations'!$AK101,FALSE)),0),0)</f>
        <v>0</v>
      </c>
      <c r="G98" s="19">
        <f>IF(AND('Fuel Equipment'!G$44&gt;0,'Fuel Equipment'!G$45&gt;0),IF(AND($A98&gt;='Fuel Equipment'!G$17,$A98&lt;='Fuel Equipment'!G$18),('Fuel Equipment'!G$19*'Fuel Equipment'!G$20*'Fuel Equipment'!G$21)*('Fuel Equipment'!G$45-'Fuel Equipment'!G$44)*
(VLOOKUP(IF('Fuel Equipment'!G$22=Report!$A$25,Report!$A$19,'Fuel Equipment'!G$22),Report!$A$18:$L$34,'Actual-CO2 Calculations'!$AK101,FALSE)),0),0)</f>
        <v>0</v>
      </c>
      <c r="H98" s="19">
        <f>IF(AND('Fuel Equipment'!H$44&gt;0,'Fuel Equipment'!H$45&gt;0),IF(AND($A98&gt;='Fuel Equipment'!H$17,$A98&lt;='Fuel Equipment'!H$18),('Fuel Equipment'!H$19*'Fuel Equipment'!H$20*'Fuel Equipment'!H$21)*('Fuel Equipment'!H$45-'Fuel Equipment'!H$44)*
(VLOOKUP(IF('Fuel Equipment'!H$22=Report!$A$25,Report!$A$19,'Fuel Equipment'!H$22),Report!$A$18:$L$34,'Actual-CO2 Calculations'!$AK101,FALSE)),0),0)</f>
        <v>0</v>
      </c>
      <c r="I98" s="19">
        <f>IF(AND('Fuel Equipment'!I$44&gt;0,'Fuel Equipment'!I$45&gt;0),IF(AND($A98&gt;='Fuel Equipment'!I$17,$A98&lt;='Fuel Equipment'!I$18),('Fuel Equipment'!I$19*'Fuel Equipment'!I$20*'Fuel Equipment'!I$21)*('Fuel Equipment'!I$45-'Fuel Equipment'!I$44)*
(VLOOKUP(IF('Fuel Equipment'!I$22=Report!$A$25,Report!$A$19,'Fuel Equipment'!I$22),Report!$A$18:$L$34,'Actual-CO2 Calculations'!$AK101,FALSE)),0),0)</f>
        <v>0</v>
      </c>
      <c r="J98" s="19">
        <f>IF(AND('Fuel Equipment'!J$44&gt;0,'Fuel Equipment'!J$45&gt;0),IF(AND($A98&gt;='Fuel Equipment'!J$17,$A98&lt;='Fuel Equipment'!J$18),('Fuel Equipment'!J$19*'Fuel Equipment'!J$20*'Fuel Equipment'!J$21)*('Fuel Equipment'!J$45-'Fuel Equipment'!J$44)*
(VLOOKUP(IF('Fuel Equipment'!J$22=Report!$A$25,Report!$A$19,'Fuel Equipment'!J$22),Report!$A$18:$L$34,'Actual-CO2 Calculations'!$AK101,FALSE)),0),0)</f>
        <v>0</v>
      </c>
      <c r="K98" s="19">
        <f>IF(AND('Fuel Equipment'!K$44&gt;0,'Fuel Equipment'!K$45&gt;0),IF(AND($A98&gt;='Fuel Equipment'!K$17,$A98&lt;='Fuel Equipment'!K$18),('Fuel Equipment'!K$19*'Fuel Equipment'!K$20*'Fuel Equipment'!K$21)*('Fuel Equipment'!K$45-'Fuel Equipment'!K$44)*
(VLOOKUP(IF('Fuel Equipment'!K$22=Report!$A$25,Report!$A$19,'Fuel Equipment'!K$22),Report!$A$18:$L$34,'Actual-CO2 Calculations'!$AK101,FALSE)),0),0)</f>
        <v>0</v>
      </c>
      <c r="L98" s="19">
        <f>IF(AND('Fuel Equipment'!L$44&gt;0,'Fuel Equipment'!L$45&gt;0),IF(AND($A98&gt;='Fuel Equipment'!L$17,$A98&lt;='Fuel Equipment'!L$18),('Fuel Equipment'!L$19*'Fuel Equipment'!L$20*'Fuel Equipment'!L$21)*('Fuel Equipment'!L$45-'Fuel Equipment'!L$44)*
(VLOOKUP(IF('Fuel Equipment'!L$22=Report!$A$25,Report!$A$19,'Fuel Equipment'!L$22),Report!$A$18:$L$34,'Actual-CO2 Calculations'!$AK101,FALSE)),0),0)</f>
        <v>0</v>
      </c>
      <c r="M98" s="19">
        <f>IF(AND('Fuel Equipment'!M$44&gt;0,'Fuel Equipment'!M$45&gt;0),IF(AND($A98&gt;='Fuel Equipment'!M$17,$A98&lt;='Fuel Equipment'!M$18),('Fuel Equipment'!M$19*'Fuel Equipment'!M$20*'Fuel Equipment'!M$21)*('Fuel Equipment'!M$45-'Fuel Equipment'!M$44)*
(VLOOKUP(IF('Fuel Equipment'!M$22=Report!$A$25,Report!$A$19,'Fuel Equipment'!M$22),Report!$A$18:$L$34,'Actual-CO2 Calculations'!$AK101,FALSE)),0),0)</f>
        <v>0</v>
      </c>
      <c r="N98" s="19">
        <f>IF(AND('Fuel Equipment'!N$44&gt;0,'Fuel Equipment'!N$45&gt;0),IF(AND($A98&gt;='Fuel Equipment'!N$17,$A98&lt;='Fuel Equipment'!N$18),('Fuel Equipment'!N$19*'Fuel Equipment'!N$20*'Fuel Equipment'!N$21)*('Fuel Equipment'!N$45-'Fuel Equipment'!N$44)*
(VLOOKUP(IF('Fuel Equipment'!N$22=Report!$A$25,Report!$A$19,'Fuel Equipment'!N$22),Report!$A$18:$L$34,'Actual-CO2 Calculations'!$AK101,FALSE)),0),0)</f>
        <v>0</v>
      </c>
      <c r="O98" s="19">
        <f>IF(AND('Fuel Equipment'!O$44&gt;0,'Fuel Equipment'!O$45&gt;0),IF(AND($A98&gt;='Fuel Equipment'!O$17,$A98&lt;='Fuel Equipment'!O$18),('Fuel Equipment'!O$19*'Fuel Equipment'!O$20*'Fuel Equipment'!O$21)*('Fuel Equipment'!O$45-'Fuel Equipment'!O$44)*
(VLOOKUP(IF('Fuel Equipment'!O$22=Report!$A$25,Report!$A$19,'Fuel Equipment'!O$22),Report!$A$18:$L$34,'Actual-CO2 Calculations'!$AK101,FALSE)),0),0)</f>
        <v>0</v>
      </c>
      <c r="P98" s="19">
        <f>IF(AND('Fuel Equipment'!P$44&gt;0,'Fuel Equipment'!P$45&gt;0),IF(AND($A98&gt;='Fuel Equipment'!P$17,$A98&lt;='Fuel Equipment'!P$18),('Fuel Equipment'!P$19*'Fuel Equipment'!P$20*'Fuel Equipment'!P$21)*('Fuel Equipment'!P$45-'Fuel Equipment'!P$44)*
(VLOOKUP(IF('Fuel Equipment'!P$22=Report!$A$25,Report!$A$19,'Fuel Equipment'!P$22),Report!$A$18:$L$34,'Actual-CO2 Calculations'!$AK101,FALSE)),0),0)</f>
        <v>0</v>
      </c>
      <c r="Q98" s="19">
        <f>IF(AND('Fuel Equipment'!Q$44&gt;0,'Fuel Equipment'!Q$45&gt;0),IF(AND($A98&gt;='Fuel Equipment'!Q$17,$A98&lt;='Fuel Equipment'!Q$18),('Fuel Equipment'!Q$19*'Fuel Equipment'!Q$20*'Fuel Equipment'!Q$21)*('Fuel Equipment'!Q$45-'Fuel Equipment'!Q$44)*
(VLOOKUP(IF('Fuel Equipment'!Q$22=Report!$A$25,Report!$A$19,'Fuel Equipment'!Q$22),Report!$A$18:$L$34,'Actual-CO2 Calculations'!$AK101,FALSE)),0),0)</f>
        <v>0</v>
      </c>
      <c r="R98" s="19">
        <f>IF(AND('Fuel Equipment'!R$44&gt;0,'Fuel Equipment'!R$45&gt;0),IF(AND($A98&gt;='Fuel Equipment'!R$17,$A98&lt;='Fuel Equipment'!R$18),('Fuel Equipment'!R$19*'Fuel Equipment'!R$20*'Fuel Equipment'!R$21)*('Fuel Equipment'!R$45-'Fuel Equipment'!R$44)*
(VLOOKUP(IF('Fuel Equipment'!R$22=Report!$A$25,Report!$A$19,'Fuel Equipment'!R$22),Report!$A$18:$L$34,'Actual-CO2 Calculations'!$AK101,FALSE)),0),0)</f>
        <v>0</v>
      </c>
      <c r="S98" s="19">
        <f>IF(AND('Fuel Equipment'!S$44&gt;0,'Fuel Equipment'!S$45&gt;0),IF(AND($A98&gt;='Fuel Equipment'!S$17,$A98&lt;='Fuel Equipment'!S$18),('Fuel Equipment'!S$19*'Fuel Equipment'!S$20*'Fuel Equipment'!S$21)*('Fuel Equipment'!S$45-'Fuel Equipment'!S$44)*
(VLOOKUP(IF('Fuel Equipment'!S$22=Report!$A$25,Report!$A$19,'Fuel Equipment'!S$22),Report!$A$18:$L$34,'Actual-CO2 Calculations'!$AK101,FALSE)),0),0)</f>
        <v>0</v>
      </c>
      <c r="V98" s="671">
        <f t="shared" si="1"/>
        <v>0</v>
      </c>
    </row>
    <row r="99" spans="1:22">
      <c r="A99" s="19" t="s">
        <v>980</v>
      </c>
      <c r="B99" s="19">
        <f>IF(AND('Fuel Equipment'!B$44&gt;0,'Fuel Equipment'!B$45&gt;0),IF(AND($A99&gt;='Fuel Equipment'!B$17,$A99&lt;='Fuel Equipment'!B$18),('Fuel Equipment'!B$19*'Fuel Equipment'!B$20*'Fuel Equipment'!B$21)*('Fuel Equipment'!B$45-'Fuel Equipment'!B$44)*
(VLOOKUP(IF('Fuel Equipment'!B$22=Report!$A$25,Report!$A$19,'Fuel Equipment'!B$22),Report!$A$18:$L$34,'Actual-CO2 Calculations'!$AK102,FALSE)),0),0)</f>
        <v>0</v>
      </c>
      <c r="C99" s="19">
        <f>IF(AND('Fuel Equipment'!C$44&gt;0,'Fuel Equipment'!C$45&gt;0),IF(AND($A99&gt;='Fuel Equipment'!C$17,$A99&lt;='Fuel Equipment'!C$18),('Fuel Equipment'!C$19*'Fuel Equipment'!C$20*'Fuel Equipment'!C$21)*('Fuel Equipment'!C$45-'Fuel Equipment'!C$44)*
(VLOOKUP(IF('Fuel Equipment'!C$22=Report!$A$25,Report!$A$19,'Fuel Equipment'!C$22),Report!$A$18:$L$34,'Actual-CO2 Calculations'!$AK102,FALSE)),0),0)</f>
        <v>0</v>
      </c>
      <c r="D99" s="19">
        <f>IF(AND('Fuel Equipment'!D$44&gt;0,'Fuel Equipment'!D$45&gt;0),IF(AND($A99&gt;='Fuel Equipment'!D$17,$A99&lt;='Fuel Equipment'!D$18),('Fuel Equipment'!D$19*'Fuel Equipment'!D$20*'Fuel Equipment'!D$21)*('Fuel Equipment'!D$45-'Fuel Equipment'!D$44)*
(VLOOKUP(IF('Fuel Equipment'!D$22=Report!$A$25,Report!$A$19,'Fuel Equipment'!D$22),Report!$A$18:$L$34,'Actual-CO2 Calculations'!$AK102,FALSE)),0),0)</f>
        <v>0</v>
      </c>
      <c r="E99" s="19">
        <f>IF(AND('Fuel Equipment'!E$44&gt;0,'Fuel Equipment'!E$45&gt;0),IF(AND($A99&gt;='Fuel Equipment'!E$17,$A99&lt;='Fuel Equipment'!E$18),('Fuel Equipment'!E$19*'Fuel Equipment'!E$20*'Fuel Equipment'!E$21)*('Fuel Equipment'!E$45-'Fuel Equipment'!E$44)*
(VLOOKUP(IF('Fuel Equipment'!E$22=Report!$A$25,Report!$A$19,'Fuel Equipment'!E$22),Report!$A$18:$L$34,'Actual-CO2 Calculations'!$AK102,FALSE)),0),0)</f>
        <v>0</v>
      </c>
      <c r="F99" s="19">
        <f>IF(AND('Fuel Equipment'!F$44&gt;0,'Fuel Equipment'!F$45&gt;0),IF(AND($A99&gt;='Fuel Equipment'!F$17,$A99&lt;='Fuel Equipment'!F$18),('Fuel Equipment'!F$19*'Fuel Equipment'!F$20*'Fuel Equipment'!F$21)*('Fuel Equipment'!F$45-'Fuel Equipment'!F$44)*
(VLOOKUP(IF('Fuel Equipment'!F$22=Report!$A$25,Report!$A$19,'Fuel Equipment'!F$22),Report!$A$18:$L$34,'Actual-CO2 Calculations'!$AK102,FALSE)),0),0)</f>
        <v>0</v>
      </c>
      <c r="G99" s="19">
        <f>IF(AND('Fuel Equipment'!G$44&gt;0,'Fuel Equipment'!G$45&gt;0),IF(AND($A99&gt;='Fuel Equipment'!G$17,$A99&lt;='Fuel Equipment'!G$18),('Fuel Equipment'!G$19*'Fuel Equipment'!G$20*'Fuel Equipment'!G$21)*('Fuel Equipment'!G$45-'Fuel Equipment'!G$44)*
(VLOOKUP(IF('Fuel Equipment'!G$22=Report!$A$25,Report!$A$19,'Fuel Equipment'!G$22),Report!$A$18:$L$34,'Actual-CO2 Calculations'!$AK102,FALSE)),0),0)</f>
        <v>0</v>
      </c>
      <c r="H99" s="19">
        <f>IF(AND('Fuel Equipment'!H$44&gt;0,'Fuel Equipment'!H$45&gt;0),IF(AND($A99&gt;='Fuel Equipment'!H$17,$A99&lt;='Fuel Equipment'!H$18),('Fuel Equipment'!H$19*'Fuel Equipment'!H$20*'Fuel Equipment'!H$21)*('Fuel Equipment'!H$45-'Fuel Equipment'!H$44)*
(VLOOKUP(IF('Fuel Equipment'!H$22=Report!$A$25,Report!$A$19,'Fuel Equipment'!H$22),Report!$A$18:$L$34,'Actual-CO2 Calculations'!$AK102,FALSE)),0),0)</f>
        <v>0</v>
      </c>
      <c r="I99" s="19">
        <f>IF(AND('Fuel Equipment'!I$44&gt;0,'Fuel Equipment'!I$45&gt;0),IF(AND($A99&gt;='Fuel Equipment'!I$17,$A99&lt;='Fuel Equipment'!I$18),('Fuel Equipment'!I$19*'Fuel Equipment'!I$20*'Fuel Equipment'!I$21)*('Fuel Equipment'!I$45-'Fuel Equipment'!I$44)*
(VLOOKUP(IF('Fuel Equipment'!I$22=Report!$A$25,Report!$A$19,'Fuel Equipment'!I$22),Report!$A$18:$L$34,'Actual-CO2 Calculations'!$AK102,FALSE)),0),0)</f>
        <v>0</v>
      </c>
      <c r="J99" s="19">
        <f>IF(AND('Fuel Equipment'!J$44&gt;0,'Fuel Equipment'!J$45&gt;0),IF(AND($A99&gt;='Fuel Equipment'!J$17,$A99&lt;='Fuel Equipment'!J$18),('Fuel Equipment'!J$19*'Fuel Equipment'!J$20*'Fuel Equipment'!J$21)*('Fuel Equipment'!J$45-'Fuel Equipment'!J$44)*
(VLOOKUP(IF('Fuel Equipment'!J$22=Report!$A$25,Report!$A$19,'Fuel Equipment'!J$22),Report!$A$18:$L$34,'Actual-CO2 Calculations'!$AK102,FALSE)),0),0)</f>
        <v>0</v>
      </c>
      <c r="K99" s="19">
        <f>IF(AND('Fuel Equipment'!K$44&gt;0,'Fuel Equipment'!K$45&gt;0),IF(AND($A99&gt;='Fuel Equipment'!K$17,$A99&lt;='Fuel Equipment'!K$18),('Fuel Equipment'!K$19*'Fuel Equipment'!K$20*'Fuel Equipment'!K$21)*('Fuel Equipment'!K$45-'Fuel Equipment'!K$44)*
(VLOOKUP(IF('Fuel Equipment'!K$22=Report!$A$25,Report!$A$19,'Fuel Equipment'!K$22),Report!$A$18:$L$34,'Actual-CO2 Calculations'!$AK102,FALSE)),0),0)</f>
        <v>0</v>
      </c>
      <c r="L99" s="19">
        <f>IF(AND('Fuel Equipment'!L$44&gt;0,'Fuel Equipment'!L$45&gt;0),IF(AND($A99&gt;='Fuel Equipment'!L$17,$A99&lt;='Fuel Equipment'!L$18),('Fuel Equipment'!L$19*'Fuel Equipment'!L$20*'Fuel Equipment'!L$21)*('Fuel Equipment'!L$45-'Fuel Equipment'!L$44)*
(VLOOKUP(IF('Fuel Equipment'!L$22=Report!$A$25,Report!$A$19,'Fuel Equipment'!L$22),Report!$A$18:$L$34,'Actual-CO2 Calculations'!$AK102,FALSE)),0),0)</f>
        <v>0</v>
      </c>
      <c r="M99" s="19">
        <f>IF(AND('Fuel Equipment'!M$44&gt;0,'Fuel Equipment'!M$45&gt;0),IF(AND($A99&gt;='Fuel Equipment'!M$17,$A99&lt;='Fuel Equipment'!M$18),('Fuel Equipment'!M$19*'Fuel Equipment'!M$20*'Fuel Equipment'!M$21)*('Fuel Equipment'!M$45-'Fuel Equipment'!M$44)*
(VLOOKUP(IF('Fuel Equipment'!M$22=Report!$A$25,Report!$A$19,'Fuel Equipment'!M$22),Report!$A$18:$L$34,'Actual-CO2 Calculations'!$AK102,FALSE)),0),0)</f>
        <v>0</v>
      </c>
      <c r="N99" s="19">
        <f>IF(AND('Fuel Equipment'!N$44&gt;0,'Fuel Equipment'!N$45&gt;0),IF(AND($A99&gt;='Fuel Equipment'!N$17,$A99&lt;='Fuel Equipment'!N$18),('Fuel Equipment'!N$19*'Fuel Equipment'!N$20*'Fuel Equipment'!N$21)*('Fuel Equipment'!N$45-'Fuel Equipment'!N$44)*
(VLOOKUP(IF('Fuel Equipment'!N$22=Report!$A$25,Report!$A$19,'Fuel Equipment'!N$22),Report!$A$18:$L$34,'Actual-CO2 Calculations'!$AK102,FALSE)),0),0)</f>
        <v>0</v>
      </c>
      <c r="O99" s="19">
        <f>IF(AND('Fuel Equipment'!O$44&gt;0,'Fuel Equipment'!O$45&gt;0),IF(AND($A99&gt;='Fuel Equipment'!O$17,$A99&lt;='Fuel Equipment'!O$18),('Fuel Equipment'!O$19*'Fuel Equipment'!O$20*'Fuel Equipment'!O$21)*('Fuel Equipment'!O$45-'Fuel Equipment'!O$44)*
(VLOOKUP(IF('Fuel Equipment'!O$22=Report!$A$25,Report!$A$19,'Fuel Equipment'!O$22),Report!$A$18:$L$34,'Actual-CO2 Calculations'!$AK102,FALSE)),0),0)</f>
        <v>0</v>
      </c>
      <c r="P99" s="19">
        <f>IF(AND('Fuel Equipment'!P$44&gt;0,'Fuel Equipment'!P$45&gt;0),IF(AND($A99&gt;='Fuel Equipment'!P$17,$A99&lt;='Fuel Equipment'!P$18),('Fuel Equipment'!P$19*'Fuel Equipment'!P$20*'Fuel Equipment'!P$21)*('Fuel Equipment'!P$45-'Fuel Equipment'!P$44)*
(VLOOKUP(IF('Fuel Equipment'!P$22=Report!$A$25,Report!$A$19,'Fuel Equipment'!P$22),Report!$A$18:$L$34,'Actual-CO2 Calculations'!$AK102,FALSE)),0),0)</f>
        <v>0</v>
      </c>
      <c r="Q99" s="19">
        <f>IF(AND('Fuel Equipment'!Q$44&gt;0,'Fuel Equipment'!Q$45&gt;0),IF(AND($A99&gt;='Fuel Equipment'!Q$17,$A99&lt;='Fuel Equipment'!Q$18),('Fuel Equipment'!Q$19*'Fuel Equipment'!Q$20*'Fuel Equipment'!Q$21)*('Fuel Equipment'!Q$45-'Fuel Equipment'!Q$44)*
(VLOOKUP(IF('Fuel Equipment'!Q$22=Report!$A$25,Report!$A$19,'Fuel Equipment'!Q$22),Report!$A$18:$L$34,'Actual-CO2 Calculations'!$AK102,FALSE)),0),0)</f>
        <v>0</v>
      </c>
      <c r="R99" s="19">
        <f>IF(AND('Fuel Equipment'!R$44&gt;0,'Fuel Equipment'!R$45&gt;0),IF(AND($A99&gt;='Fuel Equipment'!R$17,$A99&lt;='Fuel Equipment'!R$18),('Fuel Equipment'!R$19*'Fuel Equipment'!R$20*'Fuel Equipment'!R$21)*('Fuel Equipment'!R$45-'Fuel Equipment'!R$44)*
(VLOOKUP(IF('Fuel Equipment'!R$22=Report!$A$25,Report!$A$19,'Fuel Equipment'!R$22),Report!$A$18:$L$34,'Actual-CO2 Calculations'!$AK102,FALSE)),0),0)</f>
        <v>0</v>
      </c>
      <c r="S99" s="19">
        <f>IF(AND('Fuel Equipment'!S$44&gt;0,'Fuel Equipment'!S$45&gt;0),IF(AND($A99&gt;='Fuel Equipment'!S$17,$A99&lt;='Fuel Equipment'!S$18),('Fuel Equipment'!S$19*'Fuel Equipment'!S$20*'Fuel Equipment'!S$21)*('Fuel Equipment'!S$45-'Fuel Equipment'!S$44)*
(VLOOKUP(IF('Fuel Equipment'!S$22=Report!$A$25,Report!$A$19,'Fuel Equipment'!S$22),Report!$A$18:$L$34,'Actual-CO2 Calculations'!$AK102,FALSE)),0),0)</f>
        <v>0</v>
      </c>
      <c r="V99" s="671">
        <f t="shared" si="1"/>
        <v>0</v>
      </c>
    </row>
    <row r="100" spans="1:22">
      <c r="A100" s="19" t="s">
        <v>981</v>
      </c>
      <c r="B100" s="19">
        <f>IF(AND('Fuel Equipment'!B$44&gt;0,'Fuel Equipment'!B$45&gt;0),IF(AND($A100&gt;='Fuel Equipment'!B$17,$A100&lt;='Fuel Equipment'!B$18),('Fuel Equipment'!B$19*'Fuel Equipment'!B$20*'Fuel Equipment'!B$21)*('Fuel Equipment'!B$45-'Fuel Equipment'!B$44)*
(VLOOKUP(IF('Fuel Equipment'!B$22=Report!$A$25,Report!$A$19,'Fuel Equipment'!B$22),Report!$A$18:$L$34,'Actual-CO2 Calculations'!$AK103,FALSE)),0),0)</f>
        <v>0</v>
      </c>
      <c r="C100" s="19">
        <f>IF(AND('Fuel Equipment'!C$44&gt;0,'Fuel Equipment'!C$45&gt;0),IF(AND($A100&gt;='Fuel Equipment'!C$17,$A100&lt;='Fuel Equipment'!C$18),('Fuel Equipment'!C$19*'Fuel Equipment'!C$20*'Fuel Equipment'!C$21)*('Fuel Equipment'!C$45-'Fuel Equipment'!C$44)*
(VLOOKUP(IF('Fuel Equipment'!C$22=Report!$A$25,Report!$A$19,'Fuel Equipment'!C$22),Report!$A$18:$L$34,'Actual-CO2 Calculations'!$AK103,FALSE)),0),0)</f>
        <v>0</v>
      </c>
      <c r="D100" s="19">
        <f>IF(AND('Fuel Equipment'!D$44&gt;0,'Fuel Equipment'!D$45&gt;0),IF(AND($A100&gt;='Fuel Equipment'!D$17,$A100&lt;='Fuel Equipment'!D$18),('Fuel Equipment'!D$19*'Fuel Equipment'!D$20*'Fuel Equipment'!D$21)*('Fuel Equipment'!D$45-'Fuel Equipment'!D$44)*
(VLOOKUP(IF('Fuel Equipment'!D$22=Report!$A$25,Report!$A$19,'Fuel Equipment'!D$22),Report!$A$18:$L$34,'Actual-CO2 Calculations'!$AK103,FALSE)),0),0)</f>
        <v>0</v>
      </c>
      <c r="E100" s="19">
        <f>IF(AND('Fuel Equipment'!E$44&gt;0,'Fuel Equipment'!E$45&gt;0),IF(AND($A100&gt;='Fuel Equipment'!E$17,$A100&lt;='Fuel Equipment'!E$18),('Fuel Equipment'!E$19*'Fuel Equipment'!E$20*'Fuel Equipment'!E$21)*('Fuel Equipment'!E$45-'Fuel Equipment'!E$44)*
(VLOOKUP(IF('Fuel Equipment'!E$22=Report!$A$25,Report!$A$19,'Fuel Equipment'!E$22),Report!$A$18:$L$34,'Actual-CO2 Calculations'!$AK103,FALSE)),0),0)</f>
        <v>0</v>
      </c>
      <c r="F100" s="19">
        <f>IF(AND('Fuel Equipment'!F$44&gt;0,'Fuel Equipment'!F$45&gt;0),IF(AND($A100&gt;='Fuel Equipment'!F$17,$A100&lt;='Fuel Equipment'!F$18),('Fuel Equipment'!F$19*'Fuel Equipment'!F$20*'Fuel Equipment'!F$21)*('Fuel Equipment'!F$45-'Fuel Equipment'!F$44)*
(VLOOKUP(IF('Fuel Equipment'!F$22=Report!$A$25,Report!$A$19,'Fuel Equipment'!F$22),Report!$A$18:$L$34,'Actual-CO2 Calculations'!$AK103,FALSE)),0),0)</f>
        <v>0</v>
      </c>
      <c r="G100" s="19">
        <f>IF(AND('Fuel Equipment'!G$44&gt;0,'Fuel Equipment'!G$45&gt;0),IF(AND($A100&gt;='Fuel Equipment'!G$17,$A100&lt;='Fuel Equipment'!G$18),('Fuel Equipment'!G$19*'Fuel Equipment'!G$20*'Fuel Equipment'!G$21)*('Fuel Equipment'!G$45-'Fuel Equipment'!G$44)*
(VLOOKUP(IF('Fuel Equipment'!G$22=Report!$A$25,Report!$A$19,'Fuel Equipment'!G$22),Report!$A$18:$L$34,'Actual-CO2 Calculations'!$AK103,FALSE)),0),0)</f>
        <v>0</v>
      </c>
      <c r="H100" s="19">
        <f>IF(AND('Fuel Equipment'!H$44&gt;0,'Fuel Equipment'!H$45&gt;0),IF(AND($A100&gt;='Fuel Equipment'!H$17,$A100&lt;='Fuel Equipment'!H$18),('Fuel Equipment'!H$19*'Fuel Equipment'!H$20*'Fuel Equipment'!H$21)*('Fuel Equipment'!H$45-'Fuel Equipment'!H$44)*
(VLOOKUP(IF('Fuel Equipment'!H$22=Report!$A$25,Report!$A$19,'Fuel Equipment'!H$22),Report!$A$18:$L$34,'Actual-CO2 Calculations'!$AK103,FALSE)),0),0)</f>
        <v>0</v>
      </c>
      <c r="I100" s="19">
        <f>IF(AND('Fuel Equipment'!I$44&gt;0,'Fuel Equipment'!I$45&gt;0),IF(AND($A100&gt;='Fuel Equipment'!I$17,$A100&lt;='Fuel Equipment'!I$18),('Fuel Equipment'!I$19*'Fuel Equipment'!I$20*'Fuel Equipment'!I$21)*('Fuel Equipment'!I$45-'Fuel Equipment'!I$44)*
(VLOOKUP(IF('Fuel Equipment'!I$22=Report!$A$25,Report!$A$19,'Fuel Equipment'!I$22),Report!$A$18:$L$34,'Actual-CO2 Calculations'!$AK103,FALSE)),0),0)</f>
        <v>0</v>
      </c>
      <c r="J100" s="19">
        <f>IF(AND('Fuel Equipment'!J$44&gt;0,'Fuel Equipment'!J$45&gt;0),IF(AND($A100&gt;='Fuel Equipment'!J$17,$A100&lt;='Fuel Equipment'!J$18),('Fuel Equipment'!J$19*'Fuel Equipment'!J$20*'Fuel Equipment'!J$21)*('Fuel Equipment'!J$45-'Fuel Equipment'!J$44)*
(VLOOKUP(IF('Fuel Equipment'!J$22=Report!$A$25,Report!$A$19,'Fuel Equipment'!J$22),Report!$A$18:$L$34,'Actual-CO2 Calculations'!$AK103,FALSE)),0),0)</f>
        <v>0</v>
      </c>
      <c r="K100" s="19">
        <f>IF(AND('Fuel Equipment'!K$44&gt;0,'Fuel Equipment'!K$45&gt;0),IF(AND($A100&gt;='Fuel Equipment'!K$17,$A100&lt;='Fuel Equipment'!K$18),('Fuel Equipment'!K$19*'Fuel Equipment'!K$20*'Fuel Equipment'!K$21)*('Fuel Equipment'!K$45-'Fuel Equipment'!K$44)*
(VLOOKUP(IF('Fuel Equipment'!K$22=Report!$A$25,Report!$A$19,'Fuel Equipment'!K$22),Report!$A$18:$L$34,'Actual-CO2 Calculations'!$AK103,FALSE)),0),0)</f>
        <v>0</v>
      </c>
      <c r="L100" s="19">
        <f>IF(AND('Fuel Equipment'!L$44&gt;0,'Fuel Equipment'!L$45&gt;0),IF(AND($A100&gt;='Fuel Equipment'!L$17,$A100&lt;='Fuel Equipment'!L$18),('Fuel Equipment'!L$19*'Fuel Equipment'!L$20*'Fuel Equipment'!L$21)*('Fuel Equipment'!L$45-'Fuel Equipment'!L$44)*
(VLOOKUP(IF('Fuel Equipment'!L$22=Report!$A$25,Report!$A$19,'Fuel Equipment'!L$22),Report!$A$18:$L$34,'Actual-CO2 Calculations'!$AK103,FALSE)),0),0)</f>
        <v>0</v>
      </c>
      <c r="M100" s="19">
        <f>IF(AND('Fuel Equipment'!M$44&gt;0,'Fuel Equipment'!M$45&gt;0),IF(AND($A100&gt;='Fuel Equipment'!M$17,$A100&lt;='Fuel Equipment'!M$18),('Fuel Equipment'!M$19*'Fuel Equipment'!M$20*'Fuel Equipment'!M$21)*('Fuel Equipment'!M$45-'Fuel Equipment'!M$44)*
(VLOOKUP(IF('Fuel Equipment'!M$22=Report!$A$25,Report!$A$19,'Fuel Equipment'!M$22),Report!$A$18:$L$34,'Actual-CO2 Calculations'!$AK103,FALSE)),0),0)</f>
        <v>0</v>
      </c>
      <c r="N100" s="19">
        <f>IF(AND('Fuel Equipment'!N$44&gt;0,'Fuel Equipment'!N$45&gt;0),IF(AND($A100&gt;='Fuel Equipment'!N$17,$A100&lt;='Fuel Equipment'!N$18),('Fuel Equipment'!N$19*'Fuel Equipment'!N$20*'Fuel Equipment'!N$21)*('Fuel Equipment'!N$45-'Fuel Equipment'!N$44)*
(VLOOKUP(IF('Fuel Equipment'!N$22=Report!$A$25,Report!$A$19,'Fuel Equipment'!N$22),Report!$A$18:$L$34,'Actual-CO2 Calculations'!$AK103,FALSE)),0),0)</f>
        <v>0</v>
      </c>
      <c r="O100" s="19">
        <f>IF(AND('Fuel Equipment'!O$44&gt;0,'Fuel Equipment'!O$45&gt;0),IF(AND($A100&gt;='Fuel Equipment'!O$17,$A100&lt;='Fuel Equipment'!O$18),('Fuel Equipment'!O$19*'Fuel Equipment'!O$20*'Fuel Equipment'!O$21)*('Fuel Equipment'!O$45-'Fuel Equipment'!O$44)*
(VLOOKUP(IF('Fuel Equipment'!O$22=Report!$A$25,Report!$A$19,'Fuel Equipment'!O$22),Report!$A$18:$L$34,'Actual-CO2 Calculations'!$AK103,FALSE)),0),0)</f>
        <v>0</v>
      </c>
      <c r="P100" s="19">
        <f>IF(AND('Fuel Equipment'!P$44&gt;0,'Fuel Equipment'!P$45&gt;0),IF(AND($A100&gt;='Fuel Equipment'!P$17,$A100&lt;='Fuel Equipment'!P$18),('Fuel Equipment'!P$19*'Fuel Equipment'!P$20*'Fuel Equipment'!P$21)*('Fuel Equipment'!P$45-'Fuel Equipment'!P$44)*
(VLOOKUP(IF('Fuel Equipment'!P$22=Report!$A$25,Report!$A$19,'Fuel Equipment'!P$22),Report!$A$18:$L$34,'Actual-CO2 Calculations'!$AK103,FALSE)),0),0)</f>
        <v>0</v>
      </c>
      <c r="Q100" s="19">
        <f>IF(AND('Fuel Equipment'!Q$44&gt;0,'Fuel Equipment'!Q$45&gt;0),IF(AND($A100&gt;='Fuel Equipment'!Q$17,$A100&lt;='Fuel Equipment'!Q$18),('Fuel Equipment'!Q$19*'Fuel Equipment'!Q$20*'Fuel Equipment'!Q$21)*('Fuel Equipment'!Q$45-'Fuel Equipment'!Q$44)*
(VLOOKUP(IF('Fuel Equipment'!Q$22=Report!$A$25,Report!$A$19,'Fuel Equipment'!Q$22),Report!$A$18:$L$34,'Actual-CO2 Calculations'!$AK103,FALSE)),0),0)</f>
        <v>0</v>
      </c>
      <c r="R100" s="19">
        <f>IF(AND('Fuel Equipment'!R$44&gt;0,'Fuel Equipment'!R$45&gt;0),IF(AND($A100&gt;='Fuel Equipment'!R$17,$A100&lt;='Fuel Equipment'!R$18),('Fuel Equipment'!R$19*'Fuel Equipment'!R$20*'Fuel Equipment'!R$21)*('Fuel Equipment'!R$45-'Fuel Equipment'!R$44)*
(VLOOKUP(IF('Fuel Equipment'!R$22=Report!$A$25,Report!$A$19,'Fuel Equipment'!R$22),Report!$A$18:$L$34,'Actual-CO2 Calculations'!$AK103,FALSE)),0),0)</f>
        <v>0</v>
      </c>
      <c r="S100" s="19">
        <f>IF(AND('Fuel Equipment'!S$44&gt;0,'Fuel Equipment'!S$45&gt;0),IF(AND($A100&gt;='Fuel Equipment'!S$17,$A100&lt;='Fuel Equipment'!S$18),('Fuel Equipment'!S$19*'Fuel Equipment'!S$20*'Fuel Equipment'!S$21)*('Fuel Equipment'!S$45-'Fuel Equipment'!S$44)*
(VLOOKUP(IF('Fuel Equipment'!S$22=Report!$A$25,Report!$A$19,'Fuel Equipment'!S$22),Report!$A$18:$L$34,'Actual-CO2 Calculations'!$AK103,FALSE)),0),0)</f>
        <v>0</v>
      </c>
      <c r="V100" s="671">
        <f t="shared" si="1"/>
        <v>0</v>
      </c>
    </row>
    <row r="101" spans="1:22">
      <c r="A101" s="19" t="s">
        <v>982</v>
      </c>
      <c r="B101" s="19">
        <f>IF(AND('Fuel Equipment'!B$44&gt;0,'Fuel Equipment'!B$45&gt;0),IF(AND($A101&gt;='Fuel Equipment'!B$17,$A101&lt;='Fuel Equipment'!B$18),('Fuel Equipment'!B$19*'Fuel Equipment'!B$20*'Fuel Equipment'!B$21)*('Fuel Equipment'!B$45-'Fuel Equipment'!B$44)*
(VLOOKUP(IF('Fuel Equipment'!B$22=Report!$A$25,Report!$A$19,'Fuel Equipment'!B$22),Report!$A$18:$L$34,'Actual-CO2 Calculations'!$AK104,FALSE)),0),0)</f>
        <v>0</v>
      </c>
      <c r="C101" s="19">
        <f>IF(AND('Fuel Equipment'!C$44&gt;0,'Fuel Equipment'!C$45&gt;0),IF(AND($A101&gt;='Fuel Equipment'!C$17,$A101&lt;='Fuel Equipment'!C$18),('Fuel Equipment'!C$19*'Fuel Equipment'!C$20*'Fuel Equipment'!C$21)*('Fuel Equipment'!C$45-'Fuel Equipment'!C$44)*
(VLOOKUP(IF('Fuel Equipment'!C$22=Report!$A$25,Report!$A$19,'Fuel Equipment'!C$22),Report!$A$18:$L$34,'Actual-CO2 Calculations'!$AK104,FALSE)),0),0)</f>
        <v>0</v>
      </c>
      <c r="D101" s="19">
        <f>IF(AND('Fuel Equipment'!D$44&gt;0,'Fuel Equipment'!D$45&gt;0),IF(AND($A101&gt;='Fuel Equipment'!D$17,$A101&lt;='Fuel Equipment'!D$18),('Fuel Equipment'!D$19*'Fuel Equipment'!D$20*'Fuel Equipment'!D$21)*('Fuel Equipment'!D$45-'Fuel Equipment'!D$44)*
(VLOOKUP(IF('Fuel Equipment'!D$22=Report!$A$25,Report!$A$19,'Fuel Equipment'!D$22),Report!$A$18:$L$34,'Actual-CO2 Calculations'!$AK104,FALSE)),0),0)</f>
        <v>0</v>
      </c>
      <c r="E101" s="19">
        <f>IF(AND('Fuel Equipment'!E$44&gt;0,'Fuel Equipment'!E$45&gt;0),IF(AND($A101&gt;='Fuel Equipment'!E$17,$A101&lt;='Fuel Equipment'!E$18),('Fuel Equipment'!E$19*'Fuel Equipment'!E$20*'Fuel Equipment'!E$21)*('Fuel Equipment'!E$45-'Fuel Equipment'!E$44)*
(VLOOKUP(IF('Fuel Equipment'!E$22=Report!$A$25,Report!$A$19,'Fuel Equipment'!E$22),Report!$A$18:$L$34,'Actual-CO2 Calculations'!$AK104,FALSE)),0),0)</f>
        <v>0</v>
      </c>
      <c r="F101" s="19">
        <f>IF(AND('Fuel Equipment'!F$44&gt;0,'Fuel Equipment'!F$45&gt;0),IF(AND($A101&gt;='Fuel Equipment'!F$17,$A101&lt;='Fuel Equipment'!F$18),('Fuel Equipment'!F$19*'Fuel Equipment'!F$20*'Fuel Equipment'!F$21)*('Fuel Equipment'!F$45-'Fuel Equipment'!F$44)*
(VLOOKUP(IF('Fuel Equipment'!F$22=Report!$A$25,Report!$A$19,'Fuel Equipment'!F$22),Report!$A$18:$L$34,'Actual-CO2 Calculations'!$AK104,FALSE)),0),0)</f>
        <v>0</v>
      </c>
      <c r="G101" s="19">
        <f>IF(AND('Fuel Equipment'!G$44&gt;0,'Fuel Equipment'!G$45&gt;0),IF(AND($A101&gt;='Fuel Equipment'!G$17,$A101&lt;='Fuel Equipment'!G$18),('Fuel Equipment'!G$19*'Fuel Equipment'!G$20*'Fuel Equipment'!G$21)*('Fuel Equipment'!G$45-'Fuel Equipment'!G$44)*
(VLOOKUP(IF('Fuel Equipment'!G$22=Report!$A$25,Report!$A$19,'Fuel Equipment'!G$22),Report!$A$18:$L$34,'Actual-CO2 Calculations'!$AK104,FALSE)),0),0)</f>
        <v>0</v>
      </c>
      <c r="H101" s="19">
        <f>IF(AND('Fuel Equipment'!H$44&gt;0,'Fuel Equipment'!H$45&gt;0),IF(AND($A101&gt;='Fuel Equipment'!H$17,$A101&lt;='Fuel Equipment'!H$18),('Fuel Equipment'!H$19*'Fuel Equipment'!H$20*'Fuel Equipment'!H$21)*('Fuel Equipment'!H$45-'Fuel Equipment'!H$44)*
(VLOOKUP(IF('Fuel Equipment'!H$22=Report!$A$25,Report!$A$19,'Fuel Equipment'!H$22),Report!$A$18:$L$34,'Actual-CO2 Calculations'!$AK104,FALSE)),0),0)</f>
        <v>0</v>
      </c>
      <c r="I101" s="19">
        <f>IF(AND('Fuel Equipment'!I$44&gt;0,'Fuel Equipment'!I$45&gt;0),IF(AND($A101&gt;='Fuel Equipment'!I$17,$A101&lt;='Fuel Equipment'!I$18),('Fuel Equipment'!I$19*'Fuel Equipment'!I$20*'Fuel Equipment'!I$21)*('Fuel Equipment'!I$45-'Fuel Equipment'!I$44)*
(VLOOKUP(IF('Fuel Equipment'!I$22=Report!$A$25,Report!$A$19,'Fuel Equipment'!I$22),Report!$A$18:$L$34,'Actual-CO2 Calculations'!$AK104,FALSE)),0),0)</f>
        <v>0</v>
      </c>
      <c r="J101" s="19">
        <f>IF(AND('Fuel Equipment'!J$44&gt;0,'Fuel Equipment'!J$45&gt;0),IF(AND($A101&gt;='Fuel Equipment'!J$17,$A101&lt;='Fuel Equipment'!J$18),('Fuel Equipment'!J$19*'Fuel Equipment'!J$20*'Fuel Equipment'!J$21)*('Fuel Equipment'!J$45-'Fuel Equipment'!J$44)*
(VLOOKUP(IF('Fuel Equipment'!J$22=Report!$A$25,Report!$A$19,'Fuel Equipment'!J$22),Report!$A$18:$L$34,'Actual-CO2 Calculations'!$AK104,FALSE)),0),0)</f>
        <v>0</v>
      </c>
      <c r="K101" s="19">
        <f>IF(AND('Fuel Equipment'!K$44&gt;0,'Fuel Equipment'!K$45&gt;0),IF(AND($A101&gt;='Fuel Equipment'!K$17,$A101&lt;='Fuel Equipment'!K$18),('Fuel Equipment'!K$19*'Fuel Equipment'!K$20*'Fuel Equipment'!K$21)*('Fuel Equipment'!K$45-'Fuel Equipment'!K$44)*
(VLOOKUP(IF('Fuel Equipment'!K$22=Report!$A$25,Report!$A$19,'Fuel Equipment'!K$22),Report!$A$18:$L$34,'Actual-CO2 Calculations'!$AK104,FALSE)),0),0)</f>
        <v>0</v>
      </c>
      <c r="L101" s="19">
        <f>IF(AND('Fuel Equipment'!L$44&gt;0,'Fuel Equipment'!L$45&gt;0),IF(AND($A101&gt;='Fuel Equipment'!L$17,$A101&lt;='Fuel Equipment'!L$18),('Fuel Equipment'!L$19*'Fuel Equipment'!L$20*'Fuel Equipment'!L$21)*('Fuel Equipment'!L$45-'Fuel Equipment'!L$44)*
(VLOOKUP(IF('Fuel Equipment'!L$22=Report!$A$25,Report!$A$19,'Fuel Equipment'!L$22),Report!$A$18:$L$34,'Actual-CO2 Calculations'!$AK104,FALSE)),0),0)</f>
        <v>0</v>
      </c>
      <c r="M101" s="19">
        <f>IF(AND('Fuel Equipment'!M$44&gt;0,'Fuel Equipment'!M$45&gt;0),IF(AND($A101&gt;='Fuel Equipment'!M$17,$A101&lt;='Fuel Equipment'!M$18),('Fuel Equipment'!M$19*'Fuel Equipment'!M$20*'Fuel Equipment'!M$21)*('Fuel Equipment'!M$45-'Fuel Equipment'!M$44)*
(VLOOKUP(IF('Fuel Equipment'!M$22=Report!$A$25,Report!$A$19,'Fuel Equipment'!M$22),Report!$A$18:$L$34,'Actual-CO2 Calculations'!$AK104,FALSE)),0),0)</f>
        <v>0</v>
      </c>
      <c r="N101" s="19">
        <f>IF(AND('Fuel Equipment'!N$44&gt;0,'Fuel Equipment'!N$45&gt;0),IF(AND($A101&gt;='Fuel Equipment'!N$17,$A101&lt;='Fuel Equipment'!N$18),('Fuel Equipment'!N$19*'Fuel Equipment'!N$20*'Fuel Equipment'!N$21)*('Fuel Equipment'!N$45-'Fuel Equipment'!N$44)*
(VLOOKUP(IF('Fuel Equipment'!N$22=Report!$A$25,Report!$A$19,'Fuel Equipment'!N$22),Report!$A$18:$L$34,'Actual-CO2 Calculations'!$AK104,FALSE)),0),0)</f>
        <v>0</v>
      </c>
      <c r="O101" s="19">
        <f>IF(AND('Fuel Equipment'!O$44&gt;0,'Fuel Equipment'!O$45&gt;0),IF(AND($A101&gt;='Fuel Equipment'!O$17,$A101&lt;='Fuel Equipment'!O$18),('Fuel Equipment'!O$19*'Fuel Equipment'!O$20*'Fuel Equipment'!O$21)*('Fuel Equipment'!O$45-'Fuel Equipment'!O$44)*
(VLOOKUP(IF('Fuel Equipment'!O$22=Report!$A$25,Report!$A$19,'Fuel Equipment'!O$22),Report!$A$18:$L$34,'Actual-CO2 Calculations'!$AK104,FALSE)),0),0)</f>
        <v>0</v>
      </c>
      <c r="P101" s="19">
        <f>IF(AND('Fuel Equipment'!P$44&gt;0,'Fuel Equipment'!P$45&gt;0),IF(AND($A101&gt;='Fuel Equipment'!P$17,$A101&lt;='Fuel Equipment'!P$18),('Fuel Equipment'!P$19*'Fuel Equipment'!P$20*'Fuel Equipment'!P$21)*('Fuel Equipment'!P$45-'Fuel Equipment'!P$44)*
(VLOOKUP(IF('Fuel Equipment'!P$22=Report!$A$25,Report!$A$19,'Fuel Equipment'!P$22),Report!$A$18:$L$34,'Actual-CO2 Calculations'!$AK104,FALSE)),0),0)</f>
        <v>0</v>
      </c>
      <c r="Q101" s="19">
        <f>IF(AND('Fuel Equipment'!Q$44&gt;0,'Fuel Equipment'!Q$45&gt;0),IF(AND($A101&gt;='Fuel Equipment'!Q$17,$A101&lt;='Fuel Equipment'!Q$18),('Fuel Equipment'!Q$19*'Fuel Equipment'!Q$20*'Fuel Equipment'!Q$21)*('Fuel Equipment'!Q$45-'Fuel Equipment'!Q$44)*
(VLOOKUP(IF('Fuel Equipment'!Q$22=Report!$A$25,Report!$A$19,'Fuel Equipment'!Q$22),Report!$A$18:$L$34,'Actual-CO2 Calculations'!$AK104,FALSE)),0),0)</f>
        <v>0</v>
      </c>
      <c r="R101" s="19">
        <f>IF(AND('Fuel Equipment'!R$44&gt;0,'Fuel Equipment'!R$45&gt;0),IF(AND($A101&gt;='Fuel Equipment'!R$17,$A101&lt;='Fuel Equipment'!R$18),('Fuel Equipment'!R$19*'Fuel Equipment'!R$20*'Fuel Equipment'!R$21)*('Fuel Equipment'!R$45-'Fuel Equipment'!R$44)*
(VLOOKUP(IF('Fuel Equipment'!R$22=Report!$A$25,Report!$A$19,'Fuel Equipment'!R$22),Report!$A$18:$L$34,'Actual-CO2 Calculations'!$AK104,FALSE)),0),0)</f>
        <v>0</v>
      </c>
      <c r="S101" s="19">
        <f>IF(AND('Fuel Equipment'!S$44&gt;0,'Fuel Equipment'!S$45&gt;0),IF(AND($A101&gt;='Fuel Equipment'!S$17,$A101&lt;='Fuel Equipment'!S$18),('Fuel Equipment'!S$19*'Fuel Equipment'!S$20*'Fuel Equipment'!S$21)*('Fuel Equipment'!S$45-'Fuel Equipment'!S$44)*
(VLOOKUP(IF('Fuel Equipment'!S$22=Report!$A$25,Report!$A$19,'Fuel Equipment'!S$22),Report!$A$18:$L$34,'Actual-CO2 Calculations'!$AK104,FALSE)),0),0)</f>
        <v>0</v>
      </c>
      <c r="V101" s="671">
        <f t="shared" si="1"/>
        <v>0</v>
      </c>
    </row>
    <row r="102" spans="1:22">
      <c r="A102" s="19" t="s">
        <v>983</v>
      </c>
      <c r="B102" s="19">
        <f>IF(AND('Fuel Equipment'!B$44&gt;0,'Fuel Equipment'!B$45&gt;0),IF(AND($A102&gt;='Fuel Equipment'!B$17,$A102&lt;='Fuel Equipment'!B$18),('Fuel Equipment'!B$19*'Fuel Equipment'!B$20*'Fuel Equipment'!B$21)*('Fuel Equipment'!B$45-'Fuel Equipment'!B$44)*
(VLOOKUP(IF('Fuel Equipment'!B$22=Report!$A$25,Report!$A$19,'Fuel Equipment'!B$22),Report!$A$18:$L$34,'Actual-CO2 Calculations'!$AK105,FALSE)),0),0)</f>
        <v>0</v>
      </c>
      <c r="C102" s="19">
        <f>IF(AND('Fuel Equipment'!C$44&gt;0,'Fuel Equipment'!C$45&gt;0),IF(AND($A102&gt;='Fuel Equipment'!C$17,$A102&lt;='Fuel Equipment'!C$18),('Fuel Equipment'!C$19*'Fuel Equipment'!C$20*'Fuel Equipment'!C$21)*('Fuel Equipment'!C$45-'Fuel Equipment'!C$44)*
(VLOOKUP(IF('Fuel Equipment'!C$22=Report!$A$25,Report!$A$19,'Fuel Equipment'!C$22),Report!$A$18:$L$34,'Actual-CO2 Calculations'!$AK105,FALSE)),0),0)</f>
        <v>0</v>
      </c>
      <c r="D102" s="19">
        <f>IF(AND('Fuel Equipment'!D$44&gt;0,'Fuel Equipment'!D$45&gt;0),IF(AND($A102&gt;='Fuel Equipment'!D$17,$A102&lt;='Fuel Equipment'!D$18),('Fuel Equipment'!D$19*'Fuel Equipment'!D$20*'Fuel Equipment'!D$21)*('Fuel Equipment'!D$45-'Fuel Equipment'!D$44)*
(VLOOKUP(IF('Fuel Equipment'!D$22=Report!$A$25,Report!$A$19,'Fuel Equipment'!D$22),Report!$A$18:$L$34,'Actual-CO2 Calculations'!$AK105,FALSE)),0),0)</f>
        <v>0</v>
      </c>
      <c r="E102" s="19">
        <f>IF(AND('Fuel Equipment'!E$44&gt;0,'Fuel Equipment'!E$45&gt;0),IF(AND($A102&gt;='Fuel Equipment'!E$17,$A102&lt;='Fuel Equipment'!E$18),('Fuel Equipment'!E$19*'Fuel Equipment'!E$20*'Fuel Equipment'!E$21)*('Fuel Equipment'!E$45-'Fuel Equipment'!E$44)*
(VLOOKUP(IF('Fuel Equipment'!E$22=Report!$A$25,Report!$A$19,'Fuel Equipment'!E$22),Report!$A$18:$L$34,'Actual-CO2 Calculations'!$AK105,FALSE)),0),0)</f>
        <v>0</v>
      </c>
      <c r="F102" s="19">
        <f>IF(AND('Fuel Equipment'!F$44&gt;0,'Fuel Equipment'!F$45&gt;0),IF(AND($A102&gt;='Fuel Equipment'!F$17,$A102&lt;='Fuel Equipment'!F$18),('Fuel Equipment'!F$19*'Fuel Equipment'!F$20*'Fuel Equipment'!F$21)*('Fuel Equipment'!F$45-'Fuel Equipment'!F$44)*
(VLOOKUP(IF('Fuel Equipment'!F$22=Report!$A$25,Report!$A$19,'Fuel Equipment'!F$22),Report!$A$18:$L$34,'Actual-CO2 Calculations'!$AK105,FALSE)),0),0)</f>
        <v>0</v>
      </c>
      <c r="G102" s="19">
        <f>IF(AND('Fuel Equipment'!G$44&gt;0,'Fuel Equipment'!G$45&gt;0),IF(AND($A102&gt;='Fuel Equipment'!G$17,$A102&lt;='Fuel Equipment'!G$18),('Fuel Equipment'!G$19*'Fuel Equipment'!G$20*'Fuel Equipment'!G$21)*('Fuel Equipment'!G$45-'Fuel Equipment'!G$44)*
(VLOOKUP(IF('Fuel Equipment'!G$22=Report!$A$25,Report!$A$19,'Fuel Equipment'!G$22),Report!$A$18:$L$34,'Actual-CO2 Calculations'!$AK105,FALSE)),0),0)</f>
        <v>0</v>
      </c>
      <c r="H102" s="19">
        <f>IF(AND('Fuel Equipment'!H$44&gt;0,'Fuel Equipment'!H$45&gt;0),IF(AND($A102&gt;='Fuel Equipment'!H$17,$A102&lt;='Fuel Equipment'!H$18),('Fuel Equipment'!H$19*'Fuel Equipment'!H$20*'Fuel Equipment'!H$21)*('Fuel Equipment'!H$45-'Fuel Equipment'!H$44)*
(VLOOKUP(IF('Fuel Equipment'!H$22=Report!$A$25,Report!$A$19,'Fuel Equipment'!H$22),Report!$A$18:$L$34,'Actual-CO2 Calculations'!$AK105,FALSE)),0),0)</f>
        <v>0</v>
      </c>
      <c r="I102" s="19">
        <f>IF(AND('Fuel Equipment'!I$44&gt;0,'Fuel Equipment'!I$45&gt;0),IF(AND($A102&gt;='Fuel Equipment'!I$17,$A102&lt;='Fuel Equipment'!I$18),('Fuel Equipment'!I$19*'Fuel Equipment'!I$20*'Fuel Equipment'!I$21)*('Fuel Equipment'!I$45-'Fuel Equipment'!I$44)*
(VLOOKUP(IF('Fuel Equipment'!I$22=Report!$A$25,Report!$A$19,'Fuel Equipment'!I$22),Report!$A$18:$L$34,'Actual-CO2 Calculations'!$AK105,FALSE)),0),0)</f>
        <v>0</v>
      </c>
      <c r="J102" s="19">
        <f>IF(AND('Fuel Equipment'!J$44&gt;0,'Fuel Equipment'!J$45&gt;0),IF(AND($A102&gt;='Fuel Equipment'!J$17,$A102&lt;='Fuel Equipment'!J$18),('Fuel Equipment'!J$19*'Fuel Equipment'!J$20*'Fuel Equipment'!J$21)*('Fuel Equipment'!J$45-'Fuel Equipment'!J$44)*
(VLOOKUP(IF('Fuel Equipment'!J$22=Report!$A$25,Report!$A$19,'Fuel Equipment'!J$22),Report!$A$18:$L$34,'Actual-CO2 Calculations'!$AK105,FALSE)),0),0)</f>
        <v>0</v>
      </c>
      <c r="K102" s="19">
        <f>IF(AND('Fuel Equipment'!K$44&gt;0,'Fuel Equipment'!K$45&gt;0),IF(AND($A102&gt;='Fuel Equipment'!K$17,$A102&lt;='Fuel Equipment'!K$18),('Fuel Equipment'!K$19*'Fuel Equipment'!K$20*'Fuel Equipment'!K$21)*('Fuel Equipment'!K$45-'Fuel Equipment'!K$44)*
(VLOOKUP(IF('Fuel Equipment'!K$22=Report!$A$25,Report!$A$19,'Fuel Equipment'!K$22),Report!$A$18:$L$34,'Actual-CO2 Calculations'!$AK105,FALSE)),0),0)</f>
        <v>0</v>
      </c>
      <c r="L102" s="19">
        <f>IF(AND('Fuel Equipment'!L$44&gt;0,'Fuel Equipment'!L$45&gt;0),IF(AND($A102&gt;='Fuel Equipment'!L$17,$A102&lt;='Fuel Equipment'!L$18),('Fuel Equipment'!L$19*'Fuel Equipment'!L$20*'Fuel Equipment'!L$21)*('Fuel Equipment'!L$45-'Fuel Equipment'!L$44)*
(VLOOKUP(IF('Fuel Equipment'!L$22=Report!$A$25,Report!$A$19,'Fuel Equipment'!L$22),Report!$A$18:$L$34,'Actual-CO2 Calculations'!$AK105,FALSE)),0),0)</f>
        <v>0</v>
      </c>
      <c r="M102" s="19">
        <f>IF(AND('Fuel Equipment'!M$44&gt;0,'Fuel Equipment'!M$45&gt;0),IF(AND($A102&gt;='Fuel Equipment'!M$17,$A102&lt;='Fuel Equipment'!M$18),('Fuel Equipment'!M$19*'Fuel Equipment'!M$20*'Fuel Equipment'!M$21)*('Fuel Equipment'!M$45-'Fuel Equipment'!M$44)*
(VLOOKUP(IF('Fuel Equipment'!M$22=Report!$A$25,Report!$A$19,'Fuel Equipment'!M$22),Report!$A$18:$L$34,'Actual-CO2 Calculations'!$AK105,FALSE)),0),0)</f>
        <v>0</v>
      </c>
      <c r="N102" s="19">
        <f>IF(AND('Fuel Equipment'!N$44&gt;0,'Fuel Equipment'!N$45&gt;0),IF(AND($A102&gt;='Fuel Equipment'!N$17,$A102&lt;='Fuel Equipment'!N$18),('Fuel Equipment'!N$19*'Fuel Equipment'!N$20*'Fuel Equipment'!N$21)*('Fuel Equipment'!N$45-'Fuel Equipment'!N$44)*
(VLOOKUP(IF('Fuel Equipment'!N$22=Report!$A$25,Report!$A$19,'Fuel Equipment'!N$22),Report!$A$18:$L$34,'Actual-CO2 Calculations'!$AK105,FALSE)),0),0)</f>
        <v>0</v>
      </c>
      <c r="O102" s="19">
        <f>IF(AND('Fuel Equipment'!O$44&gt;0,'Fuel Equipment'!O$45&gt;0),IF(AND($A102&gt;='Fuel Equipment'!O$17,$A102&lt;='Fuel Equipment'!O$18),('Fuel Equipment'!O$19*'Fuel Equipment'!O$20*'Fuel Equipment'!O$21)*('Fuel Equipment'!O$45-'Fuel Equipment'!O$44)*
(VLOOKUP(IF('Fuel Equipment'!O$22=Report!$A$25,Report!$A$19,'Fuel Equipment'!O$22),Report!$A$18:$L$34,'Actual-CO2 Calculations'!$AK105,FALSE)),0),0)</f>
        <v>0</v>
      </c>
      <c r="P102" s="19">
        <f>IF(AND('Fuel Equipment'!P$44&gt;0,'Fuel Equipment'!P$45&gt;0),IF(AND($A102&gt;='Fuel Equipment'!P$17,$A102&lt;='Fuel Equipment'!P$18),('Fuel Equipment'!P$19*'Fuel Equipment'!P$20*'Fuel Equipment'!P$21)*('Fuel Equipment'!P$45-'Fuel Equipment'!P$44)*
(VLOOKUP(IF('Fuel Equipment'!P$22=Report!$A$25,Report!$A$19,'Fuel Equipment'!P$22),Report!$A$18:$L$34,'Actual-CO2 Calculations'!$AK105,FALSE)),0),0)</f>
        <v>0</v>
      </c>
      <c r="Q102" s="19">
        <f>IF(AND('Fuel Equipment'!Q$44&gt;0,'Fuel Equipment'!Q$45&gt;0),IF(AND($A102&gt;='Fuel Equipment'!Q$17,$A102&lt;='Fuel Equipment'!Q$18),('Fuel Equipment'!Q$19*'Fuel Equipment'!Q$20*'Fuel Equipment'!Q$21)*('Fuel Equipment'!Q$45-'Fuel Equipment'!Q$44)*
(VLOOKUP(IF('Fuel Equipment'!Q$22=Report!$A$25,Report!$A$19,'Fuel Equipment'!Q$22),Report!$A$18:$L$34,'Actual-CO2 Calculations'!$AK105,FALSE)),0),0)</f>
        <v>0</v>
      </c>
      <c r="R102" s="19">
        <f>IF(AND('Fuel Equipment'!R$44&gt;0,'Fuel Equipment'!R$45&gt;0),IF(AND($A102&gt;='Fuel Equipment'!R$17,$A102&lt;='Fuel Equipment'!R$18),('Fuel Equipment'!R$19*'Fuel Equipment'!R$20*'Fuel Equipment'!R$21)*('Fuel Equipment'!R$45-'Fuel Equipment'!R$44)*
(VLOOKUP(IF('Fuel Equipment'!R$22=Report!$A$25,Report!$A$19,'Fuel Equipment'!R$22),Report!$A$18:$L$34,'Actual-CO2 Calculations'!$AK105,FALSE)),0),0)</f>
        <v>0</v>
      </c>
      <c r="S102" s="19">
        <f>IF(AND('Fuel Equipment'!S$44&gt;0,'Fuel Equipment'!S$45&gt;0),IF(AND($A102&gt;='Fuel Equipment'!S$17,$A102&lt;='Fuel Equipment'!S$18),('Fuel Equipment'!S$19*'Fuel Equipment'!S$20*'Fuel Equipment'!S$21)*('Fuel Equipment'!S$45-'Fuel Equipment'!S$44)*
(VLOOKUP(IF('Fuel Equipment'!S$22=Report!$A$25,Report!$A$19,'Fuel Equipment'!S$22),Report!$A$18:$L$34,'Actual-CO2 Calculations'!$AK105,FALSE)),0),0)</f>
        <v>0</v>
      </c>
      <c r="V102" s="671">
        <f t="shared" si="1"/>
        <v>0</v>
      </c>
    </row>
    <row r="103" spans="1:22">
      <c r="A103" s="19" t="s">
        <v>984</v>
      </c>
      <c r="B103" s="19">
        <f>IF(AND('Fuel Equipment'!B$44&gt;0,'Fuel Equipment'!B$45&gt;0),IF(AND($A103&gt;='Fuel Equipment'!B$17,$A103&lt;='Fuel Equipment'!B$18),('Fuel Equipment'!B$19*'Fuel Equipment'!B$20*'Fuel Equipment'!B$21)*('Fuel Equipment'!B$45-'Fuel Equipment'!B$44)*
(VLOOKUP(IF('Fuel Equipment'!B$22=Report!$A$25,Report!$A$19,'Fuel Equipment'!B$22),Report!$A$18:$L$34,'Actual-CO2 Calculations'!$AK106,FALSE)),0),0)</f>
        <v>0</v>
      </c>
      <c r="C103" s="19">
        <f>IF(AND('Fuel Equipment'!C$44&gt;0,'Fuel Equipment'!C$45&gt;0),IF(AND($A103&gt;='Fuel Equipment'!C$17,$A103&lt;='Fuel Equipment'!C$18),('Fuel Equipment'!C$19*'Fuel Equipment'!C$20*'Fuel Equipment'!C$21)*('Fuel Equipment'!C$45-'Fuel Equipment'!C$44)*
(VLOOKUP(IF('Fuel Equipment'!C$22=Report!$A$25,Report!$A$19,'Fuel Equipment'!C$22),Report!$A$18:$L$34,'Actual-CO2 Calculations'!$AK106,FALSE)),0),0)</f>
        <v>0</v>
      </c>
      <c r="D103" s="19">
        <f>IF(AND('Fuel Equipment'!D$44&gt;0,'Fuel Equipment'!D$45&gt;0),IF(AND($A103&gt;='Fuel Equipment'!D$17,$A103&lt;='Fuel Equipment'!D$18),('Fuel Equipment'!D$19*'Fuel Equipment'!D$20*'Fuel Equipment'!D$21)*('Fuel Equipment'!D$45-'Fuel Equipment'!D$44)*
(VLOOKUP(IF('Fuel Equipment'!D$22=Report!$A$25,Report!$A$19,'Fuel Equipment'!D$22),Report!$A$18:$L$34,'Actual-CO2 Calculations'!$AK106,FALSE)),0),0)</f>
        <v>0</v>
      </c>
      <c r="E103" s="19">
        <f>IF(AND('Fuel Equipment'!E$44&gt;0,'Fuel Equipment'!E$45&gt;0),IF(AND($A103&gt;='Fuel Equipment'!E$17,$A103&lt;='Fuel Equipment'!E$18),('Fuel Equipment'!E$19*'Fuel Equipment'!E$20*'Fuel Equipment'!E$21)*('Fuel Equipment'!E$45-'Fuel Equipment'!E$44)*
(VLOOKUP(IF('Fuel Equipment'!E$22=Report!$A$25,Report!$A$19,'Fuel Equipment'!E$22),Report!$A$18:$L$34,'Actual-CO2 Calculations'!$AK106,FALSE)),0),0)</f>
        <v>0</v>
      </c>
      <c r="F103" s="19">
        <f>IF(AND('Fuel Equipment'!F$44&gt;0,'Fuel Equipment'!F$45&gt;0),IF(AND($A103&gt;='Fuel Equipment'!F$17,$A103&lt;='Fuel Equipment'!F$18),('Fuel Equipment'!F$19*'Fuel Equipment'!F$20*'Fuel Equipment'!F$21)*('Fuel Equipment'!F$45-'Fuel Equipment'!F$44)*
(VLOOKUP(IF('Fuel Equipment'!F$22=Report!$A$25,Report!$A$19,'Fuel Equipment'!F$22),Report!$A$18:$L$34,'Actual-CO2 Calculations'!$AK106,FALSE)),0),0)</f>
        <v>0</v>
      </c>
      <c r="G103" s="19">
        <f>IF(AND('Fuel Equipment'!G$44&gt;0,'Fuel Equipment'!G$45&gt;0),IF(AND($A103&gt;='Fuel Equipment'!G$17,$A103&lt;='Fuel Equipment'!G$18),('Fuel Equipment'!G$19*'Fuel Equipment'!G$20*'Fuel Equipment'!G$21)*('Fuel Equipment'!G$45-'Fuel Equipment'!G$44)*
(VLOOKUP(IF('Fuel Equipment'!G$22=Report!$A$25,Report!$A$19,'Fuel Equipment'!G$22),Report!$A$18:$L$34,'Actual-CO2 Calculations'!$AK106,FALSE)),0),0)</f>
        <v>0</v>
      </c>
      <c r="H103" s="19">
        <f>IF(AND('Fuel Equipment'!H$44&gt;0,'Fuel Equipment'!H$45&gt;0),IF(AND($A103&gt;='Fuel Equipment'!H$17,$A103&lt;='Fuel Equipment'!H$18),('Fuel Equipment'!H$19*'Fuel Equipment'!H$20*'Fuel Equipment'!H$21)*('Fuel Equipment'!H$45-'Fuel Equipment'!H$44)*
(VLOOKUP(IF('Fuel Equipment'!H$22=Report!$A$25,Report!$A$19,'Fuel Equipment'!H$22),Report!$A$18:$L$34,'Actual-CO2 Calculations'!$AK106,FALSE)),0),0)</f>
        <v>0</v>
      </c>
      <c r="I103" s="19">
        <f>IF(AND('Fuel Equipment'!I$44&gt;0,'Fuel Equipment'!I$45&gt;0),IF(AND($A103&gt;='Fuel Equipment'!I$17,$A103&lt;='Fuel Equipment'!I$18),('Fuel Equipment'!I$19*'Fuel Equipment'!I$20*'Fuel Equipment'!I$21)*('Fuel Equipment'!I$45-'Fuel Equipment'!I$44)*
(VLOOKUP(IF('Fuel Equipment'!I$22=Report!$A$25,Report!$A$19,'Fuel Equipment'!I$22),Report!$A$18:$L$34,'Actual-CO2 Calculations'!$AK106,FALSE)),0),0)</f>
        <v>0</v>
      </c>
      <c r="J103" s="19">
        <f>IF(AND('Fuel Equipment'!J$44&gt;0,'Fuel Equipment'!J$45&gt;0),IF(AND($A103&gt;='Fuel Equipment'!J$17,$A103&lt;='Fuel Equipment'!J$18),('Fuel Equipment'!J$19*'Fuel Equipment'!J$20*'Fuel Equipment'!J$21)*('Fuel Equipment'!J$45-'Fuel Equipment'!J$44)*
(VLOOKUP(IF('Fuel Equipment'!J$22=Report!$A$25,Report!$A$19,'Fuel Equipment'!J$22),Report!$A$18:$L$34,'Actual-CO2 Calculations'!$AK106,FALSE)),0),0)</f>
        <v>0</v>
      </c>
      <c r="K103" s="19">
        <f>IF(AND('Fuel Equipment'!K$44&gt;0,'Fuel Equipment'!K$45&gt;0),IF(AND($A103&gt;='Fuel Equipment'!K$17,$A103&lt;='Fuel Equipment'!K$18),('Fuel Equipment'!K$19*'Fuel Equipment'!K$20*'Fuel Equipment'!K$21)*('Fuel Equipment'!K$45-'Fuel Equipment'!K$44)*
(VLOOKUP(IF('Fuel Equipment'!K$22=Report!$A$25,Report!$A$19,'Fuel Equipment'!K$22),Report!$A$18:$L$34,'Actual-CO2 Calculations'!$AK106,FALSE)),0),0)</f>
        <v>0</v>
      </c>
      <c r="L103" s="19">
        <f>IF(AND('Fuel Equipment'!L$44&gt;0,'Fuel Equipment'!L$45&gt;0),IF(AND($A103&gt;='Fuel Equipment'!L$17,$A103&lt;='Fuel Equipment'!L$18),('Fuel Equipment'!L$19*'Fuel Equipment'!L$20*'Fuel Equipment'!L$21)*('Fuel Equipment'!L$45-'Fuel Equipment'!L$44)*
(VLOOKUP(IF('Fuel Equipment'!L$22=Report!$A$25,Report!$A$19,'Fuel Equipment'!L$22),Report!$A$18:$L$34,'Actual-CO2 Calculations'!$AK106,FALSE)),0),0)</f>
        <v>0</v>
      </c>
      <c r="M103" s="19">
        <f>IF(AND('Fuel Equipment'!M$44&gt;0,'Fuel Equipment'!M$45&gt;0),IF(AND($A103&gt;='Fuel Equipment'!M$17,$A103&lt;='Fuel Equipment'!M$18),('Fuel Equipment'!M$19*'Fuel Equipment'!M$20*'Fuel Equipment'!M$21)*('Fuel Equipment'!M$45-'Fuel Equipment'!M$44)*
(VLOOKUP(IF('Fuel Equipment'!M$22=Report!$A$25,Report!$A$19,'Fuel Equipment'!M$22),Report!$A$18:$L$34,'Actual-CO2 Calculations'!$AK106,FALSE)),0),0)</f>
        <v>0</v>
      </c>
      <c r="N103" s="19">
        <f>IF(AND('Fuel Equipment'!N$44&gt;0,'Fuel Equipment'!N$45&gt;0),IF(AND($A103&gt;='Fuel Equipment'!N$17,$A103&lt;='Fuel Equipment'!N$18),('Fuel Equipment'!N$19*'Fuel Equipment'!N$20*'Fuel Equipment'!N$21)*('Fuel Equipment'!N$45-'Fuel Equipment'!N$44)*
(VLOOKUP(IF('Fuel Equipment'!N$22=Report!$A$25,Report!$A$19,'Fuel Equipment'!N$22),Report!$A$18:$L$34,'Actual-CO2 Calculations'!$AK106,FALSE)),0),0)</f>
        <v>0</v>
      </c>
      <c r="O103" s="19">
        <f>IF(AND('Fuel Equipment'!O$44&gt;0,'Fuel Equipment'!O$45&gt;0),IF(AND($A103&gt;='Fuel Equipment'!O$17,$A103&lt;='Fuel Equipment'!O$18),('Fuel Equipment'!O$19*'Fuel Equipment'!O$20*'Fuel Equipment'!O$21)*('Fuel Equipment'!O$45-'Fuel Equipment'!O$44)*
(VLOOKUP(IF('Fuel Equipment'!O$22=Report!$A$25,Report!$A$19,'Fuel Equipment'!O$22),Report!$A$18:$L$34,'Actual-CO2 Calculations'!$AK106,FALSE)),0),0)</f>
        <v>0</v>
      </c>
      <c r="P103" s="19">
        <f>IF(AND('Fuel Equipment'!P$44&gt;0,'Fuel Equipment'!P$45&gt;0),IF(AND($A103&gt;='Fuel Equipment'!P$17,$A103&lt;='Fuel Equipment'!P$18),('Fuel Equipment'!P$19*'Fuel Equipment'!P$20*'Fuel Equipment'!P$21)*('Fuel Equipment'!P$45-'Fuel Equipment'!P$44)*
(VLOOKUP(IF('Fuel Equipment'!P$22=Report!$A$25,Report!$A$19,'Fuel Equipment'!P$22),Report!$A$18:$L$34,'Actual-CO2 Calculations'!$AK106,FALSE)),0),0)</f>
        <v>0</v>
      </c>
      <c r="Q103" s="19">
        <f>IF(AND('Fuel Equipment'!Q$44&gt;0,'Fuel Equipment'!Q$45&gt;0),IF(AND($A103&gt;='Fuel Equipment'!Q$17,$A103&lt;='Fuel Equipment'!Q$18),('Fuel Equipment'!Q$19*'Fuel Equipment'!Q$20*'Fuel Equipment'!Q$21)*('Fuel Equipment'!Q$45-'Fuel Equipment'!Q$44)*
(VLOOKUP(IF('Fuel Equipment'!Q$22=Report!$A$25,Report!$A$19,'Fuel Equipment'!Q$22),Report!$A$18:$L$34,'Actual-CO2 Calculations'!$AK106,FALSE)),0),0)</f>
        <v>0</v>
      </c>
      <c r="R103" s="19">
        <f>IF(AND('Fuel Equipment'!R$44&gt;0,'Fuel Equipment'!R$45&gt;0),IF(AND($A103&gt;='Fuel Equipment'!R$17,$A103&lt;='Fuel Equipment'!R$18),('Fuel Equipment'!R$19*'Fuel Equipment'!R$20*'Fuel Equipment'!R$21)*('Fuel Equipment'!R$45-'Fuel Equipment'!R$44)*
(VLOOKUP(IF('Fuel Equipment'!R$22=Report!$A$25,Report!$A$19,'Fuel Equipment'!R$22),Report!$A$18:$L$34,'Actual-CO2 Calculations'!$AK106,FALSE)),0),0)</f>
        <v>0</v>
      </c>
      <c r="S103" s="19">
        <f>IF(AND('Fuel Equipment'!S$44&gt;0,'Fuel Equipment'!S$45&gt;0),IF(AND($A103&gt;='Fuel Equipment'!S$17,$A103&lt;='Fuel Equipment'!S$18),('Fuel Equipment'!S$19*'Fuel Equipment'!S$20*'Fuel Equipment'!S$21)*('Fuel Equipment'!S$45-'Fuel Equipment'!S$44)*
(VLOOKUP(IF('Fuel Equipment'!S$22=Report!$A$25,Report!$A$19,'Fuel Equipment'!S$22),Report!$A$18:$L$34,'Actual-CO2 Calculations'!$AK106,FALSE)),0),0)</f>
        <v>0</v>
      </c>
      <c r="V103" s="671">
        <f t="shared" si="1"/>
        <v>0</v>
      </c>
    </row>
    <row r="104" spans="1:22">
      <c r="A104" s="19" t="s">
        <v>985</v>
      </c>
      <c r="B104" s="19">
        <f>IF(AND('Fuel Equipment'!B$44&gt;0,'Fuel Equipment'!B$45&gt;0),IF(AND($A104&gt;='Fuel Equipment'!B$17,$A104&lt;='Fuel Equipment'!B$18),('Fuel Equipment'!B$19*'Fuel Equipment'!B$20*'Fuel Equipment'!B$21)*('Fuel Equipment'!B$45-'Fuel Equipment'!B$44)*
(VLOOKUP(IF('Fuel Equipment'!B$22=Report!$A$25,Report!$A$19,'Fuel Equipment'!B$22),Report!$A$18:$L$34,'Actual-CO2 Calculations'!$AK107,FALSE)),0),0)</f>
        <v>0</v>
      </c>
      <c r="C104" s="19">
        <f>IF(AND('Fuel Equipment'!C$44&gt;0,'Fuel Equipment'!C$45&gt;0),IF(AND($A104&gt;='Fuel Equipment'!C$17,$A104&lt;='Fuel Equipment'!C$18),('Fuel Equipment'!C$19*'Fuel Equipment'!C$20*'Fuel Equipment'!C$21)*('Fuel Equipment'!C$45-'Fuel Equipment'!C$44)*
(VLOOKUP(IF('Fuel Equipment'!C$22=Report!$A$25,Report!$A$19,'Fuel Equipment'!C$22),Report!$A$18:$L$34,'Actual-CO2 Calculations'!$AK107,FALSE)),0),0)</f>
        <v>0</v>
      </c>
      <c r="D104" s="19">
        <f>IF(AND('Fuel Equipment'!D$44&gt;0,'Fuel Equipment'!D$45&gt;0),IF(AND($A104&gt;='Fuel Equipment'!D$17,$A104&lt;='Fuel Equipment'!D$18),('Fuel Equipment'!D$19*'Fuel Equipment'!D$20*'Fuel Equipment'!D$21)*('Fuel Equipment'!D$45-'Fuel Equipment'!D$44)*
(VLOOKUP(IF('Fuel Equipment'!D$22=Report!$A$25,Report!$A$19,'Fuel Equipment'!D$22),Report!$A$18:$L$34,'Actual-CO2 Calculations'!$AK107,FALSE)),0),0)</f>
        <v>0</v>
      </c>
      <c r="E104" s="19">
        <f>IF(AND('Fuel Equipment'!E$44&gt;0,'Fuel Equipment'!E$45&gt;0),IF(AND($A104&gt;='Fuel Equipment'!E$17,$A104&lt;='Fuel Equipment'!E$18),('Fuel Equipment'!E$19*'Fuel Equipment'!E$20*'Fuel Equipment'!E$21)*('Fuel Equipment'!E$45-'Fuel Equipment'!E$44)*
(VLOOKUP(IF('Fuel Equipment'!E$22=Report!$A$25,Report!$A$19,'Fuel Equipment'!E$22),Report!$A$18:$L$34,'Actual-CO2 Calculations'!$AK107,FALSE)),0),0)</f>
        <v>0</v>
      </c>
      <c r="F104" s="19">
        <f>IF(AND('Fuel Equipment'!F$44&gt;0,'Fuel Equipment'!F$45&gt;0),IF(AND($A104&gt;='Fuel Equipment'!F$17,$A104&lt;='Fuel Equipment'!F$18),('Fuel Equipment'!F$19*'Fuel Equipment'!F$20*'Fuel Equipment'!F$21)*('Fuel Equipment'!F$45-'Fuel Equipment'!F$44)*
(VLOOKUP(IF('Fuel Equipment'!F$22=Report!$A$25,Report!$A$19,'Fuel Equipment'!F$22),Report!$A$18:$L$34,'Actual-CO2 Calculations'!$AK107,FALSE)),0),0)</f>
        <v>0</v>
      </c>
      <c r="G104" s="19">
        <f>IF(AND('Fuel Equipment'!G$44&gt;0,'Fuel Equipment'!G$45&gt;0),IF(AND($A104&gt;='Fuel Equipment'!G$17,$A104&lt;='Fuel Equipment'!G$18),('Fuel Equipment'!G$19*'Fuel Equipment'!G$20*'Fuel Equipment'!G$21)*('Fuel Equipment'!G$45-'Fuel Equipment'!G$44)*
(VLOOKUP(IF('Fuel Equipment'!G$22=Report!$A$25,Report!$A$19,'Fuel Equipment'!G$22),Report!$A$18:$L$34,'Actual-CO2 Calculations'!$AK107,FALSE)),0),0)</f>
        <v>0</v>
      </c>
      <c r="H104" s="19">
        <f>IF(AND('Fuel Equipment'!H$44&gt;0,'Fuel Equipment'!H$45&gt;0),IF(AND($A104&gt;='Fuel Equipment'!H$17,$A104&lt;='Fuel Equipment'!H$18),('Fuel Equipment'!H$19*'Fuel Equipment'!H$20*'Fuel Equipment'!H$21)*('Fuel Equipment'!H$45-'Fuel Equipment'!H$44)*
(VLOOKUP(IF('Fuel Equipment'!H$22=Report!$A$25,Report!$A$19,'Fuel Equipment'!H$22),Report!$A$18:$L$34,'Actual-CO2 Calculations'!$AK107,FALSE)),0),0)</f>
        <v>0</v>
      </c>
      <c r="I104" s="19">
        <f>IF(AND('Fuel Equipment'!I$44&gt;0,'Fuel Equipment'!I$45&gt;0),IF(AND($A104&gt;='Fuel Equipment'!I$17,$A104&lt;='Fuel Equipment'!I$18),('Fuel Equipment'!I$19*'Fuel Equipment'!I$20*'Fuel Equipment'!I$21)*('Fuel Equipment'!I$45-'Fuel Equipment'!I$44)*
(VLOOKUP(IF('Fuel Equipment'!I$22=Report!$A$25,Report!$A$19,'Fuel Equipment'!I$22),Report!$A$18:$L$34,'Actual-CO2 Calculations'!$AK107,FALSE)),0),0)</f>
        <v>0</v>
      </c>
      <c r="J104" s="19">
        <f>IF(AND('Fuel Equipment'!J$44&gt;0,'Fuel Equipment'!J$45&gt;0),IF(AND($A104&gt;='Fuel Equipment'!J$17,$A104&lt;='Fuel Equipment'!J$18),('Fuel Equipment'!J$19*'Fuel Equipment'!J$20*'Fuel Equipment'!J$21)*('Fuel Equipment'!J$45-'Fuel Equipment'!J$44)*
(VLOOKUP(IF('Fuel Equipment'!J$22=Report!$A$25,Report!$A$19,'Fuel Equipment'!J$22),Report!$A$18:$L$34,'Actual-CO2 Calculations'!$AK107,FALSE)),0),0)</f>
        <v>0</v>
      </c>
      <c r="K104" s="19">
        <f>IF(AND('Fuel Equipment'!K$44&gt;0,'Fuel Equipment'!K$45&gt;0),IF(AND($A104&gt;='Fuel Equipment'!K$17,$A104&lt;='Fuel Equipment'!K$18),('Fuel Equipment'!K$19*'Fuel Equipment'!K$20*'Fuel Equipment'!K$21)*('Fuel Equipment'!K$45-'Fuel Equipment'!K$44)*
(VLOOKUP(IF('Fuel Equipment'!K$22=Report!$A$25,Report!$A$19,'Fuel Equipment'!K$22),Report!$A$18:$L$34,'Actual-CO2 Calculations'!$AK107,FALSE)),0),0)</f>
        <v>0</v>
      </c>
      <c r="L104" s="19">
        <f>IF(AND('Fuel Equipment'!L$44&gt;0,'Fuel Equipment'!L$45&gt;0),IF(AND($A104&gt;='Fuel Equipment'!L$17,$A104&lt;='Fuel Equipment'!L$18),('Fuel Equipment'!L$19*'Fuel Equipment'!L$20*'Fuel Equipment'!L$21)*('Fuel Equipment'!L$45-'Fuel Equipment'!L$44)*
(VLOOKUP(IF('Fuel Equipment'!L$22=Report!$A$25,Report!$A$19,'Fuel Equipment'!L$22),Report!$A$18:$L$34,'Actual-CO2 Calculations'!$AK107,FALSE)),0),0)</f>
        <v>0</v>
      </c>
      <c r="M104" s="19">
        <f>IF(AND('Fuel Equipment'!M$44&gt;0,'Fuel Equipment'!M$45&gt;0),IF(AND($A104&gt;='Fuel Equipment'!M$17,$A104&lt;='Fuel Equipment'!M$18),('Fuel Equipment'!M$19*'Fuel Equipment'!M$20*'Fuel Equipment'!M$21)*('Fuel Equipment'!M$45-'Fuel Equipment'!M$44)*
(VLOOKUP(IF('Fuel Equipment'!M$22=Report!$A$25,Report!$A$19,'Fuel Equipment'!M$22),Report!$A$18:$L$34,'Actual-CO2 Calculations'!$AK107,FALSE)),0),0)</f>
        <v>0</v>
      </c>
      <c r="N104" s="19">
        <f>IF(AND('Fuel Equipment'!N$44&gt;0,'Fuel Equipment'!N$45&gt;0),IF(AND($A104&gt;='Fuel Equipment'!N$17,$A104&lt;='Fuel Equipment'!N$18),('Fuel Equipment'!N$19*'Fuel Equipment'!N$20*'Fuel Equipment'!N$21)*('Fuel Equipment'!N$45-'Fuel Equipment'!N$44)*
(VLOOKUP(IF('Fuel Equipment'!N$22=Report!$A$25,Report!$A$19,'Fuel Equipment'!N$22),Report!$A$18:$L$34,'Actual-CO2 Calculations'!$AK107,FALSE)),0),0)</f>
        <v>0</v>
      </c>
      <c r="O104" s="19">
        <f>IF(AND('Fuel Equipment'!O$44&gt;0,'Fuel Equipment'!O$45&gt;0),IF(AND($A104&gt;='Fuel Equipment'!O$17,$A104&lt;='Fuel Equipment'!O$18),('Fuel Equipment'!O$19*'Fuel Equipment'!O$20*'Fuel Equipment'!O$21)*('Fuel Equipment'!O$45-'Fuel Equipment'!O$44)*
(VLOOKUP(IF('Fuel Equipment'!O$22=Report!$A$25,Report!$A$19,'Fuel Equipment'!O$22),Report!$A$18:$L$34,'Actual-CO2 Calculations'!$AK107,FALSE)),0),0)</f>
        <v>0</v>
      </c>
      <c r="P104" s="19">
        <f>IF(AND('Fuel Equipment'!P$44&gt;0,'Fuel Equipment'!P$45&gt;0),IF(AND($A104&gt;='Fuel Equipment'!P$17,$A104&lt;='Fuel Equipment'!P$18),('Fuel Equipment'!P$19*'Fuel Equipment'!P$20*'Fuel Equipment'!P$21)*('Fuel Equipment'!P$45-'Fuel Equipment'!P$44)*
(VLOOKUP(IF('Fuel Equipment'!P$22=Report!$A$25,Report!$A$19,'Fuel Equipment'!P$22),Report!$A$18:$L$34,'Actual-CO2 Calculations'!$AK107,FALSE)),0),0)</f>
        <v>0</v>
      </c>
      <c r="Q104" s="19">
        <f>IF(AND('Fuel Equipment'!Q$44&gt;0,'Fuel Equipment'!Q$45&gt;0),IF(AND($A104&gt;='Fuel Equipment'!Q$17,$A104&lt;='Fuel Equipment'!Q$18),('Fuel Equipment'!Q$19*'Fuel Equipment'!Q$20*'Fuel Equipment'!Q$21)*('Fuel Equipment'!Q$45-'Fuel Equipment'!Q$44)*
(VLOOKUP(IF('Fuel Equipment'!Q$22=Report!$A$25,Report!$A$19,'Fuel Equipment'!Q$22),Report!$A$18:$L$34,'Actual-CO2 Calculations'!$AK107,FALSE)),0),0)</f>
        <v>0</v>
      </c>
      <c r="R104" s="19">
        <f>IF(AND('Fuel Equipment'!R$44&gt;0,'Fuel Equipment'!R$45&gt;0),IF(AND($A104&gt;='Fuel Equipment'!R$17,$A104&lt;='Fuel Equipment'!R$18),('Fuel Equipment'!R$19*'Fuel Equipment'!R$20*'Fuel Equipment'!R$21)*('Fuel Equipment'!R$45-'Fuel Equipment'!R$44)*
(VLOOKUP(IF('Fuel Equipment'!R$22=Report!$A$25,Report!$A$19,'Fuel Equipment'!R$22),Report!$A$18:$L$34,'Actual-CO2 Calculations'!$AK107,FALSE)),0),0)</f>
        <v>0</v>
      </c>
      <c r="S104" s="19">
        <f>IF(AND('Fuel Equipment'!S$44&gt;0,'Fuel Equipment'!S$45&gt;0),IF(AND($A104&gt;='Fuel Equipment'!S$17,$A104&lt;='Fuel Equipment'!S$18),('Fuel Equipment'!S$19*'Fuel Equipment'!S$20*'Fuel Equipment'!S$21)*('Fuel Equipment'!S$45-'Fuel Equipment'!S$44)*
(VLOOKUP(IF('Fuel Equipment'!S$22=Report!$A$25,Report!$A$19,'Fuel Equipment'!S$22),Report!$A$18:$L$34,'Actual-CO2 Calculations'!$AK107,FALSE)),0),0)</f>
        <v>0</v>
      </c>
      <c r="V104" s="671">
        <f t="shared" si="1"/>
        <v>0</v>
      </c>
    </row>
    <row r="105" spans="1:22">
      <c r="A105" s="19" t="s">
        <v>986</v>
      </c>
      <c r="B105" s="19">
        <f>IF(AND('Fuel Equipment'!B$44&gt;0,'Fuel Equipment'!B$45&gt;0),IF(AND($A105&gt;='Fuel Equipment'!B$17,$A105&lt;='Fuel Equipment'!B$18),('Fuel Equipment'!B$19*'Fuel Equipment'!B$20*'Fuel Equipment'!B$21)*('Fuel Equipment'!B$45-'Fuel Equipment'!B$44)*
(VLOOKUP(IF('Fuel Equipment'!B$22=Report!$A$25,Report!$A$19,'Fuel Equipment'!B$22),Report!$A$18:$L$34,'Actual-CO2 Calculations'!$AK108,FALSE)),0),0)</f>
        <v>0</v>
      </c>
      <c r="C105" s="19">
        <f>IF(AND('Fuel Equipment'!C$44&gt;0,'Fuel Equipment'!C$45&gt;0),IF(AND($A105&gt;='Fuel Equipment'!C$17,$A105&lt;='Fuel Equipment'!C$18),('Fuel Equipment'!C$19*'Fuel Equipment'!C$20*'Fuel Equipment'!C$21)*('Fuel Equipment'!C$45-'Fuel Equipment'!C$44)*
(VLOOKUP(IF('Fuel Equipment'!C$22=Report!$A$25,Report!$A$19,'Fuel Equipment'!C$22),Report!$A$18:$L$34,'Actual-CO2 Calculations'!$AK108,FALSE)),0),0)</f>
        <v>0</v>
      </c>
      <c r="D105" s="19">
        <f>IF(AND('Fuel Equipment'!D$44&gt;0,'Fuel Equipment'!D$45&gt;0),IF(AND($A105&gt;='Fuel Equipment'!D$17,$A105&lt;='Fuel Equipment'!D$18),('Fuel Equipment'!D$19*'Fuel Equipment'!D$20*'Fuel Equipment'!D$21)*('Fuel Equipment'!D$45-'Fuel Equipment'!D$44)*
(VLOOKUP(IF('Fuel Equipment'!D$22=Report!$A$25,Report!$A$19,'Fuel Equipment'!D$22),Report!$A$18:$L$34,'Actual-CO2 Calculations'!$AK108,FALSE)),0),0)</f>
        <v>0</v>
      </c>
      <c r="E105" s="19">
        <f>IF(AND('Fuel Equipment'!E$44&gt;0,'Fuel Equipment'!E$45&gt;0),IF(AND($A105&gt;='Fuel Equipment'!E$17,$A105&lt;='Fuel Equipment'!E$18),('Fuel Equipment'!E$19*'Fuel Equipment'!E$20*'Fuel Equipment'!E$21)*('Fuel Equipment'!E$45-'Fuel Equipment'!E$44)*
(VLOOKUP(IF('Fuel Equipment'!E$22=Report!$A$25,Report!$A$19,'Fuel Equipment'!E$22),Report!$A$18:$L$34,'Actual-CO2 Calculations'!$AK108,FALSE)),0),0)</f>
        <v>0</v>
      </c>
      <c r="F105" s="19">
        <f>IF(AND('Fuel Equipment'!F$44&gt;0,'Fuel Equipment'!F$45&gt;0),IF(AND($A105&gt;='Fuel Equipment'!F$17,$A105&lt;='Fuel Equipment'!F$18),('Fuel Equipment'!F$19*'Fuel Equipment'!F$20*'Fuel Equipment'!F$21)*('Fuel Equipment'!F$45-'Fuel Equipment'!F$44)*
(VLOOKUP(IF('Fuel Equipment'!F$22=Report!$A$25,Report!$A$19,'Fuel Equipment'!F$22),Report!$A$18:$L$34,'Actual-CO2 Calculations'!$AK108,FALSE)),0),0)</f>
        <v>0</v>
      </c>
      <c r="G105" s="19">
        <f>IF(AND('Fuel Equipment'!G$44&gt;0,'Fuel Equipment'!G$45&gt;0),IF(AND($A105&gt;='Fuel Equipment'!G$17,$A105&lt;='Fuel Equipment'!G$18),('Fuel Equipment'!G$19*'Fuel Equipment'!G$20*'Fuel Equipment'!G$21)*('Fuel Equipment'!G$45-'Fuel Equipment'!G$44)*
(VLOOKUP(IF('Fuel Equipment'!G$22=Report!$A$25,Report!$A$19,'Fuel Equipment'!G$22),Report!$A$18:$L$34,'Actual-CO2 Calculations'!$AK108,FALSE)),0),0)</f>
        <v>0</v>
      </c>
      <c r="H105" s="19">
        <f>IF(AND('Fuel Equipment'!H$44&gt;0,'Fuel Equipment'!H$45&gt;0),IF(AND($A105&gt;='Fuel Equipment'!H$17,$A105&lt;='Fuel Equipment'!H$18),('Fuel Equipment'!H$19*'Fuel Equipment'!H$20*'Fuel Equipment'!H$21)*('Fuel Equipment'!H$45-'Fuel Equipment'!H$44)*
(VLOOKUP(IF('Fuel Equipment'!H$22=Report!$A$25,Report!$A$19,'Fuel Equipment'!H$22),Report!$A$18:$L$34,'Actual-CO2 Calculations'!$AK108,FALSE)),0),0)</f>
        <v>0</v>
      </c>
      <c r="I105" s="19">
        <f>IF(AND('Fuel Equipment'!I$44&gt;0,'Fuel Equipment'!I$45&gt;0),IF(AND($A105&gt;='Fuel Equipment'!I$17,$A105&lt;='Fuel Equipment'!I$18),('Fuel Equipment'!I$19*'Fuel Equipment'!I$20*'Fuel Equipment'!I$21)*('Fuel Equipment'!I$45-'Fuel Equipment'!I$44)*
(VLOOKUP(IF('Fuel Equipment'!I$22=Report!$A$25,Report!$A$19,'Fuel Equipment'!I$22),Report!$A$18:$L$34,'Actual-CO2 Calculations'!$AK108,FALSE)),0),0)</f>
        <v>0</v>
      </c>
      <c r="J105" s="19">
        <f>IF(AND('Fuel Equipment'!J$44&gt;0,'Fuel Equipment'!J$45&gt;0),IF(AND($A105&gt;='Fuel Equipment'!J$17,$A105&lt;='Fuel Equipment'!J$18),('Fuel Equipment'!J$19*'Fuel Equipment'!J$20*'Fuel Equipment'!J$21)*('Fuel Equipment'!J$45-'Fuel Equipment'!J$44)*
(VLOOKUP(IF('Fuel Equipment'!J$22=Report!$A$25,Report!$A$19,'Fuel Equipment'!J$22),Report!$A$18:$L$34,'Actual-CO2 Calculations'!$AK108,FALSE)),0),0)</f>
        <v>0</v>
      </c>
      <c r="K105" s="19">
        <f>IF(AND('Fuel Equipment'!K$44&gt;0,'Fuel Equipment'!K$45&gt;0),IF(AND($A105&gt;='Fuel Equipment'!K$17,$A105&lt;='Fuel Equipment'!K$18),('Fuel Equipment'!K$19*'Fuel Equipment'!K$20*'Fuel Equipment'!K$21)*('Fuel Equipment'!K$45-'Fuel Equipment'!K$44)*
(VLOOKUP(IF('Fuel Equipment'!K$22=Report!$A$25,Report!$A$19,'Fuel Equipment'!K$22),Report!$A$18:$L$34,'Actual-CO2 Calculations'!$AK108,FALSE)),0),0)</f>
        <v>0</v>
      </c>
      <c r="L105" s="19">
        <f>IF(AND('Fuel Equipment'!L$44&gt;0,'Fuel Equipment'!L$45&gt;0),IF(AND($A105&gt;='Fuel Equipment'!L$17,$A105&lt;='Fuel Equipment'!L$18),('Fuel Equipment'!L$19*'Fuel Equipment'!L$20*'Fuel Equipment'!L$21)*('Fuel Equipment'!L$45-'Fuel Equipment'!L$44)*
(VLOOKUP(IF('Fuel Equipment'!L$22=Report!$A$25,Report!$A$19,'Fuel Equipment'!L$22),Report!$A$18:$L$34,'Actual-CO2 Calculations'!$AK108,FALSE)),0),0)</f>
        <v>0</v>
      </c>
      <c r="M105" s="19">
        <f>IF(AND('Fuel Equipment'!M$44&gt;0,'Fuel Equipment'!M$45&gt;0),IF(AND($A105&gt;='Fuel Equipment'!M$17,$A105&lt;='Fuel Equipment'!M$18),('Fuel Equipment'!M$19*'Fuel Equipment'!M$20*'Fuel Equipment'!M$21)*('Fuel Equipment'!M$45-'Fuel Equipment'!M$44)*
(VLOOKUP(IF('Fuel Equipment'!M$22=Report!$A$25,Report!$A$19,'Fuel Equipment'!M$22),Report!$A$18:$L$34,'Actual-CO2 Calculations'!$AK108,FALSE)),0),0)</f>
        <v>0</v>
      </c>
      <c r="N105" s="19">
        <f>IF(AND('Fuel Equipment'!N$44&gt;0,'Fuel Equipment'!N$45&gt;0),IF(AND($A105&gt;='Fuel Equipment'!N$17,$A105&lt;='Fuel Equipment'!N$18),('Fuel Equipment'!N$19*'Fuel Equipment'!N$20*'Fuel Equipment'!N$21)*('Fuel Equipment'!N$45-'Fuel Equipment'!N$44)*
(VLOOKUP(IF('Fuel Equipment'!N$22=Report!$A$25,Report!$A$19,'Fuel Equipment'!N$22),Report!$A$18:$L$34,'Actual-CO2 Calculations'!$AK108,FALSE)),0),0)</f>
        <v>0</v>
      </c>
      <c r="O105" s="19">
        <f>IF(AND('Fuel Equipment'!O$44&gt;0,'Fuel Equipment'!O$45&gt;0),IF(AND($A105&gt;='Fuel Equipment'!O$17,$A105&lt;='Fuel Equipment'!O$18),('Fuel Equipment'!O$19*'Fuel Equipment'!O$20*'Fuel Equipment'!O$21)*('Fuel Equipment'!O$45-'Fuel Equipment'!O$44)*
(VLOOKUP(IF('Fuel Equipment'!O$22=Report!$A$25,Report!$A$19,'Fuel Equipment'!O$22),Report!$A$18:$L$34,'Actual-CO2 Calculations'!$AK108,FALSE)),0),0)</f>
        <v>0</v>
      </c>
      <c r="P105" s="19">
        <f>IF(AND('Fuel Equipment'!P$44&gt;0,'Fuel Equipment'!P$45&gt;0),IF(AND($A105&gt;='Fuel Equipment'!P$17,$A105&lt;='Fuel Equipment'!P$18),('Fuel Equipment'!P$19*'Fuel Equipment'!P$20*'Fuel Equipment'!P$21)*('Fuel Equipment'!P$45-'Fuel Equipment'!P$44)*
(VLOOKUP(IF('Fuel Equipment'!P$22=Report!$A$25,Report!$A$19,'Fuel Equipment'!P$22),Report!$A$18:$L$34,'Actual-CO2 Calculations'!$AK108,FALSE)),0),0)</f>
        <v>0</v>
      </c>
      <c r="Q105" s="19">
        <f>IF(AND('Fuel Equipment'!Q$44&gt;0,'Fuel Equipment'!Q$45&gt;0),IF(AND($A105&gt;='Fuel Equipment'!Q$17,$A105&lt;='Fuel Equipment'!Q$18),('Fuel Equipment'!Q$19*'Fuel Equipment'!Q$20*'Fuel Equipment'!Q$21)*('Fuel Equipment'!Q$45-'Fuel Equipment'!Q$44)*
(VLOOKUP(IF('Fuel Equipment'!Q$22=Report!$A$25,Report!$A$19,'Fuel Equipment'!Q$22),Report!$A$18:$L$34,'Actual-CO2 Calculations'!$AK108,FALSE)),0),0)</f>
        <v>0</v>
      </c>
      <c r="R105" s="19">
        <f>IF(AND('Fuel Equipment'!R$44&gt;0,'Fuel Equipment'!R$45&gt;0),IF(AND($A105&gt;='Fuel Equipment'!R$17,$A105&lt;='Fuel Equipment'!R$18),('Fuel Equipment'!R$19*'Fuel Equipment'!R$20*'Fuel Equipment'!R$21)*('Fuel Equipment'!R$45-'Fuel Equipment'!R$44)*
(VLOOKUP(IF('Fuel Equipment'!R$22=Report!$A$25,Report!$A$19,'Fuel Equipment'!R$22),Report!$A$18:$L$34,'Actual-CO2 Calculations'!$AK108,FALSE)),0),0)</f>
        <v>0</v>
      </c>
      <c r="S105" s="19">
        <f>IF(AND('Fuel Equipment'!S$44&gt;0,'Fuel Equipment'!S$45&gt;0),IF(AND($A105&gt;='Fuel Equipment'!S$17,$A105&lt;='Fuel Equipment'!S$18),('Fuel Equipment'!S$19*'Fuel Equipment'!S$20*'Fuel Equipment'!S$21)*('Fuel Equipment'!S$45-'Fuel Equipment'!S$44)*
(VLOOKUP(IF('Fuel Equipment'!S$22=Report!$A$25,Report!$A$19,'Fuel Equipment'!S$22),Report!$A$18:$L$34,'Actual-CO2 Calculations'!$AK108,FALSE)),0),0)</f>
        <v>0</v>
      </c>
      <c r="V105" s="671">
        <f t="shared" si="1"/>
        <v>0</v>
      </c>
    </row>
    <row r="106" spans="1:22">
      <c r="A106" s="19" t="s">
        <v>987</v>
      </c>
      <c r="B106" s="19">
        <f>IF(AND('Fuel Equipment'!B$44&gt;0,'Fuel Equipment'!B$45&gt;0),IF(AND($A106&gt;='Fuel Equipment'!B$17,$A106&lt;='Fuel Equipment'!B$18),('Fuel Equipment'!B$19*'Fuel Equipment'!B$20*'Fuel Equipment'!B$21)*('Fuel Equipment'!B$45-'Fuel Equipment'!B$44)*
(VLOOKUP(IF('Fuel Equipment'!B$22=Report!$A$25,Report!$A$19,'Fuel Equipment'!B$22),Report!$A$18:$L$34,'Actual-CO2 Calculations'!$AK109,FALSE)),0),0)</f>
        <v>0</v>
      </c>
      <c r="C106" s="19">
        <f>IF(AND('Fuel Equipment'!C$44&gt;0,'Fuel Equipment'!C$45&gt;0),IF(AND($A106&gt;='Fuel Equipment'!C$17,$A106&lt;='Fuel Equipment'!C$18),('Fuel Equipment'!C$19*'Fuel Equipment'!C$20*'Fuel Equipment'!C$21)*('Fuel Equipment'!C$45-'Fuel Equipment'!C$44)*
(VLOOKUP(IF('Fuel Equipment'!C$22=Report!$A$25,Report!$A$19,'Fuel Equipment'!C$22),Report!$A$18:$L$34,'Actual-CO2 Calculations'!$AK109,FALSE)),0),0)</f>
        <v>0</v>
      </c>
      <c r="D106" s="19">
        <f>IF(AND('Fuel Equipment'!D$44&gt;0,'Fuel Equipment'!D$45&gt;0),IF(AND($A106&gt;='Fuel Equipment'!D$17,$A106&lt;='Fuel Equipment'!D$18),('Fuel Equipment'!D$19*'Fuel Equipment'!D$20*'Fuel Equipment'!D$21)*('Fuel Equipment'!D$45-'Fuel Equipment'!D$44)*
(VLOOKUP(IF('Fuel Equipment'!D$22=Report!$A$25,Report!$A$19,'Fuel Equipment'!D$22),Report!$A$18:$L$34,'Actual-CO2 Calculations'!$AK109,FALSE)),0),0)</f>
        <v>0</v>
      </c>
      <c r="E106" s="19">
        <f>IF(AND('Fuel Equipment'!E$44&gt;0,'Fuel Equipment'!E$45&gt;0),IF(AND($A106&gt;='Fuel Equipment'!E$17,$A106&lt;='Fuel Equipment'!E$18),('Fuel Equipment'!E$19*'Fuel Equipment'!E$20*'Fuel Equipment'!E$21)*('Fuel Equipment'!E$45-'Fuel Equipment'!E$44)*
(VLOOKUP(IF('Fuel Equipment'!E$22=Report!$A$25,Report!$A$19,'Fuel Equipment'!E$22),Report!$A$18:$L$34,'Actual-CO2 Calculations'!$AK109,FALSE)),0),0)</f>
        <v>0</v>
      </c>
      <c r="F106" s="19">
        <f>IF(AND('Fuel Equipment'!F$44&gt;0,'Fuel Equipment'!F$45&gt;0),IF(AND($A106&gt;='Fuel Equipment'!F$17,$A106&lt;='Fuel Equipment'!F$18),('Fuel Equipment'!F$19*'Fuel Equipment'!F$20*'Fuel Equipment'!F$21)*('Fuel Equipment'!F$45-'Fuel Equipment'!F$44)*
(VLOOKUP(IF('Fuel Equipment'!F$22=Report!$A$25,Report!$A$19,'Fuel Equipment'!F$22),Report!$A$18:$L$34,'Actual-CO2 Calculations'!$AK109,FALSE)),0),0)</f>
        <v>0</v>
      </c>
      <c r="G106" s="19">
        <f>IF(AND('Fuel Equipment'!G$44&gt;0,'Fuel Equipment'!G$45&gt;0),IF(AND($A106&gt;='Fuel Equipment'!G$17,$A106&lt;='Fuel Equipment'!G$18),('Fuel Equipment'!G$19*'Fuel Equipment'!G$20*'Fuel Equipment'!G$21)*('Fuel Equipment'!G$45-'Fuel Equipment'!G$44)*
(VLOOKUP(IF('Fuel Equipment'!G$22=Report!$A$25,Report!$A$19,'Fuel Equipment'!G$22),Report!$A$18:$L$34,'Actual-CO2 Calculations'!$AK109,FALSE)),0),0)</f>
        <v>0</v>
      </c>
      <c r="H106" s="19">
        <f>IF(AND('Fuel Equipment'!H$44&gt;0,'Fuel Equipment'!H$45&gt;0),IF(AND($A106&gt;='Fuel Equipment'!H$17,$A106&lt;='Fuel Equipment'!H$18),('Fuel Equipment'!H$19*'Fuel Equipment'!H$20*'Fuel Equipment'!H$21)*('Fuel Equipment'!H$45-'Fuel Equipment'!H$44)*
(VLOOKUP(IF('Fuel Equipment'!H$22=Report!$A$25,Report!$A$19,'Fuel Equipment'!H$22),Report!$A$18:$L$34,'Actual-CO2 Calculations'!$AK109,FALSE)),0),0)</f>
        <v>0</v>
      </c>
      <c r="I106" s="19">
        <f>IF(AND('Fuel Equipment'!I$44&gt;0,'Fuel Equipment'!I$45&gt;0),IF(AND($A106&gt;='Fuel Equipment'!I$17,$A106&lt;='Fuel Equipment'!I$18),('Fuel Equipment'!I$19*'Fuel Equipment'!I$20*'Fuel Equipment'!I$21)*('Fuel Equipment'!I$45-'Fuel Equipment'!I$44)*
(VLOOKUP(IF('Fuel Equipment'!I$22=Report!$A$25,Report!$A$19,'Fuel Equipment'!I$22),Report!$A$18:$L$34,'Actual-CO2 Calculations'!$AK109,FALSE)),0),0)</f>
        <v>0</v>
      </c>
      <c r="J106" s="19">
        <f>IF(AND('Fuel Equipment'!J$44&gt;0,'Fuel Equipment'!J$45&gt;0),IF(AND($A106&gt;='Fuel Equipment'!J$17,$A106&lt;='Fuel Equipment'!J$18),('Fuel Equipment'!J$19*'Fuel Equipment'!J$20*'Fuel Equipment'!J$21)*('Fuel Equipment'!J$45-'Fuel Equipment'!J$44)*
(VLOOKUP(IF('Fuel Equipment'!J$22=Report!$A$25,Report!$A$19,'Fuel Equipment'!J$22),Report!$A$18:$L$34,'Actual-CO2 Calculations'!$AK109,FALSE)),0),0)</f>
        <v>0</v>
      </c>
      <c r="K106" s="19">
        <f>IF(AND('Fuel Equipment'!K$44&gt;0,'Fuel Equipment'!K$45&gt;0),IF(AND($A106&gt;='Fuel Equipment'!K$17,$A106&lt;='Fuel Equipment'!K$18),('Fuel Equipment'!K$19*'Fuel Equipment'!K$20*'Fuel Equipment'!K$21)*('Fuel Equipment'!K$45-'Fuel Equipment'!K$44)*
(VLOOKUP(IF('Fuel Equipment'!K$22=Report!$A$25,Report!$A$19,'Fuel Equipment'!K$22),Report!$A$18:$L$34,'Actual-CO2 Calculations'!$AK109,FALSE)),0),0)</f>
        <v>0</v>
      </c>
      <c r="L106" s="19">
        <f>IF(AND('Fuel Equipment'!L$44&gt;0,'Fuel Equipment'!L$45&gt;0),IF(AND($A106&gt;='Fuel Equipment'!L$17,$A106&lt;='Fuel Equipment'!L$18),('Fuel Equipment'!L$19*'Fuel Equipment'!L$20*'Fuel Equipment'!L$21)*('Fuel Equipment'!L$45-'Fuel Equipment'!L$44)*
(VLOOKUP(IF('Fuel Equipment'!L$22=Report!$A$25,Report!$A$19,'Fuel Equipment'!L$22),Report!$A$18:$L$34,'Actual-CO2 Calculations'!$AK109,FALSE)),0),0)</f>
        <v>0</v>
      </c>
      <c r="M106" s="19">
        <f>IF(AND('Fuel Equipment'!M$44&gt;0,'Fuel Equipment'!M$45&gt;0),IF(AND($A106&gt;='Fuel Equipment'!M$17,$A106&lt;='Fuel Equipment'!M$18),('Fuel Equipment'!M$19*'Fuel Equipment'!M$20*'Fuel Equipment'!M$21)*('Fuel Equipment'!M$45-'Fuel Equipment'!M$44)*
(VLOOKUP(IF('Fuel Equipment'!M$22=Report!$A$25,Report!$A$19,'Fuel Equipment'!M$22),Report!$A$18:$L$34,'Actual-CO2 Calculations'!$AK109,FALSE)),0),0)</f>
        <v>0</v>
      </c>
      <c r="N106" s="19">
        <f>IF(AND('Fuel Equipment'!N$44&gt;0,'Fuel Equipment'!N$45&gt;0),IF(AND($A106&gt;='Fuel Equipment'!N$17,$A106&lt;='Fuel Equipment'!N$18),('Fuel Equipment'!N$19*'Fuel Equipment'!N$20*'Fuel Equipment'!N$21)*('Fuel Equipment'!N$45-'Fuel Equipment'!N$44)*
(VLOOKUP(IF('Fuel Equipment'!N$22=Report!$A$25,Report!$A$19,'Fuel Equipment'!N$22),Report!$A$18:$L$34,'Actual-CO2 Calculations'!$AK109,FALSE)),0),0)</f>
        <v>0</v>
      </c>
      <c r="O106" s="19">
        <f>IF(AND('Fuel Equipment'!O$44&gt;0,'Fuel Equipment'!O$45&gt;0),IF(AND($A106&gt;='Fuel Equipment'!O$17,$A106&lt;='Fuel Equipment'!O$18),('Fuel Equipment'!O$19*'Fuel Equipment'!O$20*'Fuel Equipment'!O$21)*('Fuel Equipment'!O$45-'Fuel Equipment'!O$44)*
(VLOOKUP(IF('Fuel Equipment'!O$22=Report!$A$25,Report!$A$19,'Fuel Equipment'!O$22),Report!$A$18:$L$34,'Actual-CO2 Calculations'!$AK109,FALSE)),0),0)</f>
        <v>0</v>
      </c>
      <c r="P106" s="19">
        <f>IF(AND('Fuel Equipment'!P$44&gt;0,'Fuel Equipment'!P$45&gt;0),IF(AND($A106&gt;='Fuel Equipment'!P$17,$A106&lt;='Fuel Equipment'!P$18),('Fuel Equipment'!P$19*'Fuel Equipment'!P$20*'Fuel Equipment'!P$21)*('Fuel Equipment'!P$45-'Fuel Equipment'!P$44)*
(VLOOKUP(IF('Fuel Equipment'!P$22=Report!$A$25,Report!$A$19,'Fuel Equipment'!P$22),Report!$A$18:$L$34,'Actual-CO2 Calculations'!$AK109,FALSE)),0),0)</f>
        <v>0</v>
      </c>
      <c r="Q106" s="19">
        <f>IF(AND('Fuel Equipment'!Q$44&gt;0,'Fuel Equipment'!Q$45&gt;0),IF(AND($A106&gt;='Fuel Equipment'!Q$17,$A106&lt;='Fuel Equipment'!Q$18),('Fuel Equipment'!Q$19*'Fuel Equipment'!Q$20*'Fuel Equipment'!Q$21)*('Fuel Equipment'!Q$45-'Fuel Equipment'!Q$44)*
(VLOOKUP(IF('Fuel Equipment'!Q$22=Report!$A$25,Report!$A$19,'Fuel Equipment'!Q$22),Report!$A$18:$L$34,'Actual-CO2 Calculations'!$AK109,FALSE)),0),0)</f>
        <v>0</v>
      </c>
      <c r="R106" s="19">
        <f>IF(AND('Fuel Equipment'!R$44&gt;0,'Fuel Equipment'!R$45&gt;0),IF(AND($A106&gt;='Fuel Equipment'!R$17,$A106&lt;='Fuel Equipment'!R$18),('Fuel Equipment'!R$19*'Fuel Equipment'!R$20*'Fuel Equipment'!R$21)*('Fuel Equipment'!R$45-'Fuel Equipment'!R$44)*
(VLOOKUP(IF('Fuel Equipment'!R$22=Report!$A$25,Report!$A$19,'Fuel Equipment'!R$22),Report!$A$18:$L$34,'Actual-CO2 Calculations'!$AK109,FALSE)),0),0)</f>
        <v>0</v>
      </c>
      <c r="S106" s="19">
        <f>IF(AND('Fuel Equipment'!S$44&gt;0,'Fuel Equipment'!S$45&gt;0),IF(AND($A106&gt;='Fuel Equipment'!S$17,$A106&lt;='Fuel Equipment'!S$18),('Fuel Equipment'!S$19*'Fuel Equipment'!S$20*'Fuel Equipment'!S$21)*('Fuel Equipment'!S$45-'Fuel Equipment'!S$44)*
(VLOOKUP(IF('Fuel Equipment'!S$22=Report!$A$25,Report!$A$19,'Fuel Equipment'!S$22),Report!$A$18:$L$34,'Actual-CO2 Calculations'!$AK109,FALSE)),0),0)</f>
        <v>0</v>
      </c>
      <c r="V106" s="671">
        <f t="shared" si="1"/>
        <v>0</v>
      </c>
    </row>
    <row r="107" spans="1:22">
      <c r="A107" s="19" t="s">
        <v>988</v>
      </c>
      <c r="B107" s="19">
        <f>IF(AND('Fuel Equipment'!B$44&gt;0,'Fuel Equipment'!B$45&gt;0),IF(AND($A107&gt;='Fuel Equipment'!B$17,$A107&lt;='Fuel Equipment'!B$18),('Fuel Equipment'!B$19*'Fuel Equipment'!B$20*'Fuel Equipment'!B$21)*('Fuel Equipment'!B$45-'Fuel Equipment'!B$44)*
(VLOOKUP(IF('Fuel Equipment'!B$22=Report!$A$25,Report!$A$19,'Fuel Equipment'!B$22),Report!$A$18:$L$34,'Actual-CO2 Calculations'!$AK110,FALSE)),0),0)</f>
        <v>0</v>
      </c>
      <c r="C107" s="19">
        <f>IF(AND('Fuel Equipment'!C$44&gt;0,'Fuel Equipment'!C$45&gt;0),IF(AND($A107&gt;='Fuel Equipment'!C$17,$A107&lt;='Fuel Equipment'!C$18),('Fuel Equipment'!C$19*'Fuel Equipment'!C$20*'Fuel Equipment'!C$21)*('Fuel Equipment'!C$45-'Fuel Equipment'!C$44)*
(VLOOKUP(IF('Fuel Equipment'!C$22=Report!$A$25,Report!$A$19,'Fuel Equipment'!C$22),Report!$A$18:$L$34,'Actual-CO2 Calculations'!$AK110,FALSE)),0),0)</f>
        <v>0</v>
      </c>
      <c r="D107" s="19">
        <f>IF(AND('Fuel Equipment'!D$44&gt;0,'Fuel Equipment'!D$45&gt;0),IF(AND($A107&gt;='Fuel Equipment'!D$17,$A107&lt;='Fuel Equipment'!D$18),('Fuel Equipment'!D$19*'Fuel Equipment'!D$20*'Fuel Equipment'!D$21)*('Fuel Equipment'!D$45-'Fuel Equipment'!D$44)*
(VLOOKUP(IF('Fuel Equipment'!D$22=Report!$A$25,Report!$A$19,'Fuel Equipment'!D$22),Report!$A$18:$L$34,'Actual-CO2 Calculations'!$AK110,FALSE)),0),0)</f>
        <v>0</v>
      </c>
      <c r="E107" s="19">
        <f>IF(AND('Fuel Equipment'!E$44&gt;0,'Fuel Equipment'!E$45&gt;0),IF(AND($A107&gt;='Fuel Equipment'!E$17,$A107&lt;='Fuel Equipment'!E$18),('Fuel Equipment'!E$19*'Fuel Equipment'!E$20*'Fuel Equipment'!E$21)*('Fuel Equipment'!E$45-'Fuel Equipment'!E$44)*
(VLOOKUP(IF('Fuel Equipment'!E$22=Report!$A$25,Report!$A$19,'Fuel Equipment'!E$22),Report!$A$18:$L$34,'Actual-CO2 Calculations'!$AK110,FALSE)),0),0)</f>
        <v>0</v>
      </c>
      <c r="F107" s="19">
        <f>IF(AND('Fuel Equipment'!F$44&gt;0,'Fuel Equipment'!F$45&gt;0),IF(AND($A107&gt;='Fuel Equipment'!F$17,$A107&lt;='Fuel Equipment'!F$18),('Fuel Equipment'!F$19*'Fuel Equipment'!F$20*'Fuel Equipment'!F$21)*('Fuel Equipment'!F$45-'Fuel Equipment'!F$44)*
(VLOOKUP(IF('Fuel Equipment'!F$22=Report!$A$25,Report!$A$19,'Fuel Equipment'!F$22),Report!$A$18:$L$34,'Actual-CO2 Calculations'!$AK110,FALSE)),0),0)</f>
        <v>0</v>
      </c>
      <c r="G107" s="19">
        <f>IF(AND('Fuel Equipment'!G$44&gt;0,'Fuel Equipment'!G$45&gt;0),IF(AND($A107&gt;='Fuel Equipment'!G$17,$A107&lt;='Fuel Equipment'!G$18),('Fuel Equipment'!G$19*'Fuel Equipment'!G$20*'Fuel Equipment'!G$21)*('Fuel Equipment'!G$45-'Fuel Equipment'!G$44)*
(VLOOKUP(IF('Fuel Equipment'!G$22=Report!$A$25,Report!$A$19,'Fuel Equipment'!G$22),Report!$A$18:$L$34,'Actual-CO2 Calculations'!$AK110,FALSE)),0),0)</f>
        <v>0</v>
      </c>
      <c r="H107" s="19">
        <f>IF(AND('Fuel Equipment'!H$44&gt;0,'Fuel Equipment'!H$45&gt;0),IF(AND($A107&gt;='Fuel Equipment'!H$17,$A107&lt;='Fuel Equipment'!H$18),('Fuel Equipment'!H$19*'Fuel Equipment'!H$20*'Fuel Equipment'!H$21)*('Fuel Equipment'!H$45-'Fuel Equipment'!H$44)*
(VLOOKUP(IF('Fuel Equipment'!H$22=Report!$A$25,Report!$A$19,'Fuel Equipment'!H$22),Report!$A$18:$L$34,'Actual-CO2 Calculations'!$AK110,FALSE)),0),0)</f>
        <v>0</v>
      </c>
      <c r="I107" s="19">
        <f>IF(AND('Fuel Equipment'!I$44&gt;0,'Fuel Equipment'!I$45&gt;0),IF(AND($A107&gt;='Fuel Equipment'!I$17,$A107&lt;='Fuel Equipment'!I$18),('Fuel Equipment'!I$19*'Fuel Equipment'!I$20*'Fuel Equipment'!I$21)*('Fuel Equipment'!I$45-'Fuel Equipment'!I$44)*
(VLOOKUP(IF('Fuel Equipment'!I$22=Report!$A$25,Report!$A$19,'Fuel Equipment'!I$22),Report!$A$18:$L$34,'Actual-CO2 Calculations'!$AK110,FALSE)),0),0)</f>
        <v>0</v>
      </c>
      <c r="J107" s="19">
        <f>IF(AND('Fuel Equipment'!J$44&gt;0,'Fuel Equipment'!J$45&gt;0),IF(AND($A107&gt;='Fuel Equipment'!J$17,$A107&lt;='Fuel Equipment'!J$18),('Fuel Equipment'!J$19*'Fuel Equipment'!J$20*'Fuel Equipment'!J$21)*('Fuel Equipment'!J$45-'Fuel Equipment'!J$44)*
(VLOOKUP(IF('Fuel Equipment'!J$22=Report!$A$25,Report!$A$19,'Fuel Equipment'!J$22),Report!$A$18:$L$34,'Actual-CO2 Calculations'!$AK110,FALSE)),0),0)</f>
        <v>0</v>
      </c>
      <c r="K107" s="19">
        <f>IF(AND('Fuel Equipment'!K$44&gt;0,'Fuel Equipment'!K$45&gt;0),IF(AND($A107&gt;='Fuel Equipment'!K$17,$A107&lt;='Fuel Equipment'!K$18),('Fuel Equipment'!K$19*'Fuel Equipment'!K$20*'Fuel Equipment'!K$21)*('Fuel Equipment'!K$45-'Fuel Equipment'!K$44)*
(VLOOKUP(IF('Fuel Equipment'!K$22=Report!$A$25,Report!$A$19,'Fuel Equipment'!K$22),Report!$A$18:$L$34,'Actual-CO2 Calculations'!$AK110,FALSE)),0),0)</f>
        <v>0</v>
      </c>
      <c r="L107" s="19">
        <f>IF(AND('Fuel Equipment'!L$44&gt;0,'Fuel Equipment'!L$45&gt;0),IF(AND($A107&gt;='Fuel Equipment'!L$17,$A107&lt;='Fuel Equipment'!L$18),('Fuel Equipment'!L$19*'Fuel Equipment'!L$20*'Fuel Equipment'!L$21)*('Fuel Equipment'!L$45-'Fuel Equipment'!L$44)*
(VLOOKUP(IF('Fuel Equipment'!L$22=Report!$A$25,Report!$A$19,'Fuel Equipment'!L$22),Report!$A$18:$L$34,'Actual-CO2 Calculations'!$AK110,FALSE)),0),0)</f>
        <v>0</v>
      </c>
      <c r="M107" s="19">
        <f>IF(AND('Fuel Equipment'!M$44&gt;0,'Fuel Equipment'!M$45&gt;0),IF(AND($A107&gt;='Fuel Equipment'!M$17,$A107&lt;='Fuel Equipment'!M$18),('Fuel Equipment'!M$19*'Fuel Equipment'!M$20*'Fuel Equipment'!M$21)*('Fuel Equipment'!M$45-'Fuel Equipment'!M$44)*
(VLOOKUP(IF('Fuel Equipment'!M$22=Report!$A$25,Report!$A$19,'Fuel Equipment'!M$22),Report!$A$18:$L$34,'Actual-CO2 Calculations'!$AK110,FALSE)),0),0)</f>
        <v>0</v>
      </c>
      <c r="N107" s="19">
        <f>IF(AND('Fuel Equipment'!N$44&gt;0,'Fuel Equipment'!N$45&gt;0),IF(AND($A107&gt;='Fuel Equipment'!N$17,$A107&lt;='Fuel Equipment'!N$18),('Fuel Equipment'!N$19*'Fuel Equipment'!N$20*'Fuel Equipment'!N$21)*('Fuel Equipment'!N$45-'Fuel Equipment'!N$44)*
(VLOOKUP(IF('Fuel Equipment'!N$22=Report!$A$25,Report!$A$19,'Fuel Equipment'!N$22),Report!$A$18:$L$34,'Actual-CO2 Calculations'!$AK110,FALSE)),0),0)</f>
        <v>0</v>
      </c>
      <c r="O107" s="19">
        <f>IF(AND('Fuel Equipment'!O$44&gt;0,'Fuel Equipment'!O$45&gt;0),IF(AND($A107&gt;='Fuel Equipment'!O$17,$A107&lt;='Fuel Equipment'!O$18),('Fuel Equipment'!O$19*'Fuel Equipment'!O$20*'Fuel Equipment'!O$21)*('Fuel Equipment'!O$45-'Fuel Equipment'!O$44)*
(VLOOKUP(IF('Fuel Equipment'!O$22=Report!$A$25,Report!$A$19,'Fuel Equipment'!O$22),Report!$A$18:$L$34,'Actual-CO2 Calculations'!$AK110,FALSE)),0),0)</f>
        <v>0</v>
      </c>
      <c r="P107" s="19">
        <f>IF(AND('Fuel Equipment'!P$44&gt;0,'Fuel Equipment'!P$45&gt;0),IF(AND($A107&gt;='Fuel Equipment'!P$17,$A107&lt;='Fuel Equipment'!P$18),('Fuel Equipment'!P$19*'Fuel Equipment'!P$20*'Fuel Equipment'!P$21)*('Fuel Equipment'!P$45-'Fuel Equipment'!P$44)*
(VLOOKUP(IF('Fuel Equipment'!P$22=Report!$A$25,Report!$A$19,'Fuel Equipment'!P$22),Report!$A$18:$L$34,'Actual-CO2 Calculations'!$AK110,FALSE)),0),0)</f>
        <v>0</v>
      </c>
      <c r="Q107" s="19">
        <f>IF(AND('Fuel Equipment'!Q$44&gt;0,'Fuel Equipment'!Q$45&gt;0),IF(AND($A107&gt;='Fuel Equipment'!Q$17,$A107&lt;='Fuel Equipment'!Q$18),('Fuel Equipment'!Q$19*'Fuel Equipment'!Q$20*'Fuel Equipment'!Q$21)*('Fuel Equipment'!Q$45-'Fuel Equipment'!Q$44)*
(VLOOKUP(IF('Fuel Equipment'!Q$22=Report!$A$25,Report!$A$19,'Fuel Equipment'!Q$22),Report!$A$18:$L$34,'Actual-CO2 Calculations'!$AK110,FALSE)),0),0)</f>
        <v>0</v>
      </c>
      <c r="R107" s="19">
        <f>IF(AND('Fuel Equipment'!R$44&gt;0,'Fuel Equipment'!R$45&gt;0),IF(AND($A107&gt;='Fuel Equipment'!R$17,$A107&lt;='Fuel Equipment'!R$18),('Fuel Equipment'!R$19*'Fuel Equipment'!R$20*'Fuel Equipment'!R$21)*('Fuel Equipment'!R$45-'Fuel Equipment'!R$44)*
(VLOOKUP(IF('Fuel Equipment'!R$22=Report!$A$25,Report!$A$19,'Fuel Equipment'!R$22),Report!$A$18:$L$34,'Actual-CO2 Calculations'!$AK110,FALSE)),0),0)</f>
        <v>0</v>
      </c>
      <c r="S107" s="19">
        <f>IF(AND('Fuel Equipment'!S$44&gt;0,'Fuel Equipment'!S$45&gt;0),IF(AND($A107&gt;='Fuel Equipment'!S$17,$A107&lt;='Fuel Equipment'!S$18),('Fuel Equipment'!S$19*'Fuel Equipment'!S$20*'Fuel Equipment'!S$21)*('Fuel Equipment'!S$45-'Fuel Equipment'!S$44)*
(VLOOKUP(IF('Fuel Equipment'!S$22=Report!$A$25,Report!$A$19,'Fuel Equipment'!S$22),Report!$A$18:$L$34,'Actual-CO2 Calculations'!$AK110,FALSE)),0),0)</f>
        <v>0</v>
      </c>
      <c r="V107" s="671">
        <f t="shared" si="1"/>
        <v>0</v>
      </c>
    </row>
    <row r="108" spans="1:22">
      <c r="A108" s="19" t="s">
        <v>989</v>
      </c>
      <c r="B108" s="19">
        <f>IF(AND('Fuel Equipment'!B$44&gt;0,'Fuel Equipment'!B$45&gt;0),IF(AND($A108&gt;='Fuel Equipment'!B$17,$A108&lt;='Fuel Equipment'!B$18),('Fuel Equipment'!B$19*'Fuel Equipment'!B$20*'Fuel Equipment'!B$21)*('Fuel Equipment'!B$45-'Fuel Equipment'!B$44)*
(VLOOKUP(IF('Fuel Equipment'!B$22=Report!$A$25,Report!$A$19,'Fuel Equipment'!B$22),Report!$A$18:$L$34,'Actual-CO2 Calculations'!$AK111,FALSE)),0),0)</f>
        <v>0</v>
      </c>
      <c r="C108" s="19">
        <f>IF(AND('Fuel Equipment'!C$44&gt;0,'Fuel Equipment'!C$45&gt;0),IF(AND($A108&gt;='Fuel Equipment'!C$17,$A108&lt;='Fuel Equipment'!C$18),('Fuel Equipment'!C$19*'Fuel Equipment'!C$20*'Fuel Equipment'!C$21)*('Fuel Equipment'!C$45-'Fuel Equipment'!C$44)*
(VLOOKUP(IF('Fuel Equipment'!C$22=Report!$A$25,Report!$A$19,'Fuel Equipment'!C$22),Report!$A$18:$L$34,'Actual-CO2 Calculations'!$AK111,FALSE)),0),0)</f>
        <v>0</v>
      </c>
      <c r="D108" s="19">
        <f>IF(AND('Fuel Equipment'!D$44&gt;0,'Fuel Equipment'!D$45&gt;0),IF(AND($A108&gt;='Fuel Equipment'!D$17,$A108&lt;='Fuel Equipment'!D$18),('Fuel Equipment'!D$19*'Fuel Equipment'!D$20*'Fuel Equipment'!D$21)*('Fuel Equipment'!D$45-'Fuel Equipment'!D$44)*
(VLOOKUP(IF('Fuel Equipment'!D$22=Report!$A$25,Report!$A$19,'Fuel Equipment'!D$22),Report!$A$18:$L$34,'Actual-CO2 Calculations'!$AK111,FALSE)),0),0)</f>
        <v>0</v>
      </c>
      <c r="E108" s="19">
        <f>IF(AND('Fuel Equipment'!E$44&gt;0,'Fuel Equipment'!E$45&gt;0),IF(AND($A108&gt;='Fuel Equipment'!E$17,$A108&lt;='Fuel Equipment'!E$18),('Fuel Equipment'!E$19*'Fuel Equipment'!E$20*'Fuel Equipment'!E$21)*('Fuel Equipment'!E$45-'Fuel Equipment'!E$44)*
(VLOOKUP(IF('Fuel Equipment'!E$22=Report!$A$25,Report!$A$19,'Fuel Equipment'!E$22),Report!$A$18:$L$34,'Actual-CO2 Calculations'!$AK111,FALSE)),0),0)</f>
        <v>0</v>
      </c>
      <c r="F108" s="19">
        <f>IF(AND('Fuel Equipment'!F$44&gt;0,'Fuel Equipment'!F$45&gt;0),IF(AND($A108&gt;='Fuel Equipment'!F$17,$A108&lt;='Fuel Equipment'!F$18),('Fuel Equipment'!F$19*'Fuel Equipment'!F$20*'Fuel Equipment'!F$21)*('Fuel Equipment'!F$45-'Fuel Equipment'!F$44)*
(VLOOKUP(IF('Fuel Equipment'!F$22=Report!$A$25,Report!$A$19,'Fuel Equipment'!F$22),Report!$A$18:$L$34,'Actual-CO2 Calculations'!$AK111,FALSE)),0),0)</f>
        <v>0</v>
      </c>
      <c r="G108" s="19">
        <f>IF(AND('Fuel Equipment'!G$44&gt;0,'Fuel Equipment'!G$45&gt;0),IF(AND($A108&gt;='Fuel Equipment'!G$17,$A108&lt;='Fuel Equipment'!G$18),('Fuel Equipment'!G$19*'Fuel Equipment'!G$20*'Fuel Equipment'!G$21)*('Fuel Equipment'!G$45-'Fuel Equipment'!G$44)*
(VLOOKUP(IF('Fuel Equipment'!G$22=Report!$A$25,Report!$A$19,'Fuel Equipment'!G$22),Report!$A$18:$L$34,'Actual-CO2 Calculations'!$AK111,FALSE)),0),0)</f>
        <v>0</v>
      </c>
      <c r="H108" s="19">
        <f>IF(AND('Fuel Equipment'!H$44&gt;0,'Fuel Equipment'!H$45&gt;0),IF(AND($A108&gt;='Fuel Equipment'!H$17,$A108&lt;='Fuel Equipment'!H$18),('Fuel Equipment'!H$19*'Fuel Equipment'!H$20*'Fuel Equipment'!H$21)*('Fuel Equipment'!H$45-'Fuel Equipment'!H$44)*
(VLOOKUP(IF('Fuel Equipment'!H$22=Report!$A$25,Report!$A$19,'Fuel Equipment'!H$22),Report!$A$18:$L$34,'Actual-CO2 Calculations'!$AK111,FALSE)),0),0)</f>
        <v>0</v>
      </c>
      <c r="I108" s="19">
        <f>IF(AND('Fuel Equipment'!I$44&gt;0,'Fuel Equipment'!I$45&gt;0),IF(AND($A108&gt;='Fuel Equipment'!I$17,$A108&lt;='Fuel Equipment'!I$18),('Fuel Equipment'!I$19*'Fuel Equipment'!I$20*'Fuel Equipment'!I$21)*('Fuel Equipment'!I$45-'Fuel Equipment'!I$44)*
(VLOOKUP(IF('Fuel Equipment'!I$22=Report!$A$25,Report!$A$19,'Fuel Equipment'!I$22),Report!$A$18:$L$34,'Actual-CO2 Calculations'!$AK111,FALSE)),0),0)</f>
        <v>0</v>
      </c>
      <c r="J108" s="19">
        <f>IF(AND('Fuel Equipment'!J$44&gt;0,'Fuel Equipment'!J$45&gt;0),IF(AND($A108&gt;='Fuel Equipment'!J$17,$A108&lt;='Fuel Equipment'!J$18),('Fuel Equipment'!J$19*'Fuel Equipment'!J$20*'Fuel Equipment'!J$21)*('Fuel Equipment'!J$45-'Fuel Equipment'!J$44)*
(VLOOKUP(IF('Fuel Equipment'!J$22=Report!$A$25,Report!$A$19,'Fuel Equipment'!J$22),Report!$A$18:$L$34,'Actual-CO2 Calculations'!$AK111,FALSE)),0),0)</f>
        <v>0</v>
      </c>
      <c r="K108" s="19">
        <f>IF(AND('Fuel Equipment'!K$44&gt;0,'Fuel Equipment'!K$45&gt;0),IF(AND($A108&gt;='Fuel Equipment'!K$17,$A108&lt;='Fuel Equipment'!K$18),('Fuel Equipment'!K$19*'Fuel Equipment'!K$20*'Fuel Equipment'!K$21)*('Fuel Equipment'!K$45-'Fuel Equipment'!K$44)*
(VLOOKUP(IF('Fuel Equipment'!K$22=Report!$A$25,Report!$A$19,'Fuel Equipment'!K$22),Report!$A$18:$L$34,'Actual-CO2 Calculations'!$AK111,FALSE)),0),0)</f>
        <v>0</v>
      </c>
      <c r="L108" s="19">
        <f>IF(AND('Fuel Equipment'!L$44&gt;0,'Fuel Equipment'!L$45&gt;0),IF(AND($A108&gt;='Fuel Equipment'!L$17,$A108&lt;='Fuel Equipment'!L$18),('Fuel Equipment'!L$19*'Fuel Equipment'!L$20*'Fuel Equipment'!L$21)*('Fuel Equipment'!L$45-'Fuel Equipment'!L$44)*
(VLOOKUP(IF('Fuel Equipment'!L$22=Report!$A$25,Report!$A$19,'Fuel Equipment'!L$22),Report!$A$18:$L$34,'Actual-CO2 Calculations'!$AK111,FALSE)),0),0)</f>
        <v>0</v>
      </c>
      <c r="M108" s="19">
        <f>IF(AND('Fuel Equipment'!M$44&gt;0,'Fuel Equipment'!M$45&gt;0),IF(AND($A108&gt;='Fuel Equipment'!M$17,$A108&lt;='Fuel Equipment'!M$18),('Fuel Equipment'!M$19*'Fuel Equipment'!M$20*'Fuel Equipment'!M$21)*('Fuel Equipment'!M$45-'Fuel Equipment'!M$44)*
(VLOOKUP(IF('Fuel Equipment'!M$22=Report!$A$25,Report!$A$19,'Fuel Equipment'!M$22),Report!$A$18:$L$34,'Actual-CO2 Calculations'!$AK111,FALSE)),0),0)</f>
        <v>0</v>
      </c>
      <c r="N108" s="19">
        <f>IF(AND('Fuel Equipment'!N$44&gt;0,'Fuel Equipment'!N$45&gt;0),IF(AND($A108&gt;='Fuel Equipment'!N$17,$A108&lt;='Fuel Equipment'!N$18),('Fuel Equipment'!N$19*'Fuel Equipment'!N$20*'Fuel Equipment'!N$21)*('Fuel Equipment'!N$45-'Fuel Equipment'!N$44)*
(VLOOKUP(IF('Fuel Equipment'!N$22=Report!$A$25,Report!$A$19,'Fuel Equipment'!N$22),Report!$A$18:$L$34,'Actual-CO2 Calculations'!$AK111,FALSE)),0),0)</f>
        <v>0</v>
      </c>
      <c r="O108" s="19">
        <f>IF(AND('Fuel Equipment'!O$44&gt;0,'Fuel Equipment'!O$45&gt;0),IF(AND($A108&gt;='Fuel Equipment'!O$17,$A108&lt;='Fuel Equipment'!O$18),('Fuel Equipment'!O$19*'Fuel Equipment'!O$20*'Fuel Equipment'!O$21)*('Fuel Equipment'!O$45-'Fuel Equipment'!O$44)*
(VLOOKUP(IF('Fuel Equipment'!O$22=Report!$A$25,Report!$A$19,'Fuel Equipment'!O$22),Report!$A$18:$L$34,'Actual-CO2 Calculations'!$AK111,FALSE)),0),0)</f>
        <v>0</v>
      </c>
      <c r="P108" s="19">
        <f>IF(AND('Fuel Equipment'!P$44&gt;0,'Fuel Equipment'!P$45&gt;0),IF(AND($A108&gt;='Fuel Equipment'!P$17,$A108&lt;='Fuel Equipment'!P$18),('Fuel Equipment'!P$19*'Fuel Equipment'!P$20*'Fuel Equipment'!P$21)*('Fuel Equipment'!P$45-'Fuel Equipment'!P$44)*
(VLOOKUP(IF('Fuel Equipment'!P$22=Report!$A$25,Report!$A$19,'Fuel Equipment'!P$22),Report!$A$18:$L$34,'Actual-CO2 Calculations'!$AK111,FALSE)),0),0)</f>
        <v>0</v>
      </c>
      <c r="Q108" s="19">
        <f>IF(AND('Fuel Equipment'!Q$44&gt;0,'Fuel Equipment'!Q$45&gt;0),IF(AND($A108&gt;='Fuel Equipment'!Q$17,$A108&lt;='Fuel Equipment'!Q$18),('Fuel Equipment'!Q$19*'Fuel Equipment'!Q$20*'Fuel Equipment'!Q$21)*('Fuel Equipment'!Q$45-'Fuel Equipment'!Q$44)*
(VLOOKUP(IF('Fuel Equipment'!Q$22=Report!$A$25,Report!$A$19,'Fuel Equipment'!Q$22),Report!$A$18:$L$34,'Actual-CO2 Calculations'!$AK111,FALSE)),0),0)</f>
        <v>0</v>
      </c>
      <c r="R108" s="19">
        <f>IF(AND('Fuel Equipment'!R$44&gt;0,'Fuel Equipment'!R$45&gt;0),IF(AND($A108&gt;='Fuel Equipment'!R$17,$A108&lt;='Fuel Equipment'!R$18),('Fuel Equipment'!R$19*'Fuel Equipment'!R$20*'Fuel Equipment'!R$21)*('Fuel Equipment'!R$45-'Fuel Equipment'!R$44)*
(VLOOKUP(IF('Fuel Equipment'!R$22=Report!$A$25,Report!$A$19,'Fuel Equipment'!R$22),Report!$A$18:$L$34,'Actual-CO2 Calculations'!$AK111,FALSE)),0),0)</f>
        <v>0</v>
      </c>
      <c r="S108" s="19">
        <f>IF(AND('Fuel Equipment'!S$44&gt;0,'Fuel Equipment'!S$45&gt;0),IF(AND($A108&gt;='Fuel Equipment'!S$17,$A108&lt;='Fuel Equipment'!S$18),('Fuel Equipment'!S$19*'Fuel Equipment'!S$20*'Fuel Equipment'!S$21)*('Fuel Equipment'!S$45-'Fuel Equipment'!S$44)*
(VLOOKUP(IF('Fuel Equipment'!S$22=Report!$A$25,Report!$A$19,'Fuel Equipment'!S$22),Report!$A$18:$L$34,'Actual-CO2 Calculations'!$AK111,FALSE)),0),0)</f>
        <v>0</v>
      </c>
      <c r="V108" s="671">
        <f t="shared" si="1"/>
        <v>0</v>
      </c>
    </row>
    <row r="109" spans="1:22">
      <c r="A109" s="19" t="s">
        <v>990</v>
      </c>
      <c r="B109" s="19">
        <f>IF(AND('Fuel Equipment'!B$44&gt;0,'Fuel Equipment'!B$45&gt;0),IF(AND($A109&gt;='Fuel Equipment'!B$17,$A109&lt;='Fuel Equipment'!B$18),('Fuel Equipment'!B$19*'Fuel Equipment'!B$20*'Fuel Equipment'!B$21)*('Fuel Equipment'!B$45-'Fuel Equipment'!B$44)*
(VLOOKUP(IF('Fuel Equipment'!B$22=Report!$A$25,Report!$A$19,'Fuel Equipment'!B$22),Report!$A$18:$L$34,'Actual-CO2 Calculations'!$AK112,FALSE)),0),0)</f>
        <v>0</v>
      </c>
      <c r="C109" s="19">
        <f>IF(AND('Fuel Equipment'!C$44&gt;0,'Fuel Equipment'!C$45&gt;0),IF(AND($A109&gt;='Fuel Equipment'!C$17,$A109&lt;='Fuel Equipment'!C$18),('Fuel Equipment'!C$19*'Fuel Equipment'!C$20*'Fuel Equipment'!C$21)*('Fuel Equipment'!C$45-'Fuel Equipment'!C$44)*
(VLOOKUP(IF('Fuel Equipment'!C$22=Report!$A$25,Report!$A$19,'Fuel Equipment'!C$22),Report!$A$18:$L$34,'Actual-CO2 Calculations'!$AK112,FALSE)),0),0)</f>
        <v>0</v>
      </c>
      <c r="D109" s="19">
        <f>IF(AND('Fuel Equipment'!D$44&gt;0,'Fuel Equipment'!D$45&gt;0),IF(AND($A109&gt;='Fuel Equipment'!D$17,$A109&lt;='Fuel Equipment'!D$18),('Fuel Equipment'!D$19*'Fuel Equipment'!D$20*'Fuel Equipment'!D$21)*('Fuel Equipment'!D$45-'Fuel Equipment'!D$44)*
(VLOOKUP(IF('Fuel Equipment'!D$22=Report!$A$25,Report!$A$19,'Fuel Equipment'!D$22),Report!$A$18:$L$34,'Actual-CO2 Calculations'!$AK112,FALSE)),0),0)</f>
        <v>0</v>
      </c>
      <c r="E109" s="19">
        <f>IF(AND('Fuel Equipment'!E$44&gt;0,'Fuel Equipment'!E$45&gt;0),IF(AND($A109&gt;='Fuel Equipment'!E$17,$A109&lt;='Fuel Equipment'!E$18),('Fuel Equipment'!E$19*'Fuel Equipment'!E$20*'Fuel Equipment'!E$21)*('Fuel Equipment'!E$45-'Fuel Equipment'!E$44)*
(VLOOKUP(IF('Fuel Equipment'!E$22=Report!$A$25,Report!$A$19,'Fuel Equipment'!E$22),Report!$A$18:$L$34,'Actual-CO2 Calculations'!$AK112,FALSE)),0),0)</f>
        <v>0</v>
      </c>
      <c r="F109" s="19">
        <f>IF(AND('Fuel Equipment'!F$44&gt;0,'Fuel Equipment'!F$45&gt;0),IF(AND($A109&gt;='Fuel Equipment'!F$17,$A109&lt;='Fuel Equipment'!F$18),('Fuel Equipment'!F$19*'Fuel Equipment'!F$20*'Fuel Equipment'!F$21)*('Fuel Equipment'!F$45-'Fuel Equipment'!F$44)*
(VLOOKUP(IF('Fuel Equipment'!F$22=Report!$A$25,Report!$A$19,'Fuel Equipment'!F$22),Report!$A$18:$L$34,'Actual-CO2 Calculations'!$AK112,FALSE)),0),0)</f>
        <v>0</v>
      </c>
      <c r="G109" s="19">
        <f>IF(AND('Fuel Equipment'!G$44&gt;0,'Fuel Equipment'!G$45&gt;0),IF(AND($A109&gt;='Fuel Equipment'!G$17,$A109&lt;='Fuel Equipment'!G$18),('Fuel Equipment'!G$19*'Fuel Equipment'!G$20*'Fuel Equipment'!G$21)*('Fuel Equipment'!G$45-'Fuel Equipment'!G$44)*
(VLOOKUP(IF('Fuel Equipment'!G$22=Report!$A$25,Report!$A$19,'Fuel Equipment'!G$22),Report!$A$18:$L$34,'Actual-CO2 Calculations'!$AK112,FALSE)),0),0)</f>
        <v>0</v>
      </c>
      <c r="H109" s="19">
        <f>IF(AND('Fuel Equipment'!H$44&gt;0,'Fuel Equipment'!H$45&gt;0),IF(AND($A109&gt;='Fuel Equipment'!H$17,$A109&lt;='Fuel Equipment'!H$18),('Fuel Equipment'!H$19*'Fuel Equipment'!H$20*'Fuel Equipment'!H$21)*('Fuel Equipment'!H$45-'Fuel Equipment'!H$44)*
(VLOOKUP(IF('Fuel Equipment'!H$22=Report!$A$25,Report!$A$19,'Fuel Equipment'!H$22),Report!$A$18:$L$34,'Actual-CO2 Calculations'!$AK112,FALSE)),0),0)</f>
        <v>0</v>
      </c>
      <c r="I109" s="19">
        <f>IF(AND('Fuel Equipment'!I$44&gt;0,'Fuel Equipment'!I$45&gt;0),IF(AND($A109&gt;='Fuel Equipment'!I$17,$A109&lt;='Fuel Equipment'!I$18),('Fuel Equipment'!I$19*'Fuel Equipment'!I$20*'Fuel Equipment'!I$21)*('Fuel Equipment'!I$45-'Fuel Equipment'!I$44)*
(VLOOKUP(IF('Fuel Equipment'!I$22=Report!$A$25,Report!$A$19,'Fuel Equipment'!I$22),Report!$A$18:$L$34,'Actual-CO2 Calculations'!$AK112,FALSE)),0),0)</f>
        <v>0</v>
      </c>
      <c r="J109" s="19">
        <f>IF(AND('Fuel Equipment'!J$44&gt;0,'Fuel Equipment'!J$45&gt;0),IF(AND($A109&gt;='Fuel Equipment'!J$17,$A109&lt;='Fuel Equipment'!J$18),('Fuel Equipment'!J$19*'Fuel Equipment'!J$20*'Fuel Equipment'!J$21)*('Fuel Equipment'!J$45-'Fuel Equipment'!J$44)*
(VLOOKUP(IF('Fuel Equipment'!J$22=Report!$A$25,Report!$A$19,'Fuel Equipment'!J$22),Report!$A$18:$L$34,'Actual-CO2 Calculations'!$AK112,FALSE)),0),0)</f>
        <v>0</v>
      </c>
      <c r="K109" s="19">
        <f>IF(AND('Fuel Equipment'!K$44&gt;0,'Fuel Equipment'!K$45&gt;0),IF(AND($A109&gt;='Fuel Equipment'!K$17,$A109&lt;='Fuel Equipment'!K$18),('Fuel Equipment'!K$19*'Fuel Equipment'!K$20*'Fuel Equipment'!K$21)*('Fuel Equipment'!K$45-'Fuel Equipment'!K$44)*
(VLOOKUP(IF('Fuel Equipment'!K$22=Report!$A$25,Report!$A$19,'Fuel Equipment'!K$22),Report!$A$18:$L$34,'Actual-CO2 Calculations'!$AK112,FALSE)),0),0)</f>
        <v>0</v>
      </c>
      <c r="L109" s="19">
        <f>IF(AND('Fuel Equipment'!L$44&gt;0,'Fuel Equipment'!L$45&gt;0),IF(AND($A109&gt;='Fuel Equipment'!L$17,$A109&lt;='Fuel Equipment'!L$18),('Fuel Equipment'!L$19*'Fuel Equipment'!L$20*'Fuel Equipment'!L$21)*('Fuel Equipment'!L$45-'Fuel Equipment'!L$44)*
(VLOOKUP(IF('Fuel Equipment'!L$22=Report!$A$25,Report!$A$19,'Fuel Equipment'!L$22),Report!$A$18:$L$34,'Actual-CO2 Calculations'!$AK112,FALSE)),0),0)</f>
        <v>0</v>
      </c>
      <c r="M109" s="19">
        <f>IF(AND('Fuel Equipment'!M$44&gt;0,'Fuel Equipment'!M$45&gt;0),IF(AND($A109&gt;='Fuel Equipment'!M$17,$A109&lt;='Fuel Equipment'!M$18),('Fuel Equipment'!M$19*'Fuel Equipment'!M$20*'Fuel Equipment'!M$21)*('Fuel Equipment'!M$45-'Fuel Equipment'!M$44)*
(VLOOKUP(IF('Fuel Equipment'!M$22=Report!$A$25,Report!$A$19,'Fuel Equipment'!M$22),Report!$A$18:$L$34,'Actual-CO2 Calculations'!$AK112,FALSE)),0),0)</f>
        <v>0</v>
      </c>
      <c r="N109" s="19">
        <f>IF(AND('Fuel Equipment'!N$44&gt;0,'Fuel Equipment'!N$45&gt;0),IF(AND($A109&gt;='Fuel Equipment'!N$17,$A109&lt;='Fuel Equipment'!N$18),('Fuel Equipment'!N$19*'Fuel Equipment'!N$20*'Fuel Equipment'!N$21)*('Fuel Equipment'!N$45-'Fuel Equipment'!N$44)*
(VLOOKUP(IF('Fuel Equipment'!N$22=Report!$A$25,Report!$A$19,'Fuel Equipment'!N$22),Report!$A$18:$L$34,'Actual-CO2 Calculations'!$AK112,FALSE)),0),0)</f>
        <v>0</v>
      </c>
      <c r="O109" s="19">
        <f>IF(AND('Fuel Equipment'!O$44&gt;0,'Fuel Equipment'!O$45&gt;0),IF(AND($A109&gt;='Fuel Equipment'!O$17,$A109&lt;='Fuel Equipment'!O$18),('Fuel Equipment'!O$19*'Fuel Equipment'!O$20*'Fuel Equipment'!O$21)*('Fuel Equipment'!O$45-'Fuel Equipment'!O$44)*
(VLOOKUP(IF('Fuel Equipment'!O$22=Report!$A$25,Report!$A$19,'Fuel Equipment'!O$22),Report!$A$18:$L$34,'Actual-CO2 Calculations'!$AK112,FALSE)),0),0)</f>
        <v>0</v>
      </c>
      <c r="P109" s="19">
        <f>IF(AND('Fuel Equipment'!P$44&gt;0,'Fuel Equipment'!P$45&gt;0),IF(AND($A109&gt;='Fuel Equipment'!P$17,$A109&lt;='Fuel Equipment'!P$18),('Fuel Equipment'!P$19*'Fuel Equipment'!P$20*'Fuel Equipment'!P$21)*('Fuel Equipment'!P$45-'Fuel Equipment'!P$44)*
(VLOOKUP(IF('Fuel Equipment'!P$22=Report!$A$25,Report!$A$19,'Fuel Equipment'!P$22),Report!$A$18:$L$34,'Actual-CO2 Calculations'!$AK112,FALSE)),0),0)</f>
        <v>0</v>
      </c>
      <c r="Q109" s="19">
        <f>IF(AND('Fuel Equipment'!Q$44&gt;0,'Fuel Equipment'!Q$45&gt;0),IF(AND($A109&gt;='Fuel Equipment'!Q$17,$A109&lt;='Fuel Equipment'!Q$18),('Fuel Equipment'!Q$19*'Fuel Equipment'!Q$20*'Fuel Equipment'!Q$21)*('Fuel Equipment'!Q$45-'Fuel Equipment'!Q$44)*
(VLOOKUP(IF('Fuel Equipment'!Q$22=Report!$A$25,Report!$A$19,'Fuel Equipment'!Q$22),Report!$A$18:$L$34,'Actual-CO2 Calculations'!$AK112,FALSE)),0),0)</f>
        <v>0</v>
      </c>
      <c r="R109" s="19">
        <f>IF(AND('Fuel Equipment'!R$44&gt;0,'Fuel Equipment'!R$45&gt;0),IF(AND($A109&gt;='Fuel Equipment'!R$17,$A109&lt;='Fuel Equipment'!R$18),('Fuel Equipment'!R$19*'Fuel Equipment'!R$20*'Fuel Equipment'!R$21)*('Fuel Equipment'!R$45-'Fuel Equipment'!R$44)*
(VLOOKUP(IF('Fuel Equipment'!R$22=Report!$A$25,Report!$A$19,'Fuel Equipment'!R$22),Report!$A$18:$L$34,'Actual-CO2 Calculations'!$AK112,FALSE)),0),0)</f>
        <v>0</v>
      </c>
      <c r="S109" s="19">
        <f>IF(AND('Fuel Equipment'!S$44&gt;0,'Fuel Equipment'!S$45&gt;0),IF(AND($A109&gt;='Fuel Equipment'!S$17,$A109&lt;='Fuel Equipment'!S$18),('Fuel Equipment'!S$19*'Fuel Equipment'!S$20*'Fuel Equipment'!S$21)*('Fuel Equipment'!S$45-'Fuel Equipment'!S$44)*
(VLOOKUP(IF('Fuel Equipment'!S$22=Report!$A$25,Report!$A$19,'Fuel Equipment'!S$22),Report!$A$18:$L$34,'Actual-CO2 Calculations'!$AK112,FALSE)),0),0)</f>
        <v>0</v>
      </c>
      <c r="V109" s="671">
        <f t="shared" si="1"/>
        <v>0</v>
      </c>
    </row>
    <row r="110" spans="1:22">
      <c r="A110" s="19" t="s">
        <v>991</v>
      </c>
      <c r="B110" s="19">
        <f>IF(AND('Fuel Equipment'!B$44&gt;0,'Fuel Equipment'!B$45&gt;0),IF(AND($A110&gt;='Fuel Equipment'!B$17,$A110&lt;='Fuel Equipment'!B$18),('Fuel Equipment'!B$19*'Fuel Equipment'!B$20*'Fuel Equipment'!B$21)*('Fuel Equipment'!B$45-'Fuel Equipment'!B$44)*
(VLOOKUP(IF('Fuel Equipment'!B$22=Report!$A$25,Report!$A$19,'Fuel Equipment'!B$22),Report!$A$18:$L$34,'Actual-CO2 Calculations'!$AK113,FALSE)),0),0)</f>
        <v>0</v>
      </c>
      <c r="C110" s="19">
        <f>IF(AND('Fuel Equipment'!C$44&gt;0,'Fuel Equipment'!C$45&gt;0),IF(AND($A110&gt;='Fuel Equipment'!C$17,$A110&lt;='Fuel Equipment'!C$18),('Fuel Equipment'!C$19*'Fuel Equipment'!C$20*'Fuel Equipment'!C$21)*('Fuel Equipment'!C$45-'Fuel Equipment'!C$44)*
(VLOOKUP(IF('Fuel Equipment'!C$22=Report!$A$25,Report!$A$19,'Fuel Equipment'!C$22),Report!$A$18:$L$34,'Actual-CO2 Calculations'!$AK113,FALSE)),0),0)</f>
        <v>0</v>
      </c>
      <c r="D110" s="19">
        <f>IF(AND('Fuel Equipment'!D$44&gt;0,'Fuel Equipment'!D$45&gt;0),IF(AND($A110&gt;='Fuel Equipment'!D$17,$A110&lt;='Fuel Equipment'!D$18),('Fuel Equipment'!D$19*'Fuel Equipment'!D$20*'Fuel Equipment'!D$21)*('Fuel Equipment'!D$45-'Fuel Equipment'!D$44)*
(VLOOKUP(IF('Fuel Equipment'!D$22=Report!$A$25,Report!$A$19,'Fuel Equipment'!D$22),Report!$A$18:$L$34,'Actual-CO2 Calculations'!$AK113,FALSE)),0),0)</f>
        <v>0</v>
      </c>
      <c r="E110" s="19">
        <f>IF(AND('Fuel Equipment'!E$44&gt;0,'Fuel Equipment'!E$45&gt;0),IF(AND($A110&gt;='Fuel Equipment'!E$17,$A110&lt;='Fuel Equipment'!E$18),('Fuel Equipment'!E$19*'Fuel Equipment'!E$20*'Fuel Equipment'!E$21)*('Fuel Equipment'!E$45-'Fuel Equipment'!E$44)*
(VLOOKUP(IF('Fuel Equipment'!E$22=Report!$A$25,Report!$A$19,'Fuel Equipment'!E$22),Report!$A$18:$L$34,'Actual-CO2 Calculations'!$AK113,FALSE)),0),0)</f>
        <v>0</v>
      </c>
      <c r="F110" s="19">
        <f>IF(AND('Fuel Equipment'!F$44&gt;0,'Fuel Equipment'!F$45&gt;0),IF(AND($A110&gt;='Fuel Equipment'!F$17,$A110&lt;='Fuel Equipment'!F$18),('Fuel Equipment'!F$19*'Fuel Equipment'!F$20*'Fuel Equipment'!F$21)*('Fuel Equipment'!F$45-'Fuel Equipment'!F$44)*
(VLOOKUP(IF('Fuel Equipment'!F$22=Report!$A$25,Report!$A$19,'Fuel Equipment'!F$22),Report!$A$18:$L$34,'Actual-CO2 Calculations'!$AK113,FALSE)),0),0)</f>
        <v>0</v>
      </c>
      <c r="G110" s="19">
        <f>IF(AND('Fuel Equipment'!G$44&gt;0,'Fuel Equipment'!G$45&gt;0),IF(AND($A110&gt;='Fuel Equipment'!G$17,$A110&lt;='Fuel Equipment'!G$18),('Fuel Equipment'!G$19*'Fuel Equipment'!G$20*'Fuel Equipment'!G$21)*('Fuel Equipment'!G$45-'Fuel Equipment'!G$44)*
(VLOOKUP(IF('Fuel Equipment'!G$22=Report!$A$25,Report!$A$19,'Fuel Equipment'!G$22),Report!$A$18:$L$34,'Actual-CO2 Calculations'!$AK113,FALSE)),0),0)</f>
        <v>0</v>
      </c>
      <c r="H110" s="19">
        <f>IF(AND('Fuel Equipment'!H$44&gt;0,'Fuel Equipment'!H$45&gt;0),IF(AND($A110&gt;='Fuel Equipment'!H$17,$A110&lt;='Fuel Equipment'!H$18),('Fuel Equipment'!H$19*'Fuel Equipment'!H$20*'Fuel Equipment'!H$21)*('Fuel Equipment'!H$45-'Fuel Equipment'!H$44)*
(VLOOKUP(IF('Fuel Equipment'!H$22=Report!$A$25,Report!$A$19,'Fuel Equipment'!H$22),Report!$A$18:$L$34,'Actual-CO2 Calculations'!$AK113,FALSE)),0),0)</f>
        <v>0</v>
      </c>
      <c r="I110" s="19">
        <f>IF(AND('Fuel Equipment'!I$44&gt;0,'Fuel Equipment'!I$45&gt;0),IF(AND($A110&gt;='Fuel Equipment'!I$17,$A110&lt;='Fuel Equipment'!I$18),('Fuel Equipment'!I$19*'Fuel Equipment'!I$20*'Fuel Equipment'!I$21)*('Fuel Equipment'!I$45-'Fuel Equipment'!I$44)*
(VLOOKUP(IF('Fuel Equipment'!I$22=Report!$A$25,Report!$A$19,'Fuel Equipment'!I$22),Report!$A$18:$L$34,'Actual-CO2 Calculations'!$AK113,FALSE)),0),0)</f>
        <v>0</v>
      </c>
      <c r="J110" s="19">
        <f>IF(AND('Fuel Equipment'!J$44&gt;0,'Fuel Equipment'!J$45&gt;0),IF(AND($A110&gt;='Fuel Equipment'!J$17,$A110&lt;='Fuel Equipment'!J$18),('Fuel Equipment'!J$19*'Fuel Equipment'!J$20*'Fuel Equipment'!J$21)*('Fuel Equipment'!J$45-'Fuel Equipment'!J$44)*
(VLOOKUP(IF('Fuel Equipment'!J$22=Report!$A$25,Report!$A$19,'Fuel Equipment'!J$22),Report!$A$18:$L$34,'Actual-CO2 Calculations'!$AK113,FALSE)),0),0)</f>
        <v>0</v>
      </c>
      <c r="K110" s="19">
        <f>IF(AND('Fuel Equipment'!K$44&gt;0,'Fuel Equipment'!K$45&gt;0),IF(AND($A110&gt;='Fuel Equipment'!K$17,$A110&lt;='Fuel Equipment'!K$18),('Fuel Equipment'!K$19*'Fuel Equipment'!K$20*'Fuel Equipment'!K$21)*('Fuel Equipment'!K$45-'Fuel Equipment'!K$44)*
(VLOOKUP(IF('Fuel Equipment'!K$22=Report!$A$25,Report!$A$19,'Fuel Equipment'!K$22),Report!$A$18:$L$34,'Actual-CO2 Calculations'!$AK113,FALSE)),0),0)</f>
        <v>0</v>
      </c>
      <c r="L110" s="19">
        <f>IF(AND('Fuel Equipment'!L$44&gt;0,'Fuel Equipment'!L$45&gt;0),IF(AND($A110&gt;='Fuel Equipment'!L$17,$A110&lt;='Fuel Equipment'!L$18),('Fuel Equipment'!L$19*'Fuel Equipment'!L$20*'Fuel Equipment'!L$21)*('Fuel Equipment'!L$45-'Fuel Equipment'!L$44)*
(VLOOKUP(IF('Fuel Equipment'!L$22=Report!$A$25,Report!$A$19,'Fuel Equipment'!L$22),Report!$A$18:$L$34,'Actual-CO2 Calculations'!$AK113,FALSE)),0),0)</f>
        <v>0</v>
      </c>
      <c r="M110" s="19">
        <f>IF(AND('Fuel Equipment'!M$44&gt;0,'Fuel Equipment'!M$45&gt;0),IF(AND($A110&gt;='Fuel Equipment'!M$17,$A110&lt;='Fuel Equipment'!M$18),('Fuel Equipment'!M$19*'Fuel Equipment'!M$20*'Fuel Equipment'!M$21)*('Fuel Equipment'!M$45-'Fuel Equipment'!M$44)*
(VLOOKUP(IF('Fuel Equipment'!M$22=Report!$A$25,Report!$A$19,'Fuel Equipment'!M$22),Report!$A$18:$L$34,'Actual-CO2 Calculations'!$AK113,FALSE)),0),0)</f>
        <v>0</v>
      </c>
      <c r="N110" s="19">
        <f>IF(AND('Fuel Equipment'!N$44&gt;0,'Fuel Equipment'!N$45&gt;0),IF(AND($A110&gt;='Fuel Equipment'!N$17,$A110&lt;='Fuel Equipment'!N$18),('Fuel Equipment'!N$19*'Fuel Equipment'!N$20*'Fuel Equipment'!N$21)*('Fuel Equipment'!N$45-'Fuel Equipment'!N$44)*
(VLOOKUP(IF('Fuel Equipment'!N$22=Report!$A$25,Report!$A$19,'Fuel Equipment'!N$22),Report!$A$18:$L$34,'Actual-CO2 Calculations'!$AK113,FALSE)),0),0)</f>
        <v>0</v>
      </c>
      <c r="O110" s="19">
        <f>IF(AND('Fuel Equipment'!O$44&gt;0,'Fuel Equipment'!O$45&gt;0),IF(AND($A110&gt;='Fuel Equipment'!O$17,$A110&lt;='Fuel Equipment'!O$18),('Fuel Equipment'!O$19*'Fuel Equipment'!O$20*'Fuel Equipment'!O$21)*('Fuel Equipment'!O$45-'Fuel Equipment'!O$44)*
(VLOOKUP(IF('Fuel Equipment'!O$22=Report!$A$25,Report!$A$19,'Fuel Equipment'!O$22),Report!$A$18:$L$34,'Actual-CO2 Calculations'!$AK113,FALSE)),0),0)</f>
        <v>0</v>
      </c>
      <c r="P110" s="19">
        <f>IF(AND('Fuel Equipment'!P$44&gt;0,'Fuel Equipment'!P$45&gt;0),IF(AND($A110&gt;='Fuel Equipment'!P$17,$A110&lt;='Fuel Equipment'!P$18),('Fuel Equipment'!P$19*'Fuel Equipment'!P$20*'Fuel Equipment'!P$21)*('Fuel Equipment'!P$45-'Fuel Equipment'!P$44)*
(VLOOKUP(IF('Fuel Equipment'!P$22=Report!$A$25,Report!$A$19,'Fuel Equipment'!P$22),Report!$A$18:$L$34,'Actual-CO2 Calculations'!$AK113,FALSE)),0),0)</f>
        <v>0</v>
      </c>
      <c r="Q110" s="19">
        <f>IF(AND('Fuel Equipment'!Q$44&gt;0,'Fuel Equipment'!Q$45&gt;0),IF(AND($A110&gt;='Fuel Equipment'!Q$17,$A110&lt;='Fuel Equipment'!Q$18),('Fuel Equipment'!Q$19*'Fuel Equipment'!Q$20*'Fuel Equipment'!Q$21)*('Fuel Equipment'!Q$45-'Fuel Equipment'!Q$44)*
(VLOOKUP(IF('Fuel Equipment'!Q$22=Report!$A$25,Report!$A$19,'Fuel Equipment'!Q$22),Report!$A$18:$L$34,'Actual-CO2 Calculations'!$AK113,FALSE)),0),0)</f>
        <v>0</v>
      </c>
      <c r="R110" s="19">
        <f>IF(AND('Fuel Equipment'!R$44&gt;0,'Fuel Equipment'!R$45&gt;0),IF(AND($A110&gt;='Fuel Equipment'!R$17,$A110&lt;='Fuel Equipment'!R$18),('Fuel Equipment'!R$19*'Fuel Equipment'!R$20*'Fuel Equipment'!R$21)*('Fuel Equipment'!R$45-'Fuel Equipment'!R$44)*
(VLOOKUP(IF('Fuel Equipment'!R$22=Report!$A$25,Report!$A$19,'Fuel Equipment'!R$22),Report!$A$18:$L$34,'Actual-CO2 Calculations'!$AK113,FALSE)),0),0)</f>
        <v>0</v>
      </c>
      <c r="S110" s="19">
        <f>IF(AND('Fuel Equipment'!S$44&gt;0,'Fuel Equipment'!S$45&gt;0),IF(AND($A110&gt;='Fuel Equipment'!S$17,$A110&lt;='Fuel Equipment'!S$18),('Fuel Equipment'!S$19*'Fuel Equipment'!S$20*'Fuel Equipment'!S$21)*('Fuel Equipment'!S$45-'Fuel Equipment'!S$44)*
(VLOOKUP(IF('Fuel Equipment'!S$22=Report!$A$25,Report!$A$19,'Fuel Equipment'!S$22),Report!$A$18:$L$34,'Actual-CO2 Calculations'!$AK113,FALSE)),0),0)</f>
        <v>0</v>
      </c>
      <c r="V110" s="671">
        <f t="shared" si="1"/>
        <v>0</v>
      </c>
    </row>
    <row r="111" spans="1:22">
      <c r="A111" s="19" t="s">
        <v>992</v>
      </c>
      <c r="B111" s="19">
        <f>IF(AND('Fuel Equipment'!B$44&gt;0,'Fuel Equipment'!B$45&gt;0),IF(AND($A111&gt;='Fuel Equipment'!B$17,$A111&lt;='Fuel Equipment'!B$18),('Fuel Equipment'!B$19*'Fuel Equipment'!B$20*'Fuel Equipment'!B$21)*('Fuel Equipment'!B$45-'Fuel Equipment'!B$44)*
(VLOOKUP(IF('Fuel Equipment'!B$22=Report!$A$25,Report!$A$19,'Fuel Equipment'!B$22),Report!$A$18:$L$34,'Actual-CO2 Calculations'!$AK114,FALSE)),0),0)</f>
        <v>0</v>
      </c>
      <c r="C111" s="19">
        <f>IF(AND('Fuel Equipment'!C$44&gt;0,'Fuel Equipment'!C$45&gt;0),IF(AND($A111&gt;='Fuel Equipment'!C$17,$A111&lt;='Fuel Equipment'!C$18),('Fuel Equipment'!C$19*'Fuel Equipment'!C$20*'Fuel Equipment'!C$21)*('Fuel Equipment'!C$45-'Fuel Equipment'!C$44)*
(VLOOKUP(IF('Fuel Equipment'!C$22=Report!$A$25,Report!$A$19,'Fuel Equipment'!C$22),Report!$A$18:$L$34,'Actual-CO2 Calculations'!$AK114,FALSE)),0),0)</f>
        <v>0</v>
      </c>
      <c r="D111" s="19">
        <f>IF(AND('Fuel Equipment'!D$44&gt;0,'Fuel Equipment'!D$45&gt;0),IF(AND($A111&gt;='Fuel Equipment'!D$17,$A111&lt;='Fuel Equipment'!D$18),('Fuel Equipment'!D$19*'Fuel Equipment'!D$20*'Fuel Equipment'!D$21)*('Fuel Equipment'!D$45-'Fuel Equipment'!D$44)*
(VLOOKUP(IF('Fuel Equipment'!D$22=Report!$A$25,Report!$A$19,'Fuel Equipment'!D$22),Report!$A$18:$L$34,'Actual-CO2 Calculations'!$AK114,FALSE)),0),0)</f>
        <v>0</v>
      </c>
      <c r="E111" s="19">
        <f>IF(AND('Fuel Equipment'!E$44&gt;0,'Fuel Equipment'!E$45&gt;0),IF(AND($A111&gt;='Fuel Equipment'!E$17,$A111&lt;='Fuel Equipment'!E$18),('Fuel Equipment'!E$19*'Fuel Equipment'!E$20*'Fuel Equipment'!E$21)*('Fuel Equipment'!E$45-'Fuel Equipment'!E$44)*
(VLOOKUP(IF('Fuel Equipment'!E$22=Report!$A$25,Report!$A$19,'Fuel Equipment'!E$22),Report!$A$18:$L$34,'Actual-CO2 Calculations'!$AK114,FALSE)),0),0)</f>
        <v>0</v>
      </c>
      <c r="F111" s="19">
        <f>IF(AND('Fuel Equipment'!F$44&gt;0,'Fuel Equipment'!F$45&gt;0),IF(AND($A111&gt;='Fuel Equipment'!F$17,$A111&lt;='Fuel Equipment'!F$18),('Fuel Equipment'!F$19*'Fuel Equipment'!F$20*'Fuel Equipment'!F$21)*('Fuel Equipment'!F$45-'Fuel Equipment'!F$44)*
(VLOOKUP(IF('Fuel Equipment'!F$22=Report!$A$25,Report!$A$19,'Fuel Equipment'!F$22),Report!$A$18:$L$34,'Actual-CO2 Calculations'!$AK114,FALSE)),0),0)</f>
        <v>0</v>
      </c>
      <c r="G111" s="19">
        <f>IF(AND('Fuel Equipment'!G$44&gt;0,'Fuel Equipment'!G$45&gt;0),IF(AND($A111&gt;='Fuel Equipment'!G$17,$A111&lt;='Fuel Equipment'!G$18),('Fuel Equipment'!G$19*'Fuel Equipment'!G$20*'Fuel Equipment'!G$21)*('Fuel Equipment'!G$45-'Fuel Equipment'!G$44)*
(VLOOKUP(IF('Fuel Equipment'!G$22=Report!$A$25,Report!$A$19,'Fuel Equipment'!G$22),Report!$A$18:$L$34,'Actual-CO2 Calculations'!$AK114,FALSE)),0),0)</f>
        <v>0</v>
      </c>
      <c r="H111" s="19">
        <f>IF(AND('Fuel Equipment'!H$44&gt;0,'Fuel Equipment'!H$45&gt;0),IF(AND($A111&gt;='Fuel Equipment'!H$17,$A111&lt;='Fuel Equipment'!H$18),('Fuel Equipment'!H$19*'Fuel Equipment'!H$20*'Fuel Equipment'!H$21)*('Fuel Equipment'!H$45-'Fuel Equipment'!H$44)*
(VLOOKUP(IF('Fuel Equipment'!H$22=Report!$A$25,Report!$A$19,'Fuel Equipment'!H$22),Report!$A$18:$L$34,'Actual-CO2 Calculations'!$AK114,FALSE)),0),0)</f>
        <v>0</v>
      </c>
      <c r="I111" s="19">
        <f>IF(AND('Fuel Equipment'!I$44&gt;0,'Fuel Equipment'!I$45&gt;0),IF(AND($A111&gt;='Fuel Equipment'!I$17,$A111&lt;='Fuel Equipment'!I$18),('Fuel Equipment'!I$19*'Fuel Equipment'!I$20*'Fuel Equipment'!I$21)*('Fuel Equipment'!I$45-'Fuel Equipment'!I$44)*
(VLOOKUP(IF('Fuel Equipment'!I$22=Report!$A$25,Report!$A$19,'Fuel Equipment'!I$22),Report!$A$18:$L$34,'Actual-CO2 Calculations'!$AK114,FALSE)),0),0)</f>
        <v>0</v>
      </c>
      <c r="J111" s="19">
        <f>IF(AND('Fuel Equipment'!J$44&gt;0,'Fuel Equipment'!J$45&gt;0),IF(AND($A111&gt;='Fuel Equipment'!J$17,$A111&lt;='Fuel Equipment'!J$18),('Fuel Equipment'!J$19*'Fuel Equipment'!J$20*'Fuel Equipment'!J$21)*('Fuel Equipment'!J$45-'Fuel Equipment'!J$44)*
(VLOOKUP(IF('Fuel Equipment'!J$22=Report!$A$25,Report!$A$19,'Fuel Equipment'!J$22),Report!$A$18:$L$34,'Actual-CO2 Calculations'!$AK114,FALSE)),0),0)</f>
        <v>0</v>
      </c>
      <c r="K111" s="19">
        <f>IF(AND('Fuel Equipment'!K$44&gt;0,'Fuel Equipment'!K$45&gt;0),IF(AND($A111&gt;='Fuel Equipment'!K$17,$A111&lt;='Fuel Equipment'!K$18),('Fuel Equipment'!K$19*'Fuel Equipment'!K$20*'Fuel Equipment'!K$21)*('Fuel Equipment'!K$45-'Fuel Equipment'!K$44)*
(VLOOKUP(IF('Fuel Equipment'!K$22=Report!$A$25,Report!$A$19,'Fuel Equipment'!K$22),Report!$A$18:$L$34,'Actual-CO2 Calculations'!$AK114,FALSE)),0),0)</f>
        <v>0</v>
      </c>
      <c r="L111" s="19">
        <f>IF(AND('Fuel Equipment'!L$44&gt;0,'Fuel Equipment'!L$45&gt;0),IF(AND($A111&gt;='Fuel Equipment'!L$17,$A111&lt;='Fuel Equipment'!L$18),('Fuel Equipment'!L$19*'Fuel Equipment'!L$20*'Fuel Equipment'!L$21)*('Fuel Equipment'!L$45-'Fuel Equipment'!L$44)*
(VLOOKUP(IF('Fuel Equipment'!L$22=Report!$A$25,Report!$A$19,'Fuel Equipment'!L$22),Report!$A$18:$L$34,'Actual-CO2 Calculations'!$AK114,FALSE)),0),0)</f>
        <v>0</v>
      </c>
      <c r="M111" s="19">
        <f>IF(AND('Fuel Equipment'!M$44&gt;0,'Fuel Equipment'!M$45&gt;0),IF(AND($A111&gt;='Fuel Equipment'!M$17,$A111&lt;='Fuel Equipment'!M$18),('Fuel Equipment'!M$19*'Fuel Equipment'!M$20*'Fuel Equipment'!M$21)*('Fuel Equipment'!M$45-'Fuel Equipment'!M$44)*
(VLOOKUP(IF('Fuel Equipment'!M$22=Report!$A$25,Report!$A$19,'Fuel Equipment'!M$22),Report!$A$18:$L$34,'Actual-CO2 Calculations'!$AK114,FALSE)),0),0)</f>
        <v>0</v>
      </c>
      <c r="N111" s="19">
        <f>IF(AND('Fuel Equipment'!N$44&gt;0,'Fuel Equipment'!N$45&gt;0),IF(AND($A111&gt;='Fuel Equipment'!N$17,$A111&lt;='Fuel Equipment'!N$18),('Fuel Equipment'!N$19*'Fuel Equipment'!N$20*'Fuel Equipment'!N$21)*('Fuel Equipment'!N$45-'Fuel Equipment'!N$44)*
(VLOOKUP(IF('Fuel Equipment'!N$22=Report!$A$25,Report!$A$19,'Fuel Equipment'!N$22),Report!$A$18:$L$34,'Actual-CO2 Calculations'!$AK114,FALSE)),0),0)</f>
        <v>0</v>
      </c>
      <c r="O111" s="19">
        <f>IF(AND('Fuel Equipment'!O$44&gt;0,'Fuel Equipment'!O$45&gt;0),IF(AND($A111&gt;='Fuel Equipment'!O$17,$A111&lt;='Fuel Equipment'!O$18),('Fuel Equipment'!O$19*'Fuel Equipment'!O$20*'Fuel Equipment'!O$21)*('Fuel Equipment'!O$45-'Fuel Equipment'!O$44)*
(VLOOKUP(IF('Fuel Equipment'!O$22=Report!$A$25,Report!$A$19,'Fuel Equipment'!O$22),Report!$A$18:$L$34,'Actual-CO2 Calculations'!$AK114,FALSE)),0),0)</f>
        <v>0</v>
      </c>
      <c r="P111" s="19">
        <f>IF(AND('Fuel Equipment'!P$44&gt;0,'Fuel Equipment'!P$45&gt;0),IF(AND($A111&gt;='Fuel Equipment'!P$17,$A111&lt;='Fuel Equipment'!P$18),('Fuel Equipment'!P$19*'Fuel Equipment'!P$20*'Fuel Equipment'!P$21)*('Fuel Equipment'!P$45-'Fuel Equipment'!P$44)*
(VLOOKUP(IF('Fuel Equipment'!P$22=Report!$A$25,Report!$A$19,'Fuel Equipment'!P$22),Report!$A$18:$L$34,'Actual-CO2 Calculations'!$AK114,FALSE)),0),0)</f>
        <v>0</v>
      </c>
      <c r="Q111" s="19">
        <f>IF(AND('Fuel Equipment'!Q$44&gt;0,'Fuel Equipment'!Q$45&gt;0),IF(AND($A111&gt;='Fuel Equipment'!Q$17,$A111&lt;='Fuel Equipment'!Q$18),('Fuel Equipment'!Q$19*'Fuel Equipment'!Q$20*'Fuel Equipment'!Q$21)*('Fuel Equipment'!Q$45-'Fuel Equipment'!Q$44)*
(VLOOKUP(IF('Fuel Equipment'!Q$22=Report!$A$25,Report!$A$19,'Fuel Equipment'!Q$22),Report!$A$18:$L$34,'Actual-CO2 Calculations'!$AK114,FALSE)),0),0)</f>
        <v>0</v>
      </c>
      <c r="R111" s="19">
        <f>IF(AND('Fuel Equipment'!R$44&gt;0,'Fuel Equipment'!R$45&gt;0),IF(AND($A111&gt;='Fuel Equipment'!R$17,$A111&lt;='Fuel Equipment'!R$18),('Fuel Equipment'!R$19*'Fuel Equipment'!R$20*'Fuel Equipment'!R$21)*('Fuel Equipment'!R$45-'Fuel Equipment'!R$44)*
(VLOOKUP(IF('Fuel Equipment'!R$22=Report!$A$25,Report!$A$19,'Fuel Equipment'!R$22),Report!$A$18:$L$34,'Actual-CO2 Calculations'!$AK114,FALSE)),0),0)</f>
        <v>0</v>
      </c>
      <c r="S111" s="19">
        <f>IF(AND('Fuel Equipment'!S$44&gt;0,'Fuel Equipment'!S$45&gt;0),IF(AND($A111&gt;='Fuel Equipment'!S$17,$A111&lt;='Fuel Equipment'!S$18),('Fuel Equipment'!S$19*'Fuel Equipment'!S$20*'Fuel Equipment'!S$21)*('Fuel Equipment'!S$45-'Fuel Equipment'!S$44)*
(VLOOKUP(IF('Fuel Equipment'!S$22=Report!$A$25,Report!$A$19,'Fuel Equipment'!S$22),Report!$A$18:$L$34,'Actual-CO2 Calculations'!$AK114,FALSE)),0),0)</f>
        <v>0</v>
      </c>
      <c r="V111" s="671">
        <f t="shared" si="1"/>
        <v>0</v>
      </c>
    </row>
    <row r="112" spans="1:22">
      <c r="A112" s="19" t="s">
        <v>993</v>
      </c>
      <c r="B112" s="19">
        <f>IF(AND('Fuel Equipment'!B$44&gt;0,'Fuel Equipment'!B$45&gt;0),IF(AND($A112&gt;='Fuel Equipment'!B$17,$A112&lt;='Fuel Equipment'!B$18),('Fuel Equipment'!B$19*'Fuel Equipment'!B$20*'Fuel Equipment'!B$21)*('Fuel Equipment'!B$45-'Fuel Equipment'!B$44)*
(VLOOKUP(IF('Fuel Equipment'!B$22=Report!$A$25,Report!$A$19,'Fuel Equipment'!B$22),Report!$A$18:$L$34,'Actual-CO2 Calculations'!$AK115,FALSE)),0),0)</f>
        <v>0</v>
      </c>
      <c r="C112" s="19">
        <f>IF(AND('Fuel Equipment'!C$44&gt;0,'Fuel Equipment'!C$45&gt;0),IF(AND($A112&gt;='Fuel Equipment'!C$17,$A112&lt;='Fuel Equipment'!C$18),('Fuel Equipment'!C$19*'Fuel Equipment'!C$20*'Fuel Equipment'!C$21)*('Fuel Equipment'!C$45-'Fuel Equipment'!C$44)*
(VLOOKUP(IF('Fuel Equipment'!C$22=Report!$A$25,Report!$A$19,'Fuel Equipment'!C$22),Report!$A$18:$L$34,'Actual-CO2 Calculations'!$AK115,FALSE)),0),0)</f>
        <v>0</v>
      </c>
      <c r="D112" s="19">
        <f>IF(AND('Fuel Equipment'!D$44&gt;0,'Fuel Equipment'!D$45&gt;0),IF(AND($A112&gt;='Fuel Equipment'!D$17,$A112&lt;='Fuel Equipment'!D$18),('Fuel Equipment'!D$19*'Fuel Equipment'!D$20*'Fuel Equipment'!D$21)*('Fuel Equipment'!D$45-'Fuel Equipment'!D$44)*
(VLOOKUP(IF('Fuel Equipment'!D$22=Report!$A$25,Report!$A$19,'Fuel Equipment'!D$22),Report!$A$18:$L$34,'Actual-CO2 Calculations'!$AK115,FALSE)),0),0)</f>
        <v>0</v>
      </c>
      <c r="E112" s="19">
        <f>IF(AND('Fuel Equipment'!E$44&gt;0,'Fuel Equipment'!E$45&gt;0),IF(AND($A112&gt;='Fuel Equipment'!E$17,$A112&lt;='Fuel Equipment'!E$18),('Fuel Equipment'!E$19*'Fuel Equipment'!E$20*'Fuel Equipment'!E$21)*('Fuel Equipment'!E$45-'Fuel Equipment'!E$44)*
(VLOOKUP(IF('Fuel Equipment'!E$22=Report!$A$25,Report!$A$19,'Fuel Equipment'!E$22),Report!$A$18:$L$34,'Actual-CO2 Calculations'!$AK115,FALSE)),0),0)</f>
        <v>0</v>
      </c>
      <c r="F112" s="19">
        <f>IF(AND('Fuel Equipment'!F$44&gt;0,'Fuel Equipment'!F$45&gt;0),IF(AND($A112&gt;='Fuel Equipment'!F$17,$A112&lt;='Fuel Equipment'!F$18),('Fuel Equipment'!F$19*'Fuel Equipment'!F$20*'Fuel Equipment'!F$21)*('Fuel Equipment'!F$45-'Fuel Equipment'!F$44)*
(VLOOKUP(IF('Fuel Equipment'!F$22=Report!$A$25,Report!$A$19,'Fuel Equipment'!F$22),Report!$A$18:$L$34,'Actual-CO2 Calculations'!$AK115,FALSE)),0),0)</f>
        <v>0</v>
      </c>
      <c r="G112" s="19">
        <f>IF(AND('Fuel Equipment'!G$44&gt;0,'Fuel Equipment'!G$45&gt;0),IF(AND($A112&gt;='Fuel Equipment'!G$17,$A112&lt;='Fuel Equipment'!G$18),('Fuel Equipment'!G$19*'Fuel Equipment'!G$20*'Fuel Equipment'!G$21)*('Fuel Equipment'!G$45-'Fuel Equipment'!G$44)*
(VLOOKUP(IF('Fuel Equipment'!G$22=Report!$A$25,Report!$A$19,'Fuel Equipment'!G$22),Report!$A$18:$L$34,'Actual-CO2 Calculations'!$AK115,FALSE)),0),0)</f>
        <v>0</v>
      </c>
      <c r="H112" s="19">
        <f>IF(AND('Fuel Equipment'!H$44&gt;0,'Fuel Equipment'!H$45&gt;0),IF(AND($A112&gt;='Fuel Equipment'!H$17,$A112&lt;='Fuel Equipment'!H$18),('Fuel Equipment'!H$19*'Fuel Equipment'!H$20*'Fuel Equipment'!H$21)*('Fuel Equipment'!H$45-'Fuel Equipment'!H$44)*
(VLOOKUP(IF('Fuel Equipment'!H$22=Report!$A$25,Report!$A$19,'Fuel Equipment'!H$22),Report!$A$18:$L$34,'Actual-CO2 Calculations'!$AK115,FALSE)),0),0)</f>
        <v>0</v>
      </c>
      <c r="I112" s="19">
        <f>IF(AND('Fuel Equipment'!I$44&gt;0,'Fuel Equipment'!I$45&gt;0),IF(AND($A112&gt;='Fuel Equipment'!I$17,$A112&lt;='Fuel Equipment'!I$18),('Fuel Equipment'!I$19*'Fuel Equipment'!I$20*'Fuel Equipment'!I$21)*('Fuel Equipment'!I$45-'Fuel Equipment'!I$44)*
(VLOOKUP(IF('Fuel Equipment'!I$22=Report!$A$25,Report!$A$19,'Fuel Equipment'!I$22),Report!$A$18:$L$34,'Actual-CO2 Calculations'!$AK115,FALSE)),0),0)</f>
        <v>0</v>
      </c>
      <c r="J112" s="19">
        <f>IF(AND('Fuel Equipment'!J$44&gt;0,'Fuel Equipment'!J$45&gt;0),IF(AND($A112&gt;='Fuel Equipment'!J$17,$A112&lt;='Fuel Equipment'!J$18),('Fuel Equipment'!J$19*'Fuel Equipment'!J$20*'Fuel Equipment'!J$21)*('Fuel Equipment'!J$45-'Fuel Equipment'!J$44)*
(VLOOKUP(IF('Fuel Equipment'!J$22=Report!$A$25,Report!$A$19,'Fuel Equipment'!J$22),Report!$A$18:$L$34,'Actual-CO2 Calculations'!$AK115,FALSE)),0),0)</f>
        <v>0</v>
      </c>
      <c r="K112" s="19">
        <f>IF(AND('Fuel Equipment'!K$44&gt;0,'Fuel Equipment'!K$45&gt;0),IF(AND($A112&gt;='Fuel Equipment'!K$17,$A112&lt;='Fuel Equipment'!K$18),('Fuel Equipment'!K$19*'Fuel Equipment'!K$20*'Fuel Equipment'!K$21)*('Fuel Equipment'!K$45-'Fuel Equipment'!K$44)*
(VLOOKUP(IF('Fuel Equipment'!K$22=Report!$A$25,Report!$A$19,'Fuel Equipment'!K$22),Report!$A$18:$L$34,'Actual-CO2 Calculations'!$AK115,FALSE)),0),0)</f>
        <v>0</v>
      </c>
      <c r="L112" s="19">
        <f>IF(AND('Fuel Equipment'!L$44&gt;0,'Fuel Equipment'!L$45&gt;0),IF(AND($A112&gt;='Fuel Equipment'!L$17,$A112&lt;='Fuel Equipment'!L$18),('Fuel Equipment'!L$19*'Fuel Equipment'!L$20*'Fuel Equipment'!L$21)*('Fuel Equipment'!L$45-'Fuel Equipment'!L$44)*
(VLOOKUP(IF('Fuel Equipment'!L$22=Report!$A$25,Report!$A$19,'Fuel Equipment'!L$22),Report!$A$18:$L$34,'Actual-CO2 Calculations'!$AK115,FALSE)),0),0)</f>
        <v>0</v>
      </c>
      <c r="M112" s="19">
        <f>IF(AND('Fuel Equipment'!M$44&gt;0,'Fuel Equipment'!M$45&gt;0),IF(AND($A112&gt;='Fuel Equipment'!M$17,$A112&lt;='Fuel Equipment'!M$18),('Fuel Equipment'!M$19*'Fuel Equipment'!M$20*'Fuel Equipment'!M$21)*('Fuel Equipment'!M$45-'Fuel Equipment'!M$44)*
(VLOOKUP(IF('Fuel Equipment'!M$22=Report!$A$25,Report!$A$19,'Fuel Equipment'!M$22),Report!$A$18:$L$34,'Actual-CO2 Calculations'!$AK115,FALSE)),0),0)</f>
        <v>0</v>
      </c>
      <c r="N112" s="19">
        <f>IF(AND('Fuel Equipment'!N$44&gt;0,'Fuel Equipment'!N$45&gt;0),IF(AND($A112&gt;='Fuel Equipment'!N$17,$A112&lt;='Fuel Equipment'!N$18),('Fuel Equipment'!N$19*'Fuel Equipment'!N$20*'Fuel Equipment'!N$21)*('Fuel Equipment'!N$45-'Fuel Equipment'!N$44)*
(VLOOKUP(IF('Fuel Equipment'!N$22=Report!$A$25,Report!$A$19,'Fuel Equipment'!N$22),Report!$A$18:$L$34,'Actual-CO2 Calculations'!$AK115,FALSE)),0),0)</f>
        <v>0</v>
      </c>
      <c r="O112" s="19">
        <f>IF(AND('Fuel Equipment'!O$44&gt;0,'Fuel Equipment'!O$45&gt;0),IF(AND($A112&gt;='Fuel Equipment'!O$17,$A112&lt;='Fuel Equipment'!O$18),('Fuel Equipment'!O$19*'Fuel Equipment'!O$20*'Fuel Equipment'!O$21)*('Fuel Equipment'!O$45-'Fuel Equipment'!O$44)*
(VLOOKUP(IF('Fuel Equipment'!O$22=Report!$A$25,Report!$A$19,'Fuel Equipment'!O$22),Report!$A$18:$L$34,'Actual-CO2 Calculations'!$AK115,FALSE)),0),0)</f>
        <v>0</v>
      </c>
      <c r="P112" s="19">
        <f>IF(AND('Fuel Equipment'!P$44&gt;0,'Fuel Equipment'!P$45&gt;0),IF(AND($A112&gt;='Fuel Equipment'!P$17,$A112&lt;='Fuel Equipment'!P$18),('Fuel Equipment'!P$19*'Fuel Equipment'!P$20*'Fuel Equipment'!P$21)*('Fuel Equipment'!P$45-'Fuel Equipment'!P$44)*
(VLOOKUP(IF('Fuel Equipment'!P$22=Report!$A$25,Report!$A$19,'Fuel Equipment'!P$22),Report!$A$18:$L$34,'Actual-CO2 Calculations'!$AK115,FALSE)),0),0)</f>
        <v>0</v>
      </c>
      <c r="Q112" s="19">
        <f>IF(AND('Fuel Equipment'!Q$44&gt;0,'Fuel Equipment'!Q$45&gt;0),IF(AND($A112&gt;='Fuel Equipment'!Q$17,$A112&lt;='Fuel Equipment'!Q$18),('Fuel Equipment'!Q$19*'Fuel Equipment'!Q$20*'Fuel Equipment'!Q$21)*('Fuel Equipment'!Q$45-'Fuel Equipment'!Q$44)*
(VLOOKUP(IF('Fuel Equipment'!Q$22=Report!$A$25,Report!$A$19,'Fuel Equipment'!Q$22),Report!$A$18:$L$34,'Actual-CO2 Calculations'!$AK115,FALSE)),0),0)</f>
        <v>0</v>
      </c>
      <c r="R112" s="19">
        <f>IF(AND('Fuel Equipment'!R$44&gt;0,'Fuel Equipment'!R$45&gt;0),IF(AND($A112&gt;='Fuel Equipment'!R$17,$A112&lt;='Fuel Equipment'!R$18),('Fuel Equipment'!R$19*'Fuel Equipment'!R$20*'Fuel Equipment'!R$21)*('Fuel Equipment'!R$45-'Fuel Equipment'!R$44)*
(VLOOKUP(IF('Fuel Equipment'!R$22=Report!$A$25,Report!$A$19,'Fuel Equipment'!R$22),Report!$A$18:$L$34,'Actual-CO2 Calculations'!$AK115,FALSE)),0),0)</f>
        <v>0</v>
      </c>
      <c r="S112" s="19">
        <f>IF(AND('Fuel Equipment'!S$44&gt;0,'Fuel Equipment'!S$45&gt;0),IF(AND($A112&gt;='Fuel Equipment'!S$17,$A112&lt;='Fuel Equipment'!S$18),('Fuel Equipment'!S$19*'Fuel Equipment'!S$20*'Fuel Equipment'!S$21)*('Fuel Equipment'!S$45-'Fuel Equipment'!S$44)*
(VLOOKUP(IF('Fuel Equipment'!S$22=Report!$A$25,Report!$A$19,'Fuel Equipment'!S$22),Report!$A$18:$L$34,'Actual-CO2 Calculations'!$AK115,FALSE)),0),0)</f>
        <v>0</v>
      </c>
      <c r="V112" s="671">
        <f t="shared" si="1"/>
        <v>0</v>
      </c>
    </row>
    <row r="113" spans="1:22">
      <c r="A113" s="19" t="s">
        <v>994</v>
      </c>
      <c r="B113" s="19">
        <f>IF(AND('Fuel Equipment'!B$44&gt;0,'Fuel Equipment'!B$45&gt;0),IF(AND($A113&gt;='Fuel Equipment'!B$17,$A113&lt;='Fuel Equipment'!B$18),('Fuel Equipment'!B$19*'Fuel Equipment'!B$20*'Fuel Equipment'!B$21)*('Fuel Equipment'!B$45-'Fuel Equipment'!B$44)*
(VLOOKUP(IF('Fuel Equipment'!B$22=Report!$A$25,Report!$A$19,'Fuel Equipment'!B$22),Report!$A$18:$L$34,'Actual-CO2 Calculations'!$AK116,FALSE)),0),0)</f>
        <v>0</v>
      </c>
      <c r="C113" s="19">
        <f>IF(AND('Fuel Equipment'!C$44&gt;0,'Fuel Equipment'!C$45&gt;0),IF(AND($A113&gt;='Fuel Equipment'!C$17,$A113&lt;='Fuel Equipment'!C$18),('Fuel Equipment'!C$19*'Fuel Equipment'!C$20*'Fuel Equipment'!C$21)*('Fuel Equipment'!C$45-'Fuel Equipment'!C$44)*
(VLOOKUP(IF('Fuel Equipment'!C$22=Report!$A$25,Report!$A$19,'Fuel Equipment'!C$22),Report!$A$18:$L$34,'Actual-CO2 Calculations'!$AK116,FALSE)),0),0)</f>
        <v>0</v>
      </c>
      <c r="D113" s="19">
        <f>IF(AND('Fuel Equipment'!D$44&gt;0,'Fuel Equipment'!D$45&gt;0),IF(AND($A113&gt;='Fuel Equipment'!D$17,$A113&lt;='Fuel Equipment'!D$18),('Fuel Equipment'!D$19*'Fuel Equipment'!D$20*'Fuel Equipment'!D$21)*('Fuel Equipment'!D$45-'Fuel Equipment'!D$44)*
(VLOOKUP(IF('Fuel Equipment'!D$22=Report!$A$25,Report!$A$19,'Fuel Equipment'!D$22),Report!$A$18:$L$34,'Actual-CO2 Calculations'!$AK116,FALSE)),0),0)</f>
        <v>0</v>
      </c>
      <c r="E113" s="19">
        <f>IF(AND('Fuel Equipment'!E$44&gt;0,'Fuel Equipment'!E$45&gt;0),IF(AND($A113&gt;='Fuel Equipment'!E$17,$A113&lt;='Fuel Equipment'!E$18),('Fuel Equipment'!E$19*'Fuel Equipment'!E$20*'Fuel Equipment'!E$21)*('Fuel Equipment'!E$45-'Fuel Equipment'!E$44)*
(VLOOKUP(IF('Fuel Equipment'!E$22=Report!$A$25,Report!$A$19,'Fuel Equipment'!E$22),Report!$A$18:$L$34,'Actual-CO2 Calculations'!$AK116,FALSE)),0),0)</f>
        <v>0</v>
      </c>
      <c r="F113" s="19">
        <f>IF(AND('Fuel Equipment'!F$44&gt;0,'Fuel Equipment'!F$45&gt;0),IF(AND($A113&gt;='Fuel Equipment'!F$17,$A113&lt;='Fuel Equipment'!F$18),('Fuel Equipment'!F$19*'Fuel Equipment'!F$20*'Fuel Equipment'!F$21)*('Fuel Equipment'!F$45-'Fuel Equipment'!F$44)*
(VLOOKUP(IF('Fuel Equipment'!F$22=Report!$A$25,Report!$A$19,'Fuel Equipment'!F$22),Report!$A$18:$L$34,'Actual-CO2 Calculations'!$AK116,FALSE)),0),0)</f>
        <v>0</v>
      </c>
      <c r="G113" s="19">
        <f>IF(AND('Fuel Equipment'!G$44&gt;0,'Fuel Equipment'!G$45&gt;0),IF(AND($A113&gt;='Fuel Equipment'!G$17,$A113&lt;='Fuel Equipment'!G$18),('Fuel Equipment'!G$19*'Fuel Equipment'!G$20*'Fuel Equipment'!G$21)*('Fuel Equipment'!G$45-'Fuel Equipment'!G$44)*
(VLOOKUP(IF('Fuel Equipment'!G$22=Report!$A$25,Report!$A$19,'Fuel Equipment'!G$22),Report!$A$18:$L$34,'Actual-CO2 Calculations'!$AK116,FALSE)),0),0)</f>
        <v>0</v>
      </c>
      <c r="H113" s="19">
        <f>IF(AND('Fuel Equipment'!H$44&gt;0,'Fuel Equipment'!H$45&gt;0),IF(AND($A113&gt;='Fuel Equipment'!H$17,$A113&lt;='Fuel Equipment'!H$18),('Fuel Equipment'!H$19*'Fuel Equipment'!H$20*'Fuel Equipment'!H$21)*('Fuel Equipment'!H$45-'Fuel Equipment'!H$44)*
(VLOOKUP(IF('Fuel Equipment'!H$22=Report!$A$25,Report!$A$19,'Fuel Equipment'!H$22),Report!$A$18:$L$34,'Actual-CO2 Calculations'!$AK116,FALSE)),0),0)</f>
        <v>0</v>
      </c>
      <c r="I113" s="19">
        <f>IF(AND('Fuel Equipment'!I$44&gt;0,'Fuel Equipment'!I$45&gt;0),IF(AND($A113&gt;='Fuel Equipment'!I$17,$A113&lt;='Fuel Equipment'!I$18),('Fuel Equipment'!I$19*'Fuel Equipment'!I$20*'Fuel Equipment'!I$21)*('Fuel Equipment'!I$45-'Fuel Equipment'!I$44)*
(VLOOKUP(IF('Fuel Equipment'!I$22=Report!$A$25,Report!$A$19,'Fuel Equipment'!I$22),Report!$A$18:$L$34,'Actual-CO2 Calculations'!$AK116,FALSE)),0),0)</f>
        <v>0</v>
      </c>
      <c r="J113" s="19">
        <f>IF(AND('Fuel Equipment'!J$44&gt;0,'Fuel Equipment'!J$45&gt;0),IF(AND($A113&gt;='Fuel Equipment'!J$17,$A113&lt;='Fuel Equipment'!J$18),('Fuel Equipment'!J$19*'Fuel Equipment'!J$20*'Fuel Equipment'!J$21)*('Fuel Equipment'!J$45-'Fuel Equipment'!J$44)*
(VLOOKUP(IF('Fuel Equipment'!J$22=Report!$A$25,Report!$A$19,'Fuel Equipment'!J$22),Report!$A$18:$L$34,'Actual-CO2 Calculations'!$AK116,FALSE)),0),0)</f>
        <v>0</v>
      </c>
      <c r="K113" s="19">
        <f>IF(AND('Fuel Equipment'!K$44&gt;0,'Fuel Equipment'!K$45&gt;0),IF(AND($A113&gt;='Fuel Equipment'!K$17,$A113&lt;='Fuel Equipment'!K$18),('Fuel Equipment'!K$19*'Fuel Equipment'!K$20*'Fuel Equipment'!K$21)*('Fuel Equipment'!K$45-'Fuel Equipment'!K$44)*
(VLOOKUP(IF('Fuel Equipment'!K$22=Report!$A$25,Report!$A$19,'Fuel Equipment'!K$22),Report!$A$18:$L$34,'Actual-CO2 Calculations'!$AK116,FALSE)),0),0)</f>
        <v>0</v>
      </c>
      <c r="L113" s="19">
        <f>IF(AND('Fuel Equipment'!L$44&gt;0,'Fuel Equipment'!L$45&gt;0),IF(AND($A113&gt;='Fuel Equipment'!L$17,$A113&lt;='Fuel Equipment'!L$18),('Fuel Equipment'!L$19*'Fuel Equipment'!L$20*'Fuel Equipment'!L$21)*('Fuel Equipment'!L$45-'Fuel Equipment'!L$44)*
(VLOOKUP(IF('Fuel Equipment'!L$22=Report!$A$25,Report!$A$19,'Fuel Equipment'!L$22),Report!$A$18:$L$34,'Actual-CO2 Calculations'!$AK116,FALSE)),0),0)</f>
        <v>0</v>
      </c>
      <c r="M113" s="19">
        <f>IF(AND('Fuel Equipment'!M$44&gt;0,'Fuel Equipment'!M$45&gt;0),IF(AND($A113&gt;='Fuel Equipment'!M$17,$A113&lt;='Fuel Equipment'!M$18),('Fuel Equipment'!M$19*'Fuel Equipment'!M$20*'Fuel Equipment'!M$21)*('Fuel Equipment'!M$45-'Fuel Equipment'!M$44)*
(VLOOKUP(IF('Fuel Equipment'!M$22=Report!$A$25,Report!$A$19,'Fuel Equipment'!M$22),Report!$A$18:$L$34,'Actual-CO2 Calculations'!$AK116,FALSE)),0),0)</f>
        <v>0</v>
      </c>
      <c r="N113" s="19">
        <f>IF(AND('Fuel Equipment'!N$44&gt;0,'Fuel Equipment'!N$45&gt;0),IF(AND($A113&gt;='Fuel Equipment'!N$17,$A113&lt;='Fuel Equipment'!N$18),('Fuel Equipment'!N$19*'Fuel Equipment'!N$20*'Fuel Equipment'!N$21)*('Fuel Equipment'!N$45-'Fuel Equipment'!N$44)*
(VLOOKUP(IF('Fuel Equipment'!N$22=Report!$A$25,Report!$A$19,'Fuel Equipment'!N$22),Report!$A$18:$L$34,'Actual-CO2 Calculations'!$AK116,FALSE)),0),0)</f>
        <v>0</v>
      </c>
      <c r="O113" s="19">
        <f>IF(AND('Fuel Equipment'!O$44&gt;0,'Fuel Equipment'!O$45&gt;0),IF(AND($A113&gt;='Fuel Equipment'!O$17,$A113&lt;='Fuel Equipment'!O$18),('Fuel Equipment'!O$19*'Fuel Equipment'!O$20*'Fuel Equipment'!O$21)*('Fuel Equipment'!O$45-'Fuel Equipment'!O$44)*
(VLOOKUP(IF('Fuel Equipment'!O$22=Report!$A$25,Report!$A$19,'Fuel Equipment'!O$22),Report!$A$18:$L$34,'Actual-CO2 Calculations'!$AK116,FALSE)),0),0)</f>
        <v>0</v>
      </c>
      <c r="P113" s="19">
        <f>IF(AND('Fuel Equipment'!P$44&gt;0,'Fuel Equipment'!P$45&gt;0),IF(AND($A113&gt;='Fuel Equipment'!P$17,$A113&lt;='Fuel Equipment'!P$18),('Fuel Equipment'!P$19*'Fuel Equipment'!P$20*'Fuel Equipment'!P$21)*('Fuel Equipment'!P$45-'Fuel Equipment'!P$44)*
(VLOOKUP(IF('Fuel Equipment'!P$22=Report!$A$25,Report!$A$19,'Fuel Equipment'!P$22),Report!$A$18:$L$34,'Actual-CO2 Calculations'!$AK116,FALSE)),0),0)</f>
        <v>0</v>
      </c>
      <c r="Q113" s="19">
        <f>IF(AND('Fuel Equipment'!Q$44&gt;0,'Fuel Equipment'!Q$45&gt;0),IF(AND($A113&gt;='Fuel Equipment'!Q$17,$A113&lt;='Fuel Equipment'!Q$18),('Fuel Equipment'!Q$19*'Fuel Equipment'!Q$20*'Fuel Equipment'!Q$21)*('Fuel Equipment'!Q$45-'Fuel Equipment'!Q$44)*
(VLOOKUP(IF('Fuel Equipment'!Q$22=Report!$A$25,Report!$A$19,'Fuel Equipment'!Q$22),Report!$A$18:$L$34,'Actual-CO2 Calculations'!$AK116,FALSE)),0),0)</f>
        <v>0</v>
      </c>
      <c r="R113" s="19">
        <f>IF(AND('Fuel Equipment'!R$44&gt;0,'Fuel Equipment'!R$45&gt;0),IF(AND($A113&gt;='Fuel Equipment'!R$17,$A113&lt;='Fuel Equipment'!R$18),('Fuel Equipment'!R$19*'Fuel Equipment'!R$20*'Fuel Equipment'!R$21)*('Fuel Equipment'!R$45-'Fuel Equipment'!R$44)*
(VLOOKUP(IF('Fuel Equipment'!R$22=Report!$A$25,Report!$A$19,'Fuel Equipment'!R$22),Report!$A$18:$L$34,'Actual-CO2 Calculations'!$AK116,FALSE)),0),0)</f>
        <v>0</v>
      </c>
      <c r="S113" s="19">
        <f>IF(AND('Fuel Equipment'!S$44&gt;0,'Fuel Equipment'!S$45&gt;0),IF(AND($A113&gt;='Fuel Equipment'!S$17,$A113&lt;='Fuel Equipment'!S$18),('Fuel Equipment'!S$19*'Fuel Equipment'!S$20*'Fuel Equipment'!S$21)*('Fuel Equipment'!S$45-'Fuel Equipment'!S$44)*
(VLOOKUP(IF('Fuel Equipment'!S$22=Report!$A$25,Report!$A$19,'Fuel Equipment'!S$22),Report!$A$18:$L$34,'Actual-CO2 Calculations'!$AK116,FALSE)),0),0)</f>
        <v>0</v>
      </c>
      <c r="V113" s="671">
        <f t="shared" si="1"/>
        <v>0</v>
      </c>
    </row>
    <row r="114" spans="1:22">
      <c r="A114" s="19" t="s">
        <v>995</v>
      </c>
      <c r="B114" s="19">
        <f>IF(AND('Fuel Equipment'!B$44&gt;0,'Fuel Equipment'!B$45&gt;0),IF(AND($A114&gt;='Fuel Equipment'!B$17,$A114&lt;='Fuel Equipment'!B$18),('Fuel Equipment'!B$19*'Fuel Equipment'!B$20*'Fuel Equipment'!B$21)*('Fuel Equipment'!B$45-'Fuel Equipment'!B$44)*
(VLOOKUP(IF('Fuel Equipment'!B$22=Report!$A$25,Report!$A$19,'Fuel Equipment'!B$22),Report!$A$18:$L$34,'Actual-CO2 Calculations'!$AK117,FALSE)),0),0)</f>
        <v>0</v>
      </c>
      <c r="C114" s="19">
        <f>IF(AND('Fuel Equipment'!C$44&gt;0,'Fuel Equipment'!C$45&gt;0),IF(AND($A114&gt;='Fuel Equipment'!C$17,$A114&lt;='Fuel Equipment'!C$18),('Fuel Equipment'!C$19*'Fuel Equipment'!C$20*'Fuel Equipment'!C$21)*('Fuel Equipment'!C$45-'Fuel Equipment'!C$44)*
(VLOOKUP(IF('Fuel Equipment'!C$22=Report!$A$25,Report!$A$19,'Fuel Equipment'!C$22),Report!$A$18:$L$34,'Actual-CO2 Calculations'!$AK117,FALSE)),0),0)</f>
        <v>0</v>
      </c>
      <c r="D114" s="19">
        <f>IF(AND('Fuel Equipment'!D$44&gt;0,'Fuel Equipment'!D$45&gt;0),IF(AND($A114&gt;='Fuel Equipment'!D$17,$A114&lt;='Fuel Equipment'!D$18),('Fuel Equipment'!D$19*'Fuel Equipment'!D$20*'Fuel Equipment'!D$21)*('Fuel Equipment'!D$45-'Fuel Equipment'!D$44)*
(VLOOKUP(IF('Fuel Equipment'!D$22=Report!$A$25,Report!$A$19,'Fuel Equipment'!D$22),Report!$A$18:$L$34,'Actual-CO2 Calculations'!$AK117,FALSE)),0),0)</f>
        <v>0</v>
      </c>
      <c r="E114" s="19">
        <f>IF(AND('Fuel Equipment'!E$44&gt;0,'Fuel Equipment'!E$45&gt;0),IF(AND($A114&gt;='Fuel Equipment'!E$17,$A114&lt;='Fuel Equipment'!E$18),('Fuel Equipment'!E$19*'Fuel Equipment'!E$20*'Fuel Equipment'!E$21)*('Fuel Equipment'!E$45-'Fuel Equipment'!E$44)*
(VLOOKUP(IF('Fuel Equipment'!E$22=Report!$A$25,Report!$A$19,'Fuel Equipment'!E$22),Report!$A$18:$L$34,'Actual-CO2 Calculations'!$AK117,FALSE)),0),0)</f>
        <v>0</v>
      </c>
      <c r="F114" s="19">
        <f>IF(AND('Fuel Equipment'!F$44&gt;0,'Fuel Equipment'!F$45&gt;0),IF(AND($A114&gt;='Fuel Equipment'!F$17,$A114&lt;='Fuel Equipment'!F$18),('Fuel Equipment'!F$19*'Fuel Equipment'!F$20*'Fuel Equipment'!F$21)*('Fuel Equipment'!F$45-'Fuel Equipment'!F$44)*
(VLOOKUP(IF('Fuel Equipment'!F$22=Report!$A$25,Report!$A$19,'Fuel Equipment'!F$22),Report!$A$18:$L$34,'Actual-CO2 Calculations'!$AK117,FALSE)),0),0)</f>
        <v>0</v>
      </c>
      <c r="G114" s="19">
        <f>IF(AND('Fuel Equipment'!G$44&gt;0,'Fuel Equipment'!G$45&gt;0),IF(AND($A114&gt;='Fuel Equipment'!G$17,$A114&lt;='Fuel Equipment'!G$18),('Fuel Equipment'!G$19*'Fuel Equipment'!G$20*'Fuel Equipment'!G$21)*('Fuel Equipment'!G$45-'Fuel Equipment'!G$44)*
(VLOOKUP(IF('Fuel Equipment'!G$22=Report!$A$25,Report!$A$19,'Fuel Equipment'!G$22),Report!$A$18:$L$34,'Actual-CO2 Calculations'!$AK117,FALSE)),0),0)</f>
        <v>0</v>
      </c>
      <c r="H114" s="19">
        <f>IF(AND('Fuel Equipment'!H$44&gt;0,'Fuel Equipment'!H$45&gt;0),IF(AND($A114&gt;='Fuel Equipment'!H$17,$A114&lt;='Fuel Equipment'!H$18),('Fuel Equipment'!H$19*'Fuel Equipment'!H$20*'Fuel Equipment'!H$21)*('Fuel Equipment'!H$45-'Fuel Equipment'!H$44)*
(VLOOKUP(IF('Fuel Equipment'!H$22=Report!$A$25,Report!$A$19,'Fuel Equipment'!H$22),Report!$A$18:$L$34,'Actual-CO2 Calculations'!$AK117,FALSE)),0),0)</f>
        <v>0</v>
      </c>
      <c r="I114" s="19">
        <f>IF(AND('Fuel Equipment'!I$44&gt;0,'Fuel Equipment'!I$45&gt;0),IF(AND($A114&gt;='Fuel Equipment'!I$17,$A114&lt;='Fuel Equipment'!I$18),('Fuel Equipment'!I$19*'Fuel Equipment'!I$20*'Fuel Equipment'!I$21)*('Fuel Equipment'!I$45-'Fuel Equipment'!I$44)*
(VLOOKUP(IF('Fuel Equipment'!I$22=Report!$A$25,Report!$A$19,'Fuel Equipment'!I$22),Report!$A$18:$L$34,'Actual-CO2 Calculations'!$AK117,FALSE)),0),0)</f>
        <v>0</v>
      </c>
      <c r="J114" s="19">
        <f>IF(AND('Fuel Equipment'!J$44&gt;0,'Fuel Equipment'!J$45&gt;0),IF(AND($A114&gt;='Fuel Equipment'!J$17,$A114&lt;='Fuel Equipment'!J$18),('Fuel Equipment'!J$19*'Fuel Equipment'!J$20*'Fuel Equipment'!J$21)*('Fuel Equipment'!J$45-'Fuel Equipment'!J$44)*
(VLOOKUP(IF('Fuel Equipment'!J$22=Report!$A$25,Report!$A$19,'Fuel Equipment'!J$22),Report!$A$18:$L$34,'Actual-CO2 Calculations'!$AK117,FALSE)),0),0)</f>
        <v>0</v>
      </c>
      <c r="K114" s="19">
        <f>IF(AND('Fuel Equipment'!K$44&gt;0,'Fuel Equipment'!K$45&gt;0),IF(AND($A114&gt;='Fuel Equipment'!K$17,$A114&lt;='Fuel Equipment'!K$18),('Fuel Equipment'!K$19*'Fuel Equipment'!K$20*'Fuel Equipment'!K$21)*('Fuel Equipment'!K$45-'Fuel Equipment'!K$44)*
(VLOOKUP(IF('Fuel Equipment'!K$22=Report!$A$25,Report!$A$19,'Fuel Equipment'!K$22),Report!$A$18:$L$34,'Actual-CO2 Calculations'!$AK117,FALSE)),0),0)</f>
        <v>0</v>
      </c>
      <c r="L114" s="19">
        <f>IF(AND('Fuel Equipment'!L$44&gt;0,'Fuel Equipment'!L$45&gt;0),IF(AND($A114&gt;='Fuel Equipment'!L$17,$A114&lt;='Fuel Equipment'!L$18),('Fuel Equipment'!L$19*'Fuel Equipment'!L$20*'Fuel Equipment'!L$21)*('Fuel Equipment'!L$45-'Fuel Equipment'!L$44)*
(VLOOKUP(IF('Fuel Equipment'!L$22=Report!$A$25,Report!$A$19,'Fuel Equipment'!L$22),Report!$A$18:$L$34,'Actual-CO2 Calculations'!$AK117,FALSE)),0),0)</f>
        <v>0</v>
      </c>
      <c r="M114" s="19">
        <f>IF(AND('Fuel Equipment'!M$44&gt;0,'Fuel Equipment'!M$45&gt;0),IF(AND($A114&gt;='Fuel Equipment'!M$17,$A114&lt;='Fuel Equipment'!M$18),('Fuel Equipment'!M$19*'Fuel Equipment'!M$20*'Fuel Equipment'!M$21)*('Fuel Equipment'!M$45-'Fuel Equipment'!M$44)*
(VLOOKUP(IF('Fuel Equipment'!M$22=Report!$A$25,Report!$A$19,'Fuel Equipment'!M$22),Report!$A$18:$L$34,'Actual-CO2 Calculations'!$AK117,FALSE)),0),0)</f>
        <v>0</v>
      </c>
      <c r="N114" s="19">
        <f>IF(AND('Fuel Equipment'!N$44&gt;0,'Fuel Equipment'!N$45&gt;0),IF(AND($A114&gt;='Fuel Equipment'!N$17,$A114&lt;='Fuel Equipment'!N$18),('Fuel Equipment'!N$19*'Fuel Equipment'!N$20*'Fuel Equipment'!N$21)*('Fuel Equipment'!N$45-'Fuel Equipment'!N$44)*
(VLOOKUP(IF('Fuel Equipment'!N$22=Report!$A$25,Report!$A$19,'Fuel Equipment'!N$22),Report!$A$18:$L$34,'Actual-CO2 Calculations'!$AK117,FALSE)),0),0)</f>
        <v>0</v>
      </c>
      <c r="O114" s="19">
        <f>IF(AND('Fuel Equipment'!O$44&gt;0,'Fuel Equipment'!O$45&gt;0),IF(AND($A114&gt;='Fuel Equipment'!O$17,$A114&lt;='Fuel Equipment'!O$18),('Fuel Equipment'!O$19*'Fuel Equipment'!O$20*'Fuel Equipment'!O$21)*('Fuel Equipment'!O$45-'Fuel Equipment'!O$44)*
(VLOOKUP(IF('Fuel Equipment'!O$22=Report!$A$25,Report!$A$19,'Fuel Equipment'!O$22),Report!$A$18:$L$34,'Actual-CO2 Calculations'!$AK117,FALSE)),0),0)</f>
        <v>0</v>
      </c>
      <c r="P114" s="19">
        <f>IF(AND('Fuel Equipment'!P$44&gt;0,'Fuel Equipment'!P$45&gt;0),IF(AND($A114&gt;='Fuel Equipment'!P$17,$A114&lt;='Fuel Equipment'!P$18),('Fuel Equipment'!P$19*'Fuel Equipment'!P$20*'Fuel Equipment'!P$21)*('Fuel Equipment'!P$45-'Fuel Equipment'!P$44)*
(VLOOKUP(IF('Fuel Equipment'!P$22=Report!$A$25,Report!$A$19,'Fuel Equipment'!P$22),Report!$A$18:$L$34,'Actual-CO2 Calculations'!$AK117,FALSE)),0),0)</f>
        <v>0</v>
      </c>
      <c r="Q114" s="19">
        <f>IF(AND('Fuel Equipment'!Q$44&gt;0,'Fuel Equipment'!Q$45&gt;0),IF(AND($A114&gt;='Fuel Equipment'!Q$17,$A114&lt;='Fuel Equipment'!Q$18),('Fuel Equipment'!Q$19*'Fuel Equipment'!Q$20*'Fuel Equipment'!Q$21)*('Fuel Equipment'!Q$45-'Fuel Equipment'!Q$44)*
(VLOOKUP(IF('Fuel Equipment'!Q$22=Report!$A$25,Report!$A$19,'Fuel Equipment'!Q$22),Report!$A$18:$L$34,'Actual-CO2 Calculations'!$AK117,FALSE)),0),0)</f>
        <v>0</v>
      </c>
      <c r="R114" s="19">
        <f>IF(AND('Fuel Equipment'!R$44&gt;0,'Fuel Equipment'!R$45&gt;0),IF(AND($A114&gt;='Fuel Equipment'!R$17,$A114&lt;='Fuel Equipment'!R$18),('Fuel Equipment'!R$19*'Fuel Equipment'!R$20*'Fuel Equipment'!R$21)*('Fuel Equipment'!R$45-'Fuel Equipment'!R$44)*
(VLOOKUP(IF('Fuel Equipment'!R$22=Report!$A$25,Report!$A$19,'Fuel Equipment'!R$22),Report!$A$18:$L$34,'Actual-CO2 Calculations'!$AK117,FALSE)),0),0)</f>
        <v>0</v>
      </c>
      <c r="S114" s="19">
        <f>IF(AND('Fuel Equipment'!S$44&gt;0,'Fuel Equipment'!S$45&gt;0),IF(AND($A114&gt;='Fuel Equipment'!S$17,$A114&lt;='Fuel Equipment'!S$18),('Fuel Equipment'!S$19*'Fuel Equipment'!S$20*'Fuel Equipment'!S$21)*('Fuel Equipment'!S$45-'Fuel Equipment'!S$44)*
(VLOOKUP(IF('Fuel Equipment'!S$22=Report!$A$25,Report!$A$19,'Fuel Equipment'!S$22),Report!$A$18:$L$34,'Actual-CO2 Calculations'!$AK117,FALSE)),0),0)</f>
        <v>0</v>
      </c>
      <c r="V114" s="671">
        <f t="shared" si="1"/>
        <v>0</v>
      </c>
    </row>
    <row r="115" spans="1:22">
      <c r="A115" s="19" t="s">
        <v>996</v>
      </c>
      <c r="B115" s="19">
        <f>IF(AND('Fuel Equipment'!B$44&gt;0,'Fuel Equipment'!B$45&gt;0),IF(AND($A115&gt;='Fuel Equipment'!B$17,$A115&lt;='Fuel Equipment'!B$18),('Fuel Equipment'!B$19*'Fuel Equipment'!B$20*'Fuel Equipment'!B$21)*('Fuel Equipment'!B$45-'Fuel Equipment'!B$44)*
(VLOOKUP(IF('Fuel Equipment'!B$22=Report!$A$25,Report!$A$19,'Fuel Equipment'!B$22),Report!$A$18:$L$34,'Actual-CO2 Calculations'!$AK118,FALSE)),0),0)</f>
        <v>0</v>
      </c>
      <c r="C115" s="19">
        <f>IF(AND('Fuel Equipment'!C$44&gt;0,'Fuel Equipment'!C$45&gt;0),IF(AND($A115&gt;='Fuel Equipment'!C$17,$A115&lt;='Fuel Equipment'!C$18),('Fuel Equipment'!C$19*'Fuel Equipment'!C$20*'Fuel Equipment'!C$21)*('Fuel Equipment'!C$45-'Fuel Equipment'!C$44)*
(VLOOKUP(IF('Fuel Equipment'!C$22=Report!$A$25,Report!$A$19,'Fuel Equipment'!C$22),Report!$A$18:$L$34,'Actual-CO2 Calculations'!$AK118,FALSE)),0),0)</f>
        <v>0</v>
      </c>
      <c r="D115" s="19">
        <f>IF(AND('Fuel Equipment'!D$44&gt;0,'Fuel Equipment'!D$45&gt;0),IF(AND($A115&gt;='Fuel Equipment'!D$17,$A115&lt;='Fuel Equipment'!D$18),('Fuel Equipment'!D$19*'Fuel Equipment'!D$20*'Fuel Equipment'!D$21)*('Fuel Equipment'!D$45-'Fuel Equipment'!D$44)*
(VLOOKUP(IF('Fuel Equipment'!D$22=Report!$A$25,Report!$A$19,'Fuel Equipment'!D$22),Report!$A$18:$L$34,'Actual-CO2 Calculations'!$AK118,FALSE)),0),0)</f>
        <v>0</v>
      </c>
      <c r="E115" s="19">
        <f>IF(AND('Fuel Equipment'!E$44&gt;0,'Fuel Equipment'!E$45&gt;0),IF(AND($A115&gt;='Fuel Equipment'!E$17,$A115&lt;='Fuel Equipment'!E$18),('Fuel Equipment'!E$19*'Fuel Equipment'!E$20*'Fuel Equipment'!E$21)*('Fuel Equipment'!E$45-'Fuel Equipment'!E$44)*
(VLOOKUP(IF('Fuel Equipment'!E$22=Report!$A$25,Report!$A$19,'Fuel Equipment'!E$22),Report!$A$18:$L$34,'Actual-CO2 Calculations'!$AK118,FALSE)),0),0)</f>
        <v>0</v>
      </c>
      <c r="F115" s="19">
        <f>IF(AND('Fuel Equipment'!F$44&gt;0,'Fuel Equipment'!F$45&gt;0),IF(AND($A115&gt;='Fuel Equipment'!F$17,$A115&lt;='Fuel Equipment'!F$18),('Fuel Equipment'!F$19*'Fuel Equipment'!F$20*'Fuel Equipment'!F$21)*('Fuel Equipment'!F$45-'Fuel Equipment'!F$44)*
(VLOOKUP(IF('Fuel Equipment'!F$22=Report!$A$25,Report!$A$19,'Fuel Equipment'!F$22),Report!$A$18:$L$34,'Actual-CO2 Calculations'!$AK118,FALSE)),0),0)</f>
        <v>0</v>
      </c>
      <c r="G115" s="19">
        <f>IF(AND('Fuel Equipment'!G$44&gt;0,'Fuel Equipment'!G$45&gt;0),IF(AND($A115&gt;='Fuel Equipment'!G$17,$A115&lt;='Fuel Equipment'!G$18),('Fuel Equipment'!G$19*'Fuel Equipment'!G$20*'Fuel Equipment'!G$21)*('Fuel Equipment'!G$45-'Fuel Equipment'!G$44)*
(VLOOKUP(IF('Fuel Equipment'!G$22=Report!$A$25,Report!$A$19,'Fuel Equipment'!G$22),Report!$A$18:$L$34,'Actual-CO2 Calculations'!$AK118,FALSE)),0),0)</f>
        <v>0</v>
      </c>
      <c r="H115" s="19">
        <f>IF(AND('Fuel Equipment'!H$44&gt;0,'Fuel Equipment'!H$45&gt;0),IF(AND($A115&gt;='Fuel Equipment'!H$17,$A115&lt;='Fuel Equipment'!H$18),('Fuel Equipment'!H$19*'Fuel Equipment'!H$20*'Fuel Equipment'!H$21)*('Fuel Equipment'!H$45-'Fuel Equipment'!H$44)*
(VLOOKUP(IF('Fuel Equipment'!H$22=Report!$A$25,Report!$A$19,'Fuel Equipment'!H$22),Report!$A$18:$L$34,'Actual-CO2 Calculations'!$AK118,FALSE)),0),0)</f>
        <v>0</v>
      </c>
      <c r="I115" s="19">
        <f>IF(AND('Fuel Equipment'!I$44&gt;0,'Fuel Equipment'!I$45&gt;0),IF(AND($A115&gt;='Fuel Equipment'!I$17,$A115&lt;='Fuel Equipment'!I$18),('Fuel Equipment'!I$19*'Fuel Equipment'!I$20*'Fuel Equipment'!I$21)*('Fuel Equipment'!I$45-'Fuel Equipment'!I$44)*
(VLOOKUP(IF('Fuel Equipment'!I$22=Report!$A$25,Report!$A$19,'Fuel Equipment'!I$22),Report!$A$18:$L$34,'Actual-CO2 Calculations'!$AK118,FALSE)),0),0)</f>
        <v>0</v>
      </c>
      <c r="J115" s="19">
        <f>IF(AND('Fuel Equipment'!J$44&gt;0,'Fuel Equipment'!J$45&gt;0),IF(AND($A115&gt;='Fuel Equipment'!J$17,$A115&lt;='Fuel Equipment'!J$18),('Fuel Equipment'!J$19*'Fuel Equipment'!J$20*'Fuel Equipment'!J$21)*('Fuel Equipment'!J$45-'Fuel Equipment'!J$44)*
(VLOOKUP(IF('Fuel Equipment'!J$22=Report!$A$25,Report!$A$19,'Fuel Equipment'!J$22),Report!$A$18:$L$34,'Actual-CO2 Calculations'!$AK118,FALSE)),0),0)</f>
        <v>0</v>
      </c>
      <c r="K115" s="19">
        <f>IF(AND('Fuel Equipment'!K$44&gt;0,'Fuel Equipment'!K$45&gt;0),IF(AND($A115&gt;='Fuel Equipment'!K$17,$A115&lt;='Fuel Equipment'!K$18),('Fuel Equipment'!K$19*'Fuel Equipment'!K$20*'Fuel Equipment'!K$21)*('Fuel Equipment'!K$45-'Fuel Equipment'!K$44)*
(VLOOKUP(IF('Fuel Equipment'!K$22=Report!$A$25,Report!$A$19,'Fuel Equipment'!K$22),Report!$A$18:$L$34,'Actual-CO2 Calculations'!$AK118,FALSE)),0),0)</f>
        <v>0</v>
      </c>
      <c r="L115" s="19">
        <f>IF(AND('Fuel Equipment'!L$44&gt;0,'Fuel Equipment'!L$45&gt;0),IF(AND($A115&gt;='Fuel Equipment'!L$17,$A115&lt;='Fuel Equipment'!L$18),('Fuel Equipment'!L$19*'Fuel Equipment'!L$20*'Fuel Equipment'!L$21)*('Fuel Equipment'!L$45-'Fuel Equipment'!L$44)*
(VLOOKUP(IF('Fuel Equipment'!L$22=Report!$A$25,Report!$A$19,'Fuel Equipment'!L$22),Report!$A$18:$L$34,'Actual-CO2 Calculations'!$AK118,FALSE)),0),0)</f>
        <v>0</v>
      </c>
      <c r="M115" s="19">
        <f>IF(AND('Fuel Equipment'!M$44&gt;0,'Fuel Equipment'!M$45&gt;0),IF(AND($A115&gt;='Fuel Equipment'!M$17,$A115&lt;='Fuel Equipment'!M$18),('Fuel Equipment'!M$19*'Fuel Equipment'!M$20*'Fuel Equipment'!M$21)*('Fuel Equipment'!M$45-'Fuel Equipment'!M$44)*
(VLOOKUP(IF('Fuel Equipment'!M$22=Report!$A$25,Report!$A$19,'Fuel Equipment'!M$22),Report!$A$18:$L$34,'Actual-CO2 Calculations'!$AK118,FALSE)),0),0)</f>
        <v>0</v>
      </c>
      <c r="N115" s="19">
        <f>IF(AND('Fuel Equipment'!N$44&gt;0,'Fuel Equipment'!N$45&gt;0),IF(AND($A115&gt;='Fuel Equipment'!N$17,$A115&lt;='Fuel Equipment'!N$18),('Fuel Equipment'!N$19*'Fuel Equipment'!N$20*'Fuel Equipment'!N$21)*('Fuel Equipment'!N$45-'Fuel Equipment'!N$44)*
(VLOOKUP(IF('Fuel Equipment'!N$22=Report!$A$25,Report!$A$19,'Fuel Equipment'!N$22),Report!$A$18:$L$34,'Actual-CO2 Calculations'!$AK118,FALSE)),0),0)</f>
        <v>0</v>
      </c>
      <c r="O115" s="19">
        <f>IF(AND('Fuel Equipment'!O$44&gt;0,'Fuel Equipment'!O$45&gt;0),IF(AND($A115&gt;='Fuel Equipment'!O$17,$A115&lt;='Fuel Equipment'!O$18),('Fuel Equipment'!O$19*'Fuel Equipment'!O$20*'Fuel Equipment'!O$21)*('Fuel Equipment'!O$45-'Fuel Equipment'!O$44)*
(VLOOKUP(IF('Fuel Equipment'!O$22=Report!$A$25,Report!$A$19,'Fuel Equipment'!O$22),Report!$A$18:$L$34,'Actual-CO2 Calculations'!$AK118,FALSE)),0),0)</f>
        <v>0</v>
      </c>
      <c r="P115" s="19">
        <f>IF(AND('Fuel Equipment'!P$44&gt;0,'Fuel Equipment'!P$45&gt;0),IF(AND($A115&gt;='Fuel Equipment'!P$17,$A115&lt;='Fuel Equipment'!P$18),('Fuel Equipment'!P$19*'Fuel Equipment'!P$20*'Fuel Equipment'!P$21)*('Fuel Equipment'!P$45-'Fuel Equipment'!P$44)*
(VLOOKUP(IF('Fuel Equipment'!P$22=Report!$A$25,Report!$A$19,'Fuel Equipment'!P$22),Report!$A$18:$L$34,'Actual-CO2 Calculations'!$AK118,FALSE)),0),0)</f>
        <v>0</v>
      </c>
      <c r="Q115" s="19">
        <f>IF(AND('Fuel Equipment'!Q$44&gt;0,'Fuel Equipment'!Q$45&gt;0),IF(AND($A115&gt;='Fuel Equipment'!Q$17,$A115&lt;='Fuel Equipment'!Q$18),('Fuel Equipment'!Q$19*'Fuel Equipment'!Q$20*'Fuel Equipment'!Q$21)*('Fuel Equipment'!Q$45-'Fuel Equipment'!Q$44)*
(VLOOKUP(IF('Fuel Equipment'!Q$22=Report!$A$25,Report!$A$19,'Fuel Equipment'!Q$22),Report!$A$18:$L$34,'Actual-CO2 Calculations'!$AK118,FALSE)),0),0)</f>
        <v>0</v>
      </c>
      <c r="R115" s="19">
        <f>IF(AND('Fuel Equipment'!R$44&gt;0,'Fuel Equipment'!R$45&gt;0),IF(AND($A115&gt;='Fuel Equipment'!R$17,$A115&lt;='Fuel Equipment'!R$18),('Fuel Equipment'!R$19*'Fuel Equipment'!R$20*'Fuel Equipment'!R$21)*('Fuel Equipment'!R$45-'Fuel Equipment'!R$44)*
(VLOOKUP(IF('Fuel Equipment'!R$22=Report!$A$25,Report!$A$19,'Fuel Equipment'!R$22),Report!$A$18:$L$34,'Actual-CO2 Calculations'!$AK118,FALSE)),0),0)</f>
        <v>0</v>
      </c>
      <c r="S115" s="19">
        <f>IF(AND('Fuel Equipment'!S$44&gt;0,'Fuel Equipment'!S$45&gt;0),IF(AND($A115&gt;='Fuel Equipment'!S$17,$A115&lt;='Fuel Equipment'!S$18),('Fuel Equipment'!S$19*'Fuel Equipment'!S$20*'Fuel Equipment'!S$21)*('Fuel Equipment'!S$45-'Fuel Equipment'!S$44)*
(VLOOKUP(IF('Fuel Equipment'!S$22=Report!$A$25,Report!$A$19,'Fuel Equipment'!S$22),Report!$A$18:$L$34,'Actual-CO2 Calculations'!$AK118,FALSE)),0),0)</f>
        <v>0</v>
      </c>
      <c r="V115" s="671">
        <f t="shared" si="1"/>
        <v>0</v>
      </c>
    </row>
    <row r="116" spans="1:22">
      <c r="A116" s="19" t="s">
        <v>997</v>
      </c>
      <c r="B116" s="19">
        <f>IF(AND('Fuel Equipment'!B$44&gt;0,'Fuel Equipment'!B$45&gt;0),IF(AND($A116&gt;='Fuel Equipment'!B$17,$A116&lt;='Fuel Equipment'!B$18),('Fuel Equipment'!B$19*'Fuel Equipment'!B$20*'Fuel Equipment'!B$21)*('Fuel Equipment'!B$45-'Fuel Equipment'!B$44)*
(VLOOKUP(IF('Fuel Equipment'!B$22=Report!$A$25,Report!$A$19,'Fuel Equipment'!B$22),Report!$A$18:$L$34,'Actual-CO2 Calculations'!$AK119,FALSE)),0),0)</f>
        <v>0</v>
      </c>
      <c r="C116" s="19">
        <f>IF(AND('Fuel Equipment'!C$44&gt;0,'Fuel Equipment'!C$45&gt;0),IF(AND($A116&gt;='Fuel Equipment'!C$17,$A116&lt;='Fuel Equipment'!C$18),('Fuel Equipment'!C$19*'Fuel Equipment'!C$20*'Fuel Equipment'!C$21)*('Fuel Equipment'!C$45-'Fuel Equipment'!C$44)*
(VLOOKUP(IF('Fuel Equipment'!C$22=Report!$A$25,Report!$A$19,'Fuel Equipment'!C$22),Report!$A$18:$L$34,'Actual-CO2 Calculations'!$AK119,FALSE)),0),0)</f>
        <v>0</v>
      </c>
      <c r="D116" s="19">
        <f>IF(AND('Fuel Equipment'!D$44&gt;0,'Fuel Equipment'!D$45&gt;0),IF(AND($A116&gt;='Fuel Equipment'!D$17,$A116&lt;='Fuel Equipment'!D$18),('Fuel Equipment'!D$19*'Fuel Equipment'!D$20*'Fuel Equipment'!D$21)*('Fuel Equipment'!D$45-'Fuel Equipment'!D$44)*
(VLOOKUP(IF('Fuel Equipment'!D$22=Report!$A$25,Report!$A$19,'Fuel Equipment'!D$22),Report!$A$18:$L$34,'Actual-CO2 Calculations'!$AK119,FALSE)),0),0)</f>
        <v>0</v>
      </c>
      <c r="E116" s="19">
        <f>IF(AND('Fuel Equipment'!E$44&gt;0,'Fuel Equipment'!E$45&gt;0),IF(AND($A116&gt;='Fuel Equipment'!E$17,$A116&lt;='Fuel Equipment'!E$18),('Fuel Equipment'!E$19*'Fuel Equipment'!E$20*'Fuel Equipment'!E$21)*('Fuel Equipment'!E$45-'Fuel Equipment'!E$44)*
(VLOOKUP(IF('Fuel Equipment'!E$22=Report!$A$25,Report!$A$19,'Fuel Equipment'!E$22),Report!$A$18:$L$34,'Actual-CO2 Calculations'!$AK119,FALSE)),0),0)</f>
        <v>0</v>
      </c>
      <c r="F116" s="19">
        <f>IF(AND('Fuel Equipment'!F$44&gt;0,'Fuel Equipment'!F$45&gt;0),IF(AND($A116&gt;='Fuel Equipment'!F$17,$A116&lt;='Fuel Equipment'!F$18),('Fuel Equipment'!F$19*'Fuel Equipment'!F$20*'Fuel Equipment'!F$21)*('Fuel Equipment'!F$45-'Fuel Equipment'!F$44)*
(VLOOKUP(IF('Fuel Equipment'!F$22=Report!$A$25,Report!$A$19,'Fuel Equipment'!F$22),Report!$A$18:$L$34,'Actual-CO2 Calculations'!$AK119,FALSE)),0),0)</f>
        <v>0</v>
      </c>
      <c r="G116" s="19">
        <f>IF(AND('Fuel Equipment'!G$44&gt;0,'Fuel Equipment'!G$45&gt;0),IF(AND($A116&gt;='Fuel Equipment'!G$17,$A116&lt;='Fuel Equipment'!G$18),('Fuel Equipment'!G$19*'Fuel Equipment'!G$20*'Fuel Equipment'!G$21)*('Fuel Equipment'!G$45-'Fuel Equipment'!G$44)*
(VLOOKUP(IF('Fuel Equipment'!G$22=Report!$A$25,Report!$A$19,'Fuel Equipment'!G$22),Report!$A$18:$L$34,'Actual-CO2 Calculations'!$AK119,FALSE)),0),0)</f>
        <v>0</v>
      </c>
      <c r="H116" s="19">
        <f>IF(AND('Fuel Equipment'!H$44&gt;0,'Fuel Equipment'!H$45&gt;0),IF(AND($A116&gt;='Fuel Equipment'!H$17,$A116&lt;='Fuel Equipment'!H$18),('Fuel Equipment'!H$19*'Fuel Equipment'!H$20*'Fuel Equipment'!H$21)*('Fuel Equipment'!H$45-'Fuel Equipment'!H$44)*
(VLOOKUP(IF('Fuel Equipment'!H$22=Report!$A$25,Report!$A$19,'Fuel Equipment'!H$22),Report!$A$18:$L$34,'Actual-CO2 Calculations'!$AK119,FALSE)),0),0)</f>
        <v>0</v>
      </c>
      <c r="I116" s="19">
        <f>IF(AND('Fuel Equipment'!I$44&gt;0,'Fuel Equipment'!I$45&gt;0),IF(AND($A116&gt;='Fuel Equipment'!I$17,$A116&lt;='Fuel Equipment'!I$18),('Fuel Equipment'!I$19*'Fuel Equipment'!I$20*'Fuel Equipment'!I$21)*('Fuel Equipment'!I$45-'Fuel Equipment'!I$44)*
(VLOOKUP(IF('Fuel Equipment'!I$22=Report!$A$25,Report!$A$19,'Fuel Equipment'!I$22),Report!$A$18:$L$34,'Actual-CO2 Calculations'!$AK119,FALSE)),0),0)</f>
        <v>0</v>
      </c>
      <c r="J116" s="19">
        <f>IF(AND('Fuel Equipment'!J$44&gt;0,'Fuel Equipment'!J$45&gt;0),IF(AND($A116&gt;='Fuel Equipment'!J$17,$A116&lt;='Fuel Equipment'!J$18),('Fuel Equipment'!J$19*'Fuel Equipment'!J$20*'Fuel Equipment'!J$21)*('Fuel Equipment'!J$45-'Fuel Equipment'!J$44)*
(VLOOKUP(IF('Fuel Equipment'!J$22=Report!$A$25,Report!$A$19,'Fuel Equipment'!J$22),Report!$A$18:$L$34,'Actual-CO2 Calculations'!$AK119,FALSE)),0),0)</f>
        <v>0</v>
      </c>
      <c r="K116" s="19">
        <f>IF(AND('Fuel Equipment'!K$44&gt;0,'Fuel Equipment'!K$45&gt;0),IF(AND($A116&gt;='Fuel Equipment'!K$17,$A116&lt;='Fuel Equipment'!K$18),('Fuel Equipment'!K$19*'Fuel Equipment'!K$20*'Fuel Equipment'!K$21)*('Fuel Equipment'!K$45-'Fuel Equipment'!K$44)*
(VLOOKUP(IF('Fuel Equipment'!K$22=Report!$A$25,Report!$A$19,'Fuel Equipment'!K$22),Report!$A$18:$L$34,'Actual-CO2 Calculations'!$AK119,FALSE)),0),0)</f>
        <v>0</v>
      </c>
      <c r="L116" s="19">
        <f>IF(AND('Fuel Equipment'!L$44&gt;0,'Fuel Equipment'!L$45&gt;0),IF(AND($A116&gt;='Fuel Equipment'!L$17,$A116&lt;='Fuel Equipment'!L$18),('Fuel Equipment'!L$19*'Fuel Equipment'!L$20*'Fuel Equipment'!L$21)*('Fuel Equipment'!L$45-'Fuel Equipment'!L$44)*
(VLOOKUP(IF('Fuel Equipment'!L$22=Report!$A$25,Report!$A$19,'Fuel Equipment'!L$22),Report!$A$18:$L$34,'Actual-CO2 Calculations'!$AK119,FALSE)),0),0)</f>
        <v>0</v>
      </c>
      <c r="M116" s="19">
        <f>IF(AND('Fuel Equipment'!M$44&gt;0,'Fuel Equipment'!M$45&gt;0),IF(AND($A116&gt;='Fuel Equipment'!M$17,$A116&lt;='Fuel Equipment'!M$18),('Fuel Equipment'!M$19*'Fuel Equipment'!M$20*'Fuel Equipment'!M$21)*('Fuel Equipment'!M$45-'Fuel Equipment'!M$44)*
(VLOOKUP(IF('Fuel Equipment'!M$22=Report!$A$25,Report!$A$19,'Fuel Equipment'!M$22),Report!$A$18:$L$34,'Actual-CO2 Calculations'!$AK119,FALSE)),0),0)</f>
        <v>0</v>
      </c>
      <c r="N116" s="19">
        <f>IF(AND('Fuel Equipment'!N$44&gt;0,'Fuel Equipment'!N$45&gt;0),IF(AND($A116&gt;='Fuel Equipment'!N$17,$A116&lt;='Fuel Equipment'!N$18),('Fuel Equipment'!N$19*'Fuel Equipment'!N$20*'Fuel Equipment'!N$21)*('Fuel Equipment'!N$45-'Fuel Equipment'!N$44)*
(VLOOKUP(IF('Fuel Equipment'!N$22=Report!$A$25,Report!$A$19,'Fuel Equipment'!N$22),Report!$A$18:$L$34,'Actual-CO2 Calculations'!$AK119,FALSE)),0),0)</f>
        <v>0</v>
      </c>
      <c r="O116" s="19">
        <f>IF(AND('Fuel Equipment'!O$44&gt;0,'Fuel Equipment'!O$45&gt;0),IF(AND($A116&gt;='Fuel Equipment'!O$17,$A116&lt;='Fuel Equipment'!O$18),('Fuel Equipment'!O$19*'Fuel Equipment'!O$20*'Fuel Equipment'!O$21)*('Fuel Equipment'!O$45-'Fuel Equipment'!O$44)*
(VLOOKUP(IF('Fuel Equipment'!O$22=Report!$A$25,Report!$A$19,'Fuel Equipment'!O$22),Report!$A$18:$L$34,'Actual-CO2 Calculations'!$AK119,FALSE)),0),0)</f>
        <v>0</v>
      </c>
      <c r="P116" s="19">
        <f>IF(AND('Fuel Equipment'!P$44&gt;0,'Fuel Equipment'!P$45&gt;0),IF(AND($A116&gt;='Fuel Equipment'!P$17,$A116&lt;='Fuel Equipment'!P$18),('Fuel Equipment'!P$19*'Fuel Equipment'!P$20*'Fuel Equipment'!P$21)*('Fuel Equipment'!P$45-'Fuel Equipment'!P$44)*
(VLOOKUP(IF('Fuel Equipment'!P$22=Report!$A$25,Report!$A$19,'Fuel Equipment'!P$22),Report!$A$18:$L$34,'Actual-CO2 Calculations'!$AK119,FALSE)),0),0)</f>
        <v>0</v>
      </c>
      <c r="Q116" s="19">
        <f>IF(AND('Fuel Equipment'!Q$44&gt;0,'Fuel Equipment'!Q$45&gt;0),IF(AND($A116&gt;='Fuel Equipment'!Q$17,$A116&lt;='Fuel Equipment'!Q$18),('Fuel Equipment'!Q$19*'Fuel Equipment'!Q$20*'Fuel Equipment'!Q$21)*('Fuel Equipment'!Q$45-'Fuel Equipment'!Q$44)*
(VLOOKUP(IF('Fuel Equipment'!Q$22=Report!$A$25,Report!$A$19,'Fuel Equipment'!Q$22),Report!$A$18:$L$34,'Actual-CO2 Calculations'!$AK119,FALSE)),0),0)</f>
        <v>0</v>
      </c>
      <c r="R116" s="19">
        <f>IF(AND('Fuel Equipment'!R$44&gt;0,'Fuel Equipment'!R$45&gt;0),IF(AND($A116&gt;='Fuel Equipment'!R$17,$A116&lt;='Fuel Equipment'!R$18),('Fuel Equipment'!R$19*'Fuel Equipment'!R$20*'Fuel Equipment'!R$21)*('Fuel Equipment'!R$45-'Fuel Equipment'!R$44)*
(VLOOKUP(IF('Fuel Equipment'!R$22=Report!$A$25,Report!$A$19,'Fuel Equipment'!R$22),Report!$A$18:$L$34,'Actual-CO2 Calculations'!$AK119,FALSE)),0),0)</f>
        <v>0</v>
      </c>
      <c r="S116" s="19">
        <f>IF(AND('Fuel Equipment'!S$44&gt;0,'Fuel Equipment'!S$45&gt;0),IF(AND($A116&gt;='Fuel Equipment'!S$17,$A116&lt;='Fuel Equipment'!S$18),('Fuel Equipment'!S$19*'Fuel Equipment'!S$20*'Fuel Equipment'!S$21)*('Fuel Equipment'!S$45-'Fuel Equipment'!S$44)*
(VLOOKUP(IF('Fuel Equipment'!S$22=Report!$A$25,Report!$A$19,'Fuel Equipment'!S$22),Report!$A$18:$L$34,'Actual-CO2 Calculations'!$AK119,FALSE)),0),0)</f>
        <v>0</v>
      </c>
      <c r="V116" s="671">
        <f t="shared" si="1"/>
        <v>0</v>
      </c>
    </row>
    <row r="117" spans="1:22">
      <c r="A117" s="19" t="s">
        <v>998</v>
      </c>
      <c r="B117" s="19">
        <f>IF(AND('Fuel Equipment'!B$44&gt;0,'Fuel Equipment'!B$45&gt;0),IF(AND($A117&gt;='Fuel Equipment'!B$17,$A117&lt;='Fuel Equipment'!B$18),('Fuel Equipment'!B$19*'Fuel Equipment'!B$20*'Fuel Equipment'!B$21)*('Fuel Equipment'!B$45-'Fuel Equipment'!B$44)*
(VLOOKUP(IF('Fuel Equipment'!B$22=Report!$A$25,Report!$A$19,'Fuel Equipment'!B$22),Report!$A$18:$L$34,'Actual-CO2 Calculations'!$AK120,FALSE)),0),0)</f>
        <v>0</v>
      </c>
      <c r="C117" s="19">
        <f>IF(AND('Fuel Equipment'!C$44&gt;0,'Fuel Equipment'!C$45&gt;0),IF(AND($A117&gt;='Fuel Equipment'!C$17,$A117&lt;='Fuel Equipment'!C$18),('Fuel Equipment'!C$19*'Fuel Equipment'!C$20*'Fuel Equipment'!C$21)*('Fuel Equipment'!C$45-'Fuel Equipment'!C$44)*
(VLOOKUP(IF('Fuel Equipment'!C$22=Report!$A$25,Report!$A$19,'Fuel Equipment'!C$22),Report!$A$18:$L$34,'Actual-CO2 Calculations'!$AK120,FALSE)),0),0)</f>
        <v>0</v>
      </c>
      <c r="D117" s="19">
        <f>IF(AND('Fuel Equipment'!D$44&gt;0,'Fuel Equipment'!D$45&gt;0),IF(AND($A117&gt;='Fuel Equipment'!D$17,$A117&lt;='Fuel Equipment'!D$18),('Fuel Equipment'!D$19*'Fuel Equipment'!D$20*'Fuel Equipment'!D$21)*('Fuel Equipment'!D$45-'Fuel Equipment'!D$44)*
(VLOOKUP(IF('Fuel Equipment'!D$22=Report!$A$25,Report!$A$19,'Fuel Equipment'!D$22),Report!$A$18:$L$34,'Actual-CO2 Calculations'!$AK120,FALSE)),0),0)</f>
        <v>0</v>
      </c>
      <c r="E117" s="19">
        <f>IF(AND('Fuel Equipment'!E$44&gt;0,'Fuel Equipment'!E$45&gt;0),IF(AND($A117&gt;='Fuel Equipment'!E$17,$A117&lt;='Fuel Equipment'!E$18),('Fuel Equipment'!E$19*'Fuel Equipment'!E$20*'Fuel Equipment'!E$21)*('Fuel Equipment'!E$45-'Fuel Equipment'!E$44)*
(VLOOKUP(IF('Fuel Equipment'!E$22=Report!$A$25,Report!$A$19,'Fuel Equipment'!E$22),Report!$A$18:$L$34,'Actual-CO2 Calculations'!$AK120,FALSE)),0),0)</f>
        <v>0</v>
      </c>
      <c r="F117" s="19">
        <f>IF(AND('Fuel Equipment'!F$44&gt;0,'Fuel Equipment'!F$45&gt;0),IF(AND($A117&gt;='Fuel Equipment'!F$17,$A117&lt;='Fuel Equipment'!F$18),('Fuel Equipment'!F$19*'Fuel Equipment'!F$20*'Fuel Equipment'!F$21)*('Fuel Equipment'!F$45-'Fuel Equipment'!F$44)*
(VLOOKUP(IF('Fuel Equipment'!F$22=Report!$A$25,Report!$A$19,'Fuel Equipment'!F$22),Report!$A$18:$L$34,'Actual-CO2 Calculations'!$AK120,FALSE)),0),0)</f>
        <v>0</v>
      </c>
      <c r="G117" s="19">
        <f>IF(AND('Fuel Equipment'!G$44&gt;0,'Fuel Equipment'!G$45&gt;0),IF(AND($A117&gt;='Fuel Equipment'!G$17,$A117&lt;='Fuel Equipment'!G$18),('Fuel Equipment'!G$19*'Fuel Equipment'!G$20*'Fuel Equipment'!G$21)*('Fuel Equipment'!G$45-'Fuel Equipment'!G$44)*
(VLOOKUP(IF('Fuel Equipment'!G$22=Report!$A$25,Report!$A$19,'Fuel Equipment'!G$22),Report!$A$18:$L$34,'Actual-CO2 Calculations'!$AK120,FALSE)),0),0)</f>
        <v>0</v>
      </c>
      <c r="H117" s="19">
        <f>IF(AND('Fuel Equipment'!H$44&gt;0,'Fuel Equipment'!H$45&gt;0),IF(AND($A117&gt;='Fuel Equipment'!H$17,$A117&lt;='Fuel Equipment'!H$18),('Fuel Equipment'!H$19*'Fuel Equipment'!H$20*'Fuel Equipment'!H$21)*('Fuel Equipment'!H$45-'Fuel Equipment'!H$44)*
(VLOOKUP(IF('Fuel Equipment'!H$22=Report!$A$25,Report!$A$19,'Fuel Equipment'!H$22),Report!$A$18:$L$34,'Actual-CO2 Calculations'!$AK120,FALSE)),0),0)</f>
        <v>0</v>
      </c>
      <c r="I117" s="19">
        <f>IF(AND('Fuel Equipment'!I$44&gt;0,'Fuel Equipment'!I$45&gt;0),IF(AND($A117&gt;='Fuel Equipment'!I$17,$A117&lt;='Fuel Equipment'!I$18),('Fuel Equipment'!I$19*'Fuel Equipment'!I$20*'Fuel Equipment'!I$21)*('Fuel Equipment'!I$45-'Fuel Equipment'!I$44)*
(VLOOKUP(IF('Fuel Equipment'!I$22=Report!$A$25,Report!$A$19,'Fuel Equipment'!I$22),Report!$A$18:$L$34,'Actual-CO2 Calculations'!$AK120,FALSE)),0),0)</f>
        <v>0</v>
      </c>
      <c r="J117" s="19">
        <f>IF(AND('Fuel Equipment'!J$44&gt;0,'Fuel Equipment'!J$45&gt;0),IF(AND($A117&gt;='Fuel Equipment'!J$17,$A117&lt;='Fuel Equipment'!J$18),('Fuel Equipment'!J$19*'Fuel Equipment'!J$20*'Fuel Equipment'!J$21)*('Fuel Equipment'!J$45-'Fuel Equipment'!J$44)*
(VLOOKUP(IF('Fuel Equipment'!J$22=Report!$A$25,Report!$A$19,'Fuel Equipment'!J$22),Report!$A$18:$L$34,'Actual-CO2 Calculations'!$AK120,FALSE)),0),0)</f>
        <v>0</v>
      </c>
      <c r="K117" s="19">
        <f>IF(AND('Fuel Equipment'!K$44&gt;0,'Fuel Equipment'!K$45&gt;0),IF(AND($A117&gt;='Fuel Equipment'!K$17,$A117&lt;='Fuel Equipment'!K$18),('Fuel Equipment'!K$19*'Fuel Equipment'!K$20*'Fuel Equipment'!K$21)*('Fuel Equipment'!K$45-'Fuel Equipment'!K$44)*
(VLOOKUP(IF('Fuel Equipment'!K$22=Report!$A$25,Report!$A$19,'Fuel Equipment'!K$22),Report!$A$18:$L$34,'Actual-CO2 Calculations'!$AK120,FALSE)),0),0)</f>
        <v>0</v>
      </c>
      <c r="L117" s="19">
        <f>IF(AND('Fuel Equipment'!L$44&gt;0,'Fuel Equipment'!L$45&gt;0),IF(AND($A117&gt;='Fuel Equipment'!L$17,$A117&lt;='Fuel Equipment'!L$18),('Fuel Equipment'!L$19*'Fuel Equipment'!L$20*'Fuel Equipment'!L$21)*('Fuel Equipment'!L$45-'Fuel Equipment'!L$44)*
(VLOOKUP(IF('Fuel Equipment'!L$22=Report!$A$25,Report!$A$19,'Fuel Equipment'!L$22),Report!$A$18:$L$34,'Actual-CO2 Calculations'!$AK120,FALSE)),0),0)</f>
        <v>0</v>
      </c>
      <c r="M117" s="19">
        <f>IF(AND('Fuel Equipment'!M$44&gt;0,'Fuel Equipment'!M$45&gt;0),IF(AND($A117&gt;='Fuel Equipment'!M$17,$A117&lt;='Fuel Equipment'!M$18),('Fuel Equipment'!M$19*'Fuel Equipment'!M$20*'Fuel Equipment'!M$21)*('Fuel Equipment'!M$45-'Fuel Equipment'!M$44)*
(VLOOKUP(IF('Fuel Equipment'!M$22=Report!$A$25,Report!$A$19,'Fuel Equipment'!M$22),Report!$A$18:$L$34,'Actual-CO2 Calculations'!$AK120,FALSE)),0),0)</f>
        <v>0</v>
      </c>
      <c r="N117" s="19">
        <f>IF(AND('Fuel Equipment'!N$44&gt;0,'Fuel Equipment'!N$45&gt;0),IF(AND($A117&gt;='Fuel Equipment'!N$17,$A117&lt;='Fuel Equipment'!N$18),('Fuel Equipment'!N$19*'Fuel Equipment'!N$20*'Fuel Equipment'!N$21)*('Fuel Equipment'!N$45-'Fuel Equipment'!N$44)*
(VLOOKUP(IF('Fuel Equipment'!N$22=Report!$A$25,Report!$A$19,'Fuel Equipment'!N$22),Report!$A$18:$L$34,'Actual-CO2 Calculations'!$AK120,FALSE)),0),0)</f>
        <v>0</v>
      </c>
      <c r="O117" s="19">
        <f>IF(AND('Fuel Equipment'!O$44&gt;0,'Fuel Equipment'!O$45&gt;0),IF(AND($A117&gt;='Fuel Equipment'!O$17,$A117&lt;='Fuel Equipment'!O$18),('Fuel Equipment'!O$19*'Fuel Equipment'!O$20*'Fuel Equipment'!O$21)*('Fuel Equipment'!O$45-'Fuel Equipment'!O$44)*
(VLOOKUP(IF('Fuel Equipment'!O$22=Report!$A$25,Report!$A$19,'Fuel Equipment'!O$22),Report!$A$18:$L$34,'Actual-CO2 Calculations'!$AK120,FALSE)),0),0)</f>
        <v>0</v>
      </c>
      <c r="P117" s="19">
        <f>IF(AND('Fuel Equipment'!P$44&gt;0,'Fuel Equipment'!P$45&gt;0),IF(AND($A117&gt;='Fuel Equipment'!P$17,$A117&lt;='Fuel Equipment'!P$18),('Fuel Equipment'!P$19*'Fuel Equipment'!P$20*'Fuel Equipment'!P$21)*('Fuel Equipment'!P$45-'Fuel Equipment'!P$44)*
(VLOOKUP(IF('Fuel Equipment'!P$22=Report!$A$25,Report!$A$19,'Fuel Equipment'!P$22),Report!$A$18:$L$34,'Actual-CO2 Calculations'!$AK120,FALSE)),0),0)</f>
        <v>0</v>
      </c>
      <c r="Q117" s="19">
        <f>IF(AND('Fuel Equipment'!Q$44&gt;0,'Fuel Equipment'!Q$45&gt;0),IF(AND($A117&gt;='Fuel Equipment'!Q$17,$A117&lt;='Fuel Equipment'!Q$18),('Fuel Equipment'!Q$19*'Fuel Equipment'!Q$20*'Fuel Equipment'!Q$21)*('Fuel Equipment'!Q$45-'Fuel Equipment'!Q$44)*
(VLOOKUP(IF('Fuel Equipment'!Q$22=Report!$A$25,Report!$A$19,'Fuel Equipment'!Q$22),Report!$A$18:$L$34,'Actual-CO2 Calculations'!$AK120,FALSE)),0),0)</f>
        <v>0</v>
      </c>
      <c r="R117" s="19">
        <f>IF(AND('Fuel Equipment'!R$44&gt;0,'Fuel Equipment'!R$45&gt;0),IF(AND($A117&gt;='Fuel Equipment'!R$17,$A117&lt;='Fuel Equipment'!R$18),('Fuel Equipment'!R$19*'Fuel Equipment'!R$20*'Fuel Equipment'!R$21)*('Fuel Equipment'!R$45-'Fuel Equipment'!R$44)*
(VLOOKUP(IF('Fuel Equipment'!R$22=Report!$A$25,Report!$A$19,'Fuel Equipment'!R$22),Report!$A$18:$L$34,'Actual-CO2 Calculations'!$AK120,FALSE)),0),0)</f>
        <v>0</v>
      </c>
      <c r="S117" s="19">
        <f>IF(AND('Fuel Equipment'!S$44&gt;0,'Fuel Equipment'!S$45&gt;0),IF(AND($A117&gt;='Fuel Equipment'!S$17,$A117&lt;='Fuel Equipment'!S$18),('Fuel Equipment'!S$19*'Fuel Equipment'!S$20*'Fuel Equipment'!S$21)*('Fuel Equipment'!S$45-'Fuel Equipment'!S$44)*
(VLOOKUP(IF('Fuel Equipment'!S$22=Report!$A$25,Report!$A$19,'Fuel Equipment'!S$22),Report!$A$18:$L$34,'Actual-CO2 Calculations'!$AK120,FALSE)),0),0)</f>
        <v>0</v>
      </c>
      <c r="V117" s="671">
        <f t="shared" si="1"/>
        <v>0</v>
      </c>
    </row>
    <row r="118" spans="1:22">
      <c r="A118" s="19" t="s">
        <v>999</v>
      </c>
      <c r="B118" s="19">
        <f>IF(AND('Fuel Equipment'!B$44&gt;0,'Fuel Equipment'!B$45&gt;0),IF(AND($A118&gt;='Fuel Equipment'!B$17,$A118&lt;='Fuel Equipment'!B$18),('Fuel Equipment'!B$19*'Fuel Equipment'!B$20*'Fuel Equipment'!B$21)*('Fuel Equipment'!B$45-'Fuel Equipment'!B$44)*
(VLOOKUP(IF('Fuel Equipment'!B$22=Report!$A$25,Report!$A$19,'Fuel Equipment'!B$22),Report!$A$18:$L$34,'Actual-CO2 Calculations'!$AK121,FALSE)),0),0)</f>
        <v>0</v>
      </c>
      <c r="C118" s="19">
        <f>IF(AND('Fuel Equipment'!C$44&gt;0,'Fuel Equipment'!C$45&gt;0),IF(AND($A118&gt;='Fuel Equipment'!C$17,$A118&lt;='Fuel Equipment'!C$18),('Fuel Equipment'!C$19*'Fuel Equipment'!C$20*'Fuel Equipment'!C$21)*('Fuel Equipment'!C$45-'Fuel Equipment'!C$44)*
(VLOOKUP(IF('Fuel Equipment'!C$22=Report!$A$25,Report!$A$19,'Fuel Equipment'!C$22),Report!$A$18:$L$34,'Actual-CO2 Calculations'!$AK121,FALSE)),0),0)</f>
        <v>0</v>
      </c>
      <c r="D118" s="19">
        <f>IF(AND('Fuel Equipment'!D$44&gt;0,'Fuel Equipment'!D$45&gt;0),IF(AND($A118&gt;='Fuel Equipment'!D$17,$A118&lt;='Fuel Equipment'!D$18),('Fuel Equipment'!D$19*'Fuel Equipment'!D$20*'Fuel Equipment'!D$21)*('Fuel Equipment'!D$45-'Fuel Equipment'!D$44)*
(VLOOKUP(IF('Fuel Equipment'!D$22=Report!$A$25,Report!$A$19,'Fuel Equipment'!D$22),Report!$A$18:$L$34,'Actual-CO2 Calculations'!$AK121,FALSE)),0),0)</f>
        <v>0</v>
      </c>
      <c r="E118" s="19">
        <f>IF(AND('Fuel Equipment'!E$44&gt;0,'Fuel Equipment'!E$45&gt;0),IF(AND($A118&gt;='Fuel Equipment'!E$17,$A118&lt;='Fuel Equipment'!E$18),('Fuel Equipment'!E$19*'Fuel Equipment'!E$20*'Fuel Equipment'!E$21)*('Fuel Equipment'!E$45-'Fuel Equipment'!E$44)*
(VLOOKUP(IF('Fuel Equipment'!E$22=Report!$A$25,Report!$A$19,'Fuel Equipment'!E$22),Report!$A$18:$L$34,'Actual-CO2 Calculations'!$AK121,FALSE)),0),0)</f>
        <v>0</v>
      </c>
      <c r="F118" s="19">
        <f>IF(AND('Fuel Equipment'!F$44&gt;0,'Fuel Equipment'!F$45&gt;0),IF(AND($A118&gt;='Fuel Equipment'!F$17,$A118&lt;='Fuel Equipment'!F$18),('Fuel Equipment'!F$19*'Fuel Equipment'!F$20*'Fuel Equipment'!F$21)*('Fuel Equipment'!F$45-'Fuel Equipment'!F$44)*
(VLOOKUP(IF('Fuel Equipment'!F$22=Report!$A$25,Report!$A$19,'Fuel Equipment'!F$22),Report!$A$18:$L$34,'Actual-CO2 Calculations'!$AK121,FALSE)),0),0)</f>
        <v>0</v>
      </c>
      <c r="G118" s="19">
        <f>IF(AND('Fuel Equipment'!G$44&gt;0,'Fuel Equipment'!G$45&gt;0),IF(AND($A118&gt;='Fuel Equipment'!G$17,$A118&lt;='Fuel Equipment'!G$18),('Fuel Equipment'!G$19*'Fuel Equipment'!G$20*'Fuel Equipment'!G$21)*('Fuel Equipment'!G$45-'Fuel Equipment'!G$44)*
(VLOOKUP(IF('Fuel Equipment'!G$22=Report!$A$25,Report!$A$19,'Fuel Equipment'!G$22),Report!$A$18:$L$34,'Actual-CO2 Calculations'!$AK121,FALSE)),0),0)</f>
        <v>0</v>
      </c>
      <c r="H118" s="19">
        <f>IF(AND('Fuel Equipment'!H$44&gt;0,'Fuel Equipment'!H$45&gt;0),IF(AND($A118&gt;='Fuel Equipment'!H$17,$A118&lt;='Fuel Equipment'!H$18),('Fuel Equipment'!H$19*'Fuel Equipment'!H$20*'Fuel Equipment'!H$21)*('Fuel Equipment'!H$45-'Fuel Equipment'!H$44)*
(VLOOKUP(IF('Fuel Equipment'!H$22=Report!$A$25,Report!$A$19,'Fuel Equipment'!H$22),Report!$A$18:$L$34,'Actual-CO2 Calculations'!$AK121,FALSE)),0),0)</f>
        <v>0</v>
      </c>
      <c r="I118" s="19">
        <f>IF(AND('Fuel Equipment'!I$44&gt;0,'Fuel Equipment'!I$45&gt;0),IF(AND($A118&gt;='Fuel Equipment'!I$17,$A118&lt;='Fuel Equipment'!I$18),('Fuel Equipment'!I$19*'Fuel Equipment'!I$20*'Fuel Equipment'!I$21)*('Fuel Equipment'!I$45-'Fuel Equipment'!I$44)*
(VLOOKUP(IF('Fuel Equipment'!I$22=Report!$A$25,Report!$A$19,'Fuel Equipment'!I$22),Report!$A$18:$L$34,'Actual-CO2 Calculations'!$AK121,FALSE)),0),0)</f>
        <v>0</v>
      </c>
      <c r="J118" s="19">
        <f>IF(AND('Fuel Equipment'!J$44&gt;0,'Fuel Equipment'!J$45&gt;0),IF(AND($A118&gt;='Fuel Equipment'!J$17,$A118&lt;='Fuel Equipment'!J$18),('Fuel Equipment'!J$19*'Fuel Equipment'!J$20*'Fuel Equipment'!J$21)*('Fuel Equipment'!J$45-'Fuel Equipment'!J$44)*
(VLOOKUP(IF('Fuel Equipment'!J$22=Report!$A$25,Report!$A$19,'Fuel Equipment'!J$22),Report!$A$18:$L$34,'Actual-CO2 Calculations'!$AK121,FALSE)),0),0)</f>
        <v>0</v>
      </c>
      <c r="K118" s="19">
        <f>IF(AND('Fuel Equipment'!K$44&gt;0,'Fuel Equipment'!K$45&gt;0),IF(AND($A118&gt;='Fuel Equipment'!K$17,$A118&lt;='Fuel Equipment'!K$18),('Fuel Equipment'!K$19*'Fuel Equipment'!K$20*'Fuel Equipment'!K$21)*('Fuel Equipment'!K$45-'Fuel Equipment'!K$44)*
(VLOOKUP(IF('Fuel Equipment'!K$22=Report!$A$25,Report!$A$19,'Fuel Equipment'!K$22),Report!$A$18:$L$34,'Actual-CO2 Calculations'!$AK121,FALSE)),0),0)</f>
        <v>0</v>
      </c>
      <c r="L118" s="19">
        <f>IF(AND('Fuel Equipment'!L$44&gt;0,'Fuel Equipment'!L$45&gt;0),IF(AND($A118&gt;='Fuel Equipment'!L$17,$A118&lt;='Fuel Equipment'!L$18),('Fuel Equipment'!L$19*'Fuel Equipment'!L$20*'Fuel Equipment'!L$21)*('Fuel Equipment'!L$45-'Fuel Equipment'!L$44)*
(VLOOKUP(IF('Fuel Equipment'!L$22=Report!$A$25,Report!$A$19,'Fuel Equipment'!L$22),Report!$A$18:$L$34,'Actual-CO2 Calculations'!$AK121,FALSE)),0),0)</f>
        <v>0</v>
      </c>
      <c r="M118" s="19">
        <f>IF(AND('Fuel Equipment'!M$44&gt;0,'Fuel Equipment'!M$45&gt;0),IF(AND($A118&gt;='Fuel Equipment'!M$17,$A118&lt;='Fuel Equipment'!M$18),('Fuel Equipment'!M$19*'Fuel Equipment'!M$20*'Fuel Equipment'!M$21)*('Fuel Equipment'!M$45-'Fuel Equipment'!M$44)*
(VLOOKUP(IF('Fuel Equipment'!M$22=Report!$A$25,Report!$A$19,'Fuel Equipment'!M$22),Report!$A$18:$L$34,'Actual-CO2 Calculations'!$AK121,FALSE)),0),0)</f>
        <v>0</v>
      </c>
      <c r="N118" s="19">
        <f>IF(AND('Fuel Equipment'!N$44&gt;0,'Fuel Equipment'!N$45&gt;0),IF(AND($A118&gt;='Fuel Equipment'!N$17,$A118&lt;='Fuel Equipment'!N$18),('Fuel Equipment'!N$19*'Fuel Equipment'!N$20*'Fuel Equipment'!N$21)*('Fuel Equipment'!N$45-'Fuel Equipment'!N$44)*
(VLOOKUP(IF('Fuel Equipment'!N$22=Report!$A$25,Report!$A$19,'Fuel Equipment'!N$22),Report!$A$18:$L$34,'Actual-CO2 Calculations'!$AK121,FALSE)),0),0)</f>
        <v>0</v>
      </c>
      <c r="O118" s="19">
        <f>IF(AND('Fuel Equipment'!O$44&gt;0,'Fuel Equipment'!O$45&gt;0),IF(AND($A118&gt;='Fuel Equipment'!O$17,$A118&lt;='Fuel Equipment'!O$18),('Fuel Equipment'!O$19*'Fuel Equipment'!O$20*'Fuel Equipment'!O$21)*('Fuel Equipment'!O$45-'Fuel Equipment'!O$44)*
(VLOOKUP(IF('Fuel Equipment'!O$22=Report!$A$25,Report!$A$19,'Fuel Equipment'!O$22),Report!$A$18:$L$34,'Actual-CO2 Calculations'!$AK121,FALSE)),0),0)</f>
        <v>0</v>
      </c>
      <c r="P118" s="19">
        <f>IF(AND('Fuel Equipment'!P$44&gt;0,'Fuel Equipment'!P$45&gt;0),IF(AND($A118&gt;='Fuel Equipment'!P$17,$A118&lt;='Fuel Equipment'!P$18),('Fuel Equipment'!P$19*'Fuel Equipment'!P$20*'Fuel Equipment'!P$21)*('Fuel Equipment'!P$45-'Fuel Equipment'!P$44)*
(VLOOKUP(IF('Fuel Equipment'!P$22=Report!$A$25,Report!$A$19,'Fuel Equipment'!P$22),Report!$A$18:$L$34,'Actual-CO2 Calculations'!$AK121,FALSE)),0),0)</f>
        <v>0</v>
      </c>
      <c r="Q118" s="19">
        <f>IF(AND('Fuel Equipment'!Q$44&gt;0,'Fuel Equipment'!Q$45&gt;0),IF(AND($A118&gt;='Fuel Equipment'!Q$17,$A118&lt;='Fuel Equipment'!Q$18),('Fuel Equipment'!Q$19*'Fuel Equipment'!Q$20*'Fuel Equipment'!Q$21)*('Fuel Equipment'!Q$45-'Fuel Equipment'!Q$44)*
(VLOOKUP(IF('Fuel Equipment'!Q$22=Report!$A$25,Report!$A$19,'Fuel Equipment'!Q$22),Report!$A$18:$L$34,'Actual-CO2 Calculations'!$AK121,FALSE)),0),0)</f>
        <v>0</v>
      </c>
      <c r="R118" s="19">
        <f>IF(AND('Fuel Equipment'!R$44&gt;0,'Fuel Equipment'!R$45&gt;0),IF(AND($A118&gt;='Fuel Equipment'!R$17,$A118&lt;='Fuel Equipment'!R$18),('Fuel Equipment'!R$19*'Fuel Equipment'!R$20*'Fuel Equipment'!R$21)*('Fuel Equipment'!R$45-'Fuel Equipment'!R$44)*
(VLOOKUP(IF('Fuel Equipment'!R$22=Report!$A$25,Report!$A$19,'Fuel Equipment'!R$22),Report!$A$18:$L$34,'Actual-CO2 Calculations'!$AK121,FALSE)),0),0)</f>
        <v>0</v>
      </c>
      <c r="S118" s="19">
        <f>IF(AND('Fuel Equipment'!S$44&gt;0,'Fuel Equipment'!S$45&gt;0),IF(AND($A118&gt;='Fuel Equipment'!S$17,$A118&lt;='Fuel Equipment'!S$18),('Fuel Equipment'!S$19*'Fuel Equipment'!S$20*'Fuel Equipment'!S$21)*('Fuel Equipment'!S$45-'Fuel Equipment'!S$44)*
(VLOOKUP(IF('Fuel Equipment'!S$22=Report!$A$25,Report!$A$19,'Fuel Equipment'!S$22),Report!$A$18:$L$34,'Actual-CO2 Calculations'!$AK121,FALSE)),0),0)</f>
        <v>0</v>
      </c>
      <c r="V118" s="671">
        <f t="shared" si="1"/>
        <v>0</v>
      </c>
    </row>
    <row r="121" spans="1:22">
      <c r="B121" s="19">
        <f>SUM(B2:B118)</f>
        <v>59995.893176470621</v>
      </c>
      <c r="C121" s="19">
        <f t="shared" ref="C121:S121" si="2">SUM(C2:C118)</f>
        <v>13201.007956989268</v>
      </c>
      <c r="D121" s="19">
        <f t="shared" si="2"/>
        <v>107504.75519999987</v>
      </c>
      <c r="E121" s="19">
        <f t="shared" si="2"/>
        <v>77948.808888888845</v>
      </c>
      <c r="F121" s="19">
        <f t="shared" si="2"/>
        <v>0</v>
      </c>
      <c r="G121" s="19">
        <f t="shared" si="2"/>
        <v>0</v>
      </c>
      <c r="H121" s="19">
        <f t="shared" si="2"/>
        <v>0</v>
      </c>
      <c r="I121" s="19">
        <f t="shared" si="2"/>
        <v>0</v>
      </c>
      <c r="J121" s="19">
        <f t="shared" si="2"/>
        <v>0</v>
      </c>
      <c r="K121" s="19">
        <f t="shared" si="2"/>
        <v>0</v>
      </c>
      <c r="L121" s="19">
        <f t="shared" si="2"/>
        <v>0</v>
      </c>
      <c r="M121" s="19">
        <f t="shared" si="2"/>
        <v>0</v>
      </c>
      <c r="N121" s="19">
        <f t="shared" si="2"/>
        <v>0</v>
      </c>
      <c r="O121" s="19">
        <f t="shared" si="2"/>
        <v>0</v>
      </c>
      <c r="P121" s="19">
        <f t="shared" si="2"/>
        <v>0</v>
      </c>
      <c r="Q121" s="19">
        <f t="shared" si="2"/>
        <v>0</v>
      </c>
      <c r="R121" s="19">
        <f t="shared" si="2"/>
        <v>0</v>
      </c>
      <c r="S121" s="19">
        <f t="shared" si="2"/>
        <v>0</v>
      </c>
      <c r="V121" s="671">
        <f t="shared" si="1"/>
        <v>258650.46522234863</v>
      </c>
    </row>
    <row r="132" spans="1:22">
      <c r="A132" s="567" t="s">
        <v>927</v>
      </c>
    </row>
    <row r="133" spans="1:22">
      <c r="A133" s="19" t="s">
        <v>31</v>
      </c>
      <c r="B133" s="19">
        <f>B2</f>
        <v>0</v>
      </c>
      <c r="C133" s="19">
        <f t="shared" ref="C133:S133" si="3">C2</f>
        <v>0</v>
      </c>
      <c r="D133" s="19">
        <f t="shared" si="3"/>
        <v>0</v>
      </c>
      <c r="E133" s="19">
        <f t="shared" si="3"/>
        <v>0</v>
      </c>
      <c r="F133" s="19">
        <f t="shared" si="3"/>
        <v>0</v>
      </c>
      <c r="G133" s="19">
        <f t="shared" si="3"/>
        <v>0</v>
      </c>
      <c r="H133" s="19">
        <f t="shared" si="3"/>
        <v>0</v>
      </c>
      <c r="I133" s="19">
        <f t="shared" si="3"/>
        <v>0</v>
      </c>
      <c r="J133" s="19">
        <f t="shared" si="3"/>
        <v>0</v>
      </c>
      <c r="K133" s="19">
        <f t="shared" si="3"/>
        <v>0</v>
      </c>
      <c r="L133" s="19">
        <f t="shared" si="3"/>
        <v>0</v>
      </c>
      <c r="M133" s="19">
        <f t="shared" si="3"/>
        <v>0</v>
      </c>
      <c r="N133" s="19">
        <f t="shared" si="3"/>
        <v>0</v>
      </c>
      <c r="O133" s="19">
        <f t="shared" si="3"/>
        <v>0</v>
      </c>
      <c r="P133" s="19">
        <f t="shared" si="3"/>
        <v>0</v>
      </c>
      <c r="Q133" s="19">
        <f t="shared" si="3"/>
        <v>0</v>
      </c>
      <c r="R133" s="19">
        <f t="shared" si="3"/>
        <v>0</v>
      </c>
      <c r="S133" s="19">
        <f t="shared" si="3"/>
        <v>0</v>
      </c>
      <c r="V133" s="671">
        <f t="shared" ref="V133:V194" si="4">SUM(B133:S133)</f>
        <v>0</v>
      </c>
    </row>
    <row r="134" spans="1:22">
      <c r="A134" s="19" t="s">
        <v>32</v>
      </c>
      <c r="B134" s="19">
        <f t="shared" ref="B134:B165" si="5">B3+B133</f>
        <v>0</v>
      </c>
      <c r="C134" s="19">
        <f t="shared" ref="C134:C165" si="6">C3+C133</f>
        <v>0</v>
      </c>
      <c r="D134" s="19">
        <f t="shared" ref="D134:D165" si="7">D3+D133</f>
        <v>0</v>
      </c>
      <c r="E134" s="19">
        <f t="shared" ref="E134:E165" si="8">E3+E133</f>
        <v>0</v>
      </c>
      <c r="F134" s="19">
        <f t="shared" ref="F134:F165" si="9">F3+F133</f>
        <v>0</v>
      </c>
      <c r="G134" s="19">
        <f t="shared" ref="G134:G165" si="10">G3+G133</f>
        <v>0</v>
      </c>
      <c r="H134" s="19">
        <f t="shared" ref="H134:H165" si="11">H3+H133</f>
        <v>0</v>
      </c>
      <c r="I134" s="19">
        <f t="shared" ref="I134:I165" si="12">I3+I133</f>
        <v>0</v>
      </c>
      <c r="J134" s="19">
        <f t="shared" ref="J134:J165" si="13">J3+J133</f>
        <v>0</v>
      </c>
      <c r="K134" s="19">
        <f t="shared" ref="K134:K165" si="14">K3+K133</f>
        <v>0</v>
      </c>
      <c r="L134" s="19">
        <f t="shared" ref="L134:L165" si="15">L3+L133</f>
        <v>0</v>
      </c>
      <c r="M134" s="19">
        <f t="shared" ref="M134:M165" si="16">M3+M133</f>
        <v>0</v>
      </c>
      <c r="N134" s="19">
        <f t="shared" ref="N134:N165" si="17">N3+N133</f>
        <v>0</v>
      </c>
      <c r="O134" s="19">
        <f t="shared" ref="O134:O165" si="18">O3+O133</f>
        <v>0</v>
      </c>
      <c r="P134" s="19">
        <f t="shared" ref="P134:P165" si="19">P3+P133</f>
        <v>0</v>
      </c>
      <c r="Q134" s="19">
        <f t="shared" ref="Q134:Q165" si="20">Q3+Q133</f>
        <v>0</v>
      </c>
      <c r="R134" s="19">
        <f t="shared" ref="R134:R165" si="21">R3+R133</f>
        <v>0</v>
      </c>
      <c r="S134" s="19">
        <f t="shared" ref="S134:S165" si="22">S3+S133</f>
        <v>0</v>
      </c>
      <c r="V134" s="671">
        <f t="shared" si="4"/>
        <v>0</v>
      </c>
    </row>
    <row r="135" spans="1:22">
      <c r="A135" s="19" t="s">
        <v>33</v>
      </c>
      <c r="B135" s="19">
        <f t="shared" si="5"/>
        <v>0</v>
      </c>
      <c r="C135" s="19">
        <f t="shared" si="6"/>
        <v>0</v>
      </c>
      <c r="D135" s="19">
        <f t="shared" si="7"/>
        <v>0</v>
      </c>
      <c r="E135" s="19">
        <f t="shared" si="8"/>
        <v>0</v>
      </c>
      <c r="F135" s="19">
        <f t="shared" si="9"/>
        <v>0</v>
      </c>
      <c r="G135" s="19">
        <f t="shared" si="10"/>
        <v>0</v>
      </c>
      <c r="H135" s="19">
        <f t="shared" si="11"/>
        <v>0</v>
      </c>
      <c r="I135" s="19">
        <f t="shared" si="12"/>
        <v>0</v>
      </c>
      <c r="J135" s="19">
        <f t="shared" si="13"/>
        <v>0</v>
      </c>
      <c r="K135" s="19">
        <f t="shared" si="14"/>
        <v>0</v>
      </c>
      <c r="L135" s="19">
        <f t="shared" si="15"/>
        <v>0</v>
      </c>
      <c r="M135" s="19">
        <f t="shared" si="16"/>
        <v>0</v>
      </c>
      <c r="N135" s="19">
        <f t="shared" si="17"/>
        <v>0</v>
      </c>
      <c r="O135" s="19">
        <f t="shared" si="18"/>
        <v>0</v>
      </c>
      <c r="P135" s="19">
        <f t="shared" si="19"/>
        <v>0</v>
      </c>
      <c r="Q135" s="19">
        <f t="shared" si="20"/>
        <v>0</v>
      </c>
      <c r="R135" s="19">
        <f t="shared" si="21"/>
        <v>0</v>
      </c>
      <c r="S135" s="19">
        <f t="shared" si="22"/>
        <v>0</v>
      </c>
      <c r="V135" s="671">
        <f t="shared" si="4"/>
        <v>0</v>
      </c>
    </row>
    <row r="136" spans="1:22">
      <c r="A136" s="19" t="s">
        <v>34</v>
      </c>
      <c r="B136" s="19">
        <f t="shared" si="5"/>
        <v>0</v>
      </c>
      <c r="C136" s="19">
        <f t="shared" si="6"/>
        <v>0</v>
      </c>
      <c r="D136" s="19">
        <f t="shared" si="7"/>
        <v>0</v>
      </c>
      <c r="E136" s="19">
        <f t="shared" si="8"/>
        <v>0</v>
      </c>
      <c r="F136" s="19">
        <f t="shared" si="9"/>
        <v>0</v>
      </c>
      <c r="G136" s="19">
        <f t="shared" si="10"/>
        <v>0</v>
      </c>
      <c r="H136" s="19">
        <f t="shared" si="11"/>
        <v>0</v>
      </c>
      <c r="I136" s="19">
        <f t="shared" si="12"/>
        <v>0</v>
      </c>
      <c r="J136" s="19">
        <f t="shared" si="13"/>
        <v>0</v>
      </c>
      <c r="K136" s="19">
        <f t="shared" si="14"/>
        <v>0</v>
      </c>
      <c r="L136" s="19">
        <f t="shared" si="15"/>
        <v>0</v>
      </c>
      <c r="M136" s="19">
        <f t="shared" si="16"/>
        <v>0</v>
      </c>
      <c r="N136" s="19">
        <f t="shared" si="17"/>
        <v>0</v>
      </c>
      <c r="O136" s="19">
        <f t="shared" si="18"/>
        <v>0</v>
      </c>
      <c r="P136" s="19">
        <f t="shared" si="19"/>
        <v>0</v>
      </c>
      <c r="Q136" s="19">
        <f t="shared" si="20"/>
        <v>0</v>
      </c>
      <c r="R136" s="19">
        <f t="shared" si="21"/>
        <v>0</v>
      </c>
      <c r="S136" s="19">
        <f t="shared" si="22"/>
        <v>0</v>
      </c>
      <c r="V136" s="671">
        <f t="shared" si="4"/>
        <v>0</v>
      </c>
    </row>
    <row r="137" spans="1:22">
      <c r="A137" s="19" t="s">
        <v>35</v>
      </c>
      <c r="B137" s="19">
        <f t="shared" si="5"/>
        <v>0</v>
      </c>
      <c r="C137" s="19">
        <f t="shared" si="6"/>
        <v>0</v>
      </c>
      <c r="D137" s="19">
        <f t="shared" si="7"/>
        <v>0</v>
      </c>
      <c r="E137" s="19">
        <f t="shared" si="8"/>
        <v>0</v>
      </c>
      <c r="F137" s="19">
        <f t="shared" si="9"/>
        <v>0</v>
      </c>
      <c r="G137" s="19">
        <f t="shared" si="10"/>
        <v>0</v>
      </c>
      <c r="H137" s="19">
        <f t="shared" si="11"/>
        <v>0</v>
      </c>
      <c r="I137" s="19">
        <f t="shared" si="12"/>
        <v>0</v>
      </c>
      <c r="J137" s="19">
        <f t="shared" si="13"/>
        <v>0</v>
      </c>
      <c r="K137" s="19">
        <f t="shared" si="14"/>
        <v>0</v>
      </c>
      <c r="L137" s="19">
        <f t="shared" si="15"/>
        <v>0</v>
      </c>
      <c r="M137" s="19">
        <f t="shared" si="16"/>
        <v>0</v>
      </c>
      <c r="N137" s="19">
        <f t="shared" si="17"/>
        <v>0</v>
      </c>
      <c r="O137" s="19">
        <f t="shared" si="18"/>
        <v>0</v>
      </c>
      <c r="P137" s="19">
        <f t="shared" si="19"/>
        <v>0</v>
      </c>
      <c r="Q137" s="19">
        <f t="shared" si="20"/>
        <v>0</v>
      </c>
      <c r="R137" s="19">
        <f t="shared" si="21"/>
        <v>0</v>
      </c>
      <c r="S137" s="19">
        <f t="shared" si="22"/>
        <v>0</v>
      </c>
      <c r="V137" s="671">
        <f t="shared" si="4"/>
        <v>0</v>
      </c>
    </row>
    <row r="138" spans="1:22">
      <c r="A138" s="19" t="s">
        <v>36</v>
      </c>
      <c r="B138" s="19">
        <f t="shared" si="5"/>
        <v>0</v>
      </c>
      <c r="C138" s="19">
        <f t="shared" si="6"/>
        <v>0</v>
      </c>
      <c r="D138" s="19">
        <f t="shared" si="7"/>
        <v>0</v>
      </c>
      <c r="E138" s="19">
        <f t="shared" si="8"/>
        <v>0</v>
      </c>
      <c r="F138" s="19">
        <f t="shared" si="9"/>
        <v>0</v>
      </c>
      <c r="G138" s="19">
        <f t="shared" si="10"/>
        <v>0</v>
      </c>
      <c r="H138" s="19">
        <f t="shared" si="11"/>
        <v>0</v>
      </c>
      <c r="I138" s="19">
        <f t="shared" si="12"/>
        <v>0</v>
      </c>
      <c r="J138" s="19">
        <f t="shared" si="13"/>
        <v>0</v>
      </c>
      <c r="K138" s="19">
        <f t="shared" si="14"/>
        <v>0</v>
      </c>
      <c r="L138" s="19">
        <f t="shared" si="15"/>
        <v>0</v>
      </c>
      <c r="M138" s="19">
        <f t="shared" si="16"/>
        <v>0</v>
      </c>
      <c r="N138" s="19">
        <f t="shared" si="17"/>
        <v>0</v>
      </c>
      <c r="O138" s="19">
        <f t="shared" si="18"/>
        <v>0</v>
      </c>
      <c r="P138" s="19">
        <f t="shared" si="19"/>
        <v>0</v>
      </c>
      <c r="Q138" s="19">
        <f t="shared" si="20"/>
        <v>0</v>
      </c>
      <c r="R138" s="19">
        <f t="shared" si="21"/>
        <v>0</v>
      </c>
      <c r="S138" s="19">
        <f t="shared" si="22"/>
        <v>0</v>
      </c>
      <c r="V138" s="671">
        <f t="shared" si="4"/>
        <v>0</v>
      </c>
    </row>
    <row r="139" spans="1:22">
      <c r="A139" s="19" t="s">
        <v>37</v>
      </c>
      <c r="B139" s="19">
        <f t="shared" si="5"/>
        <v>0</v>
      </c>
      <c r="C139" s="19">
        <f t="shared" si="6"/>
        <v>0</v>
      </c>
      <c r="D139" s="19">
        <f t="shared" si="7"/>
        <v>0</v>
      </c>
      <c r="E139" s="19">
        <f t="shared" si="8"/>
        <v>0</v>
      </c>
      <c r="F139" s="19">
        <f t="shared" si="9"/>
        <v>0</v>
      </c>
      <c r="G139" s="19">
        <f t="shared" si="10"/>
        <v>0</v>
      </c>
      <c r="H139" s="19">
        <f t="shared" si="11"/>
        <v>0</v>
      </c>
      <c r="I139" s="19">
        <f t="shared" si="12"/>
        <v>0</v>
      </c>
      <c r="J139" s="19">
        <f t="shared" si="13"/>
        <v>0</v>
      </c>
      <c r="K139" s="19">
        <f t="shared" si="14"/>
        <v>0</v>
      </c>
      <c r="L139" s="19">
        <f t="shared" si="15"/>
        <v>0</v>
      </c>
      <c r="M139" s="19">
        <f t="shared" si="16"/>
        <v>0</v>
      </c>
      <c r="N139" s="19">
        <f t="shared" si="17"/>
        <v>0</v>
      </c>
      <c r="O139" s="19">
        <f t="shared" si="18"/>
        <v>0</v>
      </c>
      <c r="P139" s="19">
        <f t="shared" si="19"/>
        <v>0</v>
      </c>
      <c r="Q139" s="19">
        <f t="shared" si="20"/>
        <v>0</v>
      </c>
      <c r="R139" s="19">
        <f t="shared" si="21"/>
        <v>0</v>
      </c>
      <c r="S139" s="19">
        <f t="shared" si="22"/>
        <v>0</v>
      </c>
      <c r="V139" s="671">
        <f t="shared" si="4"/>
        <v>0</v>
      </c>
    </row>
    <row r="140" spans="1:22">
      <c r="A140" s="19" t="s">
        <v>38</v>
      </c>
      <c r="B140" s="19">
        <f t="shared" si="5"/>
        <v>0</v>
      </c>
      <c r="C140" s="19">
        <f t="shared" si="6"/>
        <v>0</v>
      </c>
      <c r="D140" s="19">
        <f t="shared" si="7"/>
        <v>0</v>
      </c>
      <c r="E140" s="19">
        <f t="shared" si="8"/>
        <v>0</v>
      </c>
      <c r="F140" s="19">
        <f t="shared" si="9"/>
        <v>0</v>
      </c>
      <c r="G140" s="19">
        <f t="shared" si="10"/>
        <v>0</v>
      </c>
      <c r="H140" s="19">
        <f t="shared" si="11"/>
        <v>0</v>
      </c>
      <c r="I140" s="19">
        <f t="shared" si="12"/>
        <v>0</v>
      </c>
      <c r="J140" s="19">
        <f t="shared" si="13"/>
        <v>0</v>
      </c>
      <c r="K140" s="19">
        <f t="shared" si="14"/>
        <v>0</v>
      </c>
      <c r="L140" s="19">
        <f t="shared" si="15"/>
        <v>0</v>
      </c>
      <c r="M140" s="19">
        <f t="shared" si="16"/>
        <v>0</v>
      </c>
      <c r="N140" s="19">
        <f t="shared" si="17"/>
        <v>0</v>
      </c>
      <c r="O140" s="19">
        <f t="shared" si="18"/>
        <v>0</v>
      </c>
      <c r="P140" s="19">
        <f t="shared" si="19"/>
        <v>0</v>
      </c>
      <c r="Q140" s="19">
        <f t="shared" si="20"/>
        <v>0</v>
      </c>
      <c r="R140" s="19">
        <f t="shared" si="21"/>
        <v>0</v>
      </c>
      <c r="S140" s="19">
        <f t="shared" si="22"/>
        <v>0</v>
      </c>
      <c r="V140" s="671">
        <f t="shared" si="4"/>
        <v>0</v>
      </c>
    </row>
    <row r="141" spans="1:22">
      <c r="A141" s="19" t="s">
        <v>39</v>
      </c>
      <c r="B141" s="19">
        <f t="shared" si="5"/>
        <v>0</v>
      </c>
      <c r="C141" s="19">
        <f t="shared" si="6"/>
        <v>0</v>
      </c>
      <c r="D141" s="19">
        <f t="shared" si="7"/>
        <v>0</v>
      </c>
      <c r="E141" s="19">
        <f t="shared" si="8"/>
        <v>0</v>
      </c>
      <c r="F141" s="19">
        <f t="shared" si="9"/>
        <v>0</v>
      </c>
      <c r="G141" s="19">
        <f t="shared" si="10"/>
        <v>0</v>
      </c>
      <c r="H141" s="19">
        <f t="shared" si="11"/>
        <v>0</v>
      </c>
      <c r="I141" s="19">
        <f t="shared" si="12"/>
        <v>0</v>
      </c>
      <c r="J141" s="19">
        <f t="shared" si="13"/>
        <v>0</v>
      </c>
      <c r="K141" s="19">
        <f t="shared" si="14"/>
        <v>0</v>
      </c>
      <c r="L141" s="19">
        <f t="shared" si="15"/>
        <v>0</v>
      </c>
      <c r="M141" s="19">
        <f t="shared" si="16"/>
        <v>0</v>
      </c>
      <c r="N141" s="19">
        <f t="shared" si="17"/>
        <v>0</v>
      </c>
      <c r="O141" s="19">
        <f t="shared" si="18"/>
        <v>0</v>
      </c>
      <c r="P141" s="19">
        <f t="shared" si="19"/>
        <v>0</v>
      </c>
      <c r="Q141" s="19">
        <f t="shared" si="20"/>
        <v>0</v>
      </c>
      <c r="R141" s="19">
        <f t="shared" si="21"/>
        <v>0</v>
      </c>
      <c r="S141" s="19">
        <f t="shared" si="22"/>
        <v>0</v>
      </c>
      <c r="V141" s="671">
        <f t="shared" si="4"/>
        <v>0</v>
      </c>
    </row>
    <row r="142" spans="1:22">
      <c r="A142" s="19" t="s">
        <v>25</v>
      </c>
      <c r="B142" s="19">
        <f t="shared" si="5"/>
        <v>0</v>
      </c>
      <c r="C142" s="19">
        <f t="shared" si="6"/>
        <v>0</v>
      </c>
      <c r="D142" s="19">
        <f t="shared" si="7"/>
        <v>0</v>
      </c>
      <c r="E142" s="19">
        <f t="shared" si="8"/>
        <v>0</v>
      </c>
      <c r="F142" s="19">
        <f t="shared" si="9"/>
        <v>0</v>
      </c>
      <c r="G142" s="19">
        <f t="shared" si="10"/>
        <v>0</v>
      </c>
      <c r="H142" s="19">
        <f t="shared" si="11"/>
        <v>0</v>
      </c>
      <c r="I142" s="19">
        <f t="shared" si="12"/>
        <v>0</v>
      </c>
      <c r="J142" s="19">
        <f t="shared" si="13"/>
        <v>0</v>
      </c>
      <c r="K142" s="19">
        <f t="shared" si="14"/>
        <v>0</v>
      </c>
      <c r="L142" s="19">
        <f t="shared" si="15"/>
        <v>0</v>
      </c>
      <c r="M142" s="19">
        <f t="shared" si="16"/>
        <v>0</v>
      </c>
      <c r="N142" s="19">
        <f t="shared" si="17"/>
        <v>0</v>
      </c>
      <c r="O142" s="19">
        <f t="shared" si="18"/>
        <v>0</v>
      </c>
      <c r="P142" s="19">
        <f t="shared" si="19"/>
        <v>0</v>
      </c>
      <c r="Q142" s="19">
        <f t="shared" si="20"/>
        <v>0</v>
      </c>
      <c r="R142" s="19">
        <f t="shared" si="21"/>
        <v>0</v>
      </c>
      <c r="S142" s="19">
        <f t="shared" si="22"/>
        <v>0</v>
      </c>
      <c r="V142" s="671">
        <f t="shared" si="4"/>
        <v>0</v>
      </c>
    </row>
    <row r="143" spans="1:22">
      <c r="A143" s="19" t="s">
        <v>26</v>
      </c>
      <c r="B143" s="19">
        <f t="shared" si="5"/>
        <v>0</v>
      </c>
      <c r="C143" s="19">
        <f t="shared" si="6"/>
        <v>0</v>
      </c>
      <c r="D143" s="19">
        <f t="shared" si="7"/>
        <v>0</v>
      </c>
      <c r="E143" s="19">
        <f t="shared" si="8"/>
        <v>0</v>
      </c>
      <c r="F143" s="19">
        <f t="shared" si="9"/>
        <v>0</v>
      </c>
      <c r="G143" s="19">
        <f t="shared" si="10"/>
        <v>0</v>
      </c>
      <c r="H143" s="19">
        <f t="shared" si="11"/>
        <v>0</v>
      </c>
      <c r="I143" s="19">
        <f t="shared" si="12"/>
        <v>0</v>
      </c>
      <c r="J143" s="19">
        <f t="shared" si="13"/>
        <v>0</v>
      </c>
      <c r="K143" s="19">
        <f t="shared" si="14"/>
        <v>0</v>
      </c>
      <c r="L143" s="19">
        <f t="shared" si="15"/>
        <v>0</v>
      </c>
      <c r="M143" s="19">
        <f t="shared" si="16"/>
        <v>0</v>
      </c>
      <c r="N143" s="19">
        <f t="shared" si="17"/>
        <v>0</v>
      </c>
      <c r="O143" s="19">
        <f t="shared" si="18"/>
        <v>0</v>
      </c>
      <c r="P143" s="19">
        <f t="shared" si="19"/>
        <v>0</v>
      </c>
      <c r="Q143" s="19">
        <f t="shared" si="20"/>
        <v>0</v>
      </c>
      <c r="R143" s="19">
        <f t="shared" si="21"/>
        <v>0</v>
      </c>
      <c r="S143" s="19">
        <f t="shared" si="22"/>
        <v>0</v>
      </c>
      <c r="V143" s="671">
        <f t="shared" si="4"/>
        <v>0</v>
      </c>
    </row>
    <row r="144" spans="1:22">
      <c r="A144" s="19" t="s">
        <v>27</v>
      </c>
      <c r="B144" s="19">
        <f t="shared" si="5"/>
        <v>0</v>
      </c>
      <c r="C144" s="19">
        <f t="shared" si="6"/>
        <v>0</v>
      </c>
      <c r="D144" s="19">
        <f t="shared" si="7"/>
        <v>0</v>
      </c>
      <c r="E144" s="19">
        <f t="shared" si="8"/>
        <v>0</v>
      </c>
      <c r="F144" s="19">
        <f t="shared" si="9"/>
        <v>0</v>
      </c>
      <c r="G144" s="19">
        <f t="shared" si="10"/>
        <v>0</v>
      </c>
      <c r="H144" s="19">
        <f t="shared" si="11"/>
        <v>0</v>
      </c>
      <c r="I144" s="19">
        <f t="shared" si="12"/>
        <v>0</v>
      </c>
      <c r="J144" s="19">
        <f t="shared" si="13"/>
        <v>0</v>
      </c>
      <c r="K144" s="19">
        <f t="shared" si="14"/>
        <v>0</v>
      </c>
      <c r="L144" s="19">
        <f t="shared" si="15"/>
        <v>0</v>
      </c>
      <c r="M144" s="19">
        <f t="shared" si="16"/>
        <v>0</v>
      </c>
      <c r="N144" s="19">
        <f t="shared" si="17"/>
        <v>0</v>
      </c>
      <c r="O144" s="19">
        <f t="shared" si="18"/>
        <v>0</v>
      </c>
      <c r="P144" s="19">
        <f t="shared" si="19"/>
        <v>0</v>
      </c>
      <c r="Q144" s="19">
        <f t="shared" si="20"/>
        <v>0</v>
      </c>
      <c r="R144" s="19">
        <f t="shared" si="21"/>
        <v>0</v>
      </c>
      <c r="S144" s="19">
        <f t="shared" si="22"/>
        <v>0</v>
      </c>
      <c r="V144" s="671">
        <f t="shared" si="4"/>
        <v>0</v>
      </c>
    </row>
    <row r="145" spans="1:22">
      <c r="A145" s="19" t="s">
        <v>24</v>
      </c>
      <c r="B145" s="19">
        <f t="shared" si="5"/>
        <v>0</v>
      </c>
      <c r="C145" s="19">
        <f t="shared" si="6"/>
        <v>0</v>
      </c>
      <c r="D145" s="19">
        <f t="shared" si="7"/>
        <v>0</v>
      </c>
      <c r="E145" s="19">
        <f t="shared" si="8"/>
        <v>0</v>
      </c>
      <c r="F145" s="19">
        <f t="shared" si="9"/>
        <v>0</v>
      </c>
      <c r="G145" s="19">
        <f t="shared" si="10"/>
        <v>0</v>
      </c>
      <c r="H145" s="19">
        <f t="shared" si="11"/>
        <v>0</v>
      </c>
      <c r="I145" s="19">
        <f t="shared" si="12"/>
        <v>0</v>
      </c>
      <c r="J145" s="19">
        <f t="shared" si="13"/>
        <v>0</v>
      </c>
      <c r="K145" s="19">
        <f t="shared" si="14"/>
        <v>0</v>
      </c>
      <c r="L145" s="19">
        <f t="shared" si="15"/>
        <v>0</v>
      </c>
      <c r="M145" s="19">
        <f t="shared" si="16"/>
        <v>0</v>
      </c>
      <c r="N145" s="19">
        <f t="shared" si="17"/>
        <v>0</v>
      </c>
      <c r="O145" s="19">
        <f t="shared" si="18"/>
        <v>0</v>
      </c>
      <c r="P145" s="19">
        <f t="shared" si="19"/>
        <v>0</v>
      </c>
      <c r="Q145" s="19">
        <f t="shared" si="20"/>
        <v>0</v>
      </c>
      <c r="R145" s="19">
        <f t="shared" si="21"/>
        <v>0</v>
      </c>
      <c r="S145" s="19">
        <f t="shared" si="22"/>
        <v>0</v>
      </c>
      <c r="V145" s="671">
        <f t="shared" si="4"/>
        <v>0</v>
      </c>
    </row>
    <row r="146" spans="1:22">
      <c r="A146" s="19" t="s">
        <v>40</v>
      </c>
      <c r="B146" s="19">
        <f t="shared" si="5"/>
        <v>0</v>
      </c>
      <c r="C146" s="19">
        <f t="shared" si="6"/>
        <v>0</v>
      </c>
      <c r="D146" s="19">
        <f t="shared" si="7"/>
        <v>0</v>
      </c>
      <c r="E146" s="19">
        <f t="shared" si="8"/>
        <v>0</v>
      </c>
      <c r="F146" s="19">
        <f t="shared" si="9"/>
        <v>0</v>
      </c>
      <c r="G146" s="19">
        <f t="shared" si="10"/>
        <v>0</v>
      </c>
      <c r="H146" s="19">
        <f t="shared" si="11"/>
        <v>0</v>
      </c>
      <c r="I146" s="19">
        <f t="shared" si="12"/>
        <v>0</v>
      </c>
      <c r="J146" s="19">
        <f t="shared" si="13"/>
        <v>0</v>
      </c>
      <c r="K146" s="19">
        <f t="shared" si="14"/>
        <v>0</v>
      </c>
      <c r="L146" s="19">
        <f t="shared" si="15"/>
        <v>0</v>
      </c>
      <c r="M146" s="19">
        <f t="shared" si="16"/>
        <v>0</v>
      </c>
      <c r="N146" s="19">
        <f t="shared" si="17"/>
        <v>0</v>
      </c>
      <c r="O146" s="19">
        <f t="shared" si="18"/>
        <v>0</v>
      </c>
      <c r="P146" s="19">
        <f t="shared" si="19"/>
        <v>0</v>
      </c>
      <c r="Q146" s="19">
        <f t="shared" si="20"/>
        <v>0</v>
      </c>
      <c r="R146" s="19">
        <f t="shared" si="21"/>
        <v>0</v>
      </c>
      <c r="S146" s="19">
        <f t="shared" si="22"/>
        <v>0</v>
      </c>
      <c r="V146" s="671">
        <f t="shared" si="4"/>
        <v>0</v>
      </c>
    </row>
    <row r="147" spans="1:22">
      <c r="A147" s="19" t="s">
        <v>41</v>
      </c>
      <c r="B147" s="19">
        <f t="shared" si="5"/>
        <v>0</v>
      </c>
      <c r="C147" s="19">
        <f t="shared" si="6"/>
        <v>0</v>
      </c>
      <c r="D147" s="19">
        <f t="shared" si="7"/>
        <v>0</v>
      </c>
      <c r="E147" s="19">
        <f t="shared" si="8"/>
        <v>0</v>
      </c>
      <c r="F147" s="19">
        <f t="shared" si="9"/>
        <v>0</v>
      </c>
      <c r="G147" s="19">
        <f t="shared" si="10"/>
        <v>0</v>
      </c>
      <c r="H147" s="19">
        <f t="shared" si="11"/>
        <v>0</v>
      </c>
      <c r="I147" s="19">
        <f t="shared" si="12"/>
        <v>0</v>
      </c>
      <c r="J147" s="19">
        <f t="shared" si="13"/>
        <v>0</v>
      </c>
      <c r="K147" s="19">
        <f t="shared" si="14"/>
        <v>0</v>
      </c>
      <c r="L147" s="19">
        <f t="shared" si="15"/>
        <v>0</v>
      </c>
      <c r="M147" s="19">
        <f t="shared" si="16"/>
        <v>0</v>
      </c>
      <c r="N147" s="19">
        <f t="shared" si="17"/>
        <v>0</v>
      </c>
      <c r="O147" s="19">
        <f t="shared" si="18"/>
        <v>0</v>
      </c>
      <c r="P147" s="19">
        <f t="shared" si="19"/>
        <v>0</v>
      </c>
      <c r="Q147" s="19">
        <f t="shared" si="20"/>
        <v>0</v>
      </c>
      <c r="R147" s="19">
        <f t="shared" si="21"/>
        <v>0</v>
      </c>
      <c r="S147" s="19">
        <f t="shared" si="22"/>
        <v>0</v>
      </c>
      <c r="V147" s="671">
        <f t="shared" si="4"/>
        <v>0</v>
      </c>
    </row>
    <row r="148" spans="1:22">
      <c r="A148" s="19" t="s">
        <v>42</v>
      </c>
      <c r="B148" s="19">
        <f t="shared" si="5"/>
        <v>0</v>
      </c>
      <c r="C148" s="19">
        <f t="shared" si="6"/>
        <v>0</v>
      </c>
      <c r="D148" s="19">
        <f t="shared" si="7"/>
        <v>0</v>
      </c>
      <c r="E148" s="19">
        <f t="shared" si="8"/>
        <v>0</v>
      </c>
      <c r="F148" s="19">
        <f t="shared" si="9"/>
        <v>0</v>
      </c>
      <c r="G148" s="19">
        <f t="shared" si="10"/>
        <v>0</v>
      </c>
      <c r="H148" s="19">
        <f t="shared" si="11"/>
        <v>0</v>
      </c>
      <c r="I148" s="19">
        <f t="shared" si="12"/>
        <v>0</v>
      </c>
      <c r="J148" s="19">
        <f t="shared" si="13"/>
        <v>0</v>
      </c>
      <c r="K148" s="19">
        <f t="shared" si="14"/>
        <v>0</v>
      </c>
      <c r="L148" s="19">
        <f t="shared" si="15"/>
        <v>0</v>
      </c>
      <c r="M148" s="19">
        <f t="shared" si="16"/>
        <v>0</v>
      </c>
      <c r="N148" s="19">
        <f t="shared" si="17"/>
        <v>0</v>
      </c>
      <c r="O148" s="19">
        <f t="shared" si="18"/>
        <v>0</v>
      </c>
      <c r="P148" s="19">
        <f t="shared" si="19"/>
        <v>0</v>
      </c>
      <c r="Q148" s="19">
        <f t="shared" si="20"/>
        <v>0</v>
      </c>
      <c r="R148" s="19">
        <f t="shared" si="21"/>
        <v>0</v>
      </c>
      <c r="S148" s="19">
        <f t="shared" si="22"/>
        <v>0</v>
      </c>
      <c r="V148" s="671">
        <f t="shared" si="4"/>
        <v>0</v>
      </c>
    </row>
    <row r="149" spans="1:22">
      <c r="A149" s="19" t="s">
        <v>43</v>
      </c>
      <c r="B149" s="19">
        <f t="shared" si="5"/>
        <v>0</v>
      </c>
      <c r="C149" s="19">
        <f t="shared" si="6"/>
        <v>0</v>
      </c>
      <c r="D149" s="19">
        <f t="shared" si="7"/>
        <v>0</v>
      </c>
      <c r="E149" s="19">
        <f t="shared" si="8"/>
        <v>0</v>
      </c>
      <c r="F149" s="19">
        <f t="shared" si="9"/>
        <v>0</v>
      </c>
      <c r="G149" s="19">
        <f t="shared" si="10"/>
        <v>0</v>
      </c>
      <c r="H149" s="19">
        <f t="shared" si="11"/>
        <v>0</v>
      </c>
      <c r="I149" s="19">
        <f t="shared" si="12"/>
        <v>0</v>
      </c>
      <c r="J149" s="19">
        <f t="shared" si="13"/>
        <v>0</v>
      </c>
      <c r="K149" s="19">
        <f t="shared" si="14"/>
        <v>0</v>
      </c>
      <c r="L149" s="19">
        <f t="shared" si="15"/>
        <v>0</v>
      </c>
      <c r="M149" s="19">
        <f t="shared" si="16"/>
        <v>0</v>
      </c>
      <c r="N149" s="19">
        <f t="shared" si="17"/>
        <v>0</v>
      </c>
      <c r="O149" s="19">
        <f t="shared" si="18"/>
        <v>0</v>
      </c>
      <c r="P149" s="19">
        <f t="shared" si="19"/>
        <v>0</v>
      </c>
      <c r="Q149" s="19">
        <f t="shared" si="20"/>
        <v>0</v>
      </c>
      <c r="R149" s="19">
        <f t="shared" si="21"/>
        <v>0</v>
      </c>
      <c r="S149" s="19">
        <f t="shared" si="22"/>
        <v>0</v>
      </c>
      <c r="V149" s="671">
        <f t="shared" si="4"/>
        <v>0</v>
      </c>
    </row>
    <row r="150" spans="1:22">
      <c r="A150" s="19" t="s">
        <v>44</v>
      </c>
      <c r="B150" s="19">
        <f t="shared" si="5"/>
        <v>0</v>
      </c>
      <c r="C150" s="19">
        <f t="shared" si="6"/>
        <v>0</v>
      </c>
      <c r="D150" s="19">
        <f t="shared" si="7"/>
        <v>0</v>
      </c>
      <c r="E150" s="19">
        <f t="shared" si="8"/>
        <v>0</v>
      </c>
      <c r="F150" s="19">
        <f t="shared" si="9"/>
        <v>0</v>
      </c>
      <c r="G150" s="19">
        <f t="shared" si="10"/>
        <v>0</v>
      </c>
      <c r="H150" s="19">
        <f t="shared" si="11"/>
        <v>0</v>
      </c>
      <c r="I150" s="19">
        <f t="shared" si="12"/>
        <v>0</v>
      </c>
      <c r="J150" s="19">
        <f t="shared" si="13"/>
        <v>0</v>
      </c>
      <c r="K150" s="19">
        <f t="shared" si="14"/>
        <v>0</v>
      </c>
      <c r="L150" s="19">
        <f t="shared" si="15"/>
        <v>0</v>
      </c>
      <c r="M150" s="19">
        <f t="shared" si="16"/>
        <v>0</v>
      </c>
      <c r="N150" s="19">
        <f t="shared" si="17"/>
        <v>0</v>
      </c>
      <c r="O150" s="19">
        <f t="shared" si="18"/>
        <v>0</v>
      </c>
      <c r="P150" s="19">
        <f t="shared" si="19"/>
        <v>0</v>
      </c>
      <c r="Q150" s="19">
        <f t="shared" si="20"/>
        <v>0</v>
      </c>
      <c r="R150" s="19">
        <f t="shared" si="21"/>
        <v>0</v>
      </c>
      <c r="S150" s="19">
        <f t="shared" si="22"/>
        <v>0</v>
      </c>
      <c r="V150" s="671">
        <f t="shared" si="4"/>
        <v>0</v>
      </c>
    </row>
    <row r="151" spans="1:22">
      <c r="A151" s="19" t="s">
        <v>45</v>
      </c>
      <c r="B151" s="19">
        <f t="shared" si="5"/>
        <v>0</v>
      </c>
      <c r="C151" s="19">
        <f t="shared" si="6"/>
        <v>0</v>
      </c>
      <c r="D151" s="19">
        <f t="shared" si="7"/>
        <v>0</v>
      </c>
      <c r="E151" s="19">
        <f t="shared" si="8"/>
        <v>0</v>
      </c>
      <c r="F151" s="19">
        <f t="shared" si="9"/>
        <v>0</v>
      </c>
      <c r="G151" s="19">
        <f t="shared" si="10"/>
        <v>0</v>
      </c>
      <c r="H151" s="19">
        <f t="shared" si="11"/>
        <v>0</v>
      </c>
      <c r="I151" s="19">
        <f t="shared" si="12"/>
        <v>0</v>
      </c>
      <c r="J151" s="19">
        <f t="shared" si="13"/>
        <v>0</v>
      </c>
      <c r="K151" s="19">
        <f t="shared" si="14"/>
        <v>0</v>
      </c>
      <c r="L151" s="19">
        <f t="shared" si="15"/>
        <v>0</v>
      </c>
      <c r="M151" s="19">
        <f t="shared" si="16"/>
        <v>0</v>
      </c>
      <c r="N151" s="19">
        <f t="shared" si="17"/>
        <v>0</v>
      </c>
      <c r="O151" s="19">
        <f t="shared" si="18"/>
        <v>0</v>
      </c>
      <c r="P151" s="19">
        <f t="shared" si="19"/>
        <v>0</v>
      </c>
      <c r="Q151" s="19">
        <f t="shared" si="20"/>
        <v>0</v>
      </c>
      <c r="R151" s="19">
        <f t="shared" si="21"/>
        <v>0</v>
      </c>
      <c r="S151" s="19">
        <f t="shared" si="22"/>
        <v>0</v>
      </c>
      <c r="V151" s="671">
        <f t="shared" si="4"/>
        <v>0</v>
      </c>
    </row>
    <row r="152" spans="1:22">
      <c r="A152" s="19" t="s">
        <v>46</v>
      </c>
      <c r="B152" s="19">
        <f t="shared" si="5"/>
        <v>0</v>
      </c>
      <c r="C152" s="19">
        <f t="shared" si="6"/>
        <v>0</v>
      </c>
      <c r="D152" s="19">
        <f t="shared" si="7"/>
        <v>0</v>
      </c>
      <c r="E152" s="19">
        <f t="shared" si="8"/>
        <v>0</v>
      </c>
      <c r="F152" s="19">
        <f t="shared" si="9"/>
        <v>0</v>
      </c>
      <c r="G152" s="19">
        <f t="shared" si="10"/>
        <v>0</v>
      </c>
      <c r="H152" s="19">
        <f t="shared" si="11"/>
        <v>0</v>
      </c>
      <c r="I152" s="19">
        <f t="shared" si="12"/>
        <v>0</v>
      </c>
      <c r="J152" s="19">
        <f t="shared" si="13"/>
        <v>0</v>
      </c>
      <c r="K152" s="19">
        <f t="shared" si="14"/>
        <v>0</v>
      </c>
      <c r="L152" s="19">
        <f t="shared" si="15"/>
        <v>0</v>
      </c>
      <c r="M152" s="19">
        <f t="shared" si="16"/>
        <v>0</v>
      </c>
      <c r="N152" s="19">
        <f t="shared" si="17"/>
        <v>0</v>
      </c>
      <c r="O152" s="19">
        <f t="shared" si="18"/>
        <v>0</v>
      </c>
      <c r="P152" s="19">
        <f t="shared" si="19"/>
        <v>0</v>
      </c>
      <c r="Q152" s="19">
        <f t="shared" si="20"/>
        <v>0</v>
      </c>
      <c r="R152" s="19">
        <f t="shared" si="21"/>
        <v>0</v>
      </c>
      <c r="S152" s="19">
        <f t="shared" si="22"/>
        <v>0</v>
      </c>
      <c r="V152" s="671">
        <f t="shared" si="4"/>
        <v>0</v>
      </c>
    </row>
    <row r="153" spans="1:22">
      <c r="A153" s="19" t="s">
        <v>47</v>
      </c>
      <c r="B153" s="19">
        <f t="shared" si="5"/>
        <v>0</v>
      </c>
      <c r="C153" s="19">
        <f t="shared" si="6"/>
        <v>0</v>
      </c>
      <c r="D153" s="19">
        <f t="shared" si="7"/>
        <v>0</v>
      </c>
      <c r="E153" s="19">
        <f t="shared" si="8"/>
        <v>0</v>
      </c>
      <c r="F153" s="19">
        <f t="shared" si="9"/>
        <v>0</v>
      </c>
      <c r="G153" s="19">
        <f t="shared" si="10"/>
        <v>0</v>
      </c>
      <c r="H153" s="19">
        <f t="shared" si="11"/>
        <v>0</v>
      </c>
      <c r="I153" s="19">
        <f t="shared" si="12"/>
        <v>0</v>
      </c>
      <c r="J153" s="19">
        <f t="shared" si="13"/>
        <v>0</v>
      </c>
      <c r="K153" s="19">
        <f t="shared" si="14"/>
        <v>0</v>
      </c>
      <c r="L153" s="19">
        <f t="shared" si="15"/>
        <v>0</v>
      </c>
      <c r="M153" s="19">
        <f t="shared" si="16"/>
        <v>0</v>
      </c>
      <c r="N153" s="19">
        <f t="shared" si="17"/>
        <v>0</v>
      </c>
      <c r="O153" s="19">
        <f t="shared" si="18"/>
        <v>0</v>
      </c>
      <c r="P153" s="19">
        <f t="shared" si="19"/>
        <v>0</v>
      </c>
      <c r="Q153" s="19">
        <f t="shared" si="20"/>
        <v>0</v>
      </c>
      <c r="R153" s="19">
        <f t="shared" si="21"/>
        <v>0</v>
      </c>
      <c r="S153" s="19">
        <f t="shared" si="22"/>
        <v>0</v>
      </c>
      <c r="V153" s="671">
        <f t="shared" si="4"/>
        <v>0</v>
      </c>
    </row>
    <row r="154" spans="1:22">
      <c r="A154" s="19" t="s">
        <v>48</v>
      </c>
      <c r="B154" s="19">
        <f t="shared" si="5"/>
        <v>0</v>
      </c>
      <c r="C154" s="19">
        <f t="shared" si="6"/>
        <v>0</v>
      </c>
      <c r="D154" s="19">
        <f t="shared" si="7"/>
        <v>0</v>
      </c>
      <c r="E154" s="19">
        <f t="shared" si="8"/>
        <v>0</v>
      </c>
      <c r="F154" s="19">
        <f t="shared" si="9"/>
        <v>0</v>
      </c>
      <c r="G154" s="19">
        <f t="shared" si="10"/>
        <v>0</v>
      </c>
      <c r="H154" s="19">
        <f t="shared" si="11"/>
        <v>0</v>
      </c>
      <c r="I154" s="19">
        <f t="shared" si="12"/>
        <v>0</v>
      </c>
      <c r="J154" s="19">
        <f t="shared" si="13"/>
        <v>0</v>
      </c>
      <c r="K154" s="19">
        <f t="shared" si="14"/>
        <v>0</v>
      </c>
      <c r="L154" s="19">
        <f t="shared" si="15"/>
        <v>0</v>
      </c>
      <c r="M154" s="19">
        <f t="shared" si="16"/>
        <v>0</v>
      </c>
      <c r="N154" s="19">
        <f t="shared" si="17"/>
        <v>0</v>
      </c>
      <c r="O154" s="19">
        <f t="shared" si="18"/>
        <v>0</v>
      </c>
      <c r="P154" s="19">
        <f t="shared" si="19"/>
        <v>0</v>
      </c>
      <c r="Q154" s="19">
        <f t="shared" si="20"/>
        <v>0</v>
      </c>
      <c r="R154" s="19">
        <f t="shared" si="21"/>
        <v>0</v>
      </c>
      <c r="S154" s="19">
        <f t="shared" si="22"/>
        <v>0</v>
      </c>
      <c r="V154" s="671">
        <f t="shared" si="4"/>
        <v>0</v>
      </c>
    </row>
    <row r="155" spans="1:22">
      <c r="A155" s="19" t="s">
        <v>0</v>
      </c>
      <c r="B155" s="19">
        <f t="shared" si="5"/>
        <v>0</v>
      </c>
      <c r="C155" s="19">
        <f t="shared" si="6"/>
        <v>0</v>
      </c>
      <c r="D155" s="19">
        <f t="shared" si="7"/>
        <v>0</v>
      </c>
      <c r="E155" s="19">
        <f t="shared" si="8"/>
        <v>0</v>
      </c>
      <c r="F155" s="19">
        <f t="shared" si="9"/>
        <v>0</v>
      </c>
      <c r="G155" s="19">
        <f t="shared" si="10"/>
        <v>0</v>
      </c>
      <c r="H155" s="19">
        <f t="shared" si="11"/>
        <v>0</v>
      </c>
      <c r="I155" s="19">
        <f t="shared" si="12"/>
        <v>0</v>
      </c>
      <c r="J155" s="19">
        <f t="shared" si="13"/>
        <v>0</v>
      </c>
      <c r="K155" s="19">
        <f t="shared" si="14"/>
        <v>0</v>
      </c>
      <c r="L155" s="19">
        <f t="shared" si="15"/>
        <v>0</v>
      </c>
      <c r="M155" s="19">
        <f t="shared" si="16"/>
        <v>0</v>
      </c>
      <c r="N155" s="19">
        <f t="shared" si="17"/>
        <v>0</v>
      </c>
      <c r="O155" s="19">
        <f t="shared" si="18"/>
        <v>0</v>
      </c>
      <c r="P155" s="19">
        <f t="shared" si="19"/>
        <v>0</v>
      </c>
      <c r="Q155" s="19">
        <f t="shared" si="20"/>
        <v>0</v>
      </c>
      <c r="R155" s="19">
        <f t="shared" si="21"/>
        <v>0</v>
      </c>
      <c r="S155" s="19">
        <f t="shared" si="22"/>
        <v>0</v>
      </c>
      <c r="V155" s="671">
        <f t="shared" si="4"/>
        <v>0</v>
      </c>
    </row>
    <row r="156" spans="1:22">
      <c r="A156" s="19" t="s">
        <v>1</v>
      </c>
      <c r="B156" s="19">
        <f t="shared" si="5"/>
        <v>0</v>
      </c>
      <c r="C156" s="19">
        <f t="shared" si="6"/>
        <v>0</v>
      </c>
      <c r="D156" s="19">
        <f t="shared" si="7"/>
        <v>0</v>
      </c>
      <c r="E156" s="19">
        <f t="shared" si="8"/>
        <v>0</v>
      </c>
      <c r="F156" s="19">
        <f t="shared" si="9"/>
        <v>0</v>
      </c>
      <c r="G156" s="19">
        <f t="shared" si="10"/>
        <v>0</v>
      </c>
      <c r="H156" s="19">
        <f t="shared" si="11"/>
        <v>0</v>
      </c>
      <c r="I156" s="19">
        <f t="shared" si="12"/>
        <v>0</v>
      </c>
      <c r="J156" s="19">
        <f t="shared" si="13"/>
        <v>0</v>
      </c>
      <c r="K156" s="19">
        <f t="shared" si="14"/>
        <v>0</v>
      </c>
      <c r="L156" s="19">
        <f t="shared" si="15"/>
        <v>0</v>
      </c>
      <c r="M156" s="19">
        <f t="shared" si="16"/>
        <v>0</v>
      </c>
      <c r="N156" s="19">
        <f t="shared" si="17"/>
        <v>0</v>
      </c>
      <c r="O156" s="19">
        <f t="shared" si="18"/>
        <v>0</v>
      </c>
      <c r="P156" s="19">
        <f t="shared" si="19"/>
        <v>0</v>
      </c>
      <c r="Q156" s="19">
        <f t="shared" si="20"/>
        <v>0</v>
      </c>
      <c r="R156" s="19">
        <f t="shared" si="21"/>
        <v>0</v>
      </c>
      <c r="S156" s="19">
        <f t="shared" si="22"/>
        <v>0</v>
      </c>
      <c r="V156" s="671">
        <f t="shared" si="4"/>
        <v>0</v>
      </c>
    </row>
    <row r="157" spans="1:22">
      <c r="A157" s="19" t="s">
        <v>2</v>
      </c>
      <c r="B157" s="19">
        <f t="shared" si="5"/>
        <v>0</v>
      </c>
      <c r="C157" s="19">
        <f t="shared" si="6"/>
        <v>0</v>
      </c>
      <c r="D157" s="19">
        <f t="shared" si="7"/>
        <v>0</v>
      </c>
      <c r="E157" s="19">
        <f t="shared" si="8"/>
        <v>0</v>
      </c>
      <c r="F157" s="19">
        <f t="shared" si="9"/>
        <v>0</v>
      </c>
      <c r="G157" s="19">
        <f t="shared" si="10"/>
        <v>0</v>
      </c>
      <c r="H157" s="19">
        <f t="shared" si="11"/>
        <v>0</v>
      </c>
      <c r="I157" s="19">
        <f t="shared" si="12"/>
        <v>0</v>
      </c>
      <c r="J157" s="19">
        <f t="shared" si="13"/>
        <v>0</v>
      </c>
      <c r="K157" s="19">
        <f t="shared" si="14"/>
        <v>0</v>
      </c>
      <c r="L157" s="19">
        <f t="shared" si="15"/>
        <v>0</v>
      </c>
      <c r="M157" s="19">
        <f t="shared" si="16"/>
        <v>0</v>
      </c>
      <c r="N157" s="19">
        <f t="shared" si="17"/>
        <v>0</v>
      </c>
      <c r="O157" s="19">
        <f t="shared" si="18"/>
        <v>0</v>
      </c>
      <c r="P157" s="19">
        <f t="shared" si="19"/>
        <v>0</v>
      </c>
      <c r="Q157" s="19">
        <f t="shared" si="20"/>
        <v>0</v>
      </c>
      <c r="R157" s="19">
        <f t="shared" si="21"/>
        <v>0</v>
      </c>
      <c r="S157" s="19">
        <f t="shared" si="22"/>
        <v>0</v>
      </c>
      <c r="V157" s="671">
        <f t="shared" si="4"/>
        <v>0</v>
      </c>
    </row>
    <row r="158" spans="1:22">
      <c r="A158" s="19" t="s">
        <v>3</v>
      </c>
      <c r="B158" s="19">
        <f t="shared" si="5"/>
        <v>0</v>
      </c>
      <c r="C158" s="19">
        <f t="shared" si="6"/>
        <v>0</v>
      </c>
      <c r="D158" s="19">
        <f t="shared" si="7"/>
        <v>0</v>
      </c>
      <c r="E158" s="19">
        <f t="shared" si="8"/>
        <v>0</v>
      </c>
      <c r="F158" s="19">
        <f t="shared" si="9"/>
        <v>0</v>
      </c>
      <c r="G158" s="19">
        <f t="shared" si="10"/>
        <v>0</v>
      </c>
      <c r="H158" s="19">
        <f t="shared" si="11"/>
        <v>0</v>
      </c>
      <c r="I158" s="19">
        <f t="shared" si="12"/>
        <v>0</v>
      </c>
      <c r="J158" s="19">
        <f t="shared" si="13"/>
        <v>0</v>
      </c>
      <c r="K158" s="19">
        <f t="shared" si="14"/>
        <v>0</v>
      </c>
      <c r="L158" s="19">
        <f t="shared" si="15"/>
        <v>0</v>
      </c>
      <c r="M158" s="19">
        <f t="shared" si="16"/>
        <v>0</v>
      </c>
      <c r="N158" s="19">
        <f t="shared" si="17"/>
        <v>0</v>
      </c>
      <c r="O158" s="19">
        <f t="shared" si="18"/>
        <v>0</v>
      </c>
      <c r="P158" s="19">
        <f t="shared" si="19"/>
        <v>0</v>
      </c>
      <c r="Q158" s="19">
        <f t="shared" si="20"/>
        <v>0</v>
      </c>
      <c r="R158" s="19">
        <f t="shared" si="21"/>
        <v>0</v>
      </c>
      <c r="S158" s="19">
        <f t="shared" si="22"/>
        <v>0</v>
      </c>
      <c r="V158" s="671">
        <f t="shared" si="4"/>
        <v>0</v>
      </c>
    </row>
    <row r="159" spans="1:22">
      <c r="A159" s="19" t="s">
        <v>49</v>
      </c>
      <c r="B159" s="19">
        <f t="shared" si="5"/>
        <v>0</v>
      </c>
      <c r="C159" s="19">
        <f t="shared" si="6"/>
        <v>0</v>
      </c>
      <c r="D159" s="19">
        <f t="shared" si="7"/>
        <v>0</v>
      </c>
      <c r="E159" s="19">
        <f t="shared" si="8"/>
        <v>0</v>
      </c>
      <c r="F159" s="19">
        <f t="shared" si="9"/>
        <v>0</v>
      </c>
      <c r="G159" s="19">
        <f t="shared" si="10"/>
        <v>0</v>
      </c>
      <c r="H159" s="19">
        <f t="shared" si="11"/>
        <v>0</v>
      </c>
      <c r="I159" s="19">
        <f t="shared" si="12"/>
        <v>0</v>
      </c>
      <c r="J159" s="19">
        <f t="shared" si="13"/>
        <v>0</v>
      </c>
      <c r="K159" s="19">
        <f t="shared" si="14"/>
        <v>0</v>
      </c>
      <c r="L159" s="19">
        <f t="shared" si="15"/>
        <v>0</v>
      </c>
      <c r="M159" s="19">
        <f t="shared" si="16"/>
        <v>0</v>
      </c>
      <c r="N159" s="19">
        <f t="shared" si="17"/>
        <v>0</v>
      </c>
      <c r="O159" s="19">
        <f t="shared" si="18"/>
        <v>0</v>
      </c>
      <c r="P159" s="19">
        <f t="shared" si="19"/>
        <v>0</v>
      </c>
      <c r="Q159" s="19">
        <f t="shared" si="20"/>
        <v>0</v>
      </c>
      <c r="R159" s="19">
        <f t="shared" si="21"/>
        <v>0</v>
      </c>
      <c r="S159" s="19">
        <f t="shared" si="22"/>
        <v>0</v>
      </c>
      <c r="V159" s="671">
        <f t="shared" si="4"/>
        <v>0</v>
      </c>
    </row>
    <row r="160" spans="1:22">
      <c r="A160" s="19" t="s">
        <v>50</v>
      </c>
      <c r="B160" s="19">
        <f t="shared" si="5"/>
        <v>0</v>
      </c>
      <c r="C160" s="19">
        <f t="shared" si="6"/>
        <v>0</v>
      </c>
      <c r="D160" s="19">
        <f t="shared" si="7"/>
        <v>0</v>
      </c>
      <c r="E160" s="19">
        <f t="shared" si="8"/>
        <v>0</v>
      </c>
      <c r="F160" s="19">
        <f t="shared" si="9"/>
        <v>0</v>
      </c>
      <c r="G160" s="19">
        <f t="shared" si="10"/>
        <v>0</v>
      </c>
      <c r="H160" s="19">
        <f t="shared" si="11"/>
        <v>0</v>
      </c>
      <c r="I160" s="19">
        <f t="shared" si="12"/>
        <v>0</v>
      </c>
      <c r="J160" s="19">
        <f t="shared" si="13"/>
        <v>0</v>
      </c>
      <c r="K160" s="19">
        <f t="shared" si="14"/>
        <v>0</v>
      </c>
      <c r="L160" s="19">
        <f t="shared" si="15"/>
        <v>0</v>
      </c>
      <c r="M160" s="19">
        <f t="shared" si="16"/>
        <v>0</v>
      </c>
      <c r="N160" s="19">
        <f t="shared" si="17"/>
        <v>0</v>
      </c>
      <c r="O160" s="19">
        <f t="shared" si="18"/>
        <v>0</v>
      </c>
      <c r="P160" s="19">
        <f t="shared" si="19"/>
        <v>0</v>
      </c>
      <c r="Q160" s="19">
        <f t="shared" si="20"/>
        <v>0</v>
      </c>
      <c r="R160" s="19">
        <f t="shared" si="21"/>
        <v>0</v>
      </c>
      <c r="S160" s="19">
        <f t="shared" si="22"/>
        <v>0</v>
      </c>
      <c r="V160" s="671">
        <f t="shared" si="4"/>
        <v>0</v>
      </c>
    </row>
    <row r="161" spans="1:22">
      <c r="A161" s="19" t="s">
        <v>51</v>
      </c>
      <c r="B161" s="19">
        <f t="shared" si="5"/>
        <v>0</v>
      </c>
      <c r="C161" s="19">
        <f t="shared" si="6"/>
        <v>0</v>
      </c>
      <c r="D161" s="19">
        <f t="shared" si="7"/>
        <v>0</v>
      </c>
      <c r="E161" s="19">
        <f t="shared" si="8"/>
        <v>0</v>
      </c>
      <c r="F161" s="19">
        <f t="shared" si="9"/>
        <v>0</v>
      </c>
      <c r="G161" s="19">
        <f t="shared" si="10"/>
        <v>0</v>
      </c>
      <c r="H161" s="19">
        <f t="shared" si="11"/>
        <v>0</v>
      </c>
      <c r="I161" s="19">
        <f t="shared" si="12"/>
        <v>0</v>
      </c>
      <c r="J161" s="19">
        <f t="shared" si="13"/>
        <v>0</v>
      </c>
      <c r="K161" s="19">
        <f t="shared" si="14"/>
        <v>0</v>
      </c>
      <c r="L161" s="19">
        <f t="shared" si="15"/>
        <v>0</v>
      </c>
      <c r="M161" s="19">
        <f t="shared" si="16"/>
        <v>0</v>
      </c>
      <c r="N161" s="19">
        <f t="shared" si="17"/>
        <v>0</v>
      </c>
      <c r="O161" s="19">
        <f t="shared" si="18"/>
        <v>0</v>
      </c>
      <c r="P161" s="19">
        <f t="shared" si="19"/>
        <v>0</v>
      </c>
      <c r="Q161" s="19">
        <f t="shared" si="20"/>
        <v>0</v>
      </c>
      <c r="R161" s="19">
        <f t="shared" si="21"/>
        <v>0</v>
      </c>
      <c r="S161" s="19">
        <f t="shared" si="22"/>
        <v>0</v>
      </c>
      <c r="V161" s="671">
        <f t="shared" si="4"/>
        <v>0</v>
      </c>
    </row>
    <row r="162" spans="1:22">
      <c r="A162" s="19" t="s">
        <v>52</v>
      </c>
      <c r="B162" s="19">
        <f t="shared" si="5"/>
        <v>0</v>
      </c>
      <c r="C162" s="19">
        <f t="shared" si="6"/>
        <v>0</v>
      </c>
      <c r="D162" s="19">
        <f t="shared" si="7"/>
        <v>0</v>
      </c>
      <c r="E162" s="19">
        <f t="shared" si="8"/>
        <v>0</v>
      </c>
      <c r="F162" s="19">
        <f t="shared" si="9"/>
        <v>0</v>
      </c>
      <c r="G162" s="19">
        <f t="shared" si="10"/>
        <v>0</v>
      </c>
      <c r="H162" s="19">
        <f t="shared" si="11"/>
        <v>0</v>
      </c>
      <c r="I162" s="19">
        <f t="shared" si="12"/>
        <v>0</v>
      </c>
      <c r="J162" s="19">
        <f t="shared" si="13"/>
        <v>0</v>
      </c>
      <c r="K162" s="19">
        <f t="shared" si="14"/>
        <v>0</v>
      </c>
      <c r="L162" s="19">
        <f t="shared" si="15"/>
        <v>0</v>
      </c>
      <c r="M162" s="19">
        <f t="shared" si="16"/>
        <v>0</v>
      </c>
      <c r="N162" s="19">
        <f t="shared" si="17"/>
        <v>0</v>
      </c>
      <c r="O162" s="19">
        <f t="shared" si="18"/>
        <v>0</v>
      </c>
      <c r="P162" s="19">
        <f t="shared" si="19"/>
        <v>0</v>
      </c>
      <c r="Q162" s="19">
        <f t="shared" si="20"/>
        <v>0</v>
      </c>
      <c r="R162" s="19">
        <f t="shared" si="21"/>
        <v>0</v>
      </c>
      <c r="S162" s="19">
        <f t="shared" si="22"/>
        <v>0</v>
      </c>
      <c r="V162" s="671">
        <f t="shared" si="4"/>
        <v>0</v>
      </c>
    </row>
    <row r="163" spans="1:22">
      <c r="A163" s="19" t="s">
        <v>53</v>
      </c>
      <c r="B163" s="19">
        <f t="shared" si="5"/>
        <v>0</v>
      </c>
      <c r="C163" s="19">
        <f t="shared" si="6"/>
        <v>0</v>
      </c>
      <c r="D163" s="19">
        <f t="shared" si="7"/>
        <v>0</v>
      </c>
      <c r="E163" s="19">
        <f t="shared" si="8"/>
        <v>0</v>
      </c>
      <c r="F163" s="19">
        <f t="shared" si="9"/>
        <v>0</v>
      </c>
      <c r="G163" s="19">
        <f t="shared" si="10"/>
        <v>0</v>
      </c>
      <c r="H163" s="19">
        <f t="shared" si="11"/>
        <v>0</v>
      </c>
      <c r="I163" s="19">
        <f t="shared" si="12"/>
        <v>0</v>
      </c>
      <c r="J163" s="19">
        <f t="shared" si="13"/>
        <v>0</v>
      </c>
      <c r="K163" s="19">
        <f t="shared" si="14"/>
        <v>0</v>
      </c>
      <c r="L163" s="19">
        <f t="shared" si="15"/>
        <v>0</v>
      </c>
      <c r="M163" s="19">
        <f t="shared" si="16"/>
        <v>0</v>
      </c>
      <c r="N163" s="19">
        <f t="shared" si="17"/>
        <v>0</v>
      </c>
      <c r="O163" s="19">
        <f t="shared" si="18"/>
        <v>0</v>
      </c>
      <c r="P163" s="19">
        <f t="shared" si="19"/>
        <v>0</v>
      </c>
      <c r="Q163" s="19">
        <f t="shared" si="20"/>
        <v>0</v>
      </c>
      <c r="R163" s="19">
        <f t="shared" si="21"/>
        <v>0</v>
      </c>
      <c r="S163" s="19">
        <f t="shared" si="22"/>
        <v>0</v>
      </c>
      <c r="V163" s="671">
        <f t="shared" si="4"/>
        <v>0</v>
      </c>
    </row>
    <row r="164" spans="1:22">
      <c r="A164" s="19" t="s">
        <v>54</v>
      </c>
      <c r="B164" s="19">
        <f t="shared" si="5"/>
        <v>0</v>
      </c>
      <c r="C164" s="19">
        <f t="shared" si="6"/>
        <v>0</v>
      </c>
      <c r="D164" s="19">
        <f t="shared" si="7"/>
        <v>0</v>
      </c>
      <c r="E164" s="19">
        <f t="shared" si="8"/>
        <v>0</v>
      </c>
      <c r="F164" s="19">
        <f t="shared" si="9"/>
        <v>0</v>
      </c>
      <c r="G164" s="19">
        <f t="shared" si="10"/>
        <v>0</v>
      </c>
      <c r="H164" s="19">
        <f t="shared" si="11"/>
        <v>0</v>
      </c>
      <c r="I164" s="19">
        <f t="shared" si="12"/>
        <v>0</v>
      </c>
      <c r="J164" s="19">
        <f t="shared" si="13"/>
        <v>0</v>
      </c>
      <c r="K164" s="19">
        <f t="shared" si="14"/>
        <v>0</v>
      </c>
      <c r="L164" s="19">
        <f t="shared" si="15"/>
        <v>0</v>
      </c>
      <c r="M164" s="19">
        <f t="shared" si="16"/>
        <v>0</v>
      </c>
      <c r="N164" s="19">
        <f t="shared" si="17"/>
        <v>0</v>
      </c>
      <c r="O164" s="19">
        <f t="shared" si="18"/>
        <v>0</v>
      </c>
      <c r="P164" s="19">
        <f t="shared" si="19"/>
        <v>0</v>
      </c>
      <c r="Q164" s="19">
        <f t="shared" si="20"/>
        <v>0</v>
      </c>
      <c r="R164" s="19">
        <f t="shared" si="21"/>
        <v>0</v>
      </c>
      <c r="S164" s="19">
        <f t="shared" si="22"/>
        <v>0</v>
      </c>
      <c r="V164" s="671">
        <f t="shared" si="4"/>
        <v>0</v>
      </c>
    </row>
    <row r="165" spans="1:22">
      <c r="A165" s="19" t="s">
        <v>55</v>
      </c>
      <c r="B165" s="19">
        <f t="shared" si="5"/>
        <v>0</v>
      </c>
      <c r="C165" s="19">
        <f t="shared" si="6"/>
        <v>0</v>
      </c>
      <c r="D165" s="19">
        <f t="shared" si="7"/>
        <v>0</v>
      </c>
      <c r="E165" s="19">
        <f t="shared" si="8"/>
        <v>0</v>
      </c>
      <c r="F165" s="19">
        <f t="shared" si="9"/>
        <v>0</v>
      </c>
      <c r="G165" s="19">
        <f t="shared" si="10"/>
        <v>0</v>
      </c>
      <c r="H165" s="19">
        <f t="shared" si="11"/>
        <v>0</v>
      </c>
      <c r="I165" s="19">
        <f t="shared" si="12"/>
        <v>0</v>
      </c>
      <c r="J165" s="19">
        <f t="shared" si="13"/>
        <v>0</v>
      </c>
      <c r="K165" s="19">
        <f t="shared" si="14"/>
        <v>0</v>
      </c>
      <c r="L165" s="19">
        <f t="shared" si="15"/>
        <v>0</v>
      </c>
      <c r="M165" s="19">
        <f t="shared" si="16"/>
        <v>0</v>
      </c>
      <c r="N165" s="19">
        <f t="shared" si="17"/>
        <v>0</v>
      </c>
      <c r="O165" s="19">
        <f t="shared" si="18"/>
        <v>0</v>
      </c>
      <c r="P165" s="19">
        <f t="shared" si="19"/>
        <v>0</v>
      </c>
      <c r="Q165" s="19">
        <f t="shared" si="20"/>
        <v>0</v>
      </c>
      <c r="R165" s="19">
        <f t="shared" si="21"/>
        <v>0</v>
      </c>
      <c r="S165" s="19">
        <f t="shared" si="22"/>
        <v>0</v>
      </c>
      <c r="V165" s="671">
        <f t="shared" si="4"/>
        <v>0</v>
      </c>
    </row>
    <row r="166" spans="1:22">
      <c r="A166" s="19" t="s">
        <v>56</v>
      </c>
      <c r="B166" s="19">
        <f t="shared" ref="B166:B197" si="23">B35+B165</f>
        <v>0</v>
      </c>
      <c r="C166" s="19">
        <f t="shared" ref="C166:C197" si="24">C35+C165</f>
        <v>0</v>
      </c>
      <c r="D166" s="19">
        <f t="shared" ref="D166:D197" si="25">D35+D165</f>
        <v>0</v>
      </c>
      <c r="E166" s="19">
        <f t="shared" ref="E166:E197" si="26">E35+E165</f>
        <v>0</v>
      </c>
      <c r="F166" s="19">
        <f t="shared" ref="F166:F197" si="27">F35+F165</f>
        <v>0</v>
      </c>
      <c r="G166" s="19">
        <f t="shared" ref="G166:G197" si="28">G35+G165</f>
        <v>0</v>
      </c>
      <c r="H166" s="19">
        <f t="shared" ref="H166:H197" si="29">H35+H165</f>
        <v>0</v>
      </c>
      <c r="I166" s="19">
        <f t="shared" ref="I166:I197" si="30">I35+I165</f>
        <v>0</v>
      </c>
      <c r="J166" s="19">
        <f t="shared" ref="J166:J197" si="31">J35+J165</f>
        <v>0</v>
      </c>
      <c r="K166" s="19">
        <f t="shared" ref="K166:K197" si="32">K35+K165</f>
        <v>0</v>
      </c>
      <c r="L166" s="19">
        <f t="shared" ref="L166:L197" si="33">L35+L165</f>
        <v>0</v>
      </c>
      <c r="M166" s="19">
        <f t="shared" ref="M166:M197" si="34">M35+M165</f>
        <v>0</v>
      </c>
      <c r="N166" s="19">
        <f t="shared" ref="N166:N197" si="35">N35+N165</f>
        <v>0</v>
      </c>
      <c r="O166" s="19">
        <f t="shared" ref="O166:O197" si="36">O35+O165</f>
        <v>0</v>
      </c>
      <c r="P166" s="19">
        <f t="shared" ref="P166:P197" si="37">P35+P165</f>
        <v>0</v>
      </c>
      <c r="Q166" s="19">
        <f t="shared" ref="Q166:Q197" si="38">Q35+Q165</f>
        <v>0</v>
      </c>
      <c r="R166" s="19">
        <f t="shared" ref="R166:R197" si="39">R35+R165</f>
        <v>0</v>
      </c>
      <c r="S166" s="19">
        <f t="shared" ref="S166:S197" si="40">S35+S165</f>
        <v>0</v>
      </c>
      <c r="V166" s="671">
        <f t="shared" si="4"/>
        <v>0</v>
      </c>
    </row>
    <row r="167" spans="1:22">
      <c r="A167" s="19" t="s">
        <v>57</v>
      </c>
      <c r="B167" s="19">
        <f t="shared" si="23"/>
        <v>0</v>
      </c>
      <c r="C167" s="19">
        <f t="shared" si="24"/>
        <v>0</v>
      </c>
      <c r="D167" s="19">
        <f t="shared" si="25"/>
        <v>0</v>
      </c>
      <c r="E167" s="19">
        <f t="shared" si="26"/>
        <v>0</v>
      </c>
      <c r="F167" s="19">
        <f t="shared" si="27"/>
        <v>0</v>
      </c>
      <c r="G167" s="19">
        <f t="shared" si="28"/>
        <v>0</v>
      </c>
      <c r="H167" s="19">
        <f t="shared" si="29"/>
        <v>0</v>
      </c>
      <c r="I167" s="19">
        <f t="shared" si="30"/>
        <v>0</v>
      </c>
      <c r="J167" s="19">
        <f t="shared" si="31"/>
        <v>0</v>
      </c>
      <c r="K167" s="19">
        <f t="shared" si="32"/>
        <v>0</v>
      </c>
      <c r="L167" s="19">
        <f t="shared" si="33"/>
        <v>0</v>
      </c>
      <c r="M167" s="19">
        <f t="shared" si="34"/>
        <v>0</v>
      </c>
      <c r="N167" s="19">
        <f t="shared" si="35"/>
        <v>0</v>
      </c>
      <c r="O167" s="19">
        <f t="shared" si="36"/>
        <v>0</v>
      </c>
      <c r="P167" s="19">
        <f t="shared" si="37"/>
        <v>0</v>
      </c>
      <c r="Q167" s="19">
        <f t="shared" si="38"/>
        <v>0</v>
      </c>
      <c r="R167" s="19">
        <f t="shared" si="39"/>
        <v>0</v>
      </c>
      <c r="S167" s="19">
        <f t="shared" si="40"/>
        <v>0</v>
      </c>
      <c r="V167" s="671">
        <f t="shared" si="4"/>
        <v>0</v>
      </c>
    </row>
    <row r="168" spans="1:22">
      <c r="A168" s="19" t="s">
        <v>4</v>
      </c>
      <c r="B168" s="19">
        <f t="shared" si="23"/>
        <v>0</v>
      </c>
      <c r="C168" s="19">
        <f t="shared" si="24"/>
        <v>0</v>
      </c>
      <c r="D168" s="19">
        <f t="shared" si="25"/>
        <v>0</v>
      </c>
      <c r="E168" s="19">
        <f t="shared" si="26"/>
        <v>0</v>
      </c>
      <c r="F168" s="19">
        <f t="shared" si="27"/>
        <v>0</v>
      </c>
      <c r="G168" s="19">
        <f t="shared" si="28"/>
        <v>0</v>
      </c>
      <c r="H168" s="19">
        <f t="shared" si="29"/>
        <v>0</v>
      </c>
      <c r="I168" s="19">
        <f t="shared" si="30"/>
        <v>0</v>
      </c>
      <c r="J168" s="19">
        <f t="shared" si="31"/>
        <v>0</v>
      </c>
      <c r="K168" s="19">
        <f t="shared" si="32"/>
        <v>0</v>
      </c>
      <c r="L168" s="19">
        <f t="shared" si="33"/>
        <v>0</v>
      </c>
      <c r="M168" s="19">
        <f t="shared" si="34"/>
        <v>0</v>
      </c>
      <c r="N168" s="19">
        <f t="shared" si="35"/>
        <v>0</v>
      </c>
      <c r="O168" s="19">
        <f t="shared" si="36"/>
        <v>0</v>
      </c>
      <c r="P168" s="19">
        <f t="shared" si="37"/>
        <v>0</v>
      </c>
      <c r="Q168" s="19">
        <f t="shared" si="38"/>
        <v>0</v>
      </c>
      <c r="R168" s="19">
        <f t="shared" si="39"/>
        <v>0</v>
      </c>
      <c r="S168" s="19">
        <f t="shared" si="40"/>
        <v>0</v>
      </c>
      <c r="V168" s="671">
        <f t="shared" si="4"/>
        <v>0</v>
      </c>
    </row>
    <row r="169" spans="1:22">
      <c r="A169" s="19" t="s">
        <v>5</v>
      </c>
      <c r="B169" s="19">
        <f t="shared" si="23"/>
        <v>0</v>
      </c>
      <c r="C169" s="19">
        <f t="shared" si="24"/>
        <v>0</v>
      </c>
      <c r="D169" s="19">
        <f t="shared" si="25"/>
        <v>0</v>
      </c>
      <c r="E169" s="19">
        <f t="shared" si="26"/>
        <v>0</v>
      </c>
      <c r="F169" s="19">
        <f t="shared" si="27"/>
        <v>0</v>
      </c>
      <c r="G169" s="19">
        <f t="shared" si="28"/>
        <v>0</v>
      </c>
      <c r="H169" s="19">
        <f t="shared" si="29"/>
        <v>0</v>
      </c>
      <c r="I169" s="19">
        <f t="shared" si="30"/>
        <v>0</v>
      </c>
      <c r="J169" s="19">
        <f t="shared" si="31"/>
        <v>0</v>
      </c>
      <c r="K169" s="19">
        <f t="shared" si="32"/>
        <v>0</v>
      </c>
      <c r="L169" s="19">
        <f t="shared" si="33"/>
        <v>0</v>
      </c>
      <c r="M169" s="19">
        <f t="shared" si="34"/>
        <v>0</v>
      </c>
      <c r="N169" s="19">
        <f t="shared" si="35"/>
        <v>0</v>
      </c>
      <c r="O169" s="19">
        <f t="shared" si="36"/>
        <v>0</v>
      </c>
      <c r="P169" s="19">
        <f t="shared" si="37"/>
        <v>0</v>
      </c>
      <c r="Q169" s="19">
        <f t="shared" si="38"/>
        <v>0</v>
      </c>
      <c r="R169" s="19">
        <f t="shared" si="39"/>
        <v>0</v>
      </c>
      <c r="S169" s="19">
        <f t="shared" si="40"/>
        <v>0</v>
      </c>
      <c r="V169" s="671">
        <f t="shared" si="4"/>
        <v>0</v>
      </c>
    </row>
    <row r="170" spans="1:22">
      <c r="A170" s="19" t="s">
        <v>6</v>
      </c>
      <c r="B170" s="19">
        <f t="shared" si="23"/>
        <v>0</v>
      </c>
      <c r="C170" s="19">
        <f t="shared" si="24"/>
        <v>0</v>
      </c>
      <c r="D170" s="19">
        <f t="shared" si="25"/>
        <v>0</v>
      </c>
      <c r="E170" s="19">
        <f t="shared" si="26"/>
        <v>0</v>
      </c>
      <c r="F170" s="19">
        <f t="shared" si="27"/>
        <v>0</v>
      </c>
      <c r="G170" s="19">
        <f t="shared" si="28"/>
        <v>0</v>
      </c>
      <c r="H170" s="19">
        <f t="shared" si="29"/>
        <v>0</v>
      </c>
      <c r="I170" s="19">
        <f t="shared" si="30"/>
        <v>0</v>
      </c>
      <c r="J170" s="19">
        <f t="shared" si="31"/>
        <v>0</v>
      </c>
      <c r="K170" s="19">
        <f t="shared" si="32"/>
        <v>0</v>
      </c>
      <c r="L170" s="19">
        <f t="shared" si="33"/>
        <v>0</v>
      </c>
      <c r="M170" s="19">
        <f t="shared" si="34"/>
        <v>0</v>
      </c>
      <c r="N170" s="19">
        <f t="shared" si="35"/>
        <v>0</v>
      </c>
      <c r="O170" s="19">
        <f t="shared" si="36"/>
        <v>0</v>
      </c>
      <c r="P170" s="19">
        <f t="shared" si="37"/>
        <v>0</v>
      </c>
      <c r="Q170" s="19">
        <f t="shared" si="38"/>
        <v>0</v>
      </c>
      <c r="R170" s="19">
        <f t="shared" si="39"/>
        <v>0</v>
      </c>
      <c r="S170" s="19">
        <f t="shared" si="40"/>
        <v>0</v>
      </c>
      <c r="V170" s="671">
        <f t="shared" si="4"/>
        <v>0</v>
      </c>
    </row>
    <row r="171" spans="1:22">
      <c r="A171" s="19" t="s">
        <v>7</v>
      </c>
      <c r="B171" s="19">
        <f t="shared" si="23"/>
        <v>0</v>
      </c>
      <c r="C171" s="19">
        <f t="shared" si="24"/>
        <v>0</v>
      </c>
      <c r="D171" s="19">
        <f t="shared" si="25"/>
        <v>0</v>
      </c>
      <c r="E171" s="19">
        <f t="shared" si="26"/>
        <v>0</v>
      </c>
      <c r="F171" s="19">
        <f t="shared" si="27"/>
        <v>0</v>
      </c>
      <c r="G171" s="19">
        <f t="shared" si="28"/>
        <v>0</v>
      </c>
      <c r="H171" s="19">
        <f t="shared" si="29"/>
        <v>0</v>
      </c>
      <c r="I171" s="19">
        <f t="shared" si="30"/>
        <v>0</v>
      </c>
      <c r="J171" s="19">
        <f t="shared" si="31"/>
        <v>0</v>
      </c>
      <c r="K171" s="19">
        <f t="shared" si="32"/>
        <v>0</v>
      </c>
      <c r="L171" s="19">
        <f t="shared" si="33"/>
        <v>0</v>
      </c>
      <c r="M171" s="19">
        <f t="shared" si="34"/>
        <v>0</v>
      </c>
      <c r="N171" s="19">
        <f t="shared" si="35"/>
        <v>0</v>
      </c>
      <c r="O171" s="19">
        <f t="shared" si="36"/>
        <v>0</v>
      </c>
      <c r="P171" s="19">
        <f t="shared" si="37"/>
        <v>0</v>
      </c>
      <c r="Q171" s="19">
        <f t="shared" si="38"/>
        <v>0</v>
      </c>
      <c r="R171" s="19">
        <f t="shared" si="39"/>
        <v>0</v>
      </c>
      <c r="S171" s="19">
        <f t="shared" si="40"/>
        <v>0</v>
      </c>
      <c r="V171" s="671">
        <f t="shared" si="4"/>
        <v>0</v>
      </c>
    </row>
    <row r="172" spans="1:22">
      <c r="A172" s="19" t="s">
        <v>58</v>
      </c>
      <c r="B172" s="19">
        <f t="shared" si="23"/>
        <v>0</v>
      </c>
      <c r="C172" s="19">
        <f t="shared" si="24"/>
        <v>0</v>
      </c>
      <c r="D172" s="19">
        <f t="shared" si="25"/>
        <v>0</v>
      </c>
      <c r="E172" s="19">
        <f t="shared" si="26"/>
        <v>0</v>
      </c>
      <c r="F172" s="19">
        <f t="shared" si="27"/>
        <v>0</v>
      </c>
      <c r="G172" s="19">
        <f t="shared" si="28"/>
        <v>0</v>
      </c>
      <c r="H172" s="19">
        <f t="shared" si="29"/>
        <v>0</v>
      </c>
      <c r="I172" s="19">
        <f t="shared" si="30"/>
        <v>0</v>
      </c>
      <c r="J172" s="19">
        <f t="shared" si="31"/>
        <v>0</v>
      </c>
      <c r="K172" s="19">
        <f t="shared" si="32"/>
        <v>0</v>
      </c>
      <c r="L172" s="19">
        <f t="shared" si="33"/>
        <v>0</v>
      </c>
      <c r="M172" s="19">
        <f t="shared" si="34"/>
        <v>0</v>
      </c>
      <c r="N172" s="19">
        <f t="shared" si="35"/>
        <v>0</v>
      </c>
      <c r="O172" s="19">
        <f t="shared" si="36"/>
        <v>0</v>
      </c>
      <c r="P172" s="19">
        <f t="shared" si="37"/>
        <v>0</v>
      </c>
      <c r="Q172" s="19">
        <f t="shared" si="38"/>
        <v>0</v>
      </c>
      <c r="R172" s="19">
        <f t="shared" si="39"/>
        <v>0</v>
      </c>
      <c r="S172" s="19">
        <f t="shared" si="40"/>
        <v>0</v>
      </c>
      <c r="V172" s="671">
        <f t="shared" si="4"/>
        <v>0</v>
      </c>
    </row>
    <row r="173" spans="1:22">
      <c r="A173" s="19" t="s">
        <v>59</v>
      </c>
      <c r="B173" s="19">
        <f t="shared" si="23"/>
        <v>0</v>
      </c>
      <c r="C173" s="19">
        <f t="shared" si="24"/>
        <v>0</v>
      </c>
      <c r="D173" s="19">
        <f t="shared" si="25"/>
        <v>0</v>
      </c>
      <c r="E173" s="19">
        <f t="shared" si="26"/>
        <v>0</v>
      </c>
      <c r="F173" s="19">
        <f t="shared" si="27"/>
        <v>0</v>
      </c>
      <c r="G173" s="19">
        <f t="shared" si="28"/>
        <v>0</v>
      </c>
      <c r="H173" s="19">
        <f t="shared" si="29"/>
        <v>0</v>
      </c>
      <c r="I173" s="19">
        <f t="shared" si="30"/>
        <v>0</v>
      </c>
      <c r="J173" s="19">
        <f t="shared" si="31"/>
        <v>0</v>
      </c>
      <c r="K173" s="19">
        <f t="shared" si="32"/>
        <v>0</v>
      </c>
      <c r="L173" s="19">
        <f t="shared" si="33"/>
        <v>0</v>
      </c>
      <c r="M173" s="19">
        <f t="shared" si="34"/>
        <v>0</v>
      </c>
      <c r="N173" s="19">
        <f t="shared" si="35"/>
        <v>0</v>
      </c>
      <c r="O173" s="19">
        <f t="shared" si="36"/>
        <v>0</v>
      </c>
      <c r="P173" s="19">
        <f t="shared" si="37"/>
        <v>0</v>
      </c>
      <c r="Q173" s="19">
        <f t="shared" si="38"/>
        <v>0</v>
      </c>
      <c r="R173" s="19">
        <f t="shared" si="39"/>
        <v>0</v>
      </c>
      <c r="S173" s="19">
        <f t="shared" si="40"/>
        <v>0</v>
      </c>
      <c r="V173" s="671">
        <f t="shared" si="4"/>
        <v>0</v>
      </c>
    </row>
    <row r="174" spans="1:22">
      <c r="A174" s="19" t="s">
        <v>60</v>
      </c>
      <c r="B174" s="19">
        <f t="shared" si="23"/>
        <v>0</v>
      </c>
      <c r="C174" s="19">
        <f t="shared" si="24"/>
        <v>0</v>
      </c>
      <c r="D174" s="19">
        <f t="shared" si="25"/>
        <v>0</v>
      </c>
      <c r="E174" s="19">
        <f t="shared" si="26"/>
        <v>0</v>
      </c>
      <c r="F174" s="19">
        <f t="shared" si="27"/>
        <v>0</v>
      </c>
      <c r="G174" s="19">
        <f t="shared" si="28"/>
        <v>0</v>
      </c>
      <c r="H174" s="19">
        <f t="shared" si="29"/>
        <v>0</v>
      </c>
      <c r="I174" s="19">
        <f t="shared" si="30"/>
        <v>0</v>
      </c>
      <c r="J174" s="19">
        <f t="shared" si="31"/>
        <v>0</v>
      </c>
      <c r="K174" s="19">
        <f t="shared" si="32"/>
        <v>0</v>
      </c>
      <c r="L174" s="19">
        <f t="shared" si="33"/>
        <v>0</v>
      </c>
      <c r="M174" s="19">
        <f t="shared" si="34"/>
        <v>0</v>
      </c>
      <c r="N174" s="19">
        <f t="shared" si="35"/>
        <v>0</v>
      </c>
      <c r="O174" s="19">
        <f t="shared" si="36"/>
        <v>0</v>
      </c>
      <c r="P174" s="19">
        <f t="shared" si="37"/>
        <v>0</v>
      </c>
      <c r="Q174" s="19">
        <f t="shared" si="38"/>
        <v>0</v>
      </c>
      <c r="R174" s="19">
        <f t="shared" si="39"/>
        <v>0</v>
      </c>
      <c r="S174" s="19">
        <f t="shared" si="40"/>
        <v>0</v>
      </c>
      <c r="V174" s="671">
        <f t="shared" si="4"/>
        <v>0</v>
      </c>
    </row>
    <row r="175" spans="1:22">
      <c r="A175" s="19" t="s">
        <v>61</v>
      </c>
      <c r="B175" s="19">
        <f t="shared" si="23"/>
        <v>0</v>
      </c>
      <c r="C175" s="19">
        <f t="shared" si="24"/>
        <v>0</v>
      </c>
      <c r="D175" s="19">
        <f t="shared" si="25"/>
        <v>0</v>
      </c>
      <c r="E175" s="19">
        <f t="shared" si="26"/>
        <v>0</v>
      </c>
      <c r="F175" s="19">
        <f t="shared" si="27"/>
        <v>0</v>
      </c>
      <c r="G175" s="19">
        <f t="shared" si="28"/>
        <v>0</v>
      </c>
      <c r="H175" s="19">
        <f t="shared" si="29"/>
        <v>0</v>
      </c>
      <c r="I175" s="19">
        <f t="shared" si="30"/>
        <v>0</v>
      </c>
      <c r="J175" s="19">
        <f t="shared" si="31"/>
        <v>0</v>
      </c>
      <c r="K175" s="19">
        <f t="shared" si="32"/>
        <v>0</v>
      </c>
      <c r="L175" s="19">
        <f t="shared" si="33"/>
        <v>0</v>
      </c>
      <c r="M175" s="19">
        <f t="shared" si="34"/>
        <v>0</v>
      </c>
      <c r="N175" s="19">
        <f t="shared" si="35"/>
        <v>0</v>
      </c>
      <c r="O175" s="19">
        <f t="shared" si="36"/>
        <v>0</v>
      </c>
      <c r="P175" s="19">
        <f t="shared" si="37"/>
        <v>0</v>
      </c>
      <c r="Q175" s="19">
        <f t="shared" si="38"/>
        <v>0</v>
      </c>
      <c r="R175" s="19">
        <f t="shared" si="39"/>
        <v>0</v>
      </c>
      <c r="S175" s="19">
        <f t="shared" si="40"/>
        <v>0</v>
      </c>
      <c r="V175" s="671">
        <f t="shared" si="4"/>
        <v>0</v>
      </c>
    </row>
    <row r="176" spans="1:22">
      <c r="A176" s="19" t="s">
        <v>62</v>
      </c>
      <c r="B176" s="19">
        <f t="shared" si="23"/>
        <v>0</v>
      </c>
      <c r="C176" s="19">
        <f t="shared" si="24"/>
        <v>0</v>
      </c>
      <c r="D176" s="19">
        <f t="shared" si="25"/>
        <v>0</v>
      </c>
      <c r="E176" s="19">
        <f t="shared" si="26"/>
        <v>0</v>
      </c>
      <c r="F176" s="19">
        <f t="shared" si="27"/>
        <v>0</v>
      </c>
      <c r="G176" s="19">
        <f t="shared" si="28"/>
        <v>0</v>
      </c>
      <c r="H176" s="19">
        <f t="shared" si="29"/>
        <v>0</v>
      </c>
      <c r="I176" s="19">
        <f t="shared" si="30"/>
        <v>0</v>
      </c>
      <c r="J176" s="19">
        <f t="shared" si="31"/>
        <v>0</v>
      </c>
      <c r="K176" s="19">
        <f t="shared" si="32"/>
        <v>0</v>
      </c>
      <c r="L176" s="19">
        <f t="shared" si="33"/>
        <v>0</v>
      </c>
      <c r="M176" s="19">
        <f t="shared" si="34"/>
        <v>0</v>
      </c>
      <c r="N176" s="19">
        <f t="shared" si="35"/>
        <v>0</v>
      </c>
      <c r="O176" s="19">
        <f t="shared" si="36"/>
        <v>0</v>
      </c>
      <c r="P176" s="19">
        <f t="shared" si="37"/>
        <v>0</v>
      </c>
      <c r="Q176" s="19">
        <f t="shared" si="38"/>
        <v>0</v>
      </c>
      <c r="R176" s="19">
        <f t="shared" si="39"/>
        <v>0</v>
      </c>
      <c r="S176" s="19">
        <f t="shared" si="40"/>
        <v>0</v>
      </c>
      <c r="V176" s="671">
        <f t="shared" si="4"/>
        <v>0</v>
      </c>
    </row>
    <row r="177" spans="1:22">
      <c r="A177" s="19" t="s">
        <v>63</v>
      </c>
      <c r="B177" s="19">
        <f t="shared" si="23"/>
        <v>0</v>
      </c>
      <c r="C177" s="19">
        <f t="shared" si="24"/>
        <v>0</v>
      </c>
      <c r="D177" s="19">
        <f t="shared" si="25"/>
        <v>0</v>
      </c>
      <c r="E177" s="19">
        <f t="shared" si="26"/>
        <v>0</v>
      </c>
      <c r="F177" s="19">
        <f t="shared" si="27"/>
        <v>0</v>
      </c>
      <c r="G177" s="19">
        <f t="shared" si="28"/>
        <v>0</v>
      </c>
      <c r="H177" s="19">
        <f t="shared" si="29"/>
        <v>0</v>
      </c>
      <c r="I177" s="19">
        <f t="shared" si="30"/>
        <v>0</v>
      </c>
      <c r="J177" s="19">
        <f t="shared" si="31"/>
        <v>0</v>
      </c>
      <c r="K177" s="19">
        <f t="shared" si="32"/>
        <v>0</v>
      </c>
      <c r="L177" s="19">
        <f t="shared" si="33"/>
        <v>0</v>
      </c>
      <c r="M177" s="19">
        <f t="shared" si="34"/>
        <v>0</v>
      </c>
      <c r="N177" s="19">
        <f t="shared" si="35"/>
        <v>0</v>
      </c>
      <c r="O177" s="19">
        <f t="shared" si="36"/>
        <v>0</v>
      </c>
      <c r="P177" s="19">
        <f t="shared" si="37"/>
        <v>0</v>
      </c>
      <c r="Q177" s="19">
        <f t="shared" si="38"/>
        <v>0</v>
      </c>
      <c r="R177" s="19">
        <f t="shared" si="39"/>
        <v>0</v>
      </c>
      <c r="S177" s="19">
        <f t="shared" si="40"/>
        <v>0</v>
      </c>
      <c r="V177" s="671">
        <f t="shared" si="4"/>
        <v>0</v>
      </c>
    </row>
    <row r="178" spans="1:22">
      <c r="A178" s="19" t="s">
        <v>64</v>
      </c>
      <c r="B178" s="19">
        <f t="shared" si="23"/>
        <v>0</v>
      </c>
      <c r="C178" s="19">
        <f t="shared" si="24"/>
        <v>0</v>
      </c>
      <c r="D178" s="19">
        <f t="shared" si="25"/>
        <v>0</v>
      </c>
      <c r="E178" s="19">
        <f t="shared" si="26"/>
        <v>0</v>
      </c>
      <c r="F178" s="19">
        <f t="shared" si="27"/>
        <v>0</v>
      </c>
      <c r="G178" s="19">
        <f t="shared" si="28"/>
        <v>0</v>
      </c>
      <c r="H178" s="19">
        <f t="shared" si="29"/>
        <v>0</v>
      </c>
      <c r="I178" s="19">
        <f t="shared" si="30"/>
        <v>0</v>
      </c>
      <c r="J178" s="19">
        <f t="shared" si="31"/>
        <v>0</v>
      </c>
      <c r="K178" s="19">
        <f t="shared" si="32"/>
        <v>0</v>
      </c>
      <c r="L178" s="19">
        <f t="shared" si="33"/>
        <v>0</v>
      </c>
      <c r="M178" s="19">
        <f t="shared" si="34"/>
        <v>0</v>
      </c>
      <c r="N178" s="19">
        <f t="shared" si="35"/>
        <v>0</v>
      </c>
      <c r="O178" s="19">
        <f t="shared" si="36"/>
        <v>0</v>
      </c>
      <c r="P178" s="19">
        <f t="shared" si="37"/>
        <v>0</v>
      </c>
      <c r="Q178" s="19">
        <f t="shared" si="38"/>
        <v>0</v>
      </c>
      <c r="R178" s="19">
        <f t="shared" si="39"/>
        <v>0</v>
      </c>
      <c r="S178" s="19">
        <f t="shared" si="40"/>
        <v>0</v>
      </c>
      <c r="V178" s="671">
        <f t="shared" si="4"/>
        <v>0</v>
      </c>
    </row>
    <row r="179" spans="1:22">
      <c r="A179" s="19" t="s">
        <v>65</v>
      </c>
      <c r="B179" s="19">
        <f t="shared" si="23"/>
        <v>0</v>
      </c>
      <c r="C179" s="19">
        <f t="shared" si="24"/>
        <v>0</v>
      </c>
      <c r="D179" s="19">
        <f t="shared" si="25"/>
        <v>0</v>
      </c>
      <c r="E179" s="19">
        <f t="shared" si="26"/>
        <v>0</v>
      </c>
      <c r="F179" s="19">
        <f t="shared" si="27"/>
        <v>0</v>
      </c>
      <c r="G179" s="19">
        <f t="shared" si="28"/>
        <v>0</v>
      </c>
      <c r="H179" s="19">
        <f t="shared" si="29"/>
        <v>0</v>
      </c>
      <c r="I179" s="19">
        <f t="shared" si="30"/>
        <v>0</v>
      </c>
      <c r="J179" s="19">
        <f t="shared" si="31"/>
        <v>0</v>
      </c>
      <c r="K179" s="19">
        <f t="shared" si="32"/>
        <v>0</v>
      </c>
      <c r="L179" s="19">
        <f t="shared" si="33"/>
        <v>0</v>
      </c>
      <c r="M179" s="19">
        <f t="shared" si="34"/>
        <v>0</v>
      </c>
      <c r="N179" s="19">
        <f t="shared" si="35"/>
        <v>0</v>
      </c>
      <c r="O179" s="19">
        <f t="shared" si="36"/>
        <v>0</v>
      </c>
      <c r="P179" s="19">
        <f t="shared" si="37"/>
        <v>0</v>
      </c>
      <c r="Q179" s="19">
        <f t="shared" si="38"/>
        <v>0</v>
      </c>
      <c r="R179" s="19">
        <f t="shared" si="39"/>
        <v>0</v>
      </c>
      <c r="S179" s="19">
        <f t="shared" si="40"/>
        <v>0</v>
      </c>
      <c r="V179" s="671">
        <f t="shared" si="4"/>
        <v>0</v>
      </c>
    </row>
    <row r="180" spans="1:22">
      <c r="A180" s="19" t="s">
        <v>66</v>
      </c>
      <c r="B180" s="19">
        <f t="shared" si="23"/>
        <v>0</v>
      </c>
      <c r="C180" s="19">
        <f t="shared" si="24"/>
        <v>0</v>
      </c>
      <c r="D180" s="19">
        <f t="shared" si="25"/>
        <v>0</v>
      </c>
      <c r="E180" s="19">
        <f t="shared" si="26"/>
        <v>0</v>
      </c>
      <c r="F180" s="19">
        <f t="shared" si="27"/>
        <v>0</v>
      </c>
      <c r="G180" s="19">
        <f t="shared" si="28"/>
        <v>0</v>
      </c>
      <c r="H180" s="19">
        <f t="shared" si="29"/>
        <v>0</v>
      </c>
      <c r="I180" s="19">
        <f t="shared" si="30"/>
        <v>0</v>
      </c>
      <c r="J180" s="19">
        <f t="shared" si="31"/>
        <v>0</v>
      </c>
      <c r="K180" s="19">
        <f t="shared" si="32"/>
        <v>0</v>
      </c>
      <c r="L180" s="19">
        <f t="shared" si="33"/>
        <v>0</v>
      </c>
      <c r="M180" s="19">
        <f t="shared" si="34"/>
        <v>0</v>
      </c>
      <c r="N180" s="19">
        <f t="shared" si="35"/>
        <v>0</v>
      </c>
      <c r="O180" s="19">
        <f t="shared" si="36"/>
        <v>0</v>
      </c>
      <c r="P180" s="19">
        <f t="shared" si="37"/>
        <v>0</v>
      </c>
      <c r="Q180" s="19">
        <f t="shared" si="38"/>
        <v>0</v>
      </c>
      <c r="R180" s="19">
        <f t="shared" si="39"/>
        <v>0</v>
      </c>
      <c r="S180" s="19">
        <f t="shared" si="40"/>
        <v>0</v>
      </c>
      <c r="V180" s="671">
        <f t="shared" si="4"/>
        <v>0</v>
      </c>
    </row>
    <row r="181" spans="1:22">
      <c r="A181" s="19" t="s">
        <v>8</v>
      </c>
      <c r="B181" s="19">
        <f t="shared" si="23"/>
        <v>0</v>
      </c>
      <c r="C181" s="19">
        <f t="shared" si="24"/>
        <v>0</v>
      </c>
      <c r="D181" s="19">
        <f t="shared" si="25"/>
        <v>0</v>
      </c>
      <c r="E181" s="19">
        <f t="shared" si="26"/>
        <v>0</v>
      </c>
      <c r="F181" s="19">
        <f t="shared" si="27"/>
        <v>0</v>
      </c>
      <c r="G181" s="19">
        <f t="shared" si="28"/>
        <v>0</v>
      </c>
      <c r="H181" s="19">
        <f t="shared" si="29"/>
        <v>0</v>
      </c>
      <c r="I181" s="19">
        <f t="shared" si="30"/>
        <v>0</v>
      </c>
      <c r="J181" s="19">
        <f t="shared" si="31"/>
        <v>0</v>
      </c>
      <c r="K181" s="19">
        <f t="shared" si="32"/>
        <v>0</v>
      </c>
      <c r="L181" s="19">
        <f t="shared" si="33"/>
        <v>0</v>
      </c>
      <c r="M181" s="19">
        <f t="shared" si="34"/>
        <v>0</v>
      </c>
      <c r="N181" s="19">
        <f t="shared" si="35"/>
        <v>0</v>
      </c>
      <c r="O181" s="19">
        <f t="shared" si="36"/>
        <v>0</v>
      </c>
      <c r="P181" s="19">
        <f t="shared" si="37"/>
        <v>0</v>
      </c>
      <c r="Q181" s="19">
        <f t="shared" si="38"/>
        <v>0</v>
      </c>
      <c r="R181" s="19">
        <f t="shared" si="39"/>
        <v>0</v>
      </c>
      <c r="S181" s="19">
        <f t="shared" si="40"/>
        <v>0</v>
      </c>
      <c r="V181" s="671">
        <f t="shared" si="4"/>
        <v>0</v>
      </c>
    </row>
    <row r="182" spans="1:22">
      <c r="A182" s="19" t="s">
        <v>9</v>
      </c>
      <c r="B182" s="19">
        <f t="shared" si="23"/>
        <v>0</v>
      </c>
      <c r="C182" s="19">
        <f t="shared" si="24"/>
        <v>0</v>
      </c>
      <c r="D182" s="19">
        <f t="shared" si="25"/>
        <v>0</v>
      </c>
      <c r="E182" s="19">
        <f t="shared" si="26"/>
        <v>0</v>
      </c>
      <c r="F182" s="19">
        <f t="shared" si="27"/>
        <v>0</v>
      </c>
      <c r="G182" s="19">
        <f t="shared" si="28"/>
        <v>0</v>
      </c>
      <c r="H182" s="19">
        <f t="shared" si="29"/>
        <v>0</v>
      </c>
      <c r="I182" s="19">
        <f t="shared" si="30"/>
        <v>0</v>
      </c>
      <c r="J182" s="19">
        <f t="shared" si="31"/>
        <v>0</v>
      </c>
      <c r="K182" s="19">
        <f t="shared" si="32"/>
        <v>0</v>
      </c>
      <c r="L182" s="19">
        <f t="shared" si="33"/>
        <v>0</v>
      </c>
      <c r="M182" s="19">
        <f t="shared" si="34"/>
        <v>0</v>
      </c>
      <c r="N182" s="19">
        <f t="shared" si="35"/>
        <v>0</v>
      </c>
      <c r="O182" s="19">
        <f t="shared" si="36"/>
        <v>0</v>
      </c>
      <c r="P182" s="19">
        <f t="shared" si="37"/>
        <v>0</v>
      </c>
      <c r="Q182" s="19">
        <f t="shared" si="38"/>
        <v>0</v>
      </c>
      <c r="R182" s="19">
        <f t="shared" si="39"/>
        <v>0</v>
      </c>
      <c r="S182" s="19">
        <f t="shared" si="40"/>
        <v>0</v>
      </c>
      <c r="V182" s="671">
        <f t="shared" si="4"/>
        <v>0</v>
      </c>
    </row>
    <row r="183" spans="1:22">
      <c r="A183" s="19" t="s">
        <v>10</v>
      </c>
      <c r="B183" s="19">
        <f t="shared" si="23"/>
        <v>0</v>
      </c>
      <c r="C183" s="19">
        <f t="shared" si="24"/>
        <v>0</v>
      </c>
      <c r="D183" s="19">
        <f t="shared" si="25"/>
        <v>0</v>
      </c>
      <c r="E183" s="19">
        <f t="shared" si="26"/>
        <v>0</v>
      </c>
      <c r="F183" s="19">
        <f t="shared" si="27"/>
        <v>0</v>
      </c>
      <c r="G183" s="19">
        <f t="shared" si="28"/>
        <v>0</v>
      </c>
      <c r="H183" s="19">
        <f t="shared" si="29"/>
        <v>0</v>
      </c>
      <c r="I183" s="19">
        <f t="shared" si="30"/>
        <v>0</v>
      </c>
      <c r="J183" s="19">
        <f t="shared" si="31"/>
        <v>0</v>
      </c>
      <c r="K183" s="19">
        <f t="shared" si="32"/>
        <v>0</v>
      </c>
      <c r="L183" s="19">
        <f t="shared" si="33"/>
        <v>0</v>
      </c>
      <c r="M183" s="19">
        <f t="shared" si="34"/>
        <v>0</v>
      </c>
      <c r="N183" s="19">
        <f t="shared" si="35"/>
        <v>0</v>
      </c>
      <c r="O183" s="19">
        <f t="shared" si="36"/>
        <v>0</v>
      </c>
      <c r="P183" s="19">
        <f t="shared" si="37"/>
        <v>0</v>
      </c>
      <c r="Q183" s="19">
        <f t="shared" si="38"/>
        <v>0</v>
      </c>
      <c r="R183" s="19">
        <f t="shared" si="39"/>
        <v>0</v>
      </c>
      <c r="S183" s="19">
        <f t="shared" si="40"/>
        <v>0</v>
      </c>
      <c r="V183" s="671">
        <f t="shared" si="4"/>
        <v>0</v>
      </c>
    </row>
    <row r="184" spans="1:22">
      <c r="A184" s="19" t="s">
        <v>11</v>
      </c>
      <c r="B184" s="19">
        <f t="shared" si="23"/>
        <v>0</v>
      </c>
      <c r="C184" s="19">
        <f t="shared" si="24"/>
        <v>0</v>
      </c>
      <c r="D184" s="19">
        <f t="shared" si="25"/>
        <v>0</v>
      </c>
      <c r="E184" s="19">
        <f t="shared" si="26"/>
        <v>0</v>
      </c>
      <c r="F184" s="19">
        <f t="shared" si="27"/>
        <v>0</v>
      </c>
      <c r="G184" s="19">
        <f t="shared" si="28"/>
        <v>0</v>
      </c>
      <c r="H184" s="19">
        <f t="shared" si="29"/>
        <v>0</v>
      </c>
      <c r="I184" s="19">
        <f t="shared" si="30"/>
        <v>0</v>
      </c>
      <c r="J184" s="19">
        <f t="shared" si="31"/>
        <v>0</v>
      </c>
      <c r="K184" s="19">
        <f t="shared" si="32"/>
        <v>0</v>
      </c>
      <c r="L184" s="19">
        <f t="shared" si="33"/>
        <v>0</v>
      </c>
      <c r="M184" s="19">
        <f t="shared" si="34"/>
        <v>0</v>
      </c>
      <c r="N184" s="19">
        <f t="shared" si="35"/>
        <v>0</v>
      </c>
      <c r="O184" s="19">
        <f t="shared" si="36"/>
        <v>0</v>
      </c>
      <c r="P184" s="19">
        <f t="shared" si="37"/>
        <v>0</v>
      </c>
      <c r="Q184" s="19">
        <f t="shared" si="38"/>
        <v>0</v>
      </c>
      <c r="R184" s="19">
        <f t="shared" si="39"/>
        <v>0</v>
      </c>
      <c r="S184" s="19">
        <f t="shared" si="40"/>
        <v>0</v>
      </c>
      <c r="V184" s="671">
        <f t="shared" si="4"/>
        <v>0</v>
      </c>
    </row>
    <row r="185" spans="1:22">
      <c r="A185" s="19" t="s">
        <v>67</v>
      </c>
      <c r="B185" s="19">
        <f t="shared" si="23"/>
        <v>2313.1821176470598</v>
      </c>
      <c r="C185" s="19">
        <f t="shared" si="24"/>
        <v>508.97376344086115</v>
      </c>
      <c r="D185" s="19">
        <f t="shared" si="25"/>
        <v>0</v>
      </c>
      <c r="E185" s="19">
        <f t="shared" si="26"/>
        <v>3005.3688888888892</v>
      </c>
      <c r="F185" s="19">
        <f t="shared" si="27"/>
        <v>0</v>
      </c>
      <c r="G185" s="19">
        <f t="shared" si="28"/>
        <v>0</v>
      </c>
      <c r="H185" s="19">
        <f t="shared" si="29"/>
        <v>0</v>
      </c>
      <c r="I185" s="19">
        <f t="shared" si="30"/>
        <v>0</v>
      </c>
      <c r="J185" s="19">
        <f t="shared" si="31"/>
        <v>0</v>
      </c>
      <c r="K185" s="19">
        <f t="shared" si="32"/>
        <v>0</v>
      </c>
      <c r="L185" s="19">
        <f t="shared" si="33"/>
        <v>0</v>
      </c>
      <c r="M185" s="19">
        <f t="shared" si="34"/>
        <v>0</v>
      </c>
      <c r="N185" s="19">
        <f t="shared" si="35"/>
        <v>0</v>
      </c>
      <c r="O185" s="19">
        <f t="shared" si="36"/>
        <v>0</v>
      </c>
      <c r="P185" s="19">
        <f t="shared" si="37"/>
        <v>0</v>
      </c>
      <c r="Q185" s="19">
        <f t="shared" si="38"/>
        <v>0</v>
      </c>
      <c r="R185" s="19">
        <f t="shared" si="39"/>
        <v>0</v>
      </c>
      <c r="S185" s="19">
        <f t="shared" si="40"/>
        <v>0</v>
      </c>
      <c r="V185" s="671">
        <f t="shared" si="4"/>
        <v>5827.5247699768097</v>
      </c>
    </row>
    <row r="186" spans="1:22">
      <c r="A186" s="19" t="s">
        <v>68</v>
      </c>
      <c r="B186" s="19">
        <f t="shared" si="23"/>
        <v>4626.3642352941197</v>
      </c>
      <c r="C186" s="19">
        <f t="shared" si="24"/>
        <v>1017.9475268817223</v>
      </c>
      <c r="D186" s="19">
        <f t="shared" si="25"/>
        <v>0</v>
      </c>
      <c r="E186" s="19">
        <f t="shared" si="26"/>
        <v>6010.7377777777783</v>
      </c>
      <c r="F186" s="19">
        <f t="shared" si="27"/>
        <v>0</v>
      </c>
      <c r="G186" s="19">
        <f t="shared" si="28"/>
        <v>0</v>
      </c>
      <c r="H186" s="19">
        <f t="shared" si="29"/>
        <v>0</v>
      </c>
      <c r="I186" s="19">
        <f t="shared" si="30"/>
        <v>0</v>
      </c>
      <c r="J186" s="19">
        <f t="shared" si="31"/>
        <v>0</v>
      </c>
      <c r="K186" s="19">
        <f t="shared" si="32"/>
        <v>0</v>
      </c>
      <c r="L186" s="19">
        <f t="shared" si="33"/>
        <v>0</v>
      </c>
      <c r="M186" s="19">
        <f t="shared" si="34"/>
        <v>0</v>
      </c>
      <c r="N186" s="19">
        <f t="shared" si="35"/>
        <v>0</v>
      </c>
      <c r="O186" s="19">
        <f t="shared" si="36"/>
        <v>0</v>
      </c>
      <c r="P186" s="19">
        <f t="shared" si="37"/>
        <v>0</v>
      </c>
      <c r="Q186" s="19">
        <f t="shared" si="38"/>
        <v>0</v>
      </c>
      <c r="R186" s="19">
        <f t="shared" si="39"/>
        <v>0</v>
      </c>
      <c r="S186" s="19">
        <f t="shared" si="40"/>
        <v>0</v>
      </c>
      <c r="V186" s="671">
        <f t="shared" si="4"/>
        <v>11655.049539953619</v>
      </c>
    </row>
    <row r="187" spans="1:22">
      <c r="A187" s="19" t="s">
        <v>69</v>
      </c>
      <c r="B187" s="19">
        <f t="shared" si="23"/>
        <v>6940.9694117647086</v>
      </c>
      <c r="C187" s="19">
        <f t="shared" si="24"/>
        <v>1527.2344086021533</v>
      </c>
      <c r="D187" s="19">
        <f t="shared" si="25"/>
        <v>0</v>
      </c>
      <c r="E187" s="19">
        <f t="shared" si="26"/>
        <v>9017.9555555555562</v>
      </c>
      <c r="F187" s="19">
        <f t="shared" si="27"/>
        <v>0</v>
      </c>
      <c r="G187" s="19">
        <f t="shared" si="28"/>
        <v>0</v>
      </c>
      <c r="H187" s="19">
        <f t="shared" si="29"/>
        <v>0</v>
      </c>
      <c r="I187" s="19">
        <f t="shared" si="30"/>
        <v>0</v>
      </c>
      <c r="J187" s="19">
        <f t="shared" si="31"/>
        <v>0</v>
      </c>
      <c r="K187" s="19">
        <f t="shared" si="32"/>
        <v>0</v>
      </c>
      <c r="L187" s="19">
        <f t="shared" si="33"/>
        <v>0</v>
      </c>
      <c r="M187" s="19">
        <f t="shared" si="34"/>
        <v>0</v>
      </c>
      <c r="N187" s="19">
        <f t="shared" si="35"/>
        <v>0</v>
      </c>
      <c r="O187" s="19">
        <f t="shared" si="36"/>
        <v>0</v>
      </c>
      <c r="P187" s="19">
        <f t="shared" si="37"/>
        <v>0</v>
      </c>
      <c r="Q187" s="19">
        <f t="shared" si="38"/>
        <v>0</v>
      </c>
      <c r="R187" s="19">
        <f t="shared" si="39"/>
        <v>0</v>
      </c>
      <c r="S187" s="19">
        <f t="shared" si="40"/>
        <v>0</v>
      </c>
      <c r="V187" s="671">
        <f t="shared" si="4"/>
        <v>17486.15937592242</v>
      </c>
    </row>
    <row r="188" spans="1:22">
      <c r="A188" s="19" t="s">
        <v>70</v>
      </c>
      <c r="B188" s="19">
        <f t="shared" si="23"/>
        <v>9255.5745882352967</v>
      </c>
      <c r="C188" s="19">
        <f t="shared" si="24"/>
        <v>2036.5212903225843</v>
      </c>
      <c r="D188" s="19">
        <f t="shared" si="25"/>
        <v>0</v>
      </c>
      <c r="E188" s="19">
        <f t="shared" si="26"/>
        <v>12025.173333333334</v>
      </c>
      <c r="F188" s="19">
        <f t="shared" si="27"/>
        <v>0</v>
      </c>
      <c r="G188" s="19">
        <f t="shared" si="28"/>
        <v>0</v>
      </c>
      <c r="H188" s="19">
        <f t="shared" si="29"/>
        <v>0</v>
      </c>
      <c r="I188" s="19">
        <f t="shared" si="30"/>
        <v>0</v>
      </c>
      <c r="J188" s="19">
        <f t="shared" si="31"/>
        <v>0</v>
      </c>
      <c r="K188" s="19">
        <f t="shared" si="32"/>
        <v>0</v>
      </c>
      <c r="L188" s="19">
        <f t="shared" si="33"/>
        <v>0</v>
      </c>
      <c r="M188" s="19">
        <f t="shared" si="34"/>
        <v>0</v>
      </c>
      <c r="N188" s="19">
        <f t="shared" si="35"/>
        <v>0</v>
      </c>
      <c r="O188" s="19">
        <f t="shared" si="36"/>
        <v>0</v>
      </c>
      <c r="P188" s="19">
        <f t="shared" si="37"/>
        <v>0</v>
      </c>
      <c r="Q188" s="19">
        <f t="shared" si="38"/>
        <v>0</v>
      </c>
      <c r="R188" s="19">
        <f t="shared" si="39"/>
        <v>0</v>
      </c>
      <c r="S188" s="19">
        <f t="shared" si="40"/>
        <v>0</v>
      </c>
      <c r="V188" s="671">
        <f t="shared" si="4"/>
        <v>23317.269211891216</v>
      </c>
    </row>
    <row r="189" spans="1:22">
      <c r="A189" s="19" t="s">
        <v>71</v>
      </c>
      <c r="B189" s="19">
        <f t="shared" si="23"/>
        <v>11570.179764705885</v>
      </c>
      <c r="C189" s="19">
        <f t="shared" si="24"/>
        <v>2545.8081720430155</v>
      </c>
      <c r="D189" s="19">
        <f t="shared" si="25"/>
        <v>0</v>
      </c>
      <c r="E189" s="19">
        <f t="shared" si="26"/>
        <v>15032.391111111112</v>
      </c>
      <c r="F189" s="19">
        <f t="shared" si="27"/>
        <v>0</v>
      </c>
      <c r="G189" s="19">
        <f t="shared" si="28"/>
        <v>0</v>
      </c>
      <c r="H189" s="19">
        <f t="shared" si="29"/>
        <v>0</v>
      </c>
      <c r="I189" s="19">
        <f t="shared" si="30"/>
        <v>0</v>
      </c>
      <c r="J189" s="19">
        <f t="shared" si="31"/>
        <v>0</v>
      </c>
      <c r="K189" s="19">
        <f t="shared" si="32"/>
        <v>0</v>
      </c>
      <c r="L189" s="19">
        <f t="shared" si="33"/>
        <v>0</v>
      </c>
      <c r="M189" s="19">
        <f t="shared" si="34"/>
        <v>0</v>
      </c>
      <c r="N189" s="19">
        <f t="shared" si="35"/>
        <v>0</v>
      </c>
      <c r="O189" s="19">
        <f t="shared" si="36"/>
        <v>0</v>
      </c>
      <c r="P189" s="19">
        <f t="shared" si="37"/>
        <v>0</v>
      </c>
      <c r="Q189" s="19">
        <f t="shared" si="38"/>
        <v>0</v>
      </c>
      <c r="R189" s="19">
        <f t="shared" si="39"/>
        <v>0</v>
      </c>
      <c r="S189" s="19">
        <f t="shared" si="40"/>
        <v>0</v>
      </c>
      <c r="V189" s="671">
        <f t="shared" si="4"/>
        <v>29148.379047860013</v>
      </c>
    </row>
    <row r="190" spans="1:22">
      <c r="A190" s="19" t="s">
        <v>72</v>
      </c>
      <c r="B190" s="19">
        <f t="shared" si="23"/>
        <v>13884.784941176473</v>
      </c>
      <c r="C190" s="19">
        <f t="shared" si="24"/>
        <v>3055.0950537634462</v>
      </c>
      <c r="D190" s="19">
        <f t="shared" si="25"/>
        <v>0</v>
      </c>
      <c r="E190" s="19">
        <f t="shared" si="26"/>
        <v>18039.608888888892</v>
      </c>
      <c r="F190" s="19">
        <f t="shared" si="27"/>
        <v>0</v>
      </c>
      <c r="G190" s="19">
        <f t="shared" si="28"/>
        <v>0</v>
      </c>
      <c r="H190" s="19">
        <f t="shared" si="29"/>
        <v>0</v>
      </c>
      <c r="I190" s="19">
        <f t="shared" si="30"/>
        <v>0</v>
      </c>
      <c r="J190" s="19">
        <f t="shared" si="31"/>
        <v>0</v>
      </c>
      <c r="K190" s="19">
        <f t="shared" si="32"/>
        <v>0</v>
      </c>
      <c r="L190" s="19">
        <f t="shared" si="33"/>
        <v>0</v>
      </c>
      <c r="M190" s="19">
        <f t="shared" si="34"/>
        <v>0</v>
      </c>
      <c r="N190" s="19">
        <f t="shared" si="35"/>
        <v>0</v>
      </c>
      <c r="O190" s="19">
        <f t="shared" si="36"/>
        <v>0</v>
      </c>
      <c r="P190" s="19">
        <f t="shared" si="37"/>
        <v>0</v>
      </c>
      <c r="Q190" s="19">
        <f t="shared" si="38"/>
        <v>0</v>
      </c>
      <c r="R190" s="19">
        <f t="shared" si="39"/>
        <v>0</v>
      </c>
      <c r="S190" s="19">
        <f t="shared" si="40"/>
        <v>0</v>
      </c>
      <c r="V190" s="671">
        <f t="shared" si="4"/>
        <v>34979.48888382881</v>
      </c>
    </row>
    <row r="191" spans="1:22">
      <c r="A191" s="19" t="s">
        <v>73</v>
      </c>
      <c r="B191" s="19">
        <f t="shared" si="23"/>
        <v>16199.390117647061</v>
      </c>
      <c r="C191" s="19">
        <f t="shared" si="24"/>
        <v>3564.381935483877</v>
      </c>
      <c r="D191" s="19">
        <f t="shared" si="25"/>
        <v>5396.3366399999959</v>
      </c>
      <c r="E191" s="19">
        <f t="shared" si="26"/>
        <v>21046.826666666668</v>
      </c>
      <c r="F191" s="19">
        <f t="shared" si="27"/>
        <v>0</v>
      </c>
      <c r="G191" s="19">
        <f t="shared" si="28"/>
        <v>0</v>
      </c>
      <c r="H191" s="19">
        <f t="shared" si="29"/>
        <v>0</v>
      </c>
      <c r="I191" s="19">
        <f t="shared" si="30"/>
        <v>0</v>
      </c>
      <c r="J191" s="19">
        <f t="shared" si="31"/>
        <v>0</v>
      </c>
      <c r="K191" s="19">
        <f t="shared" si="32"/>
        <v>0</v>
      </c>
      <c r="L191" s="19">
        <f t="shared" si="33"/>
        <v>0</v>
      </c>
      <c r="M191" s="19">
        <f t="shared" si="34"/>
        <v>0</v>
      </c>
      <c r="N191" s="19">
        <f t="shared" si="35"/>
        <v>0</v>
      </c>
      <c r="O191" s="19">
        <f t="shared" si="36"/>
        <v>0</v>
      </c>
      <c r="P191" s="19">
        <f t="shared" si="37"/>
        <v>0</v>
      </c>
      <c r="Q191" s="19">
        <f t="shared" si="38"/>
        <v>0</v>
      </c>
      <c r="R191" s="19">
        <f t="shared" si="39"/>
        <v>0</v>
      </c>
      <c r="S191" s="19">
        <f t="shared" si="40"/>
        <v>0</v>
      </c>
      <c r="V191" s="671">
        <f t="shared" si="4"/>
        <v>46206.935359797601</v>
      </c>
    </row>
    <row r="192" spans="1:22">
      <c r="A192" s="19" t="s">
        <v>74</v>
      </c>
      <c r="B192" s="19">
        <f t="shared" si="23"/>
        <v>18513.995294117649</v>
      </c>
      <c r="C192" s="19">
        <f t="shared" si="24"/>
        <v>4073.6688172043077</v>
      </c>
      <c r="D192" s="19">
        <f t="shared" si="25"/>
        <v>10792.673279999992</v>
      </c>
      <c r="E192" s="19">
        <f t="shared" si="26"/>
        <v>24054.044444444444</v>
      </c>
      <c r="F192" s="19">
        <f t="shared" si="27"/>
        <v>0</v>
      </c>
      <c r="G192" s="19">
        <f t="shared" si="28"/>
        <v>0</v>
      </c>
      <c r="H192" s="19">
        <f t="shared" si="29"/>
        <v>0</v>
      </c>
      <c r="I192" s="19">
        <f t="shared" si="30"/>
        <v>0</v>
      </c>
      <c r="J192" s="19">
        <f t="shared" si="31"/>
        <v>0</v>
      </c>
      <c r="K192" s="19">
        <f t="shared" si="32"/>
        <v>0</v>
      </c>
      <c r="L192" s="19">
        <f t="shared" si="33"/>
        <v>0</v>
      </c>
      <c r="M192" s="19">
        <f t="shared" si="34"/>
        <v>0</v>
      </c>
      <c r="N192" s="19">
        <f t="shared" si="35"/>
        <v>0</v>
      </c>
      <c r="O192" s="19">
        <f t="shared" si="36"/>
        <v>0</v>
      </c>
      <c r="P192" s="19">
        <f t="shared" si="37"/>
        <v>0</v>
      </c>
      <c r="Q192" s="19">
        <f t="shared" si="38"/>
        <v>0</v>
      </c>
      <c r="R192" s="19">
        <f t="shared" si="39"/>
        <v>0</v>
      </c>
      <c r="S192" s="19">
        <f t="shared" si="40"/>
        <v>0</v>
      </c>
      <c r="V192" s="671">
        <f t="shared" si="4"/>
        <v>57434.381835766391</v>
      </c>
    </row>
    <row r="193" spans="1:22">
      <c r="A193" s="19" t="s">
        <v>75</v>
      </c>
      <c r="B193" s="19">
        <f t="shared" si="23"/>
        <v>20828.600470588237</v>
      </c>
      <c r="C193" s="19">
        <f t="shared" si="24"/>
        <v>4582.9556989247385</v>
      </c>
      <c r="D193" s="19">
        <f t="shared" si="25"/>
        <v>16189.009919999988</v>
      </c>
      <c r="E193" s="19">
        <f t="shared" si="26"/>
        <v>27061.26222222222</v>
      </c>
      <c r="F193" s="19">
        <f t="shared" si="27"/>
        <v>0</v>
      </c>
      <c r="G193" s="19">
        <f t="shared" si="28"/>
        <v>0</v>
      </c>
      <c r="H193" s="19">
        <f t="shared" si="29"/>
        <v>0</v>
      </c>
      <c r="I193" s="19">
        <f t="shared" si="30"/>
        <v>0</v>
      </c>
      <c r="J193" s="19">
        <f t="shared" si="31"/>
        <v>0</v>
      </c>
      <c r="K193" s="19">
        <f t="shared" si="32"/>
        <v>0</v>
      </c>
      <c r="L193" s="19">
        <f t="shared" si="33"/>
        <v>0</v>
      </c>
      <c r="M193" s="19">
        <f t="shared" si="34"/>
        <v>0</v>
      </c>
      <c r="N193" s="19">
        <f t="shared" si="35"/>
        <v>0</v>
      </c>
      <c r="O193" s="19">
        <f t="shared" si="36"/>
        <v>0</v>
      </c>
      <c r="P193" s="19">
        <f t="shared" si="37"/>
        <v>0</v>
      </c>
      <c r="Q193" s="19">
        <f t="shared" si="38"/>
        <v>0</v>
      </c>
      <c r="R193" s="19">
        <f t="shared" si="39"/>
        <v>0</v>
      </c>
      <c r="S193" s="19">
        <f t="shared" si="40"/>
        <v>0</v>
      </c>
      <c r="V193" s="671">
        <f t="shared" si="4"/>
        <v>68661.828311735182</v>
      </c>
    </row>
    <row r="194" spans="1:22">
      <c r="A194" s="19" t="s">
        <v>12</v>
      </c>
      <c r="B194" s="19">
        <f t="shared" si="23"/>
        <v>23143.205647058825</v>
      </c>
      <c r="C194" s="19">
        <f t="shared" si="24"/>
        <v>5092.2425806451693</v>
      </c>
      <c r="D194" s="19">
        <f t="shared" si="25"/>
        <v>21585.346559999984</v>
      </c>
      <c r="E194" s="19">
        <f t="shared" si="26"/>
        <v>30068.479999999996</v>
      </c>
      <c r="F194" s="19">
        <f t="shared" si="27"/>
        <v>0</v>
      </c>
      <c r="G194" s="19">
        <f t="shared" si="28"/>
        <v>0</v>
      </c>
      <c r="H194" s="19">
        <f t="shared" si="29"/>
        <v>0</v>
      </c>
      <c r="I194" s="19">
        <f t="shared" si="30"/>
        <v>0</v>
      </c>
      <c r="J194" s="19">
        <f t="shared" si="31"/>
        <v>0</v>
      </c>
      <c r="K194" s="19">
        <f t="shared" si="32"/>
        <v>0</v>
      </c>
      <c r="L194" s="19">
        <f t="shared" si="33"/>
        <v>0</v>
      </c>
      <c r="M194" s="19">
        <f t="shared" si="34"/>
        <v>0</v>
      </c>
      <c r="N194" s="19">
        <f t="shared" si="35"/>
        <v>0</v>
      </c>
      <c r="O194" s="19">
        <f t="shared" si="36"/>
        <v>0</v>
      </c>
      <c r="P194" s="19">
        <f t="shared" si="37"/>
        <v>0</v>
      </c>
      <c r="Q194" s="19">
        <f t="shared" si="38"/>
        <v>0</v>
      </c>
      <c r="R194" s="19">
        <f t="shared" si="39"/>
        <v>0</v>
      </c>
      <c r="S194" s="19">
        <f t="shared" si="40"/>
        <v>0</v>
      </c>
      <c r="V194" s="671">
        <f t="shared" si="4"/>
        <v>79889.274787703966</v>
      </c>
    </row>
    <row r="195" spans="1:22">
      <c r="A195" s="19" t="s">
        <v>13</v>
      </c>
      <c r="B195" s="19">
        <f t="shared" si="23"/>
        <v>25457.810823529413</v>
      </c>
      <c r="C195" s="19">
        <f t="shared" si="24"/>
        <v>5601.5294623656</v>
      </c>
      <c r="D195" s="19">
        <f t="shared" si="25"/>
        <v>26981.683199999978</v>
      </c>
      <c r="E195" s="19">
        <f t="shared" si="26"/>
        <v>33075.697777777772</v>
      </c>
      <c r="F195" s="19">
        <f t="shared" si="27"/>
        <v>0</v>
      </c>
      <c r="G195" s="19">
        <f t="shared" si="28"/>
        <v>0</v>
      </c>
      <c r="H195" s="19">
        <f t="shared" si="29"/>
        <v>0</v>
      </c>
      <c r="I195" s="19">
        <f t="shared" si="30"/>
        <v>0</v>
      </c>
      <c r="J195" s="19">
        <f t="shared" si="31"/>
        <v>0</v>
      </c>
      <c r="K195" s="19">
        <f t="shared" si="32"/>
        <v>0</v>
      </c>
      <c r="L195" s="19">
        <f t="shared" si="33"/>
        <v>0</v>
      </c>
      <c r="M195" s="19">
        <f t="shared" si="34"/>
        <v>0</v>
      </c>
      <c r="N195" s="19">
        <f t="shared" si="35"/>
        <v>0</v>
      </c>
      <c r="O195" s="19">
        <f t="shared" si="36"/>
        <v>0</v>
      </c>
      <c r="P195" s="19">
        <f t="shared" si="37"/>
        <v>0</v>
      </c>
      <c r="Q195" s="19">
        <f t="shared" si="38"/>
        <v>0</v>
      </c>
      <c r="R195" s="19">
        <f t="shared" si="39"/>
        <v>0</v>
      </c>
      <c r="S195" s="19">
        <f t="shared" si="40"/>
        <v>0</v>
      </c>
      <c r="V195" s="671">
        <f t="shared" ref="V195:V249" si="41">SUM(B195:S195)</f>
        <v>91116.721263672764</v>
      </c>
    </row>
    <row r="196" spans="1:22">
      <c r="A196" s="19" t="s">
        <v>14</v>
      </c>
      <c r="B196" s="19">
        <f t="shared" si="23"/>
        <v>27772.416000000001</v>
      </c>
      <c r="C196" s="19">
        <f t="shared" si="24"/>
        <v>6110.8163440860308</v>
      </c>
      <c r="D196" s="19">
        <f t="shared" si="25"/>
        <v>32378.019839999972</v>
      </c>
      <c r="E196" s="19">
        <f t="shared" si="26"/>
        <v>36082.915555555548</v>
      </c>
      <c r="F196" s="19">
        <f t="shared" si="27"/>
        <v>0</v>
      </c>
      <c r="G196" s="19">
        <f t="shared" si="28"/>
        <v>0</v>
      </c>
      <c r="H196" s="19">
        <f t="shared" si="29"/>
        <v>0</v>
      </c>
      <c r="I196" s="19">
        <f t="shared" si="30"/>
        <v>0</v>
      </c>
      <c r="J196" s="19">
        <f t="shared" si="31"/>
        <v>0</v>
      </c>
      <c r="K196" s="19">
        <f t="shared" si="32"/>
        <v>0</v>
      </c>
      <c r="L196" s="19">
        <f t="shared" si="33"/>
        <v>0</v>
      </c>
      <c r="M196" s="19">
        <f t="shared" si="34"/>
        <v>0</v>
      </c>
      <c r="N196" s="19">
        <f t="shared" si="35"/>
        <v>0</v>
      </c>
      <c r="O196" s="19">
        <f t="shared" si="36"/>
        <v>0</v>
      </c>
      <c r="P196" s="19">
        <f t="shared" si="37"/>
        <v>0</v>
      </c>
      <c r="Q196" s="19">
        <f t="shared" si="38"/>
        <v>0</v>
      </c>
      <c r="R196" s="19">
        <f t="shared" si="39"/>
        <v>0</v>
      </c>
      <c r="S196" s="19">
        <f t="shared" si="40"/>
        <v>0</v>
      </c>
      <c r="V196" s="671">
        <f t="shared" si="41"/>
        <v>102344.16773964156</v>
      </c>
    </row>
    <row r="197" spans="1:22">
      <c r="A197" s="19" t="s">
        <v>15</v>
      </c>
      <c r="B197" s="19">
        <f t="shared" si="23"/>
        <v>30087.021176470589</v>
      </c>
      <c r="C197" s="19">
        <f t="shared" si="24"/>
        <v>6620.1032258064615</v>
      </c>
      <c r="D197" s="19">
        <f t="shared" si="25"/>
        <v>37774.356479999966</v>
      </c>
      <c r="E197" s="19">
        <f t="shared" si="26"/>
        <v>39090.133333333324</v>
      </c>
      <c r="F197" s="19">
        <f t="shared" si="27"/>
        <v>0</v>
      </c>
      <c r="G197" s="19">
        <f t="shared" si="28"/>
        <v>0</v>
      </c>
      <c r="H197" s="19">
        <f t="shared" si="29"/>
        <v>0</v>
      </c>
      <c r="I197" s="19">
        <f t="shared" si="30"/>
        <v>0</v>
      </c>
      <c r="J197" s="19">
        <f t="shared" si="31"/>
        <v>0</v>
      </c>
      <c r="K197" s="19">
        <f t="shared" si="32"/>
        <v>0</v>
      </c>
      <c r="L197" s="19">
        <f t="shared" si="33"/>
        <v>0</v>
      </c>
      <c r="M197" s="19">
        <f t="shared" si="34"/>
        <v>0</v>
      </c>
      <c r="N197" s="19">
        <f t="shared" si="35"/>
        <v>0</v>
      </c>
      <c r="O197" s="19">
        <f t="shared" si="36"/>
        <v>0</v>
      </c>
      <c r="P197" s="19">
        <f t="shared" si="37"/>
        <v>0</v>
      </c>
      <c r="Q197" s="19">
        <f t="shared" si="38"/>
        <v>0</v>
      </c>
      <c r="R197" s="19">
        <f t="shared" si="39"/>
        <v>0</v>
      </c>
      <c r="S197" s="19">
        <f t="shared" si="40"/>
        <v>0</v>
      </c>
      <c r="V197" s="671">
        <f t="shared" si="41"/>
        <v>113571.61421561035</v>
      </c>
    </row>
    <row r="198" spans="1:22">
      <c r="A198" s="19" t="s">
        <v>76</v>
      </c>
      <c r="B198" s="19">
        <f t="shared" ref="B198:B223" si="42">B67+B197</f>
        <v>32401.626352941177</v>
      </c>
      <c r="C198" s="19">
        <f t="shared" ref="C198:C223" si="43">C67+C197</f>
        <v>7129.3901075268923</v>
      </c>
      <c r="D198" s="19">
        <f t="shared" ref="D198:D223" si="44">D67+D197</f>
        <v>43170.69311999996</v>
      </c>
      <c r="E198" s="19">
        <f t="shared" ref="E198:E223" si="45">E67+E197</f>
        <v>42097.3511111111</v>
      </c>
      <c r="F198" s="19">
        <f t="shared" ref="F198:F223" si="46">F67+F197</f>
        <v>0</v>
      </c>
      <c r="G198" s="19">
        <f t="shared" ref="G198:G223" si="47">G67+G197</f>
        <v>0</v>
      </c>
      <c r="H198" s="19">
        <f t="shared" ref="H198:H223" si="48">H67+H197</f>
        <v>0</v>
      </c>
      <c r="I198" s="19">
        <f t="shared" ref="I198:I223" si="49">I67+I197</f>
        <v>0</v>
      </c>
      <c r="J198" s="19">
        <f t="shared" ref="J198:J223" si="50">J67+J197</f>
        <v>0</v>
      </c>
      <c r="K198" s="19">
        <f t="shared" ref="K198:K223" si="51">K67+K197</f>
        <v>0</v>
      </c>
      <c r="L198" s="19">
        <f t="shared" ref="L198:L223" si="52">L67+L197</f>
        <v>0</v>
      </c>
      <c r="M198" s="19">
        <f t="shared" ref="M198:M223" si="53">M67+M197</f>
        <v>0</v>
      </c>
      <c r="N198" s="19">
        <f t="shared" ref="N198:N223" si="54">N67+N197</f>
        <v>0</v>
      </c>
      <c r="O198" s="19">
        <f t="shared" ref="O198:O223" si="55">O67+O197</f>
        <v>0</v>
      </c>
      <c r="P198" s="19">
        <f t="shared" ref="P198:P223" si="56">P67+P197</f>
        <v>0</v>
      </c>
      <c r="Q198" s="19">
        <f t="shared" ref="Q198:Q223" si="57">Q67+Q197</f>
        <v>0</v>
      </c>
      <c r="R198" s="19">
        <f t="shared" ref="R198:R223" si="58">R67+R197</f>
        <v>0</v>
      </c>
      <c r="S198" s="19">
        <f t="shared" ref="S198:S223" si="59">S67+S197</f>
        <v>0</v>
      </c>
      <c r="V198" s="671">
        <f t="shared" si="41"/>
        <v>124799.06069157913</v>
      </c>
    </row>
    <row r="199" spans="1:22">
      <c r="A199" s="19" t="s">
        <v>77</v>
      </c>
      <c r="B199" s="19">
        <f t="shared" si="42"/>
        <v>34716.231529411765</v>
      </c>
      <c r="C199" s="19">
        <f t="shared" si="43"/>
        <v>7638.676989247323</v>
      </c>
      <c r="D199" s="19">
        <f t="shared" si="44"/>
        <v>48567.029759999954</v>
      </c>
      <c r="E199" s="19">
        <f t="shared" si="45"/>
        <v>45104.568888888876</v>
      </c>
      <c r="F199" s="19">
        <f t="shared" si="46"/>
        <v>0</v>
      </c>
      <c r="G199" s="19">
        <f t="shared" si="47"/>
        <v>0</v>
      </c>
      <c r="H199" s="19">
        <f t="shared" si="48"/>
        <v>0</v>
      </c>
      <c r="I199" s="19">
        <f t="shared" si="49"/>
        <v>0</v>
      </c>
      <c r="J199" s="19">
        <f t="shared" si="50"/>
        <v>0</v>
      </c>
      <c r="K199" s="19">
        <f t="shared" si="51"/>
        <v>0</v>
      </c>
      <c r="L199" s="19">
        <f t="shared" si="52"/>
        <v>0</v>
      </c>
      <c r="M199" s="19">
        <f t="shared" si="53"/>
        <v>0</v>
      </c>
      <c r="N199" s="19">
        <f t="shared" si="54"/>
        <v>0</v>
      </c>
      <c r="O199" s="19">
        <f t="shared" si="55"/>
        <v>0</v>
      </c>
      <c r="P199" s="19">
        <f t="shared" si="56"/>
        <v>0</v>
      </c>
      <c r="Q199" s="19">
        <f t="shared" si="57"/>
        <v>0</v>
      </c>
      <c r="R199" s="19">
        <f t="shared" si="58"/>
        <v>0</v>
      </c>
      <c r="S199" s="19">
        <f t="shared" si="59"/>
        <v>0</v>
      </c>
      <c r="V199" s="671">
        <f t="shared" si="41"/>
        <v>136026.50716754791</v>
      </c>
    </row>
    <row r="200" spans="1:22">
      <c r="A200" s="19" t="s">
        <v>78</v>
      </c>
      <c r="B200" s="19">
        <f t="shared" si="42"/>
        <v>37014.382588235298</v>
      </c>
      <c r="C200" s="19">
        <f t="shared" si="43"/>
        <v>8144.343440860227</v>
      </c>
      <c r="D200" s="19">
        <f t="shared" si="44"/>
        <v>53925.004799999952</v>
      </c>
      <c r="E200" s="19">
        <f t="shared" si="45"/>
        <v>48090.40888888888</v>
      </c>
      <c r="F200" s="19">
        <f t="shared" si="46"/>
        <v>0</v>
      </c>
      <c r="G200" s="19">
        <f t="shared" si="47"/>
        <v>0</v>
      </c>
      <c r="H200" s="19">
        <f t="shared" si="48"/>
        <v>0</v>
      </c>
      <c r="I200" s="19">
        <f t="shared" si="49"/>
        <v>0</v>
      </c>
      <c r="J200" s="19">
        <f t="shared" si="50"/>
        <v>0</v>
      </c>
      <c r="K200" s="19">
        <f t="shared" si="51"/>
        <v>0</v>
      </c>
      <c r="L200" s="19">
        <f t="shared" si="52"/>
        <v>0</v>
      </c>
      <c r="M200" s="19">
        <f t="shared" si="53"/>
        <v>0</v>
      </c>
      <c r="N200" s="19">
        <f t="shared" si="54"/>
        <v>0</v>
      </c>
      <c r="O200" s="19">
        <f t="shared" si="55"/>
        <v>0</v>
      </c>
      <c r="P200" s="19">
        <f t="shared" si="56"/>
        <v>0</v>
      </c>
      <c r="Q200" s="19">
        <f t="shared" si="57"/>
        <v>0</v>
      </c>
      <c r="R200" s="19">
        <f t="shared" si="58"/>
        <v>0</v>
      </c>
      <c r="S200" s="19">
        <f t="shared" si="59"/>
        <v>0</v>
      </c>
      <c r="V200" s="671">
        <f t="shared" si="41"/>
        <v>147174.13971798436</v>
      </c>
    </row>
    <row r="201" spans="1:22">
      <c r="A201" s="19" t="s">
        <v>79</v>
      </c>
      <c r="B201" s="19">
        <f t="shared" si="42"/>
        <v>39312.53364705883</v>
      </c>
      <c r="C201" s="19">
        <f t="shared" si="43"/>
        <v>8650.0098924731319</v>
      </c>
      <c r="D201" s="19">
        <f t="shared" si="44"/>
        <v>59282.979839999949</v>
      </c>
      <c r="E201" s="19">
        <f t="shared" si="45"/>
        <v>51076.248888888877</v>
      </c>
      <c r="F201" s="19">
        <f t="shared" si="46"/>
        <v>0</v>
      </c>
      <c r="G201" s="19">
        <f t="shared" si="47"/>
        <v>0</v>
      </c>
      <c r="H201" s="19">
        <f t="shared" si="48"/>
        <v>0</v>
      </c>
      <c r="I201" s="19">
        <f t="shared" si="49"/>
        <v>0</v>
      </c>
      <c r="J201" s="19">
        <f t="shared" si="50"/>
        <v>0</v>
      </c>
      <c r="K201" s="19">
        <f t="shared" si="51"/>
        <v>0</v>
      </c>
      <c r="L201" s="19">
        <f t="shared" si="52"/>
        <v>0</v>
      </c>
      <c r="M201" s="19">
        <f t="shared" si="53"/>
        <v>0</v>
      </c>
      <c r="N201" s="19">
        <f t="shared" si="54"/>
        <v>0</v>
      </c>
      <c r="O201" s="19">
        <f t="shared" si="55"/>
        <v>0</v>
      </c>
      <c r="P201" s="19">
        <f t="shared" si="56"/>
        <v>0</v>
      </c>
      <c r="Q201" s="19">
        <f t="shared" si="57"/>
        <v>0</v>
      </c>
      <c r="R201" s="19">
        <f t="shared" si="58"/>
        <v>0</v>
      </c>
      <c r="S201" s="19">
        <f t="shared" si="59"/>
        <v>0</v>
      </c>
      <c r="V201" s="671">
        <f t="shared" si="41"/>
        <v>158321.77226842078</v>
      </c>
    </row>
    <row r="202" spans="1:22">
      <c r="A202" s="19" t="s">
        <v>80</v>
      </c>
      <c r="B202" s="19">
        <f t="shared" si="42"/>
        <v>41610.684705882362</v>
      </c>
      <c r="C202" s="19">
        <f t="shared" si="43"/>
        <v>9155.6763440860359</v>
      </c>
      <c r="D202" s="19">
        <f t="shared" si="44"/>
        <v>64640.954879999947</v>
      </c>
      <c r="E202" s="19">
        <f t="shared" si="45"/>
        <v>54062.088888888873</v>
      </c>
      <c r="F202" s="19">
        <f t="shared" si="46"/>
        <v>0</v>
      </c>
      <c r="G202" s="19">
        <f t="shared" si="47"/>
        <v>0</v>
      </c>
      <c r="H202" s="19">
        <f t="shared" si="48"/>
        <v>0</v>
      </c>
      <c r="I202" s="19">
        <f t="shared" si="49"/>
        <v>0</v>
      </c>
      <c r="J202" s="19">
        <f t="shared" si="50"/>
        <v>0</v>
      </c>
      <c r="K202" s="19">
        <f t="shared" si="51"/>
        <v>0</v>
      </c>
      <c r="L202" s="19">
        <f t="shared" si="52"/>
        <v>0</v>
      </c>
      <c r="M202" s="19">
        <f t="shared" si="53"/>
        <v>0</v>
      </c>
      <c r="N202" s="19">
        <f t="shared" si="54"/>
        <v>0</v>
      </c>
      <c r="O202" s="19">
        <f t="shared" si="55"/>
        <v>0</v>
      </c>
      <c r="P202" s="19">
        <f t="shared" si="56"/>
        <v>0</v>
      </c>
      <c r="Q202" s="19">
        <f t="shared" si="57"/>
        <v>0</v>
      </c>
      <c r="R202" s="19">
        <f t="shared" si="58"/>
        <v>0</v>
      </c>
      <c r="S202" s="19">
        <f t="shared" si="59"/>
        <v>0</v>
      </c>
      <c r="V202" s="671">
        <f t="shared" si="41"/>
        <v>169469.40481885721</v>
      </c>
    </row>
    <row r="203" spans="1:22">
      <c r="A203" s="19" t="s">
        <v>81</v>
      </c>
      <c r="B203" s="19">
        <f t="shared" si="42"/>
        <v>43908.835764705895</v>
      </c>
      <c r="C203" s="19">
        <f t="shared" si="43"/>
        <v>9661.3427956989399</v>
      </c>
      <c r="D203" s="19">
        <f t="shared" si="44"/>
        <v>69998.929919999937</v>
      </c>
      <c r="E203" s="19">
        <f t="shared" si="45"/>
        <v>57047.92888888887</v>
      </c>
      <c r="F203" s="19">
        <f t="shared" si="46"/>
        <v>0</v>
      </c>
      <c r="G203" s="19">
        <f t="shared" si="47"/>
        <v>0</v>
      </c>
      <c r="H203" s="19">
        <f t="shared" si="48"/>
        <v>0</v>
      </c>
      <c r="I203" s="19">
        <f t="shared" si="49"/>
        <v>0</v>
      </c>
      <c r="J203" s="19">
        <f t="shared" si="50"/>
        <v>0</v>
      </c>
      <c r="K203" s="19">
        <f t="shared" si="51"/>
        <v>0</v>
      </c>
      <c r="L203" s="19">
        <f t="shared" si="52"/>
        <v>0</v>
      </c>
      <c r="M203" s="19">
        <f t="shared" si="53"/>
        <v>0</v>
      </c>
      <c r="N203" s="19">
        <f t="shared" si="54"/>
        <v>0</v>
      </c>
      <c r="O203" s="19">
        <f t="shared" si="55"/>
        <v>0</v>
      </c>
      <c r="P203" s="19">
        <f t="shared" si="56"/>
        <v>0</v>
      </c>
      <c r="Q203" s="19">
        <f t="shared" si="57"/>
        <v>0</v>
      </c>
      <c r="R203" s="19">
        <f t="shared" si="58"/>
        <v>0</v>
      </c>
      <c r="S203" s="19">
        <f t="shared" si="59"/>
        <v>0</v>
      </c>
      <c r="V203" s="671">
        <f t="shared" si="41"/>
        <v>180617.03736929363</v>
      </c>
    </row>
    <row r="204" spans="1:22">
      <c r="A204" s="19" t="s">
        <v>82</v>
      </c>
      <c r="B204" s="19">
        <f t="shared" si="42"/>
        <v>46206.986823529427</v>
      </c>
      <c r="C204" s="19">
        <f t="shared" si="43"/>
        <v>10167.009247311844</v>
      </c>
      <c r="D204" s="19">
        <f t="shared" si="44"/>
        <v>75356.904959999927</v>
      </c>
      <c r="E204" s="19">
        <f t="shared" si="45"/>
        <v>60033.768888888866</v>
      </c>
      <c r="F204" s="19">
        <f t="shared" si="46"/>
        <v>0</v>
      </c>
      <c r="G204" s="19">
        <f t="shared" si="47"/>
        <v>0</v>
      </c>
      <c r="H204" s="19">
        <f t="shared" si="48"/>
        <v>0</v>
      </c>
      <c r="I204" s="19">
        <f t="shared" si="49"/>
        <v>0</v>
      </c>
      <c r="J204" s="19">
        <f t="shared" si="50"/>
        <v>0</v>
      </c>
      <c r="K204" s="19">
        <f t="shared" si="51"/>
        <v>0</v>
      </c>
      <c r="L204" s="19">
        <f t="shared" si="52"/>
        <v>0</v>
      </c>
      <c r="M204" s="19">
        <f t="shared" si="53"/>
        <v>0</v>
      </c>
      <c r="N204" s="19">
        <f t="shared" si="54"/>
        <v>0</v>
      </c>
      <c r="O204" s="19">
        <f t="shared" si="55"/>
        <v>0</v>
      </c>
      <c r="P204" s="19">
        <f t="shared" si="56"/>
        <v>0</v>
      </c>
      <c r="Q204" s="19">
        <f t="shared" si="57"/>
        <v>0</v>
      </c>
      <c r="R204" s="19">
        <f t="shared" si="58"/>
        <v>0</v>
      </c>
      <c r="S204" s="19">
        <f t="shared" si="59"/>
        <v>0</v>
      </c>
      <c r="V204" s="671">
        <f t="shared" si="41"/>
        <v>191764.66991973005</v>
      </c>
    </row>
    <row r="205" spans="1:22">
      <c r="A205" s="19" t="s">
        <v>83</v>
      </c>
      <c r="B205" s="19">
        <f t="shared" si="42"/>
        <v>48505.137882352959</v>
      </c>
      <c r="C205" s="19">
        <f t="shared" si="43"/>
        <v>10672.675698924748</v>
      </c>
      <c r="D205" s="19">
        <f t="shared" si="44"/>
        <v>80714.879999999917</v>
      </c>
      <c r="E205" s="19">
        <f t="shared" si="45"/>
        <v>63019.608888888863</v>
      </c>
      <c r="F205" s="19">
        <f t="shared" si="46"/>
        <v>0</v>
      </c>
      <c r="G205" s="19">
        <f t="shared" si="47"/>
        <v>0</v>
      </c>
      <c r="H205" s="19">
        <f t="shared" si="48"/>
        <v>0</v>
      </c>
      <c r="I205" s="19">
        <f t="shared" si="49"/>
        <v>0</v>
      </c>
      <c r="J205" s="19">
        <f t="shared" si="50"/>
        <v>0</v>
      </c>
      <c r="K205" s="19">
        <f t="shared" si="51"/>
        <v>0</v>
      </c>
      <c r="L205" s="19">
        <f t="shared" si="52"/>
        <v>0</v>
      </c>
      <c r="M205" s="19">
        <f t="shared" si="53"/>
        <v>0</v>
      </c>
      <c r="N205" s="19">
        <f t="shared" si="54"/>
        <v>0</v>
      </c>
      <c r="O205" s="19">
        <f t="shared" si="55"/>
        <v>0</v>
      </c>
      <c r="P205" s="19">
        <f t="shared" si="56"/>
        <v>0</v>
      </c>
      <c r="Q205" s="19">
        <f t="shared" si="57"/>
        <v>0</v>
      </c>
      <c r="R205" s="19">
        <f t="shared" si="58"/>
        <v>0</v>
      </c>
      <c r="S205" s="19">
        <f t="shared" si="59"/>
        <v>0</v>
      </c>
      <c r="V205" s="671">
        <f t="shared" si="41"/>
        <v>202912.30247016647</v>
      </c>
    </row>
    <row r="206" spans="1:22">
      <c r="A206" s="19" t="s">
        <v>84</v>
      </c>
      <c r="B206" s="19">
        <f t="shared" si="42"/>
        <v>50803.288941176492</v>
      </c>
      <c r="C206" s="19">
        <f t="shared" si="43"/>
        <v>11178.342150537652</v>
      </c>
      <c r="D206" s="19">
        <f t="shared" si="44"/>
        <v>86072.855039999908</v>
      </c>
      <c r="E206" s="19">
        <f t="shared" si="45"/>
        <v>66005.448888888859</v>
      </c>
      <c r="F206" s="19">
        <f t="shared" si="46"/>
        <v>0</v>
      </c>
      <c r="G206" s="19">
        <f t="shared" si="47"/>
        <v>0</v>
      </c>
      <c r="H206" s="19">
        <f t="shared" si="48"/>
        <v>0</v>
      </c>
      <c r="I206" s="19">
        <f t="shared" si="49"/>
        <v>0</v>
      </c>
      <c r="J206" s="19">
        <f t="shared" si="50"/>
        <v>0</v>
      </c>
      <c r="K206" s="19">
        <f t="shared" si="51"/>
        <v>0</v>
      </c>
      <c r="L206" s="19">
        <f t="shared" si="52"/>
        <v>0</v>
      </c>
      <c r="M206" s="19">
        <f t="shared" si="53"/>
        <v>0</v>
      </c>
      <c r="N206" s="19">
        <f t="shared" si="54"/>
        <v>0</v>
      </c>
      <c r="O206" s="19">
        <f t="shared" si="55"/>
        <v>0</v>
      </c>
      <c r="P206" s="19">
        <f t="shared" si="56"/>
        <v>0</v>
      </c>
      <c r="Q206" s="19">
        <f t="shared" si="57"/>
        <v>0</v>
      </c>
      <c r="R206" s="19">
        <f t="shared" si="58"/>
        <v>0</v>
      </c>
      <c r="S206" s="19">
        <f t="shared" si="59"/>
        <v>0</v>
      </c>
      <c r="V206" s="671">
        <f t="shared" si="41"/>
        <v>214059.93502060289</v>
      </c>
    </row>
    <row r="207" spans="1:22">
      <c r="A207" s="19" t="s">
        <v>16</v>
      </c>
      <c r="B207" s="19">
        <f t="shared" si="42"/>
        <v>53101.440000000024</v>
      </c>
      <c r="C207" s="19">
        <f t="shared" si="43"/>
        <v>11684.008602150556</v>
      </c>
      <c r="D207" s="19">
        <f t="shared" si="44"/>
        <v>91430.830079999898</v>
      </c>
      <c r="E207" s="19">
        <f t="shared" si="45"/>
        <v>68991.288888888856</v>
      </c>
      <c r="F207" s="19">
        <f t="shared" si="46"/>
        <v>0</v>
      </c>
      <c r="G207" s="19">
        <f t="shared" si="47"/>
        <v>0</v>
      </c>
      <c r="H207" s="19">
        <f t="shared" si="48"/>
        <v>0</v>
      </c>
      <c r="I207" s="19">
        <f t="shared" si="49"/>
        <v>0</v>
      </c>
      <c r="J207" s="19">
        <f t="shared" si="50"/>
        <v>0</v>
      </c>
      <c r="K207" s="19">
        <f t="shared" si="51"/>
        <v>0</v>
      </c>
      <c r="L207" s="19">
        <f t="shared" si="52"/>
        <v>0</v>
      </c>
      <c r="M207" s="19">
        <f t="shared" si="53"/>
        <v>0</v>
      </c>
      <c r="N207" s="19">
        <f t="shared" si="54"/>
        <v>0</v>
      </c>
      <c r="O207" s="19">
        <f t="shared" si="55"/>
        <v>0</v>
      </c>
      <c r="P207" s="19">
        <f t="shared" si="56"/>
        <v>0</v>
      </c>
      <c r="Q207" s="19">
        <f t="shared" si="57"/>
        <v>0</v>
      </c>
      <c r="R207" s="19">
        <f t="shared" si="58"/>
        <v>0</v>
      </c>
      <c r="S207" s="19">
        <f t="shared" si="59"/>
        <v>0</v>
      </c>
      <c r="V207" s="671">
        <f t="shared" si="41"/>
        <v>225207.56757103931</v>
      </c>
    </row>
    <row r="208" spans="1:22">
      <c r="A208" s="19" t="s">
        <v>17</v>
      </c>
      <c r="B208" s="19">
        <f t="shared" si="42"/>
        <v>55399.591058823557</v>
      </c>
      <c r="C208" s="19">
        <f t="shared" si="43"/>
        <v>12189.67505376346</v>
      </c>
      <c r="D208" s="19">
        <f t="shared" si="44"/>
        <v>96788.805119999888</v>
      </c>
      <c r="E208" s="19">
        <f t="shared" si="45"/>
        <v>71977.128888888852</v>
      </c>
      <c r="F208" s="19">
        <f t="shared" si="46"/>
        <v>0</v>
      </c>
      <c r="G208" s="19">
        <f t="shared" si="47"/>
        <v>0</v>
      </c>
      <c r="H208" s="19">
        <f t="shared" si="48"/>
        <v>0</v>
      </c>
      <c r="I208" s="19">
        <f t="shared" si="49"/>
        <v>0</v>
      </c>
      <c r="J208" s="19">
        <f t="shared" si="50"/>
        <v>0</v>
      </c>
      <c r="K208" s="19">
        <f t="shared" si="51"/>
        <v>0</v>
      </c>
      <c r="L208" s="19">
        <f t="shared" si="52"/>
        <v>0</v>
      </c>
      <c r="M208" s="19">
        <f t="shared" si="53"/>
        <v>0</v>
      </c>
      <c r="N208" s="19">
        <f t="shared" si="54"/>
        <v>0</v>
      </c>
      <c r="O208" s="19">
        <f t="shared" si="55"/>
        <v>0</v>
      </c>
      <c r="P208" s="19">
        <f t="shared" si="56"/>
        <v>0</v>
      </c>
      <c r="Q208" s="19">
        <f t="shared" si="57"/>
        <v>0</v>
      </c>
      <c r="R208" s="19">
        <f t="shared" si="58"/>
        <v>0</v>
      </c>
      <c r="S208" s="19">
        <f t="shared" si="59"/>
        <v>0</v>
      </c>
      <c r="V208" s="671">
        <f t="shared" si="41"/>
        <v>236355.20012147579</v>
      </c>
    </row>
    <row r="209" spans="1:22">
      <c r="A209" s="19" t="s">
        <v>18</v>
      </c>
      <c r="B209" s="19">
        <f t="shared" si="42"/>
        <v>57697.742117647089</v>
      </c>
      <c r="C209" s="19">
        <f t="shared" si="43"/>
        <v>12695.341505376364</v>
      </c>
      <c r="D209" s="19">
        <f t="shared" si="44"/>
        <v>102146.78015999988</v>
      </c>
      <c r="E209" s="19">
        <f t="shared" si="45"/>
        <v>74962.968888888849</v>
      </c>
      <c r="F209" s="19">
        <f t="shared" si="46"/>
        <v>0</v>
      </c>
      <c r="G209" s="19">
        <f t="shared" si="47"/>
        <v>0</v>
      </c>
      <c r="H209" s="19">
        <f t="shared" si="48"/>
        <v>0</v>
      </c>
      <c r="I209" s="19">
        <f t="shared" si="49"/>
        <v>0</v>
      </c>
      <c r="J209" s="19">
        <f t="shared" si="50"/>
        <v>0</v>
      </c>
      <c r="K209" s="19">
        <f t="shared" si="51"/>
        <v>0</v>
      </c>
      <c r="L209" s="19">
        <f t="shared" si="52"/>
        <v>0</v>
      </c>
      <c r="M209" s="19">
        <f t="shared" si="53"/>
        <v>0</v>
      </c>
      <c r="N209" s="19">
        <f t="shared" si="54"/>
        <v>0</v>
      </c>
      <c r="O209" s="19">
        <f t="shared" si="55"/>
        <v>0</v>
      </c>
      <c r="P209" s="19">
        <f t="shared" si="56"/>
        <v>0</v>
      </c>
      <c r="Q209" s="19">
        <f t="shared" si="57"/>
        <v>0</v>
      </c>
      <c r="R209" s="19">
        <f t="shared" si="58"/>
        <v>0</v>
      </c>
      <c r="S209" s="19">
        <f t="shared" si="59"/>
        <v>0</v>
      </c>
      <c r="V209" s="671">
        <f t="shared" si="41"/>
        <v>247502.83267191215</v>
      </c>
    </row>
    <row r="210" spans="1:22">
      <c r="A210" s="19" t="s">
        <v>19</v>
      </c>
      <c r="B210" s="19">
        <f t="shared" si="42"/>
        <v>59995.893176470621</v>
      </c>
      <c r="C210" s="19">
        <f t="shared" si="43"/>
        <v>13201.007956989268</v>
      </c>
      <c r="D210" s="19">
        <f t="shared" si="44"/>
        <v>107504.75519999987</v>
      </c>
      <c r="E210" s="19">
        <f t="shared" si="45"/>
        <v>77948.808888888845</v>
      </c>
      <c r="F210" s="19">
        <f t="shared" si="46"/>
        <v>0</v>
      </c>
      <c r="G210" s="19">
        <f t="shared" si="47"/>
        <v>0</v>
      </c>
      <c r="H210" s="19">
        <f t="shared" si="48"/>
        <v>0</v>
      </c>
      <c r="I210" s="19">
        <f t="shared" si="49"/>
        <v>0</v>
      </c>
      <c r="J210" s="19">
        <f t="shared" si="50"/>
        <v>0</v>
      </c>
      <c r="K210" s="19">
        <f t="shared" si="51"/>
        <v>0</v>
      </c>
      <c r="L210" s="19">
        <f t="shared" si="52"/>
        <v>0</v>
      </c>
      <c r="M210" s="19">
        <f t="shared" si="53"/>
        <v>0</v>
      </c>
      <c r="N210" s="19">
        <f t="shared" si="54"/>
        <v>0</v>
      </c>
      <c r="O210" s="19">
        <f t="shared" si="55"/>
        <v>0</v>
      </c>
      <c r="P210" s="19">
        <f t="shared" si="56"/>
        <v>0</v>
      </c>
      <c r="Q210" s="19">
        <f t="shared" si="57"/>
        <v>0</v>
      </c>
      <c r="R210" s="19">
        <f t="shared" si="58"/>
        <v>0</v>
      </c>
      <c r="S210" s="19">
        <f t="shared" si="59"/>
        <v>0</v>
      </c>
      <c r="V210" s="671">
        <f t="shared" si="41"/>
        <v>258650.46522234863</v>
      </c>
    </row>
    <row r="211" spans="1:22">
      <c r="A211" s="19" t="s">
        <v>85</v>
      </c>
      <c r="B211" s="19">
        <f t="shared" si="42"/>
        <v>59995.893176470621</v>
      </c>
      <c r="C211" s="19">
        <f t="shared" si="43"/>
        <v>13201.007956989268</v>
      </c>
      <c r="D211" s="19">
        <f t="shared" si="44"/>
        <v>107504.75519999987</v>
      </c>
      <c r="E211" s="19">
        <f t="shared" si="45"/>
        <v>77948.808888888845</v>
      </c>
      <c r="F211" s="19">
        <f t="shared" si="46"/>
        <v>0</v>
      </c>
      <c r="G211" s="19">
        <f t="shared" si="47"/>
        <v>0</v>
      </c>
      <c r="H211" s="19">
        <f t="shared" si="48"/>
        <v>0</v>
      </c>
      <c r="I211" s="19">
        <f t="shared" si="49"/>
        <v>0</v>
      </c>
      <c r="J211" s="19">
        <f t="shared" si="50"/>
        <v>0</v>
      </c>
      <c r="K211" s="19">
        <f t="shared" si="51"/>
        <v>0</v>
      </c>
      <c r="L211" s="19">
        <f t="shared" si="52"/>
        <v>0</v>
      </c>
      <c r="M211" s="19">
        <f t="shared" si="53"/>
        <v>0</v>
      </c>
      <c r="N211" s="19">
        <f t="shared" si="54"/>
        <v>0</v>
      </c>
      <c r="O211" s="19">
        <f t="shared" si="55"/>
        <v>0</v>
      </c>
      <c r="P211" s="19">
        <f t="shared" si="56"/>
        <v>0</v>
      </c>
      <c r="Q211" s="19">
        <f t="shared" si="57"/>
        <v>0</v>
      </c>
      <c r="R211" s="19">
        <f t="shared" si="58"/>
        <v>0</v>
      </c>
      <c r="S211" s="19">
        <f t="shared" si="59"/>
        <v>0</v>
      </c>
      <c r="V211" s="671">
        <f t="shared" si="41"/>
        <v>258650.46522234863</v>
      </c>
    </row>
    <row r="212" spans="1:22">
      <c r="A212" s="19" t="s">
        <v>86</v>
      </c>
      <c r="B212" s="19">
        <f t="shared" si="42"/>
        <v>59995.893176470621</v>
      </c>
      <c r="C212" s="19">
        <f t="shared" si="43"/>
        <v>13201.007956989268</v>
      </c>
      <c r="D212" s="19">
        <f t="shared" si="44"/>
        <v>107504.75519999987</v>
      </c>
      <c r="E212" s="19">
        <f t="shared" si="45"/>
        <v>77948.808888888845</v>
      </c>
      <c r="F212" s="19">
        <f t="shared" si="46"/>
        <v>0</v>
      </c>
      <c r="G212" s="19">
        <f t="shared" si="47"/>
        <v>0</v>
      </c>
      <c r="H212" s="19">
        <f t="shared" si="48"/>
        <v>0</v>
      </c>
      <c r="I212" s="19">
        <f t="shared" si="49"/>
        <v>0</v>
      </c>
      <c r="J212" s="19">
        <f t="shared" si="50"/>
        <v>0</v>
      </c>
      <c r="K212" s="19">
        <f t="shared" si="51"/>
        <v>0</v>
      </c>
      <c r="L212" s="19">
        <f t="shared" si="52"/>
        <v>0</v>
      </c>
      <c r="M212" s="19">
        <f t="shared" si="53"/>
        <v>0</v>
      </c>
      <c r="N212" s="19">
        <f t="shared" si="54"/>
        <v>0</v>
      </c>
      <c r="O212" s="19">
        <f t="shared" si="55"/>
        <v>0</v>
      </c>
      <c r="P212" s="19">
        <f t="shared" si="56"/>
        <v>0</v>
      </c>
      <c r="Q212" s="19">
        <f t="shared" si="57"/>
        <v>0</v>
      </c>
      <c r="R212" s="19">
        <f t="shared" si="58"/>
        <v>0</v>
      </c>
      <c r="S212" s="19">
        <f t="shared" si="59"/>
        <v>0</v>
      </c>
      <c r="V212" s="671">
        <f t="shared" si="41"/>
        <v>258650.46522234863</v>
      </c>
    </row>
    <row r="213" spans="1:22">
      <c r="A213" s="19" t="s">
        <v>87</v>
      </c>
      <c r="B213" s="19">
        <f t="shared" si="42"/>
        <v>59995.893176470621</v>
      </c>
      <c r="C213" s="19">
        <f t="shared" si="43"/>
        <v>13201.007956989268</v>
      </c>
      <c r="D213" s="19">
        <f t="shared" si="44"/>
        <v>107504.75519999987</v>
      </c>
      <c r="E213" s="19">
        <f t="shared" si="45"/>
        <v>77948.808888888845</v>
      </c>
      <c r="F213" s="19">
        <f t="shared" si="46"/>
        <v>0</v>
      </c>
      <c r="G213" s="19">
        <f t="shared" si="47"/>
        <v>0</v>
      </c>
      <c r="H213" s="19">
        <f t="shared" si="48"/>
        <v>0</v>
      </c>
      <c r="I213" s="19">
        <f t="shared" si="49"/>
        <v>0</v>
      </c>
      <c r="J213" s="19">
        <f t="shared" si="50"/>
        <v>0</v>
      </c>
      <c r="K213" s="19">
        <f t="shared" si="51"/>
        <v>0</v>
      </c>
      <c r="L213" s="19">
        <f t="shared" si="52"/>
        <v>0</v>
      </c>
      <c r="M213" s="19">
        <f t="shared" si="53"/>
        <v>0</v>
      </c>
      <c r="N213" s="19">
        <f t="shared" si="54"/>
        <v>0</v>
      </c>
      <c r="O213" s="19">
        <f t="shared" si="55"/>
        <v>0</v>
      </c>
      <c r="P213" s="19">
        <f t="shared" si="56"/>
        <v>0</v>
      </c>
      <c r="Q213" s="19">
        <f t="shared" si="57"/>
        <v>0</v>
      </c>
      <c r="R213" s="19">
        <f t="shared" si="58"/>
        <v>0</v>
      </c>
      <c r="S213" s="19">
        <f t="shared" si="59"/>
        <v>0</v>
      </c>
      <c r="V213" s="671">
        <f t="shared" si="41"/>
        <v>258650.46522234863</v>
      </c>
    </row>
    <row r="214" spans="1:22">
      <c r="A214" s="19" t="s">
        <v>88</v>
      </c>
      <c r="B214" s="19">
        <f t="shared" si="42"/>
        <v>59995.893176470621</v>
      </c>
      <c r="C214" s="19">
        <f t="shared" si="43"/>
        <v>13201.007956989268</v>
      </c>
      <c r="D214" s="19">
        <f t="shared" si="44"/>
        <v>107504.75519999987</v>
      </c>
      <c r="E214" s="19">
        <f t="shared" si="45"/>
        <v>77948.808888888845</v>
      </c>
      <c r="F214" s="19">
        <f t="shared" si="46"/>
        <v>0</v>
      </c>
      <c r="G214" s="19">
        <f t="shared" si="47"/>
        <v>0</v>
      </c>
      <c r="H214" s="19">
        <f t="shared" si="48"/>
        <v>0</v>
      </c>
      <c r="I214" s="19">
        <f t="shared" si="49"/>
        <v>0</v>
      </c>
      <c r="J214" s="19">
        <f t="shared" si="50"/>
        <v>0</v>
      </c>
      <c r="K214" s="19">
        <f t="shared" si="51"/>
        <v>0</v>
      </c>
      <c r="L214" s="19">
        <f t="shared" si="52"/>
        <v>0</v>
      </c>
      <c r="M214" s="19">
        <f t="shared" si="53"/>
        <v>0</v>
      </c>
      <c r="N214" s="19">
        <f t="shared" si="54"/>
        <v>0</v>
      </c>
      <c r="O214" s="19">
        <f t="shared" si="55"/>
        <v>0</v>
      </c>
      <c r="P214" s="19">
        <f t="shared" si="56"/>
        <v>0</v>
      </c>
      <c r="Q214" s="19">
        <f t="shared" si="57"/>
        <v>0</v>
      </c>
      <c r="R214" s="19">
        <f t="shared" si="58"/>
        <v>0</v>
      </c>
      <c r="S214" s="19">
        <f t="shared" si="59"/>
        <v>0</v>
      </c>
      <c r="V214" s="671">
        <f t="shared" si="41"/>
        <v>258650.46522234863</v>
      </c>
    </row>
    <row r="215" spans="1:22">
      <c r="A215" s="19" t="s">
        <v>89</v>
      </c>
      <c r="B215" s="19">
        <f t="shared" si="42"/>
        <v>59995.893176470621</v>
      </c>
      <c r="C215" s="19">
        <f t="shared" si="43"/>
        <v>13201.007956989268</v>
      </c>
      <c r="D215" s="19">
        <f t="shared" si="44"/>
        <v>107504.75519999987</v>
      </c>
      <c r="E215" s="19">
        <f t="shared" si="45"/>
        <v>77948.808888888845</v>
      </c>
      <c r="F215" s="19">
        <f t="shared" si="46"/>
        <v>0</v>
      </c>
      <c r="G215" s="19">
        <f t="shared" si="47"/>
        <v>0</v>
      </c>
      <c r="H215" s="19">
        <f t="shared" si="48"/>
        <v>0</v>
      </c>
      <c r="I215" s="19">
        <f t="shared" si="49"/>
        <v>0</v>
      </c>
      <c r="J215" s="19">
        <f t="shared" si="50"/>
        <v>0</v>
      </c>
      <c r="K215" s="19">
        <f t="shared" si="51"/>
        <v>0</v>
      </c>
      <c r="L215" s="19">
        <f t="shared" si="52"/>
        <v>0</v>
      </c>
      <c r="M215" s="19">
        <f t="shared" si="53"/>
        <v>0</v>
      </c>
      <c r="N215" s="19">
        <f t="shared" si="54"/>
        <v>0</v>
      </c>
      <c r="O215" s="19">
        <f t="shared" si="55"/>
        <v>0</v>
      </c>
      <c r="P215" s="19">
        <f t="shared" si="56"/>
        <v>0</v>
      </c>
      <c r="Q215" s="19">
        <f t="shared" si="57"/>
        <v>0</v>
      </c>
      <c r="R215" s="19">
        <f t="shared" si="58"/>
        <v>0</v>
      </c>
      <c r="S215" s="19">
        <f t="shared" si="59"/>
        <v>0</v>
      </c>
      <c r="V215" s="671">
        <f t="shared" si="41"/>
        <v>258650.46522234863</v>
      </c>
    </row>
    <row r="216" spans="1:22">
      <c r="A216" s="19" t="s">
        <v>90</v>
      </c>
      <c r="B216" s="19">
        <f t="shared" si="42"/>
        <v>59995.893176470621</v>
      </c>
      <c r="C216" s="19">
        <f t="shared" si="43"/>
        <v>13201.007956989268</v>
      </c>
      <c r="D216" s="19">
        <f t="shared" si="44"/>
        <v>107504.75519999987</v>
      </c>
      <c r="E216" s="19">
        <f t="shared" si="45"/>
        <v>77948.808888888845</v>
      </c>
      <c r="F216" s="19">
        <f t="shared" si="46"/>
        <v>0</v>
      </c>
      <c r="G216" s="19">
        <f t="shared" si="47"/>
        <v>0</v>
      </c>
      <c r="H216" s="19">
        <f t="shared" si="48"/>
        <v>0</v>
      </c>
      <c r="I216" s="19">
        <f t="shared" si="49"/>
        <v>0</v>
      </c>
      <c r="J216" s="19">
        <f t="shared" si="50"/>
        <v>0</v>
      </c>
      <c r="K216" s="19">
        <f t="shared" si="51"/>
        <v>0</v>
      </c>
      <c r="L216" s="19">
        <f t="shared" si="52"/>
        <v>0</v>
      </c>
      <c r="M216" s="19">
        <f t="shared" si="53"/>
        <v>0</v>
      </c>
      <c r="N216" s="19">
        <f t="shared" si="54"/>
        <v>0</v>
      </c>
      <c r="O216" s="19">
        <f t="shared" si="55"/>
        <v>0</v>
      </c>
      <c r="P216" s="19">
        <f t="shared" si="56"/>
        <v>0</v>
      </c>
      <c r="Q216" s="19">
        <f t="shared" si="57"/>
        <v>0</v>
      </c>
      <c r="R216" s="19">
        <f t="shared" si="58"/>
        <v>0</v>
      </c>
      <c r="S216" s="19">
        <f t="shared" si="59"/>
        <v>0</v>
      </c>
      <c r="V216" s="671">
        <f t="shared" si="41"/>
        <v>258650.46522234863</v>
      </c>
    </row>
    <row r="217" spans="1:22">
      <c r="A217" s="19" t="s">
        <v>91</v>
      </c>
      <c r="B217" s="19">
        <f t="shared" si="42"/>
        <v>59995.893176470621</v>
      </c>
      <c r="C217" s="19">
        <f t="shared" si="43"/>
        <v>13201.007956989268</v>
      </c>
      <c r="D217" s="19">
        <f t="shared" si="44"/>
        <v>107504.75519999987</v>
      </c>
      <c r="E217" s="19">
        <f t="shared" si="45"/>
        <v>77948.808888888845</v>
      </c>
      <c r="F217" s="19">
        <f t="shared" si="46"/>
        <v>0</v>
      </c>
      <c r="G217" s="19">
        <f t="shared" si="47"/>
        <v>0</v>
      </c>
      <c r="H217" s="19">
        <f t="shared" si="48"/>
        <v>0</v>
      </c>
      <c r="I217" s="19">
        <f t="shared" si="49"/>
        <v>0</v>
      </c>
      <c r="J217" s="19">
        <f t="shared" si="50"/>
        <v>0</v>
      </c>
      <c r="K217" s="19">
        <f t="shared" si="51"/>
        <v>0</v>
      </c>
      <c r="L217" s="19">
        <f t="shared" si="52"/>
        <v>0</v>
      </c>
      <c r="M217" s="19">
        <f t="shared" si="53"/>
        <v>0</v>
      </c>
      <c r="N217" s="19">
        <f t="shared" si="54"/>
        <v>0</v>
      </c>
      <c r="O217" s="19">
        <f t="shared" si="55"/>
        <v>0</v>
      </c>
      <c r="P217" s="19">
        <f t="shared" si="56"/>
        <v>0</v>
      </c>
      <c r="Q217" s="19">
        <f t="shared" si="57"/>
        <v>0</v>
      </c>
      <c r="R217" s="19">
        <f t="shared" si="58"/>
        <v>0</v>
      </c>
      <c r="S217" s="19">
        <f t="shared" si="59"/>
        <v>0</v>
      </c>
      <c r="V217" s="671">
        <f t="shared" si="41"/>
        <v>258650.46522234863</v>
      </c>
    </row>
    <row r="218" spans="1:22">
      <c r="A218" s="19" t="s">
        <v>92</v>
      </c>
      <c r="B218" s="19">
        <f t="shared" si="42"/>
        <v>59995.893176470621</v>
      </c>
      <c r="C218" s="19">
        <f t="shared" si="43"/>
        <v>13201.007956989268</v>
      </c>
      <c r="D218" s="19">
        <f t="shared" si="44"/>
        <v>107504.75519999987</v>
      </c>
      <c r="E218" s="19">
        <f t="shared" si="45"/>
        <v>77948.808888888845</v>
      </c>
      <c r="F218" s="19">
        <f t="shared" si="46"/>
        <v>0</v>
      </c>
      <c r="G218" s="19">
        <f t="shared" si="47"/>
        <v>0</v>
      </c>
      <c r="H218" s="19">
        <f t="shared" si="48"/>
        <v>0</v>
      </c>
      <c r="I218" s="19">
        <f t="shared" si="49"/>
        <v>0</v>
      </c>
      <c r="J218" s="19">
        <f t="shared" si="50"/>
        <v>0</v>
      </c>
      <c r="K218" s="19">
        <f t="shared" si="51"/>
        <v>0</v>
      </c>
      <c r="L218" s="19">
        <f t="shared" si="52"/>
        <v>0</v>
      </c>
      <c r="M218" s="19">
        <f t="shared" si="53"/>
        <v>0</v>
      </c>
      <c r="N218" s="19">
        <f t="shared" si="54"/>
        <v>0</v>
      </c>
      <c r="O218" s="19">
        <f t="shared" si="55"/>
        <v>0</v>
      </c>
      <c r="P218" s="19">
        <f t="shared" si="56"/>
        <v>0</v>
      </c>
      <c r="Q218" s="19">
        <f t="shared" si="57"/>
        <v>0</v>
      </c>
      <c r="R218" s="19">
        <f t="shared" si="58"/>
        <v>0</v>
      </c>
      <c r="S218" s="19">
        <f t="shared" si="59"/>
        <v>0</v>
      </c>
      <c r="V218" s="671">
        <f t="shared" si="41"/>
        <v>258650.46522234863</v>
      </c>
    </row>
    <row r="219" spans="1:22">
      <c r="A219" s="19" t="s">
        <v>93</v>
      </c>
      <c r="B219" s="19">
        <f t="shared" si="42"/>
        <v>59995.893176470621</v>
      </c>
      <c r="C219" s="19">
        <f t="shared" si="43"/>
        <v>13201.007956989268</v>
      </c>
      <c r="D219" s="19">
        <f t="shared" si="44"/>
        <v>107504.75519999987</v>
      </c>
      <c r="E219" s="19">
        <f t="shared" si="45"/>
        <v>77948.808888888845</v>
      </c>
      <c r="F219" s="19">
        <f t="shared" si="46"/>
        <v>0</v>
      </c>
      <c r="G219" s="19">
        <f t="shared" si="47"/>
        <v>0</v>
      </c>
      <c r="H219" s="19">
        <f t="shared" si="48"/>
        <v>0</v>
      </c>
      <c r="I219" s="19">
        <f t="shared" si="49"/>
        <v>0</v>
      </c>
      <c r="J219" s="19">
        <f t="shared" si="50"/>
        <v>0</v>
      </c>
      <c r="K219" s="19">
        <f t="shared" si="51"/>
        <v>0</v>
      </c>
      <c r="L219" s="19">
        <f t="shared" si="52"/>
        <v>0</v>
      </c>
      <c r="M219" s="19">
        <f t="shared" si="53"/>
        <v>0</v>
      </c>
      <c r="N219" s="19">
        <f t="shared" si="54"/>
        <v>0</v>
      </c>
      <c r="O219" s="19">
        <f t="shared" si="55"/>
        <v>0</v>
      </c>
      <c r="P219" s="19">
        <f t="shared" si="56"/>
        <v>0</v>
      </c>
      <c r="Q219" s="19">
        <f t="shared" si="57"/>
        <v>0</v>
      </c>
      <c r="R219" s="19">
        <f t="shared" si="58"/>
        <v>0</v>
      </c>
      <c r="S219" s="19">
        <f t="shared" si="59"/>
        <v>0</v>
      </c>
      <c r="V219" s="671">
        <f t="shared" si="41"/>
        <v>258650.46522234863</v>
      </c>
    </row>
    <row r="220" spans="1:22">
      <c r="A220" s="19" t="s">
        <v>20</v>
      </c>
      <c r="B220" s="19">
        <f t="shared" si="42"/>
        <v>59995.893176470621</v>
      </c>
      <c r="C220" s="19">
        <f t="shared" si="43"/>
        <v>13201.007956989268</v>
      </c>
      <c r="D220" s="19">
        <f t="shared" si="44"/>
        <v>107504.75519999987</v>
      </c>
      <c r="E220" s="19">
        <f t="shared" si="45"/>
        <v>77948.808888888845</v>
      </c>
      <c r="F220" s="19">
        <f t="shared" si="46"/>
        <v>0</v>
      </c>
      <c r="G220" s="19">
        <f t="shared" si="47"/>
        <v>0</v>
      </c>
      <c r="H220" s="19">
        <f t="shared" si="48"/>
        <v>0</v>
      </c>
      <c r="I220" s="19">
        <f t="shared" si="49"/>
        <v>0</v>
      </c>
      <c r="J220" s="19">
        <f t="shared" si="50"/>
        <v>0</v>
      </c>
      <c r="K220" s="19">
        <f t="shared" si="51"/>
        <v>0</v>
      </c>
      <c r="L220" s="19">
        <f t="shared" si="52"/>
        <v>0</v>
      </c>
      <c r="M220" s="19">
        <f t="shared" si="53"/>
        <v>0</v>
      </c>
      <c r="N220" s="19">
        <f t="shared" si="54"/>
        <v>0</v>
      </c>
      <c r="O220" s="19">
        <f t="shared" si="55"/>
        <v>0</v>
      </c>
      <c r="P220" s="19">
        <f t="shared" si="56"/>
        <v>0</v>
      </c>
      <c r="Q220" s="19">
        <f t="shared" si="57"/>
        <v>0</v>
      </c>
      <c r="R220" s="19">
        <f t="shared" si="58"/>
        <v>0</v>
      </c>
      <c r="S220" s="19">
        <f t="shared" si="59"/>
        <v>0</v>
      </c>
      <c r="V220" s="671">
        <f t="shared" si="41"/>
        <v>258650.46522234863</v>
      </c>
    </row>
    <row r="221" spans="1:22">
      <c r="A221" s="19" t="s">
        <v>21</v>
      </c>
      <c r="B221" s="19">
        <f t="shared" si="42"/>
        <v>59995.893176470621</v>
      </c>
      <c r="C221" s="19">
        <f t="shared" si="43"/>
        <v>13201.007956989268</v>
      </c>
      <c r="D221" s="19">
        <f t="shared" si="44"/>
        <v>107504.75519999987</v>
      </c>
      <c r="E221" s="19">
        <f t="shared" si="45"/>
        <v>77948.808888888845</v>
      </c>
      <c r="F221" s="19">
        <f t="shared" si="46"/>
        <v>0</v>
      </c>
      <c r="G221" s="19">
        <f t="shared" si="47"/>
        <v>0</v>
      </c>
      <c r="H221" s="19">
        <f t="shared" si="48"/>
        <v>0</v>
      </c>
      <c r="I221" s="19">
        <f t="shared" si="49"/>
        <v>0</v>
      </c>
      <c r="J221" s="19">
        <f t="shared" si="50"/>
        <v>0</v>
      </c>
      <c r="K221" s="19">
        <f t="shared" si="51"/>
        <v>0</v>
      </c>
      <c r="L221" s="19">
        <f t="shared" si="52"/>
        <v>0</v>
      </c>
      <c r="M221" s="19">
        <f t="shared" si="53"/>
        <v>0</v>
      </c>
      <c r="N221" s="19">
        <f t="shared" si="54"/>
        <v>0</v>
      </c>
      <c r="O221" s="19">
        <f t="shared" si="55"/>
        <v>0</v>
      </c>
      <c r="P221" s="19">
        <f t="shared" si="56"/>
        <v>0</v>
      </c>
      <c r="Q221" s="19">
        <f t="shared" si="57"/>
        <v>0</v>
      </c>
      <c r="R221" s="19">
        <f t="shared" si="58"/>
        <v>0</v>
      </c>
      <c r="S221" s="19">
        <f t="shared" si="59"/>
        <v>0</v>
      </c>
      <c r="V221" s="671">
        <f t="shared" si="41"/>
        <v>258650.46522234863</v>
      </c>
    </row>
    <row r="222" spans="1:22">
      <c r="A222" s="19" t="s">
        <v>22</v>
      </c>
      <c r="B222" s="19">
        <f t="shared" si="42"/>
        <v>59995.893176470621</v>
      </c>
      <c r="C222" s="19">
        <f t="shared" si="43"/>
        <v>13201.007956989268</v>
      </c>
      <c r="D222" s="19">
        <f t="shared" si="44"/>
        <v>107504.75519999987</v>
      </c>
      <c r="E222" s="19">
        <f t="shared" si="45"/>
        <v>77948.808888888845</v>
      </c>
      <c r="F222" s="19">
        <f t="shared" si="46"/>
        <v>0</v>
      </c>
      <c r="G222" s="19">
        <f t="shared" si="47"/>
        <v>0</v>
      </c>
      <c r="H222" s="19">
        <f t="shared" si="48"/>
        <v>0</v>
      </c>
      <c r="I222" s="19">
        <f t="shared" si="49"/>
        <v>0</v>
      </c>
      <c r="J222" s="19">
        <f t="shared" si="50"/>
        <v>0</v>
      </c>
      <c r="K222" s="19">
        <f t="shared" si="51"/>
        <v>0</v>
      </c>
      <c r="L222" s="19">
        <f t="shared" si="52"/>
        <v>0</v>
      </c>
      <c r="M222" s="19">
        <f t="shared" si="53"/>
        <v>0</v>
      </c>
      <c r="N222" s="19">
        <f t="shared" si="54"/>
        <v>0</v>
      </c>
      <c r="O222" s="19">
        <f t="shared" si="55"/>
        <v>0</v>
      </c>
      <c r="P222" s="19">
        <f t="shared" si="56"/>
        <v>0</v>
      </c>
      <c r="Q222" s="19">
        <f t="shared" si="57"/>
        <v>0</v>
      </c>
      <c r="R222" s="19">
        <f t="shared" si="58"/>
        <v>0</v>
      </c>
      <c r="S222" s="19">
        <f t="shared" si="59"/>
        <v>0</v>
      </c>
      <c r="V222" s="671">
        <f t="shared" si="41"/>
        <v>258650.46522234863</v>
      </c>
    </row>
    <row r="223" spans="1:22">
      <c r="A223" s="19" t="s">
        <v>23</v>
      </c>
      <c r="B223" s="19">
        <f t="shared" si="42"/>
        <v>59995.893176470621</v>
      </c>
      <c r="C223" s="19">
        <f t="shared" si="43"/>
        <v>13201.007956989268</v>
      </c>
      <c r="D223" s="19">
        <f t="shared" si="44"/>
        <v>107504.75519999987</v>
      </c>
      <c r="E223" s="19">
        <f t="shared" si="45"/>
        <v>77948.808888888845</v>
      </c>
      <c r="F223" s="19">
        <f t="shared" si="46"/>
        <v>0</v>
      </c>
      <c r="G223" s="19">
        <f t="shared" si="47"/>
        <v>0</v>
      </c>
      <c r="H223" s="19">
        <f t="shared" si="48"/>
        <v>0</v>
      </c>
      <c r="I223" s="19">
        <f t="shared" si="49"/>
        <v>0</v>
      </c>
      <c r="J223" s="19">
        <f t="shared" si="50"/>
        <v>0</v>
      </c>
      <c r="K223" s="19">
        <f t="shared" si="51"/>
        <v>0</v>
      </c>
      <c r="L223" s="19">
        <f t="shared" si="52"/>
        <v>0</v>
      </c>
      <c r="M223" s="19">
        <f t="shared" si="53"/>
        <v>0</v>
      </c>
      <c r="N223" s="19">
        <f t="shared" si="54"/>
        <v>0</v>
      </c>
      <c r="O223" s="19">
        <f t="shared" si="55"/>
        <v>0</v>
      </c>
      <c r="P223" s="19">
        <f t="shared" si="56"/>
        <v>0</v>
      </c>
      <c r="Q223" s="19">
        <f t="shared" si="57"/>
        <v>0</v>
      </c>
      <c r="R223" s="19">
        <f t="shared" si="58"/>
        <v>0</v>
      </c>
      <c r="S223" s="19">
        <f t="shared" si="59"/>
        <v>0</v>
      </c>
      <c r="V223" s="671">
        <f t="shared" si="41"/>
        <v>258650.46522234863</v>
      </c>
    </row>
    <row r="224" spans="1:22">
      <c r="A224" s="19" t="s">
        <v>974</v>
      </c>
      <c r="B224" s="19">
        <f t="shared" ref="B224:S224" si="60">B93+B223</f>
        <v>59995.893176470621</v>
      </c>
      <c r="C224" s="19">
        <f t="shared" si="60"/>
        <v>13201.007956989268</v>
      </c>
      <c r="D224" s="19">
        <f t="shared" si="60"/>
        <v>107504.75519999987</v>
      </c>
      <c r="E224" s="19">
        <f t="shared" si="60"/>
        <v>77948.808888888845</v>
      </c>
      <c r="F224" s="19">
        <f t="shared" si="60"/>
        <v>0</v>
      </c>
      <c r="G224" s="19">
        <f t="shared" si="60"/>
        <v>0</v>
      </c>
      <c r="H224" s="19">
        <f t="shared" si="60"/>
        <v>0</v>
      </c>
      <c r="I224" s="19">
        <f t="shared" si="60"/>
        <v>0</v>
      </c>
      <c r="J224" s="19">
        <f t="shared" si="60"/>
        <v>0</v>
      </c>
      <c r="K224" s="19">
        <f t="shared" si="60"/>
        <v>0</v>
      </c>
      <c r="L224" s="19">
        <f t="shared" si="60"/>
        <v>0</v>
      </c>
      <c r="M224" s="19">
        <f t="shared" si="60"/>
        <v>0</v>
      </c>
      <c r="N224" s="19">
        <f t="shared" si="60"/>
        <v>0</v>
      </c>
      <c r="O224" s="19">
        <f t="shared" si="60"/>
        <v>0</v>
      </c>
      <c r="P224" s="19">
        <f t="shared" si="60"/>
        <v>0</v>
      </c>
      <c r="Q224" s="19">
        <f t="shared" si="60"/>
        <v>0</v>
      </c>
      <c r="R224" s="19">
        <f t="shared" si="60"/>
        <v>0</v>
      </c>
      <c r="S224" s="19">
        <f t="shared" si="60"/>
        <v>0</v>
      </c>
      <c r="V224" s="671">
        <f t="shared" si="41"/>
        <v>258650.46522234863</v>
      </c>
    </row>
    <row r="225" spans="1:22">
      <c r="A225" s="19" t="s">
        <v>975</v>
      </c>
      <c r="B225" s="19">
        <f t="shared" ref="B225:S225" si="61">B94+B224</f>
        <v>59995.893176470621</v>
      </c>
      <c r="C225" s="19">
        <f t="shared" si="61"/>
        <v>13201.007956989268</v>
      </c>
      <c r="D225" s="19">
        <f t="shared" si="61"/>
        <v>107504.75519999987</v>
      </c>
      <c r="E225" s="19">
        <f t="shared" si="61"/>
        <v>77948.808888888845</v>
      </c>
      <c r="F225" s="19">
        <f t="shared" si="61"/>
        <v>0</v>
      </c>
      <c r="G225" s="19">
        <f t="shared" si="61"/>
        <v>0</v>
      </c>
      <c r="H225" s="19">
        <f t="shared" si="61"/>
        <v>0</v>
      </c>
      <c r="I225" s="19">
        <f t="shared" si="61"/>
        <v>0</v>
      </c>
      <c r="J225" s="19">
        <f t="shared" si="61"/>
        <v>0</v>
      </c>
      <c r="K225" s="19">
        <f t="shared" si="61"/>
        <v>0</v>
      </c>
      <c r="L225" s="19">
        <f t="shared" si="61"/>
        <v>0</v>
      </c>
      <c r="M225" s="19">
        <f t="shared" si="61"/>
        <v>0</v>
      </c>
      <c r="N225" s="19">
        <f t="shared" si="61"/>
        <v>0</v>
      </c>
      <c r="O225" s="19">
        <f t="shared" si="61"/>
        <v>0</v>
      </c>
      <c r="P225" s="19">
        <f t="shared" si="61"/>
        <v>0</v>
      </c>
      <c r="Q225" s="19">
        <f t="shared" si="61"/>
        <v>0</v>
      </c>
      <c r="R225" s="19">
        <f t="shared" si="61"/>
        <v>0</v>
      </c>
      <c r="S225" s="19">
        <f t="shared" si="61"/>
        <v>0</v>
      </c>
      <c r="V225" s="671">
        <f t="shared" si="41"/>
        <v>258650.46522234863</v>
      </c>
    </row>
    <row r="226" spans="1:22">
      <c r="A226" s="19" t="s">
        <v>976</v>
      </c>
      <c r="B226" s="19">
        <f t="shared" ref="B226:S226" si="62">B95+B225</f>
        <v>59995.893176470621</v>
      </c>
      <c r="C226" s="19">
        <f t="shared" si="62"/>
        <v>13201.007956989268</v>
      </c>
      <c r="D226" s="19">
        <f t="shared" si="62"/>
        <v>107504.75519999987</v>
      </c>
      <c r="E226" s="19">
        <f t="shared" si="62"/>
        <v>77948.808888888845</v>
      </c>
      <c r="F226" s="19">
        <f t="shared" si="62"/>
        <v>0</v>
      </c>
      <c r="G226" s="19">
        <f t="shared" si="62"/>
        <v>0</v>
      </c>
      <c r="H226" s="19">
        <f t="shared" si="62"/>
        <v>0</v>
      </c>
      <c r="I226" s="19">
        <f t="shared" si="62"/>
        <v>0</v>
      </c>
      <c r="J226" s="19">
        <f t="shared" si="62"/>
        <v>0</v>
      </c>
      <c r="K226" s="19">
        <f t="shared" si="62"/>
        <v>0</v>
      </c>
      <c r="L226" s="19">
        <f t="shared" si="62"/>
        <v>0</v>
      </c>
      <c r="M226" s="19">
        <f t="shared" si="62"/>
        <v>0</v>
      </c>
      <c r="N226" s="19">
        <f t="shared" si="62"/>
        <v>0</v>
      </c>
      <c r="O226" s="19">
        <f t="shared" si="62"/>
        <v>0</v>
      </c>
      <c r="P226" s="19">
        <f t="shared" si="62"/>
        <v>0</v>
      </c>
      <c r="Q226" s="19">
        <f t="shared" si="62"/>
        <v>0</v>
      </c>
      <c r="R226" s="19">
        <f t="shared" si="62"/>
        <v>0</v>
      </c>
      <c r="S226" s="19">
        <f t="shared" si="62"/>
        <v>0</v>
      </c>
      <c r="V226" s="671">
        <f t="shared" si="41"/>
        <v>258650.46522234863</v>
      </c>
    </row>
    <row r="227" spans="1:22">
      <c r="A227" s="19" t="s">
        <v>977</v>
      </c>
      <c r="B227" s="19">
        <f t="shared" ref="B227:S227" si="63">B96+B226</f>
        <v>59995.893176470621</v>
      </c>
      <c r="C227" s="19">
        <f t="shared" si="63"/>
        <v>13201.007956989268</v>
      </c>
      <c r="D227" s="19">
        <f t="shared" si="63"/>
        <v>107504.75519999987</v>
      </c>
      <c r="E227" s="19">
        <f t="shared" si="63"/>
        <v>77948.808888888845</v>
      </c>
      <c r="F227" s="19">
        <f t="shared" si="63"/>
        <v>0</v>
      </c>
      <c r="G227" s="19">
        <f t="shared" si="63"/>
        <v>0</v>
      </c>
      <c r="H227" s="19">
        <f t="shared" si="63"/>
        <v>0</v>
      </c>
      <c r="I227" s="19">
        <f t="shared" si="63"/>
        <v>0</v>
      </c>
      <c r="J227" s="19">
        <f t="shared" si="63"/>
        <v>0</v>
      </c>
      <c r="K227" s="19">
        <f t="shared" si="63"/>
        <v>0</v>
      </c>
      <c r="L227" s="19">
        <f t="shared" si="63"/>
        <v>0</v>
      </c>
      <c r="M227" s="19">
        <f t="shared" si="63"/>
        <v>0</v>
      </c>
      <c r="N227" s="19">
        <f t="shared" si="63"/>
        <v>0</v>
      </c>
      <c r="O227" s="19">
        <f t="shared" si="63"/>
        <v>0</v>
      </c>
      <c r="P227" s="19">
        <f t="shared" si="63"/>
        <v>0</v>
      </c>
      <c r="Q227" s="19">
        <f t="shared" si="63"/>
        <v>0</v>
      </c>
      <c r="R227" s="19">
        <f t="shared" si="63"/>
        <v>0</v>
      </c>
      <c r="S227" s="19">
        <f t="shared" si="63"/>
        <v>0</v>
      </c>
      <c r="V227" s="671">
        <f t="shared" si="41"/>
        <v>258650.46522234863</v>
      </c>
    </row>
    <row r="228" spans="1:22">
      <c r="A228" s="19" t="s">
        <v>978</v>
      </c>
      <c r="B228" s="19">
        <f t="shared" ref="B228:S228" si="64">B97+B227</f>
        <v>59995.893176470621</v>
      </c>
      <c r="C228" s="19">
        <f t="shared" si="64"/>
        <v>13201.007956989268</v>
      </c>
      <c r="D228" s="19">
        <f t="shared" si="64"/>
        <v>107504.75519999987</v>
      </c>
      <c r="E228" s="19">
        <f t="shared" si="64"/>
        <v>77948.808888888845</v>
      </c>
      <c r="F228" s="19">
        <f t="shared" si="64"/>
        <v>0</v>
      </c>
      <c r="G228" s="19">
        <f t="shared" si="64"/>
        <v>0</v>
      </c>
      <c r="H228" s="19">
        <f t="shared" si="64"/>
        <v>0</v>
      </c>
      <c r="I228" s="19">
        <f t="shared" si="64"/>
        <v>0</v>
      </c>
      <c r="J228" s="19">
        <f t="shared" si="64"/>
        <v>0</v>
      </c>
      <c r="K228" s="19">
        <f t="shared" si="64"/>
        <v>0</v>
      </c>
      <c r="L228" s="19">
        <f t="shared" si="64"/>
        <v>0</v>
      </c>
      <c r="M228" s="19">
        <f t="shared" si="64"/>
        <v>0</v>
      </c>
      <c r="N228" s="19">
        <f t="shared" si="64"/>
        <v>0</v>
      </c>
      <c r="O228" s="19">
        <f t="shared" si="64"/>
        <v>0</v>
      </c>
      <c r="P228" s="19">
        <f t="shared" si="64"/>
        <v>0</v>
      </c>
      <c r="Q228" s="19">
        <f t="shared" si="64"/>
        <v>0</v>
      </c>
      <c r="R228" s="19">
        <f t="shared" si="64"/>
        <v>0</v>
      </c>
      <c r="S228" s="19">
        <f t="shared" si="64"/>
        <v>0</v>
      </c>
      <c r="V228" s="671">
        <f t="shared" si="41"/>
        <v>258650.46522234863</v>
      </c>
    </row>
    <row r="229" spans="1:22">
      <c r="A229" s="19" t="s">
        <v>979</v>
      </c>
      <c r="B229" s="19">
        <f t="shared" ref="B229:S229" si="65">B98+B228</f>
        <v>59995.893176470621</v>
      </c>
      <c r="C229" s="19">
        <f t="shared" si="65"/>
        <v>13201.007956989268</v>
      </c>
      <c r="D229" s="19">
        <f t="shared" si="65"/>
        <v>107504.75519999987</v>
      </c>
      <c r="E229" s="19">
        <f t="shared" si="65"/>
        <v>77948.808888888845</v>
      </c>
      <c r="F229" s="19">
        <f t="shared" si="65"/>
        <v>0</v>
      </c>
      <c r="G229" s="19">
        <f t="shared" si="65"/>
        <v>0</v>
      </c>
      <c r="H229" s="19">
        <f t="shared" si="65"/>
        <v>0</v>
      </c>
      <c r="I229" s="19">
        <f t="shared" si="65"/>
        <v>0</v>
      </c>
      <c r="J229" s="19">
        <f t="shared" si="65"/>
        <v>0</v>
      </c>
      <c r="K229" s="19">
        <f t="shared" si="65"/>
        <v>0</v>
      </c>
      <c r="L229" s="19">
        <f t="shared" si="65"/>
        <v>0</v>
      </c>
      <c r="M229" s="19">
        <f t="shared" si="65"/>
        <v>0</v>
      </c>
      <c r="N229" s="19">
        <f t="shared" si="65"/>
        <v>0</v>
      </c>
      <c r="O229" s="19">
        <f t="shared" si="65"/>
        <v>0</v>
      </c>
      <c r="P229" s="19">
        <f t="shared" si="65"/>
        <v>0</v>
      </c>
      <c r="Q229" s="19">
        <f t="shared" si="65"/>
        <v>0</v>
      </c>
      <c r="R229" s="19">
        <f t="shared" si="65"/>
        <v>0</v>
      </c>
      <c r="S229" s="19">
        <f t="shared" si="65"/>
        <v>0</v>
      </c>
      <c r="V229" s="671">
        <f t="shared" si="41"/>
        <v>258650.46522234863</v>
      </c>
    </row>
    <row r="230" spans="1:22">
      <c r="A230" s="19" t="s">
        <v>980</v>
      </c>
      <c r="B230" s="19">
        <f t="shared" ref="B230:S230" si="66">B99+B229</f>
        <v>59995.893176470621</v>
      </c>
      <c r="C230" s="19">
        <f t="shared" si="66"/>
        <v>13201.007956989268</v>
      </c>
      <c r="D230" s="19">
        <f t="shared" si="66"/>
        <v>107504.75519999987</v>
      </c>
      <c r="E230" s="19">
        <f t="shared" si="66"/>
        <v>77948.808888888845</v>
      </c>
      <c r="F230" s="19">
        <f t="shared" si="66"/>
        <v>0</v>
      </c>
      <c r="G230" s="19">
        <f t="shared" si="66"/>
        <v>0</v>
      </c>
      <c r="H230" s="19">
        <f t="shared" si="66"/>
        <v>0</v>
      </c>
      <c r="I230" s="19">
        <f t="shared" si="66"/>
        <v>0</v>
      </c>
      <c r="J230" s="19">
        <f t="shared" si="66"/>
        <v>0</v>
      </c>
      <c r="K230" s="19">
        <f t="shared" si="66"/>
        <v>0</v>
      </c>
      <c r="L230" s="19">
        <f t="shared" si="66"/>
        <v>0</v>
      </c>
      <c r="M230" s="19">
        <f t="shared" si="66"/>
        <v>0</v>
      </c>
      <c r="N230" s="19">
        <f t="shared" si="66"/>
        <v>0</v>
      </c>
      <c r="O230" s="19">
        <f t="shared" si="66"/>
        <v>0</v>
      </c>
      <c r="P230" s="19">
        <f t="shared" si="66"/>
        <v>0</v>
      </c>
      <c r="Q230" s="19">
        <f t="shared" si="66"/>
        <v>0</v>
      </c>
      <c r="R230" s="19">
        <f t="shared" si="66"/>
        <v>0</v>
      </c>
      <c r="S230" s="19">
        <f t="shared" si="66"/>
        <v>0</v>
      </c>
      <c r="V230" s="671">
        <f t="shared" si="41"/>
        <v>258650.46522234863</v>
      </c>
    </row>
    <row r="231" spans="1:22">
      <c r="A231" s="19" t="s">
        <v>981</v>
      </c>
      <c r="B231" s="19">
        <f t="shared" ref="B231:S231" si="67">B100+B230</f>
        <v>59995.893176470621</v>
      </c>
      <c r="C231" s="19">
        <f t="shared" si="67"/>
        <v>13201.007956989268</v>
      </c>
      <c r="D231" s="19">
        <f t="shared" si="67"/>
        <v>107504.75519999987</v>
      </c>
      <c r="E231" s="19">
        <f t="shared" si="67"/>
        <v>77948.808888888845</v>
      </c>
      <c r="F231" s="19">
        <f t="shared" si="67"/>
        <v>0</v>
      </c>
      <c r="G231" s="19">
        <f t="shared" si="67"/>
        <v>0</v>
      </c>
      <c r="H231" s="19">
        <f t="shared" si="67"/>
        <v>0</v>
      </c>
      <c r="I231" s="19">
        <f t="shared" si="67"/>
        <v>0</v>
      </c>
      <c r="J231" s="19">
        <f t="shared" si="67"/>
        <v>0</v>
      </c>
      <c r="K231" s="19">
        <f t="shared" si="67"/>
        <v>0</v>
      </c>
      <c r="L231" s="19">
        <f t="shared" si="67"/>
        <v>0</v>
      </c>
      <c r="M231" s="19">
        <f t="shared" si="67"/>
        <v>0</v>
      </c>
      <c r="N231" s="19">
        <f t="shared" si="67"/>
        <v>0</v>
      </c>
      <c r="O231" s="19">
        <f t="shared" si="67"/>
        <v>0</v>
      </c>
      <c r="P231" s="19">
        <f t="shared" si="67"/>
        <v>0</v>
      </c>
      <c r="Q231" s="19">
        <f t="shared" si="67"/>
        <v>0</v>
      </c>
      <c r="R231" s="19">
        <f t="shared" si="67"/>
        <v>0</v>
      </c>
      <c r="S231" s="19">
        <f t="shared" si="67"/>
        <v>0</v>
      </c>
      <c r="V231" s="671">
        <f t="shared" si="41"/>
        <v>258650.46522234863</v>
      </c>
    </row>
    <row r="232" spans="1:22">
      <c r="A232" s="19" t="s">
        <v>982</v>
      </c>
      <c r="B232" s="19">
        <f t="shared" ref="B232:S232" si="68">B101+B231</f>
        <v>59995.893176470621</v>
      </c>
      <c r="C232" s="19">
        <f t="shared" si="68"/>
        <v>13201.007956989268</v>
      </c>
      <c r="D232" s="19">
        <f t="shared" si="68"/>
        <v>107504.75519999987</v>
      </c>
      <c r="E232" s="19">
        <f t="shared" si="68"/>
        <v>77948.808888888845</v>
      </c>
      <c r="F232" s="19">
        <f t="shared" si="68"/>
        <v>0</v>
      </c>
      <c r="G232" s="19">
        <f t="shared" si="68"/>
        <v>0</v>
      </c>
      <c r="H232" s="19">
        <f t="shared" si="68"/>
        <v>0</v>
      </c>
      <c r="I232" s="19">
        <f t="shared" si="68"/>
        <v>0</v>
      </c>
      <c r="J232" s="19">
        <f t="shared" si="68"/>
        <v>0</v>
      </c>
      <c r="K232" s="19">
        <f t="shared" si="68"/>
        <v>0</v>
      </c>
      <c r="L232" s="19">
        <f t="shared" si="68"/>
        <v>0</v>
      </c>
      <c r="M232" s="19">
        <f t="shared" si="68"/>
        <v>0</v>
      </c>
      <c r="N232" s="19">
        <f t="shared" si="68"/>
        <v>0</v>
      </c>
      <c r="O232" s="19">
        <f t="shared" si="68"/>
        <v>0</v>
      </c>
      <c r="P232" s="19">
        <f t="shared" si="68"/>
        <v>0</v>
      </c>
      <c r="Q232" s="19">
        <f t="shared" si="68"/>
        <v>0</v>
      </c>
      <c r="R232" s="19">
        <f t="shared" si="68"/>
        <v>0</v>
      </c>
      <c r="S232" s="19">
        <f t="shared" si="68"/>
        <v>0</v>
      </c>
      <c r="V232" s="671">
        <f t="shared" si="41"/>
        <v>258650.46522234863</v>
      </c>
    </row>
    <row r="233" spans="1:22">
      <c r="A233" s="19" t="s">
        <v>983</v>
      </c>
      <c r="B233" s="19">
        <f t="shared" ref="B233:S233" si="69">B102+B232</f>
        <v>59995.893176470621</v>
      </c>
      <c r="C233" s="19">
        <f t="shared" si="69"/>
        <v>13201.007956989268</v>
      </c>
      <c r="D233" s="19">
        <f t="shared" si="69"/>
        <v>107504.75519999987</v>
      </c>
      <c r="E233" s="19">
        <f t="shared" si="69"/>
        <v>77948.808888888845</v>
      </c>
      <c r="F233" s="19">
        <f t="shared" si="69"/>
        <v>0</v>
      </c>
      <c r="G233" s="19">
        <f t="shared" si="69"/>
        <v>0</v>
      </c>
      <c r="H233" s="19">
        <f t="shared" si="69"/>
        <v>0</v>
      </c>
      <c r="I233" s="19">
        <f t="shared" si="69"/>
        <v>0</v>
      </c>
      <c r="J233" s="19">
        <f t="shared" si="69"/>
        <v>0</v>
      </c>
      <c r="K233" s="19">
        <f t="shared" si="69"/>
        <v>0</v>
      </c>
      <c r="L233" s="19">
        <f t="shared" si="69"/>
        <v>0</v>
      </c>
      <c r="M233" s="19">
        <f t="shared" si="69"/>
        <v>0</v>
      </c>
      <c r="N233" s="19">
        <f t="shared" si="69"/>
        <v>0</v>
      </c>
      <c r="O233" s="19">
        <f t="shared" si="69"/>
        <v>0</v>
      </c>
      <c r="P233" s="19">
        <f t="shared" si="69"/>
        <v>0</v>
      </c>
      <c r="Q233" s="19">
        <f t="shared" si="69"/>
        <v>0</v>
      </c>
      <c r="R233" s="19">
        <f t="shared" si="69"/>
        <v>0</v>
      </c>
      <c r="S233" s="19">
        <f t="shared" si="69"/>
        <v>0</v>
      </c>
      <c r="V233" s="671">
        <f t="shared" si="41"/>
        <v>258650.46522234863</v>
      </c>
    </row>
    <row r="234" spans="1:22">
      <c r="A234" s="19" t="s">
        <v>984</v>
      </c>
      <c r="B234" s="19">
        <f t="shared" ref="B234:S234" si="70">B103+B233</f>
        <v>59995.893176470621</v>
      </c>
      <c r="C234" s="19">
        <f t="shared" si="70"/>
        <v>13201.007956989268</v>
      </c>
      <c r="D234" s="19">
        <f t="shared" si="70"/>
        <v>107504.75519999987</v>
      </c>
      <c r="E234" s="19">
        <f t="shared" si="70"/>
        <v>77948.808888888845</v>
      </c>
      <c r="F234" s="19">
        <f t="shared" si="70"/>
        <v>0</v>
      </c>
      <c r="G234" s="19">
        <f t="shared" si="70"/>
        <v>0</v>
      </c>
      <c r="H234" s="19">
        <f t="shared" si="70"/>
        <v>0</v>
      </c>
      <c r="I234" s="19">
        <f t="shared" si="70"/>
        <v>0</v>
      </c>
      <c r="J234" s="19">
        <f t="shared" si="70"/>
        <v>0</v>
      </c>
      <c r="K234" s="19">
        <f t="shared" si="70"/>
        <v>0</v>
      </c>
      <c r="L234" s="19">
        <f t="shared" si="70"/>
        <v>0</v>
      </c>
      <c r="M234" s="19">
        <f t="shared" si="70"/>
        <v>0</v>
      </c>
      <c r="N234" s="19">
        <f t="shared" si="70"/>
        <v>0</v>
      </c>
      <c r="O234" s="19">
        <f t="shared" si="70"/>
        <v>0</v>
      </c>
      <c r="P234" s="19">
        <f t="shared" si="70"/>
        <v>0</v>
      </c>
      <c r="Q234" s="19">
        <f t="shared" si="70"/>
        <v>0</v>
      </c>
      <c r="R234" s="19">
        <f t="shared" si="70"/>
        <v>0</v>
      </c>
      <c r="S234" s="19">
        <f t="shared" si="70"/>
        <v>0</v>
      </c>
      <c r="V234" s="671">
        <f t="shared" si="41"/>
        <v>258650.46522234863</v>
      </c>
    </row>
    <row r="235" spans="1:22">
      <c r="A235" s="19" t="s">
        <v>985</v>
      </c>
      <c r="B235" s="19">
        <f t="shared" ref="B235:S235" si="71">B104+B234</f>
        <v>59995.893176470621</v>
      </c>
      <c r="C235" s="19">
        <f t="shared" si="71"/>
        <v>13201.007956989268</v>
      </c>
      <c r="D235" s="19">
        <f t="shared" si="71"/>
        <v>107504.75519999987</v>
      </c>
      <c r="E235" s="19">
        <f t="shared" si="71"/>
        <v>77948.808888888845</v>
      </c>
      <c r="F235" s="19">
        <f t="shared" si="71"/>
        <v>0</v>
      </c>
      <c r="G235" s="19">
        <f t="shared" si="71"/>
        <v>0</v>
      </c>
      <c r="H235" s="19">
        <f t="shared" si="71"/>
        <v>0</v>
      </c>
      <c r="I235" s="19">
        <f t="shared" si="71"/>
        <v>0</v>
      </c>
      <c r="J235" s="19">
        <f t="shared" si="71"/>
        <v>0</v>
      </c>
      <c r="K235" s="19">
        <f t="shared" si="71"/>
        <v>0</v>
      </c>
      <c r="L235" s="19">
        <f t="shared" si="71"/>
        <v>0</v>
      </c>
      <c r="M235" s="19">
        <f t="shared" si="71"/>
        <v>0</v>
      </c>
      <c r="N235" s="19">
        <f t="shared" si="71"/>
        <v>0</v>
      </c>
      <c r="O235" s="19">
        <f t="shared" si="71"/>
        <v>0</v>
      </c>
      <c r="P235" s="19">
        <f t="shared" si="71"/>
        <v>0</v>
      </c>
      <c r="Q235" s="19">
        <f t="shared" si="71"/>
        <v>0</v>
      </c>
      <c r="R235" s="19">
        <f t="shared" si="71"/>
        <v>0</v>
      </c>
      <c r="S235" s="19">
        <f t="shared" si="71"/>
        <v>0</v>
      </c>
      <c r="V235" s="671">
        <f t="shared" si="41"/>
        <v>258650.46522234863</v>
      </c>
    </row>
    <row r="236" spans="1:22">
      <c r="A236" s="19" t="s">
        <v>986</v>
      </c>
      <c r="B236" s="19">
        <f t="shared" ref="B236:S236" si="72">B105+B235</f>
        <v>59995.893176470621</v>
      </c>
      <c r="C236" s="19">
        <f t="shared" si="72"/>
        <v>13201.007956989268</v>
      </c>
      <c r="D236" s="19">
        <f t="shared" si="72"/>
        <v>107504.75519999987</v>
      </c>
      <c r="E236" s="19">
        <f t="shared" si="72"/>
        <v>77948.808888888845</v>
      </c>
      <c r="F236" s="19">
        <f t="shared" si="72"/>
        <v>0</v>
      </c>
      <c r="G236" s="19">
        <f t="shared" si="72"/>
        <v>0</v>
      </c>
      <c r="H236" s="19">
        <f t="shared" si="72"/>
        <v>0</v>
      </c>
      <c r="I236" s="19">
        <f t="shared" si="72"/>
        <v>0</v>
      </c>
      <c r="J236" s="19">
        <f t="shared" si="72"/>
        <v>0</v>
      </c>
      <c r="K236" s="19">
        <f t="shared" si="72"/>
        <v>0</v>
      </c>
      <c r="L236" s="19">
        <f t="shared" si="72"/>
        <v>0</v>
      </c>
      <c r="M236" s="19">
        <f t="shared" si="72"/>
        <v>0</v>
      </c>
      <c r="N236" s="19">
        <f t="shared" si="72"/>
        <v>0</v>
      </c>
      <c r="O236" s="19">
        <f t="shared" si="72"/>
        <v>0</v>
      </c>
      <c r="P236" s="19">
        <f t="shared" si="72"/>
        <v>0</v>
      </c>
      <c r="Q236" s="19">
        <f t="shared" si="72"/>
        <v>0</v>
      </c>
      <c r="R236" s="19">
        <f t="shared" si="72"/>
        <v>0</v>
      </c>
      <c r="S236" s="19">
        <f t="shared" si="72"/>
        <v>0</v>
      </c>
      <c r="V236" s="671">
        <f t="shared" si="41"/>
        <v>258650.46522234863</v>
      </c>
    </row>
    <row r="237" spans="1:22">
      <c r="A237" s="19" t="s">
        <v>987</v>
      </c>
      <c r="B237" s="19">
        <f t="shared" ref="B237:S237" si="73">B106+B236</f>
        <v>59995.893176470621</v>
      </c>
      <c r="C237" s="19">
        <f t="shared" si="73"/>
        <v>13201.007956989268</v>
      </c>
      <c r="D237" s="19">
        <f t="shared" si="73"/>
        <v>107504.75519999987</v>
      </c>
      <c r="E237" s="19">
        <f t="shared" si="73"/>
        <v>77948.808888888845</v>
      </c>
      <c r="F237" s="19">
        <f t="shared" si="73"/>
        <v>0</v>
      </c>
      <c r="G237" s="19">
        <f t="shared" si="73"/>
        <v>0</v>
      </c>
      <c r="H237" s="19">
        <f t="shared" si="73"/>
        <v>0</v>
      </c>
      <c r="I237" s="19">
        <f t="shared" si="73"/>
        <v>0</v>
      </c>
      <c r="J237" s="19">
        <f t="shared" si="73"/>
        <v>0</v>
      </c>
      <c r="K237" s="19">
        <f t="shared" si="73"/>
        <v>0</v>
      </c>
      <c r="L237" s="19">
        <f t="shared" si="73"/>
        <v>0</v>
      </c>
      <c r="M237" s="19">
        <f t="shared" si="73"/>
        <v>0</v>
      </c>
      <c r="N237" s="19">
        <f t="shared" si="73"/>
        <v>0</v>
      </c>
      <c r="O237" s="19">
        <f t="shared" si="73"/>
        <v>0</v>
      </c>
      <c r="P237" s="19">
        <f t="shared" si="73"/>
        <v>0</v>
      </c>
      <c r="Q237" s="19">
        <f t="shared" si="73"/>
        <v>0</v>
      </c>
      <c r="R237" s="19">
        <f t="shared" si="73"/>
        <v>0</v>
      </c>
      <c r="S237" s="19">
        <f t="shared" si="73"/>
        <v>0</v>
      </c>
      <c r="V237" s="671">
        <f t="shared" si="41"/>
        <v>258650.46522234863</v>
      </c>
    </row>
    <row r="238" spans="1:22">
      <c r="A238" s="19" t="s">
        <v>988</v>
      </c>
      <c r="B238" s="19">
        <f t="shared" ref="B238:S238" si="74">B107+B237</f>
        <v>59995.893176470621</v>
      </c>
      <c r="C238" s="19">
        <f t="shared" si="74"/>
        <v>13201.007956989268</v>
      </c>
      <c r="D238" s="19">
        <f t="shared" si="74"/>
        <v>107504.75519999987</v>
      </c>
      <c r="E238" s="19">
        <f t="shared" si="74"/>
        <v>77948.808888888845</v>
      </c>
      <c r="F238" s="19">
        <f t="shared" si="74"/>
        <v>0</v>
      </c>
      <c r="G238" s="19">
        <f t="shared" si="74"/>
        <v>0</v>
      </c>
      <c r="H238" s="19">
        <f t="shared" si="74"/>
        <v>0</v>
      </c>
      <c r="I238" s="19">
        <f t="shared" si="74"/>
        <v>0</v>
      </c>
      <c r="J238" s="19">
        <f t="shared" si="74"/>
        <v>0</v>
      </c>
      <c r="K238" s="19">
        <f t="shared" si="74"/>
        <v>0</v>
      </c>
      <c r="L238" s="19">
        <f t="shared" si="74"/>
        <v>0</v>
      </c>
      <c r="M238" s="19">
        <f t="shared" si="74"/>
        <v>0</v>
      </c>
      <c r="N238" s="19">
        <f t="shared" si="74"/>
        <v>0</v>
      </c>
      <c r="O238" s="19">
        <f t="shared" si="74"/>
        <v>0</v>
      </c>
      <c r="P238" s="19">
        <f t="shared" si="74"/>
        <v>0</v>
      </c>
      <c r="Q238" s="19">
        <f t="shared" si="74"/>
        <v>0</v>
      </c>
      <c r="R238" s="19">
        <f t="shared" si="74"/>
        <v>0</v>
      </c>
      <c r="S238" s="19">
        <f t="shared" si="74"/>
        <v>0</v>
      </c>
      <c r="V238" s="671">
        <f t="shared" si="41"/>
        <v>258650.46522234863</v>
      </c>
    </row>
    <row r="239" spans="1:22">
      <c r="A239" s="19" t="s">
        <v>989</v>
      </c>
      <c r="B239" s="19">
        <f t="shared" ref="B239:S239" si="75">B108+B238</f>
        <v>59995.893176470621</v>
      </c>
      <c r="C239" s="19">
        <f t="shared" si="75"/>
        <v>13201.007956989268</v>
      </c>
      <c r="D239" s="19">
        <f t="shared" si="75"/>
        <v>107504.75519999987</v>
      </c>
      <c r="E239" s="19">
        <f t="shared" si="75"/>
        <v>77948.808888888845</v>
      </c>
      <c r="F239" s="19">
        <f t="shared" si="75"/>
        <v>0</v>
      </c>
      <c r="G239" s="19">
        <f t="shared" si="75"/>
        <v>0</v>
      </c>
      <c r="H239" s="19">
        <f t="shared" si="75"/>
        <v>0</v>
      </c>
      <c r="I239" s="19">
        <f t="shared" si="75"/>
        <v>0</v>
      </c>
      <c r="J239" s="19">
        <f t="shared" si="75"/>
        <v>0</v>
      </c>
      <c r="K239" s="19">
        <f t="shared" si="75"/>
        <v>0</v>
      </c>
      <c r="L239" s="19">
        <f t="shared" si="75"/>
        <v>0</v>
      </c>
      <c r="M239" s="19">
        <f t="shared" si="75"/>
        <v>0</v>
      </c>
      <c r="N239" s="19">
        <f t="shared" si="75"/>
        <v>0</v>
      </c>
      <c r="O239" s="19">
        <f t="shared" si="75"/>
        <v>0</v>
      </c>
      <c r="P239" s="19">
        <f t="shared" si="75"/>
        <v>0</v>
      </c>
      <c r="Q239" s="19">
        <f t="shared" si="75"/>
        <v>0</v>
      </c>
      <c r="R239" s="19">
        <f t="shared" si="75"/>
        <v>0</v>
      </c>
      <c r="S239" s="19">
        <f t="shared" si="75"/>
        <v>0</v>
      </c>
      <c r="V239" s="671">
        <f t="shared" si="41"/>
        <v>258650.46522234863</v>
      </c>
    </row>
    <row r="240" spans="1:22">
      <c r="A240" s="19" t="s">
        <v>990</v>
      </c>
      <c r="B240" s="19">
        <f t="shared" ref="B240:S240" si="76">B109+B239</f>
        <v>59995.893176470621</v>
      </c>
      <c r="C240" s="19">
        <f t="shared" si="76"/>
        <v>13201.007956989268</v>
      </c>
      <c r="D240" s="19">
        <f t="shared" si="76"/>
        <v>107504.75519999987</v>
      </c>
      <c r="E240" s="19">
        <f t="shared" si="76"/>
        <v>77948.808888888845</v>
      </c>
      <c r="F240" s="19">
        <f t="shared" si="76"/>
        <v>0</v>
      </c>
      <c r="G240" s="19">
        <f t="shared" si="76"/>
        <v>0</v>
      </c>
      <c r="H240" s="19">
        <f t="shared" si="76"/>
        <v>0</v>
      </c>
      <c r="I240" s="19">
        <f t="shared" si="76"/>
        <v>0</v>
      </c>
      <c r="J240" s="19">
        <f t="shared" si="76"/>
        <v>0</v>
      </c>
      <c r="K240" s="19">
        <f t="shared" si="76"/>
        <v>0</v>
      </c>
      <c r="L240" s="19">
        <f t="shared" si="76"/>
        <v>0</v>
      </c>
      <c r="M240" s="19">
        <f t="shared" si="76"/>
        <v>0</v>
      </c>
      <c r="N240" s="19">
        <f t="shared" si="76"/>
        <v>0</v>
      </c>
      <c r="O240" s="19">
        <f t="shared" si="76"/>
        <v>0</v>
      </c>
      <c r="P240" s="19">
        <f t="shared" si="76"/>
        <v>0</v>
      </c>
      <c r="Q240" s="19">
        <f t="shared" si="76"/>
        <v>0</v>
      </c>
      <c r="R240" s="19">
        <f t="shared" si="76"/>
        <v>0</v>
      </c>
      <c r="S240" s="19">
        <f t="shared" si="76"/>
        <v>0</v>
      </c>
      <c r="V240" s="671">
        <f t="shared" si="41"/>
        <v>258650.46522234863</v>
      </c>
    </row>
    <row r="241" spans="1:22">
      <c r="A241" s="19" t="s">
        <v>991</v>
      </c>
      <c r="B241" s="19">
        <f t="shared" ref="B241:S241" si="77">B110+B240</f>
        <v>59995.893176470621</v>
      </c>
      <c r="C241" s="19">
        <f t="shared" si="77"/>
        <v>13201.007956989268</v>
      </c>
      <c r="D241" s="19">
        <f t="shared" si="77"/>
        <v>107504.75519999987</v>
      </c>
      <c r="E241" s="19">
        <f t="shared" si="77"/>
        <v>77948.808888888845</v>
      </c>
      <c r="F241" s="19">
        <f t="shared" si="77"/>
        <v>0</v>
      </c>
      <c r="G241" s="19">
        <f t="shared" si="77"/>
        <v>0</v>
      </c>
      <c r="H241" s="19">
        <f t="shared" si="77"/>
        <v>0</v>
      </c>
      <c r="I241" s="19">
        <f t="shared" si="77"/>
        <v>0</v>
      </c>
      <c r="J241" s="19">
        <f t="shared" si="77"/>
        <v>0</v>
      </c>
      <c r="K241" s="19">
        <f t="shared" si="77"/>
        <v>0</v>
      </c>
      <c r="L241" s="19">
        <f t="shared" si="77"/>
        <v>0</v>
      </c>
      <c r="M241" s="19">
        <f t="shared" si="77"/>
        <v>0</v>
      </c>
      <c r="N241" s="19">
        <f t="shared" si="77"/>
        <v>0</v>
      </c>
      <c r="O241" s="19">
        <f t="shared" si="77"/>
        <v>0</v>
      </c>
      <c r="P241" s="19">
        <f t="shared" si="77"/>
        <v>0</v>
      </c>
      <c r="Q241" s="19">
        <f t="shared" si="77"/>
        <v>0</v>
      </c>
      <c r="R241" s="19">
        <f t="shared" si="77"/>
        <v>0</v>
      </c>
      <c r="S241" s="19">
        <f t="shared" si="77"/>
        <v>0</v>
      </c>
      <c r="V241" s="671">
        <f t="shared" si="41"/>
        <v>258650.46522234863</v>
      </c>
    </row>
    <row r="242" spans="1:22">
      <c r="A242" s="19" t="s">
        <v>992</v>
      </c>
      <c r="B242" s="19">
        <f t="shared" ref="B242:S242" si="78">B111+B241</f>
        <v>59995.893176470621</v>
      </c>
      <c r="C242" s="19">
        <f t="shared" si="78"/>
        <v>13201.007956989268</v>
      </c>
      <c r="D242" s="19">
        <f t="shared" si="78"/>
        <v>107504.75519999987</v>
      </c>
      <c r="E242" s="19">
        <f t="shared" si="78"/>
        <v>77948.808888888845</v>
      </c>
      <c r="F242" s="19">
        <f t="shared" si="78"/>
        <v>0</v>
      </c>
      <c r="G242" s="19">
        <f t="shared" si="78"/>
        <v>0</v>
      </c>
      <c r="H242" s="19">
        <f t="shared" si="78"/>
        <v>0</v>
      </c>
      <c r="I242" s="19">
        <f t="shared" si="78"/>
        <v>0</v>
      </c>
      <c r="J242" s="19">
        <f t="shared" si="78"/>
        <v>0</v>
      </c>
      <c r="K242" s="19">
        <f t="shared" si="78"/>
        <v>0</v>
      </c>
      <c r="L242" s="19">
        <f t="shared" si="78"/>
        <v>0</v>
      </c>
      <c r="M242" s="19">
        <f t="shared" si="78"/>
        <v>0</v>
      </c>
      <c r="N242" s="19">
        <f t="shared" si="78"/>
        <v>0</v>
      </c>
      <c r="O242" s="19">
        <f t="shared" si="78"/>
        <v>0</v>
      </c>
      <c r="P242" s="19">
        <f t="shared" si="78"/>
        <v>0</v>
      </c>
      <c r="Q242" s="19">
        <f t="shared" si="78"/>
        <v>0</v>
      </c>
      <c r="R242" s="19">
        <f t="shared" si="78"/>
        <v>0</v>
      </c>
      <c r="S242" s="19">
        <f t="shared" si="78"/>
        <v>0</v>
      </c>
      <c r="V242" s="671">
        <f t="shared" si="41"/>
        <v>258650.46522234863</v>
      </c>
    </row>
    <row r="243" spans="1:22">
      <c r="A243" s="19" t="s">
        <v>993</v>
      </c>
      <c r="B243" s="19">
        <f t="shared" ref="B243:S243" si="79">B112+B242</f>
        <v>59995.893176470621</v>
      </c>
      <c r="C243" s="19">
        <f t="shared" si="79"/>
        <v>13201.007956989268</v>
      </c>
      <c r="D243" s="19">
        <f t="shared" si="79"/>
        <v>107504.75519999987</v>
      </c>
      <c r="E243" s="19">
        <f t="shared" si="79"/>
        <v>77948.808888888845</v>
      </c>
      <c r="F243" s="19">
        <f t="shared" si="79"/>
        <v>0</v>
      </c>
      <c r="G243" s="19">
        <f t="shared" si="79"/>
        <v>0</v>
      </c>
      <c r="H243" s="19">
        <f t="shared" si="79"/>
        <v>0</v>
      </c>
      <c r="I243" s="19">
        <f t="shared" si="79"/>
        <v>0</v>
      </c>
      <c r="J243" s="19">
        <f t="shared" si="79"/>
        <v>0</v>
      </c>
      <c r="K243" s="19">
        <f t="shared" si="79"/>
        <v>0</v>
      </c>
      <c r="L243" s="19">
        <f t="shared" si="79"/>
        <v>0</v>
      </c>
      <c r="M243" s="19">
        <f t="shared" si="79"/>
        <v>0</v>
      </c>
      <c r="N243" s="19">
        <f t="shared" si="79"/>
        <v>0</v>
      </c>
      <c r="O243" s="19">
        <f t="shared" si="79"/>
        <v>0</v>
      </c>
      <c r="P243" s="19">
        <f t="shared" si="79"/>
        <v>0</v>
      </c>
      <c r="Q243" s="19">
        <f t="shared" si="79"/>
        <v>0</v>
      </c>
      <c r="R243" s="19">
        <f t="shared" si="79"/>
        <v>0</v>
      </c>
      <c r="S243" s="19">
        <f t="shared" si="79"/>
        <v>0</v>
      </c>
      <c r="V243" s="671">
        <f t="shared" si="41"/>
        <v>258650.46522234863</v>
      </c>
    </row>
    <row r="244" spans="1:22">
      <c r="A244" s="19" t="s">
        <v>994</v>
      </c>
      <c r="B244" s="19">
        <f t="shared" ref="B244:S244" si="80">B113+B243</f>
        <v>59995.893176470621</v>
      </c>
      <c r="C244" s="19">
        <f t="shared" si="80"/>
        <v>13201.007956989268</v>
      </c>
      <c r="D244" s="19">
        <f t="shared" si="80"/>
        <v>107504.75519999987</v>
      </c>
      <c r="E244" s="19">
        <f t="shared" si="80"/>
        <v>77948.808888888845</v>
      </c>
      <c r="F244" s="19">
        <f t="shared" si="80"/>
        <v>0</v>
      </c>
      <c r="G244" s="19">
        <f t="shared" si="80"/>
        <v>0</v>
      </c>
      <c r="H244" s="19">
        <f t="shared" si="80"/>
        <v>0</v>
      </c>
      <c r="I244" s="19">
        <f t="shared" si="80"/>
        <v>0</v>
      </c>
      <c r="J244" s="19">
        <f t="shared" si="80"/>
        <v>0</v>
      </c>
      <c r="K244" s="19">
        <f t="shared" si="80"/>
        <v>0</v>
      </c>
      <c r="L244" s="19">
        <f t="shared" si="80"/>
        <v>0</v>
      </c>
      <c r="M244" s="19">
        <f t="shared" si="80"/>
        <v>0</v>
      </c>
      <c r="N244" s="19">
        <f t="shared" si="80"/>
        <v>0</v>
      </c>
      <c r="O244" s="19">
        <f t="shared" si="80"/>
        <v>0</v>
      </c>
      <c r="P244" s="19">
        <f t="shared" si="80"/>
        <v>0</v>
      </c>
      <c r="Q244" s="19">
        <f t="shared" si="80"/>
        <v>0</v>
      </c>
      <c r="R244" s="19">
        <f t="shared" si="80"/>
        <v>0</v>
      </c>
      <c r="S244" s="19">
        <f t="shared" si="80"/>
        <v>0</v>
      </c>
      <c r="V244" s="671">
        <f t="shared" si="41"/>
        <v>258650.46522234863</v>
      </c>
    </row>
    <row r="245" spans="1:22">
      <c r="A245" s="19" t="s">
        <v>995</v>
      </c>
      <c r="B245" s="19">
        <f t="shared" ref="B245:S245" si="81">B114+B244</f>
        <v>59995.893176470621</v>
      </c>
      <c r="C245" s="19">
        <f t="shared" si="81"/>
        <v>13201.007956989268</v>
      </c>
      <c r="D245" s="19">
        <f t="shared" si="81"/>
        <v>107504.75519999987</v>
      </c>
      <c r="E245" s="19">
        <f t="shared" si="81"/>
        <v>77948.808888888845</v>
      </c>
      <c r="F245" s="19">
        <f t="shared" si="81"/>
        <v>0</v>
      </c>
      <c r="G245" s="19">
        <f t="shared" si="81"/>
        <v>0</v>
      </c>
      <c r="H245" s="19">
        <f t="shared" si="81"/>
        <v>0</v>
      </c>
      <c r="I245" s="19">
        <f t="shared" si="81"/>
        <v>0</v>
      </c>
      <c r="J245" s="19">
        <f t="shared" si="81"/>
        <v>0</v>
      </c>
      <c r="K245" s="19">
        <f t="shared" si="81"/>
        <v>0</v>
      </c>
      <c r="L245" s="19">
        <f t="shared" si="81"/>
        <v>0</v>
      </c>
      <c r="M245" s="19">
        <f t="shared" si="81"/>
        <v>0</v>
      </c>
      <c r="N245" s="19">
        <f t="shared" si="81"/>
        <v>0</v>
      </c>
      <c r="O245" s="19">
        <f t="shared" si="81"/>
        <v>0</v>
      </c>
      <c r="P245" s="19">
        <f t="shared" si="81"/>
        <v>0</v>
      </c>
      <c r="Q245" s="19">
        <f t="shared" si="81"/>
        <v>0</v>
      </c>
      <c r="R245" s="19">
        <f t="shared" si="81"/>
        <v>0</v>
      </c>
      <c r="S245" s="19">
        <f t="shared" si="81"/>
        <v>0</v>
      </c>
      <c r="V245" s="671">
        <f t="shared" si="41"/>
        <v>258650.46522234863</v>
      </c>
    </row>
    <row r="246" spans="1:22">
      <c r="A246" s="19" t="s">
        <v>996</v>
      </c>
      <c r="B246" s="19">
        <f t="shared" ref="B246:S246" si="82">B115+B245</f>
        <v>59995.893176470621</v>
      </c>
      <c r="C246" s="19">
        <f t="shared" si="82"/>
        <v>13201.007956989268</v>
      </c>
      <c r="D246" s="19">
        <f t="shared" si="82"/>
        <v>107504.75519999987</v>
      </c>
      <c r="E246" s="19">
        <f t="shared" si="82"/>
        <v>77948.808888888845</v>
      </c>
      <c r="F246" s="19">
        <f t="shared" si="82"/>
        <v>0</v>
      </c>
      <c r="G246" s="19">
        <f t="shared" si="82"/>
        <v>0</v>
      </c>
      <c r="H246" s="19">
        <f t="shared" si="82"/>
        <v>0</v>
      </c>
      <c r="I246" s="19">
        <f t="shared" si="82"/>
        <v>0</v>
      </c>
      <c r="J246" s="19">
        <f t="shared" si="82"/>
        <v>0</v>
      </c>
      <c r="K246" s="19">
        <f t="shared" si="82"/>
        <v>0</v>
      </c>
      <c r="L246" s="19">
        <f t="shared" si="82"/>
        <v>0</v>
      </c>
      <c r="M246" s="19">
        <f t="shared" si="82"/>
        <v>0</v>
      </c>
      <c r="N246" s="19">
        <f t="shared" si="82"/>
        <v>0</v>
      </c>
      <c r="O246" s="19">
        <f t="shared" si="82"/>
        <v>0</v>
      </c>
      <c r="P246" s="19">
        <f t="shared" si="82"/>
        <v>0</v>
      </c>
      <c r="Q246" s="19">
        <f t="shared" si="82"/>
        <v>0</v>
      </c>
      <c r="R246" s="19">
        <f t="shared" si="82"/>
        <v>0</v>
      </c>
      <c r="S246" s="19">
        <f t="shared" si="82"/>
        <v>0</v>
      </c>
      <c r="V246" s="671">
        <f t="shared" si="41"/>
        <v>258650.46522234863</v>
      </c>
    </row>
    <row r="247" spans="1:22">
      <c r="A247" s="19" t="s">
        <v>997</v>
      </c>
      <c r="B247" s="19">
        <f t="shared" ref="B247:S247" si="83">B116+B246</f>
        <v>59995.893176470621</v>
      </c>
      <c r="C247" s="19">
        <f t="shared" si="83"/>
        <v>13201.007956989268</v>
      </c>
      <c r="D247" s="19">
        <f t="shared" si="83"/>
        <v>107504.75519999987</v>
      </c>
      <c r="E247" s="19">
        <f t="shared" si="83"/>
        <v>77948.808888888845</v>
      </c>
      <c r="F247" s="19">
        <f t="shared" si="83"/>
        <v>0</v>
      </c>
      <c r="G247" s="19">
        <f t="shared" si="83"/>
        <v>0</v>
      </c>
      <c r="H247" s="19">
        <f t="shared" si="83"/>
        <v>0</v>
      </c>
      <c r="I247" s="19">
        <f t="shared" si="83"/>
        <v>0</v>
      </c>
      <c r="J247" s="19">
        <f t="shared" si="83"/>
        <v>0</v>
      </c>
      <c r="K247" s="19">
        <f t="shared" si="83"/>
        <v>0</v>
      </c>
      <c r="L247" s="19">
        <f t="shared" si="83"/>
        <v>0</v>
      </c>
      <c r="M247" s="19">
        <f t="shared" si="83"/>
        <v>0</v>
      </c>
      <c r="N247" s="19">
        <f t="shared" si="83"/>
        <v>0</v>
      </c>
      <c r="O247" s="19">
        <f t="shared" si="83"/>
        <v>0</v>
      </c>
      <c r="P247" s="19">
        <f t="shared" si="83"/>
        <v>0</v>
      </c>
      <c r="Q247" s="19">
        <f t="shared" si="83"/>
        <v>0</v>
      </c>
      <c r="R247" s="19">
        <f t="shared" si="83"/>
        <v>0</v>
      </c>
      <c r="S247" s="19">
        <f t="shared" si="83"/>
        <v>0</v>
      </c>
      <c r="V247" s="671">
        <f t="shared" si="41"/>
        <v>258650.46522234863</v>
      </c>
    </row>
    <row r="248" spans="1:22">
      <c r="A248" s="19" t="s">
        <v>998</v>
      </c>
      <c r="B248" s="19">
        <f t="shared" ref="B248:S248" si="84">B117+B247</f>
        <v>59995.893176470621</v>
      </c>
      <c r="C248" s="19">
        <f t="shared" si="84"/>
        <v>13201.007956989268</v>
      </c>
      <c r="D248" s="19">
        <f t="shared" si="84"/>
        <v>107504.75519999987</v>
      </c>
      <c r="E248" s="19">
        <f t="shared" si="84"/>
        <v>77948.808888888845</v>
      </c>
      <c r="F248" s="19">
        <f t="shared" si="84"/>
        <v>0</v>
      </c>
      <c r="G248" s="19">
        <f t="shared" si="84"/>
        <v>0</v>
      </c>
      <c r="H248" s="19">
        <f t="shared" si="84"/>
        <v>0</v>
      </c>
      <c r="I248" s="19">
        <f t="shared" si="84"/>
        <v>0</v>
      </c>
      <c r="J248" s="19">
        <f t="shared" si="84"/>
        <v>0</v>
      </c>
      <c r="K248" s="19">
        <f t="shared" si="84"/>
        <v>0</v>
      </c>
      <c r="L248" s="19">
        <f t="shared" si="84"/>
        <v>0</v>
      </c>
      <c r="M248" s="19">
        <f t="shared" si="84"/>
        <v>0</v>
      </c>
      <c r="N248" s="19">
        <f t="shared" si="84"/>
        <v>0</v>
      </c>
      <c r="O248" s="19">
        <f t="shared" si="84"/>
        <v>0</v>
      </c>
      <c r="P248" s="19">
        <f t="shared" si="84"/>
        <v>0</v>
      </c>
      <c r="Q248" s="19">
        <f t="shared" si="84"/>
        <v>0</v>
      </c>
      <c r="R248" s="19">
        <f t="shared" si="84"/>
        <v>0</v>
      </c>
      <c r="S248" s="19">
        <f t="shared" si="84"/>
        <v>0</v>
      </c>
      <c r="V248" s="671">
        <f t="shared" si="41"/>
        <v>258650.46522234863</v>
      </c>
    </row>
    <row r="249" spans="1:22">
      <c r="A249" s="19" t="s">
        <v>999</v>
      </c>
      <c r="B249" s="19">
        <f t="shared" ref="B249:S249" si="85">B118+B248</f>
        <v>59995.893176470621</v>
      </c>
      <c r="C249" s="19">
        <f t="shared" si="85"/>
        <v>13201.007956989268</v>
      </c>
      <c r="D249" s="19">
        <f t="shared" si="85"/>
        <v>107504.75519999987</v>
      </c>
      <c r="E249" s="19">
        <f t="shared" si="85"/>
        <v>77948.808888888845</v>
      </c>
      <c r="F249" s="19">
        <f t="shared" si="85"/>
        <v>0</v>
      </c>
      <c r="G249" s="19">
        <f t="shared" si="85"/>
        <v>0</v>
      </c>
      <c r="H249" s="19">
        <f t="shared" si="85"/>
        <v>0</v>
      </c>
      <c r="I249" s="19">
        <f t="shared" si="85"/>
        <v>0</v>
      </c>
      <c r="J249" s="19">
        <f t="shared" si="85"/>
        <v>0</v>
      </c>
      <c r="K249" s="19">
        <f t="shared" si="85"/>
        <v>0</v>
      </c>
      <c r="L249" s="19">
        <f t="shared" si="85"/>
        <v>0</v>
      </c>
      <c r="M249" s="19">
        <f t="shared" si="85"/>
        <v>0</v>
      </c>
      <c r="N249" s="19">
        <f t="shared" si="85"/>
        <v>0</v>
      </c>
      <c r="O249" s="19">
        <f t="shared" si="85"/>
        <v>0</v>
      </c>
      <c r="P249" s="19">
        <f t="shared" si="85"/>
        <v>0</v>
      </c>
      <c r="Q249" s="19">
        <f t="shared" si="85"/>
        <v>0</v>
      </c>
      <c r="R249" s="19">
        <f t="shared" si="85"/>
        <v>0</v>
      </c>
      <c r="S249" s="19">
        <f t="shared" si="85"/>
        <v>0</v>
      </c>
      <c r="V249" s="671">
        <f t="shared" si="41"/>
        <v>258650.46522234863</v>
      </c>
    </row>
  </sheetData>
  <pageMargins left="0.7" right="0.7" top="0.75" bottom="0.75" header="0.3" footer="0.3"/>
  <pageSetup paperSize="8" scale="67" orientation="portrait" verticalDpi="4"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90"/>
  <sheetViews>
    <sheetView topLeftCell="A34" zoomScale="70" zoomScaleNormal="70" workbookViewId="0">
      <selection activeCell="C5" sqref="C5"/>
    </sheetView>
  </sheetViews>
  <sheetFormatPr defaultRowHeight="15"/>
  <cols>
    <col min="1" max="1" width="51.28515625" customWidth="1"/>
    <col min="2" max="19" width="20.7109375" customWidth="1"/>
  </cols>
  <sheetData>
    <row r="1" spans="1:26">
      <c r="A1" s="72"/>
      <c r="B1" s="72"/>
      <c r="C1" s="72"/>
      <c r="D1" s="72"/>
      <c r="E1" s="72"/>
      <c r="F1" s="72"/>
      <c r="G1" s="72"/>
      <c r="H1" s="72"/>
      <c r="I1" s="72"/>
      <c r="J1" s="72"/>
      <c r="K1" s="72"/>
      <c r="L1" s="72"/>
      <c r="M1" s="72"/>
      <c r="N1" s="72"/>
      <c r="O1" s="72"/>
      <c r="P1" s="72"/>
      <c r="Q1" s="72"/>
      <c r="R1" s="72"/>
      <c r="S1" s="72"/>
      <c r="T1" s="72"/>
      <c r="U1" s="72"/>
      <c r="V1" s="72"/>
      <c r="W1" s="72"/>
      <c r="X1" s="72"/>
      <c r="Y1" s="72"/>
      <c r="Z1" s="72"/>
    </row>
    <row r="2" spans="1:26" ht="15.75" customHeight="1">
      <c r="A2" s="72"/>
      <c r="B2" s="85" t="str">
        <f>Report!B3</f>
        <v>2015/16-Q1</v>
      </c>
      <c r="C2" s="72"/>
      <c r="D2" s="931" t="s">
        <v>966</v>
      </c>
      <c r="E2" s="931"/>
      <c r="F2" s="931"/>
      <c r="G2" s="931"/>
      <c r="H2" s="72"/>
      <c r="I2" s="72"/>
      <c r="J2" s="72"/>
      <c r="K2" s="72"/>
      <c r="L2" s="72"/>
      <c r="M2" s="72"/>
      <c r="N2" s="72"/>
      <c r="O2" s="72"/>
      <c r="P2" s="72"/>
      <c r="Q2" s="72"/>
      <c r="R2" s="72"/>
      <c r="S2" s="72"/>
      <c r="T2" s="72"/>
      <c r="U2" s="72"/>
      <c r="V2" s="72"/>
      <c r="W2" s="72"/>
      <c r="X2" s="72"/>
      <c r="Y2" s="72"/>
      <c r="Z2" s="72"/>
    </row>
    <row r="3" spans="1:26" ht="15.75" customHeight="1">
      <c r="A3" s="92" t="s">
        <v>967</v>
      </c>
      <c r="B3" s="101" t="s">
        <v>1122</v>
      </c>
      <c r="C3" s="95"/>
      <c r="D3" s="931"/>
      <c r="E3" s="931"/>
      <c r="F3" s="931"/>
      <c r="G3" s="931"/>
      <c r="H3" s="72"/>
      <c r="I3" s="72"/>
      <c r="J3" s="72"/>
      <c r="K3" s="72"/>
      <c r="L3" s="72"/>
      <c r="M3" s="72"/>
      <c r="N3" s="72"/>
      <c r="O3" s="72"/>
      <c r="P3" s="72"/>
      <c r="Q3" s="72"/>
      <c r="R3" s="72"/>
      <c r="S3" s="72"/>
      <c r="T3" s="72"/>
      <c r="U3" s="72"/>
      <c r="V3" s="72"/>
      <c r="W3" s="72"/>
      <c r="X3" s="72"/>
      <c r="Y3" s="72"/>
      <c r="Z3" s="72"/>
    </row>
    <row r="4" spans="1:26" ht="15.75">
      <c r="A4" s="92" t="s">
        <v>968</v>
      </c>
      <c r="B4" s="615" t="s">
        <v>1123</v>
      </c>
      <c r="C4" s="95"/>
      <c r="D4" s="931"/>
      <c r="E4" s="931"/>
      <c r="F4" s="931"/>
      <c r="G4" s="931"/>
      <c r="H4" s="72"/>
      <c r="I4" s="72"/>
      <c r="J4" s="72"/>
      <c r="K4" s="72"/>
      <c r="L4" s="72"/>
      <c r="M4" s="72"/>
      <c r="N4" s="72"/>
      <c r="O4" s="72"/>
      <c r="P4" s="72"/>
      <c r="Q4" s="72"/>
      <c r="R4" s="72"/>
      <c r="S4" s="72"/>
      <c r="T4" s="72"/>
      <c r="U4" s="72"/>
      <c r="V4" s="72"/>
      <c r="W4" s="72"/>
      <c r="X4" s="72"/>
      <c r="Y4" s="72"/>
      <c r="Z4" s="72"/>
    </row>
    <row r="5" spans="1:26" ht="15.75" customHeight="1">
      <c r="A5" s="92" t="s">
        <v>208</v>
      </c>
      <c r="B5" s="101"/>
      <c r="C5" s="95"/>
      <c r="D5" s="931"/>
      <c r="E5" s="931"/>
      <c r="F5" s="931"/>
      <c r="G5" s="931"/>
      <c r="H5" s="72"/>
      <c r="I5" s="72"/>
      <c r="J5" s="72"/>
      <c r="K5" s="72"/>
      <c r="L5" s="72"/>
      <c r="M5" s="72"/>
      <c r="N5" s="72"/>
      <c r="O5" s="72"/>
      <c r="P5" s="72"/>
      <c r="Q5" s="72"/>
      <c r="R5" s="72"/>
      <c r="S5" s="72"/>
      <c r="T5" s="72"/>
      <c r="U5" s="72"/>
      <c r="V5" s="72"/>
      <c r="W5" s="72"/>
      <c r="X5" s="72"/>
      <c r="Y5" s="72"/>
      <c r="Z5" s="72"/>
    </row>
    <row r="6" spans="1:26" ht="15.75" customHeight="1">
      <c r="A6" s="86"/>
      <c r="B6" s="72"/>
      <c r="C6" s="72"/>
      <c r="D6" s="931"/>
      <c r="E6" s="931"/>
      <c r="F6" s="931"/>
      <c r="G6" s="931"/>
      <c r="H6" s="72"/>
      <c r="I6" s="72"/>
      <c r="J6" s="72"/>
      <c r="K6" s="72"/>
      <c r="L6" s="72"/>
      <c r="M6" s="72"/>
      <c r="N6" s="72"/>
      <c r="O6" s="72"/>
      <c r="P6" s="72"/>
      <c r="Q6" s="72"/>
      <c r="R6" s="72"/>
      <c r="S6" s="72"/>
      <c r="T6" s="72"/>
      <c r="U6" s="72"/>
      <c r="V6" s="72"/>
      <c r="W6" s="72"/>
      <c r="X6" s="72"/>
      <c r="Y6" s="72"/>
      <c r="Z6" s="72"/>
    </row>
    <row r="7" spans="1:26" ht="15.75" customHeight="1">
      <c r="A7" s="92" t="s">
        <v>862</v>
      </c>
      <c r="B7" s="520">
        <v>42200</v>
      </c>
      <c r="C7" s="72"/>
      <c r="D7" s="931"/>
      <c r="E7" s="931"/>
      <c r="F7" s="931"/>
      <c r="G7" s="931"/>
      <c r="H7" s="72"/>
      <c r="I7" s="72"/>
      <c r="J7" s="72"/>
      <c r="K7" s="72"/>
      <c r="L7" s="72"/>
      <c r="M7" s="72"/>
      <c r="N7" s="72"/>
      <c r="O7" s="72"/>
      <c r="P7" s="72"/>
      <c r="Q7" s="72"/>
      <c r="R7" s="72"/>
      <c r="S7" s="72"/>
      <c r="T7" s="72"/>
      <c r="U7" s="72"/>
      <c r="V7" s="72"/>
      <c r="W7" s="72"/>
      <c r="X7" s="72"/>
      <c r="Y7" s="72"/>
      <c r="Z7" s="72"/>
    </row>
    <row r="8" spans="1:26" ht="15.75" customHeight="1">
      <c r="A8" s="86"/>
      <c r="B8" s="73"/>
      <c r="C8" s="72"/>
      <c r="D8" s="931"/>
      <c r="E8" s="931"/>
      <c r="F8" s="931"/>
      <c r="G8" s="931"/>
      <c r="H8" s="72"/>
      <c r="I8" s="72"/>
      <c r="J8" s="72"/>
      <c r="K8" s="72"/>
      <c r="L8" s="72"/>
      <c r="M8" s="72"/>
      <c r="N8" s="72"/>
      <c r="O8" s="72"/>
      <c r="P8" s="72"/>
      <c r="Q8" s="72"/>
      <c r="R8" s="72"/>
      <c r="S8" s="72"/>
      <c r="T8" s="72"/>
      <c r="U8" s="72"/>
      <c r="V8" s="72"/>
      <c r="W8" s="72"/>
      <c r="X8" s="72"/>
      <c r="Y8" s="72"/>
      <c r="Z8" s="72"/>
    </row>
    <row r="9" spans="1:26" s="72" customFormat="1" ht="15.75">
      <c r="A9" s="172" t="s">
        <v>883</v>
      </c>
      <c r="B9" s="101" t="s">
        <v>231</v>
      </c>
      <c r="D9" s="931"/>
      <c r="E9" s="931"/>
      <c r="F9" s="931"/>
      <c r="G9" s="931"/>
    </row>
    <row r="10" spans="1:26" ht="30" customHeight="1">
      <c r="A10" s="160" t="s">
        <v>884</v>
      </c>
      <c r="B10" s="101">
        <v>5000</v>
      </c>
      <c r="C10" s="74"/>
      <c r="D10" s="931"/>
      <c r="E10" s="931"/>
      <c r="F10" s="931"/>
      <c r="G10" s="931"/>
      <c r="H10" s="72"/>
      <c r="I10" s="72"/>
      <c r="J10" s="72"/>
      <c r="K10" s="72"/>
      <c r="L10" s="72"/>
      <c r="M10" s="72"/>
      <c r="N10" s="72"/>
      <c r="O10" s="72"/>
      <c r="P10" s="72"/>
      <c r="Q10" s="72"/>
      <c r="R10" s="72"/>
      <c r="S10" s="72"/>
      <c r="T10" s="72"/>
      <c r="U10" s="72"/>
      <c r="V10" s="72"/>
      <c r="W10" s="72"/>
      <c r="X10" s="72"/>
      <c r="Y10" s="72"/>
      <c r="Z10" s="72"/>
    </row>
    <row r="11" spans="1:26">
      <c r="A11" s="72"/>
      <c r="B11" s="73"/>
      <c r="C11" s="478"/>
      <c r="D11" s="72"/>
      <c r="E11" s="479"/>
      <c r="F11" s="72"/>
      <c r="G11" s="72"/>
      <c r="H11" s="72"/>
      <c r="I11" s="72"/>
      <c r="J11" s="72"/>
      <c r="K11" s="72"/>
      <c r="L11" s="72"/>
      <c r="M11" s="72"/>
      <c r="N11" s="72"/>
      <c r="O11" s="72"/>
      <c r="P11" s="72"/>
      <c r="Q11" s="72"/>
      <c r="R11" s="72"/>
      <c r="S11" s="72"/>
      <c r="T11" s="72"/>
      <c r="U11" s="72"/>
      <c r="V11" s="72"/>
      <c r="W11" s="72"/>
      <c r="X11" s="72"/>
      <c r="Y11" s="72"/>
      <c r="Z11" s="72"/>
    </row>
    <row r="12" spans="1:26">
      <c r="A12" s="72"/>
      <c r="B12" s="73"/>
      <c r="C12" s="74"/>
      <c r="D12" s="72"/>
      <c r="E12" s="72"/>
      <c r="F12" s="72"/>
      <c r="G12" s="72"/>
      <c r="H12" s="72"/>
      <c r="I12" s="72"/>
      <c r="J12" s="72"/>
      <c r="K12" s="72"/>
      <c r="L12" s="72"/>
      <c r="M12" s="72"/>
      <c r="N12" s="72"/>
      <c r="O12" s="72"/>
      <c r="P12" s="72"/>
      <c r="Q12" s="72"/>
      <c r="R12" s="72"/>
      <c r="S12" s="72"/>
      <c r="T12" s="72"/>
      <c r="U12" s="72"/>
      <c r="V12" s="72"/>
      <c r="W12" s="72"/>
      <c r="X12" s="72"/>
      <c r="Y12" s="72"/>
      <c r="Z12" s="72"/>
    </row>
    <row r="13" spans="1:26" ht="27" thickBot="1">
      <c r="A13" s="930" t="s">
        <v>212</v>
      </c>
      <c r="B13" s="930"/>
      <c r="C13" s="930"/>
      <c r="D13" s="930"/>
      <c r="E13" s="78"/>
      <c r="F13" s="78"/>
      <c r="G13" s="78"/>
      <c r="H13" s="78"/>
      <c r="I13" s="78"/>
      <c r="J13" s="78"/>
      <c r="K13" s="78"/>
      <c r="L13" s="78"/>
      <c r="M13" s="78"/>
      <c r="N13" s="78"/>
      <c r="O13" s="78"/>
      <c r="P13" s="78"/>
      <c r="Q13" s="78"/>
      <c r="R13" s="78"/>
      <c r="S13" s="78"/>
      <c r="T13" s="72"/>
      <c r="U13" s="72"/>
      <c r="V13" s="72"/>
      <c r="W13" s="72"/>
      <c r="X13" s="72"/>
      <c r="Y13" s="72"/>
      <c r="Z13" s="72"/>
    </row>
    <row r="14" spans="1:26">
      <c r="A14" s="83" t="s">
        <v>880</v>
      </c>
      <c r="B14" s="511" t="s">
        <v>730</v>
      </c>
      <c r="C14" s="511" t="s">
        <v>730</v>
      </c>
      <c r="D14" s="511" t="s">
        <v>731</v>
      </c>
      <c r="E14" s="511" t="s">
        <v>729</v>
      </c>
      <c r="F14" s="511"/>
      <c r="G14" s="511"/>
      <c r="H14" s="511"/>
      <c r="I14" s="511"/>
      <c r="J14" s="511"/>
      <c r="K14" s="511"/>
      <c r="L14" s="511"/>
      <c r="M14" s="511"/>
      <c r="N14" s="511"/>
      <c r="O14" s="511"/>
      <c r="P14" s="511"/>
      <c r="Q14" s="511"/>
      <c r="R14" s="511"/>
      <c r="S14" s="511"/>
      <c r="T14" s="72"/>
      <c r="U14" s="72"/>
      <c r="V14" s="72"/>
      <c r="W14" s="72"/>
      <c r="X14" s="72"/>
      <c r="Y14" s="72"/>
      <c r="Z14" s="72"/>
    </row>
    <row r="15" spans="1:26" ht="45">
      <c r="A15" s="80" t="s">
        <v>210</v>
      </c>
      <c r="B15" s="132" t="s">
        <v>1105</v>
      </c>
      <c r="C15" s="132" t="s">
        <v>1105</v>
      </c>
      <c r="D15" s="132" t="s">
        <v>1106</v>
      </c>
      <c r="E15" s="132" t="s">
        <v>1108</v>
      </c>
      <c r="F15" s="132"/>
      <c r="G15" s="132"/>
      <c r="H15" s="132"/>
      <c r="I15" s="132"/>
      <c r="J15" s="132"/>
      <c r="K15" s="132"/>
      <c r="L15" s="132"/>
      <c r="M15" s="132"/>
      <c r="N15" s="132"/>
      <c r="O15" s="132"/>
      <c r="P15" s="132"/>
      <c r="Q15" s="132"/>
      <c r="R15" s="132"/>
      <c r="S15" s="132"/>
      <c r="T15" s="72"/>
      <c r="U15" s="72"/>
      <c r="V15" s="72"/>
      <c r="W15" s="72"/>
      <c r="X15" s="72"/>
      <c r="Y15" s="72"/>
      <c r="Z15" s="72"/>
    </row>
    <row r="16" spans="1:26">
      <c r="A16" s="80" t="s">
        <v>879</v>
      </c>
      <c r="B16" s="132" t="s">
        <v>480</v>
      </c>
      <c r="C16" s="132" t="s">
        <v>480</v>
      </c>
      <c r="D16" s="132" t="s">
        <v>584</v>
      </c>
      <c r="E16" s="132" t="s">
        <v>1107</v>
      </c>
      <c r="F16" s="132"/>
      <c r="G16" s="132"/>
      <c r="H16" s="132"/>
      <c r="I16" s="132"/>
      <c r="J16" s="132"/>
      <c r="K16" s="132"/>
      <c r="L16" s="132"/>
      <c r="M16" s="132"/>
      <c r="N16" s="132"/>
      <c r="O16" s="132"/>
      <c r="P16" s="132"/>
      <c r="Q16" s="132"/>
      <c r="R16" s="132"/>
      <c r="S16" s="132"/>
      <c r="T16" s="72"/>
      <c r="U16" s="72"/>
      <c r="V16" s="72"/>
      <c r="W16" s="72"/>
      <c r="X16" s="72"/>
      <c r="Y16" s="72"/>
      <c r="Z16" s="72"/>
    </row>
    <row r="17" spans="1:26" ht="15.75">
      <c r="A17" s="80" t="s">
        <v>119</v>
      </c>
      <c r="B17" s="141" t="s">
        <v>67</v>
      </c>
      <c r="C17" s="141" t="s">
        <v>67</v>
      </c>
      <c r="D17" s="141" t="s">
        <v>73</v>
      </c>
      <c r="E17" s="141" t="s">
        <v>67</v>
      </c>
      <c r="F17" s="141" t="s">
        <v>31</v>
      </c>
      <c r="G17" s="141" t="s">
        <v>31</v>
      </c>
      <c r="H17" s="141" t="s">
        <v>31</v>
      </c>
      <c r="I17" s="141" t="s">
        <v>31</v>
      </c>
      <c r="J17" s="141" t="s">
        <v>31</v>
      </c>
      <c r="K17" s="141" t="s">
        <v>31</v>
      </c>
      <c r="L17" s="141" t="s">
        <v>31</v>
      </c>
      <c r="M17" s="141" t="s">
        <v>31</v>
      </c>
      <c r="N17" s="141" t="s">
        <v>31</v>
      </c>
      <c r="O17" s="141" t="s">
        <v>31</v>
      </c>
      <c r="P17" s="141" t="s">
        <v>31</v>
      </c>
      <c r="Q17" s="141" t="s">
        <v>31</v>
      </c>
      <c r="R17" s="141" t="s">
        <v>31</v>
      </c>
      <c r="S17" s="141" t="s">
        <v>31</v>
      </c>
      <c r="T17" s="72"/>
      <c r="U17" s="72"/>
      <c r="V17" s="72"/>
      <c r="W17" s="72"/>
      <c r="X17" s="72"/>
      <c r="Y17" s="72"/>
      <c r="Z17" s="72"/>
    </row>
    <row r="18" spans="1:26" ht="15.75">
      <c r="A18" s="80" t="s">
        <v>120</v>
      </c>
      <c r="B18" s="141" t="s">
        <v>19</v>
      </c>
      <c r="C18" s="141" t="s">
        <v>19</v>
      </c>
      <c r="D18" s="141" t="s">
        <v>19</v>
      </c>
      <c r="E18" s="141" t="s">
        <v>19</v>
      </c>
      <c r="F18" s="141" t="s">
        <v>31</v>
      </c>
      <c r="G18" s="141" t="s">
        <v>31</v>
      </c>
      <c r="H18" s="141" t="s">
        <v>31</v>
      </c>
      <c r="I18" s="141" t="s">
        <v>31</v>
      </c>
      <c r="J18" s="141" t="s">
        <v>31</v>
      </c>
      <c r="K18" s="141" t="s">
        <v>31</v>
      </c>
      <c r="L18" s="141" t="s">
        <v>31</v>
      </c>
      <c r="M18" s="141" t="s">
        <v>31</v>
      </c>
      <c r="N18" s="141" t="s">
        <v>31</v>
      </c>
      <c r="O18" s="141" t="s">
        <v>31</v>
      </c>
      <c r="P18" s="141" t="s">
        <v>31</v>
      </c>
      <c r="Q18" s="141" t="s">
        <v>31</v>
      </c>
      <c r="R18" s="141" t="s">
        <v>31</v>
      </c>
      <c r="S18" s="141" t="s">
        <v>31</v>
      </c>
      <c r="T18" s="72"/>
      <c r="U18" s="72"/>
      <c r="V18" s="72"/>
      <c r="W18" s="72"/>
      <c r="X18" s="72"/>
      <c r="Y18" s="72"/>
      <c r="Z18" s="72"/>
    </row>
    <row r="19" spans="1:26">
      <c r="A19" s="80" t="s">
        <v>121</v>
      </c>
      <c r="B19" s="130">
        <v>2</v>
      </c>
      <c r="C19" s="130">
        <v>1</v>
      </c>
      <c r="D19" s="130">
        <v>2</v>
      </c>
      <c r="E19" s="130">
        <v>4</v>
      </c>
      <c r="F19" s="130"/>
      <c r="G19" s="130"/>
      <c r="H19" s="130"/>
      <c r="I19" s="130"/>
      <c r="J19" s="130"/>
      <c r="K19" s="130"/>
      <c r="L19" s="130"/>
      <c r="M19" s="130"/>
      <c r="N19" s="130"/>
      <c r="O19" s="130"/>
      <c r="P19" s="130"/>
      <c r="Q19" s="130"/>
      <c r="R19" s="130"/>
      <c r="S19" s="130"/>
      <c r="T19" s="72"/>
      <c r="U19" s="72"/>
      <c r="V19" s="72"/>
      <c r="W19" s="72"/>
      <c r="X19" s="72"/>
      <c r="Y19" s="72"/>
      <c r="Z19" s="72"/>
    </row>
    <row r="20" spans="1:26">
      <c r="A20" s="81" t="s">
        <v>845</v>
      </c>
      <c r="B20" s="131">
        <v>10</v>
      </c>
      <c r="C20" s="131">
        <v>10</v>
      </c>
      <c r="D20" s="131">
        <v>12</v>
      </c>
      <c r="E20" s="131">
        <v>10</v>
      </c>
      <c r="F20" s="131"/>
      <c r="G20" s="131"/>
      <c r="H20" s="131"/>
      <c r="I20" s="131"/>
      <c r="J20" s="131"/>
      <c r="K20" s="131"/>
      <c r="L20" s="131"/>
      <c r="M20" s="131"/>
      <c r="N20" s="131"/>
      <c r="O20" s="131"/>
      <c r="P20" s="131"/>
      <c r="Q20" s="131"/>
      <c r="R20" s="131"/>
      <c r="S20" s="131"/>
      <c r="T20" s="72"/>
      <c r="U20" s="72"/>
      <c r="V20" s="72"/>
      <c r="W20" s="72"/>
      <c r="X20" s="72"/>
      <c r="Y20" s="72"/>
      <c r="Z20" s="72"/>
    </row>
    <row r="21" spans="1:26" ht="45" customHeight="1">
      <c r="A21" s="81" t="s">
        <v>846</v>
      </c>
      <c r="B21" s="133">
        <v>20</v>
      </c>
      <c r="C21" s="133">
        <v>20</v>
      </c>
      <c r="D21" s="133">
        <v>24</v>
      </c>
      <c r="E21" s="133">
        <v>20</v>
      </c>
      <c r="F21" s="133"/>
      <c r="G21" s="133"/>
      <c r="H21" s="133"/>
      <c r="I21" s="133"/>
      <c r="J21" s="133"/>
      <c r="K21" s="133"/>
      <c r="L21" s="133"/>
      <c r="M21" s="133"/>
      <c r="N21" s="133"/>
      <c r="O21" s="133"/>
      <c r="P21" s="133"/>
      <c r="Q21" s="133"/>
      <c r="R21" s="133"/>
      <c r="S21" s="133"/>
      <c r="T21" s="72"/>
      <c r="U21" s="72"/>
      <c r="V21" s="72"/>
      <c r="W21" s="72"/>
      <c r="X21" s="72"/>
      <c r="Y21" s="72"/>
      <c r="Z21" s="72"/>
    </row>
    <row r="22" spans="1:26" ht="30">
      <c r="A22" s="82" t="s">
        <v>131</v>
      </c>
      <c r="B22" s="129" t="s">
        <v>96</v>
      </c>
      <c r="C22" s="129" t="s">
        <v>96</v>
      </c>
      <c r="D22" s="129" t="s">
        <v>96</v>
      </c>
      <c r="E22" s="129" t="s">
        <v>96</v>
      </c>
      <c r="F22" s="129" t="s">
        <v>96</v>
      </c>
      <c r="G22" s="129" t="s">
        <v>96</v>
      </c>
      <c r="H22" s="129" t="s">
        <v>96</v>
      </c>
      <c r="I22" s="129" t="s">
        <v>96</v>
      </c>
      <c r="J22" s="129" t="s">
        <v>96</v>
      </c>
      <c r="K22" s="129" t="s">
        <v>96</v>
      </c>
      <c r="L22" s="129" t="s">
        <v>96</v>
      </c>
      <c r="M22" s="129" t="s">
        <v>96</v>
      </c>
      <c r="N22" s="129" t="s">
        <v>96</v>
      </c>
      <c r="O22" s="129" t="s">
        <v>96</v>
      </c>
      <c r="P22" s="129" t="s">
        <v>96</v>
      </c>
      <c r="Q22" s="129" t="s">
        <v>96</v>
      </c>
      <c r="R22" s="129" t="s">
        <v>96</v>
      </c>
      <c r="S22" s="129" t="s">
        <v>96</v>
      </c>
      <c r="T22" s="72"/>
      <c r="U22" s="72"/>
      <c r="V22" s="72"/>
      <c r="W22" s="72"/>
      <c r="X22" s="72"/>
      <c r="Y22" s="72"/>
      <c r="Z22" s="72"/>
    </row>
    <row r="23" spans="1:26" s="72" customFormat="1" ht="15.75">
      <c r="A23" s="121" t="s">
        <v>259</v>
      </c>
      <c r="B23" s="142"/>
      <c r="C23" s="142"/>
      <c r="D23" s="142"/>
      <c r="E23" s="142"/>
      <c r="F23" s="142"/>
      <c r="G23" s="142"/>
      <c r="H23" s="142"/>
      <c r="I23" s="142"/>
      <c r="J23" s="142"/>
      <c r="K23" s="142"/>
      <c r="L23" s="142"/>
      <c r="M23" s="142"/>
      <c r="N23" s="142"/>
      <c r="O23" s="142"/>
      <c r="P23" s="142"/>
      <c r="Q23" s="142"/>
      <c r="R23" s="142"/>
      <c r="S23" s="142"/>
    </row>
    <row r="24" spans="1:26" s="179" customFormat="1" ht="15.75">
      <c r="A24" s="84" t="s">
        <v>215</v>
      </c>
      <c r="B24" s="142"/>
      <c r="C24" s="142"/>
      <c r="D24" s="142"/>
      <c r="E24" s="142"/>
      <c r="F24" s="142"/>
      <c r="G24" s="142"/>
      <c r="H24" s="142"/>
      <c r="I24" s="142"/>
      <c r="J24" s="142"/>
      <c r="K24" s="142"/>
      <c r="L24" s="142"/>
      <c r="M24" s="142"/>
      <c r="N24" s="142"/>
      <c r="O24" s="142"/>
      <c r="P24" s="142"/>
      <c r="Q24" s="142"/>
      <c r="R24" s="142"/>
      <c r="S24" s="142"/>
    </row>
    <row r="25" spans="1:26" s="179" customFormat="1" ht="32.25" customHeight="1">
      <c r="A25" s="443" t="s">
        <v>885</v>
      </c>
      <c r="B25" s="509"/>
      <c r="C25" s="509"/>
      <c r="D25" s="509" t="s">
        <v>529</v>
      </c>
      <c r="E25" s="509" t="s">
        <v>1110</v>
      </c>
      <c r="F25" s="509"/>
      <c r="G25" s="509"/>
      <c r="H25" s="509"/>
      <c r="I25" s="509"/>
      <c r="J25" s="509"/>
      <c r="K25" s="509"/>
      <c r="L25" s="509"/>
      <c r="M25" s="509"/>
      <c r="N25" s="509"/>
      <c r="O25" s="509"/>
      <c r="P25" s="509"/>
      <c r="Q25" s="509"/>
      <c r="R25" s="509"/>
      <c r="S25" s="509"/>
    </row>
    <row r="26" spans="1:26" s="179" customFormat="1" ht="15.75">
      <c r="A26" s="80" t="s">
        <v>774</v>
      </c>
      <c r="B26" s="509"/>
      <c r="C26" s="509"/>
      <c r="D26" s="509" t="s">
        <v>1109</v>
      </c>
      <c r="E26" s="509"/>
      <c r="F26" s="509"/>
      <c r="G26" s="509"/>
      <c r="H26" s="509"/>
      <c r="I26" s="509"/>
      <c r="J26" s="509"/>
      <c r="K26" s="509"/>
      <c r="L26" s="509"/>
      <c r="M26" s="509"/>
      <c r="N26" s="509"/>
      <c r="O26" s="509"/>
      <c r="P26" s="509"/>
      <c r="Q26" s="509"/>
      <c r="R26" s="509"/>
      <c r="S26" s="509"/>
    </row>
    <row r="27" spans="1:26" ht="15.75">
      <c r="A27" s="84" t="s">
        <v>216</v>
      </c>
      <c r="B27" s="135"/>
      <c r="C27" s="135" t="s">
        <v>211</v>
      </c>
      <c r="D27" s="135" t="s">
        <v>211</v>
      </c>
      <c r="E27" s="135" t="s">
        <v>211</v>
      </c>
      <c r="F27" s="135" t="s">
        <v>211</v>
      </c>
      <c r="G27" s="135" t="s">
        <v>211</v>
      </c>
      <c r="H27" s="135" t="s">
        <v>211</v>
      </c>
      <c r="I27" s="135" t="s">
        <v>211</v>
      </c>
      <c r="J27" s="135" t="s">
        <v>211</v>
      </c>
      <c r="K27" s="135" t="s">
        <v>211</v>
      </c>
      <c r="L27" s="135" t="s">
        <v>211</v>
      </c>
      <c r="M27" s="135" t="s">
        <v>211</v>
      </c>
      <c r="N27" s="135" t="s">
        <v>211</v>
      </c>
      <c r="O27" s="135" t="s">
        <v>211</v>
      </c>
      <c r="P27" s="135" t="s">
        <v>211</v>
      </c>
      <c r="Q27" s="135" t="s">
        <v>211</v>
      </c>
      <c r="R27" s="135" t="s">
        <v>211</v>
      </c>
      <c r="S27" s="135" t="s">
        <v>211</v>
      </c>
      <c r="T27" s="72"/>
      <c r="U27" s="72"/>
      <c r="V27" s="72"/>
      <c r="W27" s="72"/>
      <c r="X27" s="72"/>
      <c r="Y27" s="72"/>
      <c r="Z27" s="72"/>
    </row>
    <row r="28" spans="1:26">
      <c r="A28" s="82" t="s">
        <v>886</v>
      </c>
      <c r="B28" s="134">
        <v>12.6</v>
      </c>
      <c r="C28" s="134">
        <v>13</v>
      </c>
      <c r="D28" s="134"/>
      <c r="E28" s="134">
        <v>13</v>
      </c>
      <c r="F28" s="134"/>
      <c r="G28" s="134"/>
      <c r="H28" s="134"/>
      <c r="I28" s="134"/>
      <c r="J28" s="134"/>
      <c r="K28" s="134"/>
      <c r="L28" s="134"/>
      <c r="M28" s="134"/>
      <c r="N28" s="134"/>
      <c r="O28" s="134"/>
      <c r="P28" s="134"/>
      <c r="Q28" s="134"/>
      <c r="R28" s="134"/>
      <c r="S28" s="134"/>
      <c r="T28" s="72"/>
      <c r="U28" s="72"/>
      <c r="V28" s="72"/>
      <c r="W28" s="72"/>
      <c r="X28" s="72"/>
      <c r="Y28" s="72"/>
      <c r="Z28" s="72"/>
    </row>
    <row r="29" spans="1:26" ht="15.75">
      <c r="A29" s="84" t="s">
        <v>217</v>
      </c>
      <c r="B29" s="135" t="s">
        <v>211</v>
      </c>
      <c r="C29" s="135" t="s">
        <v>211</v>
      </c>
      <c r="D29" s="135" t="s">
        <v>211</v>
      </c>
      <c r="E29" s="135" t="s">
        <v>211</v>
      </c>
      <c r="F29" s="135" t="s">
        <v>211</v>
      </c>
      <c r="G29" s="135" t="s">
        <v>211</v>
      </c>
      <c r="H29" s="135" t="s">
        <v>211</v>
      </c>
      <c r="I29" s="135" t="s">
        <v>211</v>
      </c>
      <c r="J29" s="135" t="s">
        <v>211</v>
      </c>
      <c r="K29" s="135" t="s">
        <v>211</v>
      </c>
      <c r="L29" s="135" t="s">
        <v>211</v>
      </c>
      <c r="M29" s="135" t="s">
        <v>211</v>
      </c>
      <c r="N29" s="135" t="s">
        <v>211</v>
      </c>
      <c r="O29" s="135" t="s">
        <v>211</v>
      </c>
      <c r="P29" s="135" t="s">
        <v>211</v>
      </c>
      <c r="Q29" s="135" t="s">
        <v>211</v>
      </c>
      <c r="R29" s="135" t="s">
        <v>211</v>
      </c>
      <c r="S29" s="135" t="s">
        <v>211</v>
      </c>
      <c r="T29" s="72"/>
      <c r="U29" s="72"/>
      <c r="V29" s="72"/>
      <c r="W29" s="72"/>
      <c r="X29" s="72"/>
      <c r="Y29" s="72"/>
      <c r="Z29" s="72"/>
    </row>
    <row r="30" spans="1:26" ht="15.75">
      <c r="A30" s="86" t="s">
        <v>887</v>
      </c>
      <c r="B30" s="135"/>
      <c r="C30" s="135"/>
      <c r="D30" s="135"/>
      <c r="E30" s="135"/>
      <c r="F30" s="504"/>
      <c r="G30" s="135"/>
      <c r="H30" s="135"/>
      <c r="I30" s="135"/>
      <c r="J30" s="135"/>
      <c r="K30" s="135"/>
      <c r="L30" s="135"/>
      <c r="M30" s="135"/>
      <c r="N30" s="135"/>
      <c r="O30" s="135"/>
      <c r="P30" s="135"/>
      <c r="Q30" s="135"/>
      <c r="R30" s="135"/>
      <c r="S30" s="135"/>
      <c r="T30" s="72"/>
      <c r="U30" s="72"/>
      <c r="V30" s="72"/>
      <c r="W30" s="72"/>
      <c r="X30" s="72"/>
      <c r="Y30" s="72"/>
      <c r="Z30" s="72"/>
    </row>
    <row r="31" spans="1:26" ht="15.75">
      <c r="A31" s="82" t="s">
        <v>888</v>
      </c>
      <c r="B31" s="135"/>
      <c r="C31" s="135"/>
      <c r="D31" s="135"/>
      <c r="E31" s="135"/>
      <c r="F31" s="504"/>
      <c r="G31" s="135"/>
      <c r="H31" s="135"/>
      <c r="I31" s="135"/>
      <c r="J31" s="135"/>
      <c r="K31" s="135"/>
      <c r="L31" s="135"/>
      <c r="M31" s="135"/>
      <c r="N31" s="135"/>
      <c r="O31" s="135"/>
      <c r="P31" s="135"/>
      <c r="Q31" s="135"/>
      <c r="R31" s="135"/>
      <c r="S31" s="135"/>
      <c r="T31" s="72"/>
      <c r="U31" s="72"/>
      <c r="V31" s="72"/>
      <c r="W31" s="72"/>
      <c r="X31" s="72"/>
      <c r="Y31" s="72"/>
      <c r="Z31" s="72"/>
    </row>
    <row r="32" spans="1:26" ht="15.75">
      <c r="A32" s="84" t="s">
        <v>776</v>
      </c>
      <c r="B32" s="135" t="s">
        <v>211</v>
      </c>
      <c r="C32" s="135" t="s">
        <v>211</v>
      </c>
      <c r="D32" s="135" t="s">
        <v>211</v>
      </c>
      <c r="E32" s="135" t="s">
        <v>211</v>
      </c>
      <c r="F32" s="135" t="s">
        <v>211</v>
      </c>
      <c r="G32" s="135" t="s">
        <v>211</v>
      </c>
      <c r="H32" s="135" t="s">
        <v>211</v>
      </c>
      <c r="I32" s="135" t="s">
        <v>211</v>
      </c>
      <c r="J32" s="135" t="s">
        <v>211</v>
      </c>
      <c r="K32" s="135" t="s">
        <v>211</v>
      </c>
      <c r="L32" s="135" t="s">
        <v>211</v>
      </c>
      <c r="M32" s="135" t="s">
        <v>211</v>
      </c>
      <c r="N32" s="135" t="s">
        <v>211</v>
      </c>
      <c r="O32" s="135" t="s">
        <v>211</v>
      </c>
      <c r="P32" s="135" t="s">
        <v>211</v>
      </c>
      <c r="Q32" s="135" t="s">
        <v>211</v>
      </c>
      <c r="R32" s="135" t="s">
        <v>211</v>
      </c>
      <c r="S32" s="135" t="s">
        <v>211</v>
      </c>
      <c r="T32" s="72"/>
      <c r="U32" s="72"/>
      <c r="V32" s="72"/>
      <c r="W32" s="72"/>
      <c r="X32" s="72"/>
      <c r="Y32" s="72"/>
      <c r="Z32" s="72"/>
    </row>
    <row r="33" spans="1:26" ht="15.75">
      <c r="A33" s="82" t="s">
        <v>844</v>
      </c>
      <c r="B33" s="510"/>
      <c r="C33" s="510"/>
      <c r="D33" s="510"/>
      <c r="E33" s="510"/>
      <c r="F33" s="510"/>
      <c r="G33" s="510"/>
      <c r="H33" s="510"/>
      <c r="I33" s="510"/>
      <c r="J33" s="510"/>
      <c r="K33" s="510"/>
      <c r="L33" s="510"/>
      <c r="M33" s="510"/>
      <c r="N33" s="510"/>
      <c r="O33" s="510"/>
      <c r="P33" s="510"/>
      <c r="Q33" s="510"/>
      <c r="R33" s="510"/>
      <c r="S33" s="510"/>
      <c r="T33" s="72"/>
      <c r="U33" s="72"/>
      <c r="V33" s="72"/>
      <c r="W33" s="72"/>
      <c r="X33" s="72"/>
      <c r="Y33" s="72"/>
      <c r="Z33" s="72"/>
    </row>
    <row r="34" spans="1:26" s="72" customFormat="1" ht="15.75">
      <c r="A34" s="121" t="s">
        <v>301</v>
      </c>
      <c r="B34" s="142"/>
      <c r="C34" s="142"/>
      <c r="D34" s="142"/>
      <c r="E34" s="142"/>
      <c r="F34" s="142"/>
      <c r="G34" s="142"/>
      <c r="H34" s="142"/>
      <c r="I34" s="142"/>
      <c r="J34" s="142"/>
      <c r="K34" s="142"/>
      <c r="L34" s="142"/>
      <c r="M34" s="142"/>
      <c r="N34" s="142"/>
      <c r="O34" s="142"/>
      <c r="P34" s="142"/>
      <c r="Q34" s="142"/>
      <c r="R34" s="142"/>
      <c r="S34" s="142"/>
    </row>
    <row r="35" spans="1:26" s="72" customFormat="1" ht="15.75">
      <c r="A35" s="80" t="s">
        <v>889</v>
      </c>
      <c r="B35" s="512">
        <f>IF(OR(B25=0,B25="NOT REQUIRED"),0,IF(B44*B46=0,0,(B46-B44)/B46))</f>
        <v>0</v>
      </c>
      <c r="C35" s="512">
        <f>IF(OR(C25=0,C25="NOT REQUIRED"),0,IF(C44*C46=0,0,(C46-C44)/C46))</f>
        <v>0</v>
      </c>
      <c r="D35" s="512">
        <f t="shared" ref="D35:S35" si="0">IF(OR(D25=0,D25="NOT REQUIRED"),0,IF(D44*D46=0,0,(D46-D44)/D46))</f>
        <v>0.10650887573964492</v>
      </c>
      <c r="E35" s="512">
        <f t="shared" si="0"/>
        <v>0</v>
      </c>
      <c r="F35" s="512">
        <f>IF(OR(F25=0,F25="NOT REQUIRED"),0,IF(F44*F46=0,0,(F46-F44)/F46))</f>
        <v>0</v>
      </c>
      <c r="G35" s="512">
        <f>IF(OR(G25=0,G25="NOT REQUIRED"),0,IF(G44*G46=0,0,(G46-G44)/G46))</f>
        <v>0</v>
      </c>
      <c r="H35" s="512">
        <f>IF(OR(H25=0,H25="NOT REQUIRED"),0,IF(H44*H46=0,0,(H46-H44)/H46))</f>
        <v>0</v>
      </c>
      <c r="I35" s="512">
        <f t="shared" si="0"/>
        <v>0</v>
      </c>
      <c r="J35" s="512">
        <f t="shared" si="0"/>
        <v>0</v>
      </c>
      <c r="K35" s="512">
        <f t="shared" si="0"/>
        <v>0</v>
      </c>
      <c r="L35" s="512">
        <f t="shared" si="0"/>
        <v>0</v>
      </c>
      <c r="M35" s="512">
        <f t="shared" si="0"/>
        <v>0</v>
      </c>
      <c r="N35" s="512">
        <f t="shared" si="0"/>
        <v>0</v>
      </c>
      <c r="O35" s="512">
        <f t="shared" si="0"/>
        <v>0</v>
      </c>
      <c r="P35" s="512">
        <f t="shared" si="0"/>
        <v>0</v>
      </c>
      <c r="Q35" s="512">
        <f t="shared" si="0"/>
        <v>0</v>
      </c>
      <c r="R35" s="512">
        <f t="shared" si="0"/>
        <v>0</v>
      </c>
      <c r="S35" s="512">
        <f t="shared" si="0"/>
        <v>0</v>
      </c>
    </row>
    <row r="36" spans="1:26" s="72" customFormat="1" ht="15.75">
      <c r="A36" s="455" t="s">
        <v>211</v>
      </c>
      <c r="B36" s="513" t="s">
        <v>211</v>
      </c>
      <c r="C36" s="513" t="s">
        <v>211</v>
      </c>
      <c r="D36" s="513" t="s">
        <v>211</v>
      </c>
      <c r="E36" s="513" t="s">
        <v>211</v>
      </c>
      <c r="F36" s="513" t="s">
        <v>211</v>
      </c>
      <c r="G36" s="513" t="s">
        <v>211</v>
      </c>
      <c r="H36" s="513" t="s">
        <v>211</v>
      </c>
      <c r="I36" s="513" t="s">
        <v>211</v>
      </c>
      <c r="J36" s="513" t="s">
        <v>211</v>
      </c>
      <c r="K36" s="513" t="s">
        <v>211</v>
      </c>
      <c r="L36" s="513" t="s">
        <v>211</v>
      </c>
      <c r="M36" s="513" t="s">
        <v>211</v>
      </c>
      <c r="N36" s="513" t="s">
        <v>211</v>
      </c>
      <c r="O36" s="513" t="s">
        <v>211</v>
      </c>
      <c r="P36" s="513" t="s">
        <v>211</v>
      </c>
      <c r="Q36" s="513" t="s">
        <v>211</v>
      </c>
      <c r="R36" s="513" t="s">
        <v>211</v>
      </c>
      <c r="S36" s="513" t="s">
        <v>211</v>
      </c>
    </row>
    <row r="37" spans="1:26" ht="30">
      <c r="A37" s="82" t="s">
        <v>847</v>
      </c>
      <c r="B37" s="514">
        <v>0.15</v>
      </c>
      <c r="C37" s="514">
        <v>7.0000000000000007E-2</v>
      </c>
      <c r="D37" s="514"/>
      <c r="E37" s="514">
        <v>0.1</v>
      </c>
      <c r="F37" s="514"/>
      <c r="G37" s="514"/>
      <c r="H37" s="514"/>
      <c r="I37" s="514"/>
      <c r="J37" s="514"/>
      <c r="K37" s="514"/>
      <c r="L37" s="514"/>
      <c r="M37" s="514"/>
      <c r="N37" s="514"/>
      <c r="O37" s="514"/>
      <c r="P37" s="514"/>
      <c r="Q37" s="514"/>
      <c r="R37" s="514"/>
      <c r="S37" s="514"/>
      <c r="T37" s="72"/>
      <c r="U37" s="72"/>
      <c r="V37" s="72"/>
      <c r="W37" s="72"/>
      <c r="X37" s="72"/>
      <c r="Y37" s="72"/>
      <c r="Z37" s="72"/>
    </row>
    <row r="38" spans="1:26" ht="133.5" customHeight="1">
      <c r="A38" s="585" t="s">
        <v>258</v>
      </c>
      <c r="B38" s="143" t="str">
        <f t="shared" ref="B38:J38" si="1">IF(B37=$B$59,"You must reference how you have achieved this figure, failure to do so will stop you receiving this figure"," ")</f>
        <v xml:space="preserve"> </v>
      </c>
      <c r="C38" s="143" t="str">
        <f t="shared" si="1"/>
        <v xml:space="preserve"> </v>
      </c>
      <c r="D38" s="143" t="str">
        <f t="shared" si="1"/>
        <v xml:space="preserve"> </v>
      </c>
      <c r="E38" s="143" t="str">
        <f t="shared" si="1"/>
        <v xml:space="preserve"> </v>
      </c>
      <c r="F38" s="143" t="str">
        <f t="shared" si="1"/>
        <v xml:space="preserve"> </v>
      </c>
      <c r="G38" s="143" t="str">
        <f t="shared" si="1"/>
        <v xml:space="preserve"> </v>
      </c>
      <c r="H38" s="143" t="str">
        <f t="shared" si="1"/>
        <v xml:space="preserve"> </v>
      </c>
      <c r="I38" s="143" t="str">
        <f t="shared" si="1"/>
        <v xml:space="preserve"> </v>
      </c>
      <c r="J38" s="143" t="str">
        <f t="shared" si="1"/>
        <v xml:space="preserve"> </v>
      </c>
      <c r="K38" s="143" t="str">
        <f t="shared" ref="K38:S38" si="2">IF(K37=$B$59,"You must reference how you have achieved this figure, failure to do so will stop you receiving this figure"," ")</f>
        <v xml:space="preserve"> </v>
      </c>
      <c r="L38" s="143" t="str">
        <f t="shared" si="2"/>
        <v xml:space="preserve"> </v>
      </c>
      <c r="M38" s="143" t="str">
        <f t="shared" si="2"/>
        <v xml:space="preserve"> </v>
      </c>
      <c r="N38" s="143" t="str">
        <f t="shared" si="2"/>
        <v xml:space="preserve"> </v>
      </c>
      <c r="O38" s="143" t="str">
        <f t="shared" si="2"/>
        <v xml:space="preserve"> </v>
      </c>
      <c r="P38" s="143" t="str">
        <f t="shared" si="2"/>
        <v xml:space="preserve"> </v>
      </c>
      <c r="Q38" s="143" t="str">
        <f t="shared" si="2"/>
        <v xml:space="preserve"> </v>
      </c>
      <c r="R38" s="143" t="str">
        <f t="shared" si="2"/>
        <v xml:space="preserve"> </v>
      </c>
      <c r="S38" s="143" t="str">
        <f t="shared" si="2"/>
        <v xml:space="preserve"> </v>
      </c>
      <c r="T38" s="72"/>
      <c r="U38" s="72"/>
      <c r="V38" s="72"/>
      <c r="W38" s="72"/>
      <c r="X38" s="72"/>
      <c r="Y38" s="72"/>
      <c r="Z38" s="72"/>
    </row>
    <row r="39" spans="1:26" s="72" customFormat="1" ht="16.5" thickBot="1">
      <c r="A39" s="472" t="s">
        <v>260</v>
      </c>
      <c r="B39" s="809" t="s">
        <v>231</v>
      </c>
      <c r="C39" s="809" t="s">
        <v>231</v>
      </c>
      <c r="D39" s="809"/>
      <c r="E39" s="809" t="s">
        <v>231</v>
      </c>
      <c r="F39" s="809"/>
      <c r="G39" s="809"/>
      <c r="H39" s="809"/>
      <c r="I39" s="809"/>
      <c r="J39" s="809"/>
      <c r="K39" s="809"/>
      <c r="L39" s="809"/>
      <c r="M39" s="809"/>
      <c r="N39" s="809"/>
      <c r="O39" s="809"/>
      <c r="P39" s="809"/>
      <c r="Q39" s="809"/>
      <c r="R39" s="809"/>
      <c r="S39" s="809"/>
    </row>
    <row r="40" spans="1:26" s="72" customFormat="1">
      <c r="A40" s="120"/>
      <c r="B40" s="119"/>
      <c r="C40" s="119"/>
      <c r="D40" s="119"/>
      <c r="E40" s="119"/>
      <c r="F40" s="119"/>
      <c r="G40" s="119"/>
      <c r="H40" s="119"/>
      <c r="I40" s="119"/>
      <c r="J40" s="119"/>
      <c r="K40" s="119"/>
      <c r="L40" s="119"/>
      <c r="M40" s="119"/>
      <c r="N40" s="119"/>
      <c r="O40" s="119"/>
      <c r="P40" s="119"/>
      <c r="Q40" s="119"/>
      <c r="R40" s="119"/>
      <c r="S40" s="119"/>
    </row>
    <row r="41" spans="1:26">
      <c r="A41" s="72"/>
      <c r="B41" s="10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9.5" thickBot="1">
      <c r="A42" s="107" t="s">
        <v>213</v>
      </c>
      <c r="B42" s="76"/>
      <c r="C42" s="76"/>
      <c r="D42" s="76"/>
      <c r="E42" s="76"/>
      <c r="F42" s="76"/>
      <c r="G42" s="76"/>
      <c r="H42" s="76"/>
      <c r="I42" s="76"/>
      <c r="J42" s="76"/>
      <c r="K42" s="76"/>
      <c r="L42" s="76"/>
      <c r="M42" s="76"/>
      <c r="N42" s="76"/>
      <c r="O42" s="76"/>
      <c r="P42" s="76"/>
      <c r="Q42" s="76"/>
      <c r="R42" s="76"/>
      <c r="S42" s="76"/>
      <c r="T42" s="72"/>
      <c r="U42" s="72"/>
      <c r="V42" s="72"/>
      <c r="W42" s="72"/>
      <c r="X42" s="72"/>
      <c r="Y42" s="72"/>
      <c r="Z42" s="72"/>
    </row>
    <row r="43" spans="1:26" ht="15.75">
      <c r="A43" s="88" t="s">
        <v>214</v>
      </c>
      <c r="B43" s="87">
        <f t="shared" ref="B43:S43" si="3">IF(AND(B20&gt;0,B21&gt;0),B21*B20,0)</f>
        <v>200</v>
      </c>
      <c r="C43" s="87">
        <f t="shared" si="3"/>
        <v>200</v>
      </c>
      <c r="D43" s="87">
        <f t="shared" si="3"/>
        <v>288</v>
      </c>
      <c r="E43" s="87">
        <f>IF(AND(E20&gt;0,E21&gt;0),E21*E20,0)</f>
        <v>200</v>
      </c>
      <c r="F43" s="87">
        <f>IF(AND(F20&gt;0,F21&gt;0),F21*F20,0)</f>
        <v>0</v>
      </c>
      <c r="G43" s="87">
        <f>IF(AND(G20&gt;0,G21&gt;0),G21*G20,0)</f>
        <v>0</v>
      </c>
      <c r="H43" s="87">
        <f>IF(AND(H20&gt;0,H21&gt;0),H21*H20,0)</f>
        <v>0</v>
      </c>
      <c r="I43" s="87">
        <f t="shared" si="3"/>
        <v>0</v>
      </c>
      <c r="J43" s="87">
        <f t="shared" si="3"/>
        <v>0</v>
      </c>
      <c r="K43" s="87">
        <f t="shared" si="3"/>
        <v>0</v>
      </c>
      <c r="L43" s="87">
        <f t="shared" si="3"/>
        <v>0</v>
      </c>
      <c r="M43" s="87">
        <f t="shared" si="3"/>
        <v>0</v>
      </c>
      <c r="N43" s="87">
        <f t="shared" si="3"/>
        <v>0</v>
      </c>
      <c r="O43" s="87">
        <f t="shared" si="3"/>
        <v>0</v>
      </c>
      <c r="P43" s="87">
        <f t="shared" si="3"/>
        <v>0</v>
      </c>
      <c r="Q43" s="87">
        <f t="shared" si="3"/>
        <v>0</v>
      </c>
      <c r="R43" s="87">
        <f t="shared" si="3"/>
        <v>0</v>
      </c>
      <c r="S43" s="87">
        <f t="shared" si="3"/>
        <v>0</v>
      </c>
      <c r="T43" s="87"/>
      <c r="U43" s="87"/>
      <c r="V43" s="87"/>
      <c r="W43" s="87"/>
      <c r="X43" s="87"/>
      <c r="Y43" s="87"/>
      <c r="Z43" s="87"/>
    </row>
    <row r="44" spans="1:26" ht="15.75">
      <c r="A44" s="87" t="s">
        <v>777</v>
      </c>
      <c r="B44" s="118">
        <f>IF(AND(OR(B$25=0,B$25="NOT REQUIRED"),OR(B$26=0,B$26="NOT REQUIRED")),(IF(B$28&gt;0,B$28,IF(AND(B$30&gt;0,B$31&gt;0),(B$30*B$31)/B$43,IF(B$33&gt;0,B$33/B$43,0)))),IF(B14=$D$51,(IF(B$28&gt;0,B$28,IF(AND(B$30&gt;0,B$31&gt;0),(B$30*B$31)/B$43,IF(B$33&gt;0,B$33/B$43,0)))),IF(B14=$D$52,IF(B26='Fuel Equipment DD'!B39,VLOOKUP('Fuel Equipment'!B25,Dumpers!$C$3:$P$16,12,FALSE),IF(B26='Fuel Equipment DD'!B40,VLOOKUP('Fuel Equipment'!B25,Dumpers!$C$3:$P$16,13,FALSE),IF(B26='Fuel Equipment DD'!B41,VLOOKUP('Fuel Equipment'!B25,Dumpers!$C$3:$P$16,14,FALSE),"0"))),IF('Fuel Equipment'!B14='Fuel Equipment'!$D$53,IF('Fuel Equipment'!B26='Fuel Equipment DD'!B39,VLOOKUP('Fuel Equipment'!B25,Excavators!$C$4:$P$52,12,FALSE),IF('Fuel Equipment'!B26='Fuel Equipment DD'!B40,VLOOKUP('Fuel Equipment'!B25,Excavators!$C$4:$P$52,13,FALSE),IF('Fuel Equipment'!B26='Fuel Equipment DD'!B41,VLOOKUP('Fuel Equipment'!B25,Excavators!$C$4:$P$52,14,FALSE),"0"))),IF('Fuel Equipment'!B14='Fuel Equipment'!$D$54,IF('Fuel Equipment'!B26='Fuel Equipment DD'!B39,VLOOKUP('Fuel Equipment'!B25,Generators!$C$5:$K$60,7,FALSE),IF('Fuel Equipment'!B26='Fuel Equipment DD'!B40,VLOOKUP('Fuel Equipment'!B25,Generators!$C$5:$K$60,8,FALSE),IF('Fuel Equipment'!B26='Fuel Equipment DD'!B41,VLOOKUP('Fuel Equipment'!B25,Generators!$C$5:$K$60,9,FALSE),"0"))),IF('Fuel Equipment'!B14='Fuel Equipment'!$D$55,IF('Fuel Equipment'!B26='Fuel Equipment DD'!B39,VLOOKUP('Fuel Equipment'!B25,'Scissor Lifts'!$C$30:$K$36,9,FALSE),0)))))))</f>
        <v>12.6</v>
      </c>
      <c r="C44" s="118">
        <f>IF(AND(OR(C$25=0,C$25="NOT REQUIRED"),OR(C$26=0,C$26="NOT REQUIRED")),(IF(C$28&gt;0,C$28,IF(AND(C$30&gt;0,C$31&gt;0),(C$30*C$31)/C$43,IF(C$33&gt;0,C$33/C$43,0)))),IF(C14=$D$51,(IF(C$28&gt;0,C$28,IF(AND(C$30&gt;0,C$31&gt;0),(C$30*C$31)/C$43,IF(C$33&gt;0,C$33/C$43,0)))),IF(C14=$D$52,IF(C26='Fuel Equipment DD'!C39,VLOOKUP('Fuel Equipment'!C25,Dumpers!$C$3:$P$16,12,FALSE),IF(C26='Fuel Equipment DD'!C40,VLOOKUP('Fuel Equipment'!C25,Dumpers!$C$3:$P$16,13,FALSE),IF(C26='Fuel Equipment DD'!C41,VLOOKUP('Fuel Equipment'!C25,Dumpers!$C$3:$P$16,14,FALSE),"0"))),IF('Fuel Equipment'!C14='Fuel Equipment'!$D$53,IF('Fuel Equipment'!C26='Fuel Equipment DD'!C39,VLOOKUP('Fuel Equipment'!C25,Excavators!$C$4:$P$52,12,FALSE),IF('Fuel Equipment'!C26='Fuel Equipment DD'!C40,VLOOKUP('Fuel Equipment'!C25,Excavators!$C$4:$P$52,13,FALSE),IF('Fuel Equipment'!C26='Fuel Equipment DD'!C41,VLOOKUP('Fuel Equipment'!C25,Excavators!$C$4:$P$52,14,FALSE),"0"))),IF('Fuel Equipment'!C14='Fuel Equipment'!$D$54,IF('Fuel Equipment'!C26='Fuel Equipment DD'!C39,VLOOKUP('Fuel Equipment'!C25,Generators!$C$5:$K$60,7,FALSE),IF('Fuel Equipment'!C26='Fuel Equipment DD'!C40,VLOOKUP('Fuel Equipment'!C25,Generators!$C$5:$K$60,8,FALSE),IF('Fuel Equipment'!C26='Fuel Equipment DD'!C41,VLOOKUP('Fuel Equipment'!C25,Generators!$C$5:$K$60,9,FALSE),"0"))),IF('Fuel Equipment'!C14='Fuel Equipment'!$D$55,IF('Fuel Equipment'!C26='Fuel Equipment DD'!C39,VLOOKUP('Fuel Equipment'!C25,'Scissor Lifts'!$C$30:$K$36,9,FALSE),0)))))))</f>
        <v>13</v>
      </c>
      <c r="D44" s="118">
        <f>IF(AND(OR(D$25=0,D$25="NOT REQUIRED"),OR(D$26=0,D$26="NOT REQUIRED")),(IF(D$28&gt;0,D$28,IF(AND(D$30&gt;0,D$31&gt;0),(D$30*D$31)/D$43,IF(D$33&gt;0,D$33/D$43,0)))),IF(D14=$D$51,(IF(D$28&gt;0,D$28,IF(AND(D$30&gt;0,D$31&gt;0),(D$30*D$31)/D$43,IF(D$33&gt;0,D$33/D$43,0)))),IF(D14=$D$52,IF(D26='Fuel Equipment DD'!D39,VLOOKUP('Fuel Equipment'!D25,Dumpers!$C$3:$P$16,12,FALSE),IF(D26='Fuel Equipment DD'!D40,VLOOKUP('Fuel Equipment'!D25,Dumpers!$C$3:$P$16,13,FALSE),IF(D26='Fuel Equipment DD'!D41,VLOOKUP('Fuel Equipment'!D25,Dumpers!$C$3:$P$16,14,FALSE),"0"))),IF('Fuel Equipment'!D14='Fuel Equipment'!$D$53,IF('Fuel Equipment'!D26='Fuel Equipment DD'!D39,VLOOKUP('Fuel Equipment'!D25,Excavators!$C$4:$P$52,12,FALSE),IF('Fuel Equipment'!D26='Fuel Equipment DD'!D40,VLOOKUP('Fuel Equipment'!D25,Excavators!$C$4:$P$52,13,FALSE),IF('Fuel Equipment'!D26='Fuel Equipment DD'!D41,VLOOKUP('Fuel Equipment'!D25,Excavators!$C$4:$P$52,14,FALSE),"0"))),IF('Fuel Equipment'!D14='Fuel Equipment'!$D$54,IF('Fuel Equipment'!D26='Fuel Equipment DD'!D39,VLOOKUP('Fuel Equipment'!D25,Generators!$C$5:$K$60,7,FALSE),IF('Fuel Equipment'!D26='Fuel Equipment DD'!D40,VLOOKUP('Fuel Equipment'!D25,Generators!$C$5:$K$60,8,FALSE),IF('Fuel Equipment'!D26='Fuel Equipment DD'!D41,VLOOKUP('Fuel Equipment'!D25,Generators!$C$5:$K$60,9,FALSE),"0"))),IF('Fuel Equipment'!D14='Fuel Equipment'!$D$55,IF('Fuel Equipment'!D26='Fuel Equipment DD'!D39,VLOOKUP('Fuel Equipment'!D25,'Scissor Lifts'!$C$30:$K$36,9,FALSE),0)))))))</f>
        <v>30.2</v>
      </c>
      <c r="E44" s="118">
        <f>IF(AND(OR(E$25=0,E$25="NOT REQUIRED"),OR(E$26=0,E$26="NOT REQUIRED")),(IF(E$28&gt;0,E$28,IF(AND(E$30&gt;0,E$31&gt;0),(E$30*E$31)/E$43,IF(E$33&gt;0,E$33/E$43,0)))),IF(E14=$D$51,(IF(E$28&gt;0,E$28,IF(AND(E$30&gt;0,E$31&gt;0),(E$30*E$31)/E$43,IF(E$33&gt;0,E$33/E$43,0)))),IF(E14=$D$52,IF(E26='Fuel Equipment DD'!E39,VLOOKUP('Fuel Equipment'!E25,Dumpers!$C$3:$P$16,12,FALSE),IF(E26='Fuel Equipment DD'!E40,VLOOKUP('Fuel Equipment'!E25,Dumpers!$C$3:$P$16,13,FALSE),IF(E26='Fuel Equipment DD'!E41,VLOOKUP('Fuel Equipment'!E25,Dumpers!$C$3:$P$16,14,FALSE),"0"))),IF('Fuel Equipment'!E14='Fuel Equipment'!$D$53,IF('Fuel Equipment'!E26='Fuel Equipment DD'!E39,VLOOKUP('Fuel Equipment'!E25,Excavators!$C$4:$P$52,12,FALSE),IF('Fuel Equipment'!E26='Fuel Equipment DD'!E40,VLOOKUP('Fuel Equipment'!E25,Excavators!$C$4:$P$52,13,FALSE),IF('Fuel Equipment'!E26='Fuel Equipment DD'!E41,VLOOKUP('Fuel Equipment'!E25,Excavators!$C$4:$P$52,14,FALSE),"0"))),IF('Fuel Equipment'!E14='Fuel Equipment'!$D$54,IF('Fuel Equipment'!E26='Fuel Equipment DD'!E39,VLOOKUP('Fuel Equipment'!E25,Generators!$C$5:$K$60,7,FALSE),IF('Fuel Equipment'!E26='Fuel Equipment DD'!E40,VLOOKUP('Fuel Equipment'!E25,Generators!$C$5:$K$60,8,FALSE),IF('Fuel Equipment'!E26='Fuel Equipment DD'!E41,VLOOKUP('Fuel Equipment'!E25,Generators!$C$5:$K$60,9,FALSE),"0"))),IF('Fuel Equipment'!E14='Fuel Equipment'!$D$55,IF('Fuel Equipment'!E26='Fuel Equipment DD'!E39,VLOOKUP('Fuel Equipment'!E25,'Scissor Lifts'!$C$30:$K$36,9,FALSE),0)))))))</f>
        <v>13</v>
      </c>
      <c r="F44" s="118">
        <f>IF(AND(OR(F$25=0,F$25="NOT REQUIRED"),OR(F$26=0,F$26="NOT REQUIRED")),(IF(F$28&gt;0,F$28,IF(AND(F$30&gt;0,F$31&gt;0),(F$30*F$31)/F$43,IF(F$33&gt;0,F$33/F$43,0)))),IF(F14=$D$51,(IF(F$28&gt;0,F$28,IF(AND(F$30&gt;0,F$31&gt;0),(F$30*F$31)/F$43,IF(F$33&gt;0,F$33/F$43,0)))),IF(F14=$D$52,IF(F26='Fuel Equipment DD'!F39,VLOOKUP('Fuel Equipment'!F25,Dumpers!$C$3:$P$16,12,FALSE),IF(F26='Fuel Equipment DD'!F40,VLOOKUP('Fuel Equipment'!F25,Dumpers!$C$3:$P$16,13,FALSE),IF(F26='Fuel Equipment DD'!F41,VLOOKUP('Fuel Equipment'!F25,Dumpers!$C$3:$P$16,14,FALSE),"0"))),IF('Fuel Equipment'!F14='Fuel Equipment'!$D$53,IF('Fuel Equipment'!F26='Fuel Equipment DD'!F39,VLOOKUP('Fuel Equipment'!F25,Excavators!$C$4:$P$52,12,FALSE),IF('Fuel Equipment'!F26='Fuel Equipment DD'!F40,VLOOKUP('Fuel Equipment'!F25,Excavators!$C$4:$P$52,13,FALSE),IF('Fuel Equipment'!F26='Fuel Equipment DD'!F41,VLOOKUP('Fuel Equipment'!F25,Excavators!$C$4:$P$52,14,FALSE),"0"))),IF('Fuel Equipment'!F14='Fuel Equipment'!$D$54,IF('Fuel Equipment'!F26='Fuel Equipment DD'!F39,VLOOKUP('Fuel Equipment'!F25,Generators!$C$5:$K$60,7,FALSE),IF('Fuel Equipment'!F26='Fuel Equipment DD'!F40,VLOOKUP('Fuel Equipment'!F25,Generators!$C$5:$K$60,8,FALSE),IF('Fuel Equipment'!F26='Fuel Equipment DD'!F41,VLOOKUP('Fuel Equipment'!F25,Generators!$C$5:$K$60,9,FALSE),"0"))),IF('Fuel Equipment'!F14='Fuel Equipment'!$D$55,IF('Fuel Equipment'!F26='Fuel Equipment DD'!F39,VLOOKUP('Fuel Equipment'!F25,'Scissor Lifts'!$C$30:$K$36,9,FALSE),0)))))))</f>
        <v>0</v>
      </c>
      <c r="G44" s="118">
        <f>IF(AND(OR(G$25=0,G$25="NOT REQUIRED"),OR(G$26=0,G$26="NOT REQUIRED")),(IF(G$28&gt;0,G$28,IF(AND(G$30&gt;0,G$31&gt;0),(G$30*G$31)/G$43,IF(G$33&gt;0,G$33/G$43,0)))),IF(G14=$D$51,(IF(G$28&gt;0,G$28,IF(AND(G$30&gt;0,G$31&gt;0),(G$30*G$31)/G$43,IF(G$33&gt;0,G$33/G$43,0)))),IF(G14=$D$52,IF(G26='Fuel Equipment DD'!G39,VLOOKUP('Fuel Equipment'!G25,Dumpers!$C$3:$P$16,12,FALSE),IF(G26='Fuel Equipment DD'!G40,VLOOKUP('Fuel Equipment'!G25,Dumpers!$C$3:$P$16,13,FALSE),IF(G26='Fuel Equipment DD'!G41,VLOOKUP('Fuel Equipment'!G25,Dumpers!$C$3:$P$16,14,FALSE),"0"))),IF('Fuel Equipment'!G14='Fuel Equipment'!$D$53,IF('Fuel Equipment'!G26='Fuel Equipment DD'!G39,VLOOKUP('Fuel Equipment'!G25,Excavators!$C$4:$P$52,12,FALSE),IF('Fuel Equipment'!G26='Fuel Equipment DD'!G40,VLOOKUP('Fuel Equipment'!G25,Excavators!$C$4:$P$52,13,FALSE),IF('Fuel Equipment'!G26='Fuel Equipment DD'!G41,VLOOKUP('Fuel Equipment'!G25,Excavators!$C$4:$P$52,14,FALSE),"0"))),IF('Fuel Equipment'!G14='Fuel Equipment'!$D$54,IF('Fuel Equipment'!G26='Fuel Equipment DD'!G39,VLOOKUP('Fuel Equipment'!G25,Generators!$C$5:$K$60,7,FALSE),IF('Fuel Equipment'!G26='Fuel Equipment DD'!G40,VLOOKUP('Fuel Equipment'!G25,Generators!$C$5:$K$60,8,FALSE),IF('Fuel Equipment'!G26='Fuel Equipment DD'!G41,VLOOKUP('Fuel Equipment'!G25,Generators!$C$5:$K$60,9,FALSE),"0"))),IF('Fuel Equipment'!G14='Fuel Equipment'!$D$55,IF('Fuel Equipment'!G26='Fuel Equipment DD'!G39,VLOOKUP('Fuel Equipment'!G25,'Scissor Lifts'!$C$30:$K$36,9,FALSE),0)))))))</f>
        <v>0</v>
      </c>
      <c r="H44" s="118">
        <f>IF(AND(OR(H$25=0,H$25="NOT REQUIRED"),OR(H$26=0,H$26="NOT REQUIRED")),(IF(H$28&gt;0,H$28,IF(AND(H$30&gt;0,H$31&gt;0),(H$30*H$31)/H$43,IF(H$33&gt;0,H$33/H$43,0)))),IF(H14=$D$51,(IF(H$28&gt;0,H$28,IF(AND(H$30&gt;0,H$31&gt;0),(H$30*H$31)/H$43,IF(H$33&gt;0,H$33/H$43,0)))),IF(H14=$D$52,IF(H26='Fuel Equipment DD'!H39,VLOOKUP('Fuel Equipment'!H25,Dumpers!$C$3:$P$16,12,FALSE),IF(H26='Fuel Equipment DD'!H40,VLOOKUP('Fuel Equipment'!H25,Dumpers!$C$3:$P$16,13,FALSE),IF(H26='Fuel Equipment DD'!H41,VLOOKUP('Fuel Equipment'!H25,Dumpers!$C$3:$P$16,14,FALSE),"0"))),IF('Fuel Equipment'!H14='Fuel Equipment'!$D$53,IF('Fuel Equipment'!H26='Fuel Equipment DD'!H39,VLOOKUP('Fuel Equipment'!H25,Excavators!$C$4:$P$52,12,FALSE),IF('Fuel Equipment'!H26='Fuel Equipment DD'!H40,VLOOKUP('Fuel Equipment'!H25,Excavators!$C$4:$P$52,13,FALSE),IF('Fuel Equipment'!H26='Fuel Equipment DD'!H41,VLOOKUP('Fuel Equipment'!H25,Excavators!$C$4:$P$52,14,FALSE),"0"))),IF('Fuel Equipment'!H14='Fuel Equipment'!$D$54,IF('Fuel Equipment'!H26='Fuel Equipment DD'!H39,VLOOKUP('Fuel Equipment'!H25,Generators!$C$5:$K$60,7,FALSE),IF('Fuel Equipment'!H26='Fuel Equipment DD'!H40,VLOOKUP('Fuel Equipment'!H25,Generators!$C$5:$K$60,8,FALSE),IF('Fuel Equipment'!H26='Fuel Equipment DD'!H41,VLOOKUP('Fuel Equipment'!H25,Generators!$C$5:$K$60,9,FALSE),"0"))),IF('Fuel Equipment'!H14='Fuel Equipment'!$D$55,IF('Fuel Equipment'!H26='Fuel Equipment DD'!H39,VLOOKUP('Fuel Equipment'!H25,'Scissor Lifts'!$C$30:$K$36,9,FALSE),0)))))))</f>
        <v>0</v>
      </c>
      <c r="I44" s="118">
        <f>IF(AND(OR(I$25=0,I$25="NOT REQUIRED"),OR(I$26=0,I$26="NOT REQUIRED")),(IF(I$28&gt;0,I$28,IF(AND(I$30&gt;0,I$31&gt;0),(I$30*I$31)/I$43,IF(I$33&gt;0,I$33/I$43,0)))),IF(I14=$D$51,(IF(I$28&gt;0,I$28,IF(AND(I$30&gt;0,I$31&gt;0),(I$30*I$31)/I$43,IF(I$33&gt;0,I$33/I$43,0)))),IF(I14=$D$52,IF(I26='Fuel Equipment DD'!I39,VLOOKUP('Fuel Equipment'!I25,Dumpers!$C$3:$P$16,12,FALSE),IF(I26='Fuel Equipment DD'!I40,VLOOKUP('Fuel Equipment'!I25,Dumpers!$C$3:$P$16,13,FALSE),IF(I26='Fuel Equipment DD'!I41,VLOOKUP('Fuel Equipment'!I25,Dumpers!$C$3:$P$16,14,FALSE),"0"))),IF('Fuel Equipment'!I14='Fuel Equipment'!$D$53,IF('Fuel Equipment'!I26='Fuel Equipment DD'!I39,VLOOKUP('Fuel Equipment'!I25,Excavators!$C$4:$P$52,12,FALSE),IF('Fuel Equipment'!I26='Fuel Equipment DD'!I40,VLOOKUP('Fuel Equipment'!I25,Excavators!$C$4:$P$52,13,FALSE),IF('Fuel Equipment'!I26='Fuel Equipment DD'!I41,VLOOKUP('Fuel Equipment'!I25,Excavators!$C$4:$P$52,14,FALSE),"0"))),IF('Fuel Equipment'!I14='Fuel Equipment'!$D$54,IF('Fuel Equipment'!I26='Fuel Equipment DD'!I39,VLOOKUP('Fuel Equipment'!I25,Generators!$C$5:$K$60,7,FALSE),IF('Fuel Equipment'!I26='Fuel Equipment DD'!I40,VLOOKUP('Fuel Equipment'!I25,Generators!$C$5:$K$60,8,FALSE),IF('Fuel Equipment'!I26='Fuel Equipment DD'!I41,VLOOKUP('Fuel Equipment'!I25,Generators!$C$5:$K$60,9,FALSE),"0"))),IF('Fuel Equipment'!I14='Fuel Equipment'!$D$55,IF('Fuel Equipment'!I26='Fuel Equipment DD'!I39,VLOOKUP('Fuel Equipment'!I25,'Scissor Lifts'!$C$30:$K$36,9,FALSE),0)))))))</f>
        <v>0</v>
      </c>
      <c r="J44" s="118">
        <f>IF(AND(OR(J$25=0,J$25="NOT REQUIRED"),OR(J$26=0,J$26="NOT REQUIRED")),(IF(J$28&gt;0,J$28,IF(AND(J$30&gt;0,J$31&gt;0),(J$30*J$31)/J$43,IF(J$33&gt;0,J$33/J$43,0)))),IF(J14=$D$51,(IF(J$28&gt;0,J$28,IF(AND(J$30&gt;0,J$31&gt;0),(J$30*J$31)/J$43,IF(J$33&gt;0,J$33/J$43,0)))),IF(J14=$D$52,IF(J26='Fuel Equipment DD'!J39,VLOOKUP('Fuel Equipment'!J25,Dumpers!$C$3:$P$16,12,FALSE),IF(J26='Fuel Equipment DD'!J40,VLOOKUP('Fuel Equipment'!J25,Dumpers!$C$3:$P$16,13,FALSE),IF(J26='Fuel Equipment DD'!J41,VLOOKUP('Fuel Equipment'!J25,Dumpers!$C$3:$P$16,14,FALSE),"0"))),IF('Fuel Equipment'!J14='Fuel Equipment'!$D$53,IF('Fuel Equipment'!J26='Fuel Equipment DD'!J39,VLOOKUP('Fuel Equipment'!J25,Excavators!$C$4:$P$52,12,FALSE),IF('Fuel Equipment'!J26='Fuel Equipment DD'!J40,VLOOKUP('Fuel Equipment'!J25,Excavators!$C$4:$P$52,13,FALSE),IF('Fuel Equipment'!J26='Fuel Equipment DD'!J41,VLOOKUP('Fuel Equipment'!J25,Excavators!$C$4:$P$52,14,FALSE),"0"))),IF('Fuel Equipment'!J14='Fuel Equipment'!$D$54,IF('Fuel Equipment'!J26='Fuel Equipment DD'!J39,VLOOKUP('Fuel Equipment'!J25,Generators!$C$5:$K$60,7,FALSE),IF('Fuel Equipment'!J26='Fuel Equipment DD'!J40,VLOOKUP('Fuel Equipment'!J25,Generators!$C$5:$K$60,8,FALSE),IF('Fuel Equipment'!J26='Fuel Equipment DD'!J41,VLOOKUP('Fuel Equipment'!J25,Generators!$C$5:$K$60,9,FALSE),"0"))),IF('Fuel Equipment'!J14='Fuel Equipment'!$D$55,IF('Fuel Equipment'!J26='Fuel Equipment DD'!J39,VLOOKUP('Fuel Equipment'!J25,'Scissor Lifts'!$C$30:$K$36,9,FALSE),0)))))))</f>
        <v>0</v>
      </c>
      <c r="K44" s="118">
        <f>IF(AND(OR(K$25=0,K$25="NOT REQUIRED"),OR(K$26=0,K$26="NOT REQUIRED")),(IF(K$28&gt;0,K$28,IF(AND(K$30&gt;0,K$31&gt;0),(K$30*K$31)/K$43,IF(K$33&gt;0,K$33/K$43,0)))),IF(K14=$D$51,(IF(K$28&gt;0,K$28,IF(AND(K$30&gt;0,K$31&gt;0),(K$30*K$31)/K$43,IF(K$33&gt;0,K$33/K$43,0)))),IF(K14=$D$52,IF(K26='Fuel Equipment DD'!K39,VLOOKUP('Fuel Equipment'!K25,Dumpers!$C$3:$P$16,12,FALSE),IF(K26='Fuel Equipment DD'!K40,VLOOKUP('Fuel Equipment'!K25,Dumpers!$C$3:$P$16,13,FALSE),IF(K26='Fuel Equipment DD'!K41,VLOOKUP('Fuel Equipment'!K25,Dumpers!$C$3:$P$16,14,FALSE),"0"))),IF('Fuel Equipment'!K14='Fuel Equipment'!$D$53,IF('Fuel Equipment'!K26='Fuel Equipment DD'!K39,VLOOKUP('Fuel Equipment'!K25,Excavators!$C$4:$P$52,12,FALSE),IF('Fuel Equipment'!K26='Fuel Equipment DD'!K40,VLOOKUP('Fuel Equipment'!K25,Excavators!$C$4:$P$52,13,FALSE),IF('Fuel Equipment'!K26='Fuel Equipment DD'!K41,VLOOKUP('Fuel Equipment'!K25,Excavators!$C$4:$P$52,14,FALSE),"0"))),IF('Fuel Equipment'!K14='Fuel Equipment'!$D$54,IF('Fuel Equipment'!K26='Fuel Equipment DD'!K39,VLOOKUP('Fuel Equipment'!K25,Generators!$C$5:$K$60,7,FALSE),IF('Fuel Equipment'!K26='Fuel Equipment DD'!K40,VLOOKUP('Fuel Equipment'!K25,Generators!$C$5:$K$60,8,FALSE),IF('Fuel Equipment'!K26='Fuel Equipment DD'!K41,VLOOKUP('Fuel Equipment'!K25,Generators!$C$5:$K$60,9,FALSE),"0"))),IF('Fuel Equipment'!K14='Fuel Equipment'!$D$55,IF('Fuel Equipment'!K26='Fuel Equipment DD'!K39,VLOOKUP('Fuel Equipment'!K25,'Scissor Lifts'!$C$30:$K$36,9,FALSE),0)))))))</f>
        <v>0</v>
      </c>
      <c r="L44" s="118">
        <f>IF(AND(OR(L$25=0,L$25="NOT REQUIRED"),OR(L$26=0,L$26="NOT REQUIRED")),(IF(L$28&gt;0,L$28,IF(AND(L$30&gt;0,L$31&gt;0),(L$30*L$31)/L$43,IF(L$33&gt;0,L$33/L$43,0)))),IF(L14=$D$51,(IF(L$28&gt;0,L$28,IF(AND(L$30&gt;0,L$31&gt;0),(L$30*L$31)/L$43,IF(L$33&gt;0,L$33/L$43,0)))),IF(L14=$D$52,IF(L26='Fuel Equipment DD'!L39,VLOOKUP('Fuel Equipment'!L25,Dumpers!$C$3:$P$16,12,FALSE),IF(L26='Fuel Equipment DD'!L40,VLOOKUP('Fuel Equipment'!L25,Dumpers!$C$3:$P$16,13,FALSE),IF(L26='Fuel Equipment DD'!L41,VLOOKUP('Fuel Equipment'!L25,Dumpers!$C$3:$P$16,14,FALSE),"0"))),IF('Fuel Equipment'!L14='Fuel Equipment'!$D$53,IF('Fuel Equipment'!L26='Fuel Equipment DD'!L39,VLOOKUP('Fuel Equipment'!L25,Excavators!$C$4:$P$52,12,FALSE),IF('Fuel Equipment'!L26='Fuel Equipment DD'!L40,VLOOKUP('Fuel Equipment'!L25,Excavators!$C$4:$P$52,13,FALSE),IF('Fuel Equipment'!L26='Fuel Equipment DD'!L41,VLOOKUP('Fuel Equipment'!L25,Excavators!$C$4:$P$52,14,FALSE),"0"))),IF('Fuel Equipment'!L14='Fuel Equipment'!$D$54,IF('Fuel Equipment'!L26='Fuel Equipment DD'!L39,VLOOKUP('Fuel Equipment'!L25,Generators!$C$5:$K$60,7,FALSE),IF('Fuel Equipment'!L26='Fuel Equipment DD'!L40,VLOOKUP('Fuel Equipment'!L25,Generators!$C$5:$K$60,8,FALSE),IF('Fuel Equipment'!L26='Fuel Equipment DD'!L41,VLOOKUP('Fuel Equipment'!L25,Generators!$C$5:$K$60,9,FALSE),"0"))),IF('Fuel Equipment'!L14='Fuel Equipment'!$D$55,IF('Fuel Equipment'!L26='Fuel Equipment DD'!L39,VLOOKUP('Fuel Equipment'!L25,'Scissor Lifts'!$C$30:$K$36,9,FALSE),0)))))))</f>
        <v>0</v>
      </c>
      <c r="M44" s="118">
        <f>IF(AND(OR(M$25=0,M$25="NOT REQUIRED"),OR(M$26=0,M$26="NOT REQUIRED")),(IF(M$28&gt;0,M$28,IF(AND(M$30&gt;0,M$31&gt;0),(M$30*M$31)/M$43,IF(M$33&gt;0,M$33/M$43,0)))),IF(M14=$D$51,(IF(M$28&gt;0,M$28,IF(AND(M$30&gt;0,M$31&gt;0),(M$30*M$31)/M$43,IF(M$33&gt;0,M$33/M$43,0)))),IF(M14=$D$52,IF(M26='Fuel Equipment DD'!M39,VLOOKUP('Fuel Equipment'!M25,Dumpers!$C$3:$P$16,12,FALSE),IF(M26='Fuel Equipment DD'!M40,VLOOKUP('Fuel Equipment'!M25,Dumpers!$C$3:$P$16,13,FALSE),IF(M26='Fuel Equipment DD'!M41,VLOOKUP('Fuel Equipment'!M25,Dumpers!$C$3:$P$16,14,FALSE),"0"))),IF('Fuel Equipment'!M14='Fuel Equipment'!$D$53,IF('Fuel Equipment'!M26='Fuel Equipment DD'!M39,VLOOKUP('Fuel Equipment'!M25,Excavators!$C$4:$P$52,12,FALSE),IF('Fuel Equipment'!M26='Fuel Equipment DD'!M40,VLOOKUP('Fuel Equipment'!M25,Excavators!$C$4:$P$52,13,FALSE),IF('Fuel Equipment'!M26='Fuel Equipment DD'!M41,VLOOKUP('Fuel Equipment'!M25,Excavators!$C$4:$P$52,14,FALSE),"0"))),IF('Fuel Equipment'!M14='Fuel Equipment'!$D$54,IF('Fuel Equipment'!M26='Fuel Equipment DD'!M39,VLOOKUP('Fuel Equipment'!M25,Generators!$C$5:$K$60,7,FALSE),IF('Fuel Equipment'!M26='Fuel Equipment DD'!M40,VLOOKUP('Fuel Equipment'!M25,Generators!$C$5:$K$60,8,FALSE),IF('Fuel Equipment'!M26='Fuel Equipment DD'!M41,VLOOKUP('Fuel Equipment'!M25,Generators!$C$5:$K$60,9,FALSE),"0"))),IF('Fuel Equipment'!M14='Fuel Equipment'!$D$55,IF('Fuel Equipment'!M26='Fuel Equipment DD'!M39,VLOOKUP('Fuel Equipment'!M25,'Scissor Lifts'!$C$30:$K$36,9,FALSE),0)))))))</f>
        <v>0</v>
      </c>
      <c r="N44" s="118">
        <f>IF(AND(OR(N$25=0,N$25="NOT REQUIRED"),OR(N$26=0,N$26="NOT REQUIRED")),(IF(N$28&gt;0,N$28,IF(AND(N$30&gt;0,N$31&gt;0),(N$30*N$31)/N$43,IF(N$33&gt;0,N$33/N$43,0)))),IF(N14=$D$51,(IF(N$28&gt;0,N$28,IF(AND(N$30&gt;0,N$31&gt;0),(N$30*N$31)/N$43,IF(N$33&gt;0,N$33/N$43,0)))),IF(N14=$D$52,IF(N26='Fuel Equipment DD'!N39,VLOOKUP('Fuel Equipment'!N25,Dumpers!$C$3:$P$16,12,FALSE),IF(N26='Fuel Equipment DD'!N40,VLOOKUP('Fuel Equipment'!N25,Dumpers!$C$3:$P$16,13,FALSE),IF(N26='Fuel Equipment DD'!N41,VLOOKUP('Fuel Equipment'!N25,Dumpers!$C$3:$P$16,14,FALSE),"0"))),IF('Fuel Equipment'!N14='Fuel Equipment'!$D$53,IF('Fuel Equipment'!N26='Fuel Equipment DD'!N39,VLOOKUP('Fuel Equipment'!N25,Excavators!$C$4:$P$52,12,FALSE),IF('Fuel Equipment'!N26='Fuel Equipment DD'!N40,VLOOKUP('Fuel Equipment'!N25,Excavators!$C$4:$P$52,13,FALSE),IF('Fuel Equipment'!N26='Fuel Equipment DD'!N41,VLOOKUP('Fuel Equipment'!N25,Excavators!$C$4:$P$52,14,FALSE),"0"))),IF('Fuel Equipment'!N14='Fuel Equipment'!$D$54,IF('Fuel Equipment'!N26='Fuel Equipment DD'!N39,VLOOKUP('Fuel Equipment'!N25,Generators!$C$5:$K$60,7,FALSE),IF('Fuel Equipment'!N26='Fuel Equipment DD'!N40,VLOOKUP('Fuel Equipment'!N25,Generators!$C$5:$K$60,8,FALSE),IF('Fuel Equipment'!N26='Fuel Equipment DD'!N41,VLOOKUP('Fuel Equipment'!N25,Generators!$C$5:$K$60,9,FALSE),"0"))),IF('Fuel Equipment'!N14='Fuel Equipment'!$D$55,IF('Fuel Equipment'!N26='Fuel Equipment DD'!N39,VLOOKUP('Fuel Equipment'!N25,'Scissor Lifts'!$C$30:$K$36,9,FALSE),0)))))))</f>
        <v>0</v>
      </c>
      <c r="O44" s="118">
        <f>IF(AND(OR(O$25=0,O$25="NOT REQUIRED"),OR(O$26=0,O$26="NOT REQUIRED")),(IF(O$28&gt;0,O$28,IF(AND(O$30&gt;0,O$31&gt;0),(O$30*O$31)/O$43,IF(O$33&gt;0,O$33/O$43,0)))),IF(O14=$D$51,(IF(O$28&gt;0,O$28,IF(AND(O$30&gt;0,O$31&gt;0),(O$30*O$31)/O$43,IF(O$33&gt;0,O$33/O$43,0)))),IF(O14=$D$52,IF(O26='Fuel Equipment DD'!O39,VLOOKUP('Fuel Equipment'!O25,Dumpers!$C$3:$P$16,12,FALSE),IF(O26='Fuel Equipment DD'!O40,VLOOKUP('Fuel Equipment'!O25,Dumpers!$C$3:$P$16,13,FALSE),IF(O26='Fuel Equipment DD'!O41,VLOOKUP('Fuel Equipment'!O25,Dumpers!$C$3:$P$16,14,FALSE),"0"))),IF('Fuel Equipment'!O14='Fuel Equipment'!$D$53,IF('Fuel Equipment'!O26='Fuel Equipment DD'!O39,VLOOKUP('Fuel Equipment'!O25,Excavators!$C$4:$P$52,12,FALSE),IF('Fuel Equipment'!O26='Fuel Equipment DD'!O40,VLOOKUP('Fuel Equipment'!O25,Excavators!$C$4:$P$52,13,FALSE),IF('Fuel Equipment'!O26='Fuel Equipment DD'!O41,VLOOKUP('Fuel Equipment'!O25,Excavators!$C$4:$P$52,14,FALSE),"0"))),IF('Fuel Equipment'!O14='Fuel Equipment'!$D$54,IF('Fuel Equipment'!O26='Fuel Equipment DD'!O39,VLOOKUP('Fuel Equipment'!O25,Generators!$C$5:$K$60,7,FALSE),IF('Fuel Equipment'!O26='Fuel Equipment DD'!O40,VLOOKUP('Fuel Equipment'!O25,Generators!$C$5:$K$60,8,FALSE),IF('Fuel Equipment'!O26='Fuel Equipment DD'!O41,VLOOKUP('Fuel Equipment'!O25,Generators!$C$5:$K$60,9,FALSE),"0"))),IF('Fuel Equipment'!O14='Fuel Equipment'!$D$55,IF('Fuel Equipment'!O26='Fuel Equipment DD'!O39,VLOOKUP('Fuel Equipment'!O25,'Scissor Lifts'!$C$30:$K$36,9,FALSE),0)))))))</f>
        <v>0</v>
      </c>
      <c r="P44" s="118">
        <f>IF(AND(OR(P$25=0,P$25="NOT REQUIRED"),OR(P$26=0,P$26="NOT REQUIRED")),(IF(P$28&gt;0,P$28,IF(AND(P$30&gt;0,P$31&gt;0),(P$30*P$31)/P$43,IF(P$33&gt;0,P$33/P$43,0)))),IF(P14=$D$51,(IF(P$28&gt;0,P$28,IF(AND(P$30&gt;0,P$31&gt;0),(P$30*P$31)/P$43,IF(P$33&gt;0,P$33/P$43,0)))),IF(P14=$D$52,IF(P26='Fuel Equipment DD'!P39,VLOOKUP('Fuel Equipment'!P25,Dumpers!$C$3:$P$16,12,FALSE),IF(P26='Fuel Equipment DD'!P40,VLOOKUP('Fuel Equipment'!P25,Dumpers!$C$3:$P$16,13,FALSE),IF(P26='Fuel Equipment DD'!P41,VLOOKUP('Fuel Equipment'!P25,Dumpers!$C$3:$P$16,14,FALSE),"0"))),IF('Fuel Equipment'!P14='Fuel Equipment'!$D$53,IF('Fuel Equipment'!P26='Fuel Equipment DD'!P39,VLOOKUP('Fuel Equipment'!P25,Excavators!$C$4:$P$52,12,FALSE),IF('Fuel Equipment'!P26='Fuel Equipment DD'!P40,VLOOKUP('Fuel Equipment'!P25,Excavators!$C$4:$P$52,13,FALSE),IF('Fuel Equipment'!P26='Fuel Equipment DD'!P41,VLOOKUP('Fuel Equipment'!P25,Excavators!$C$4:$P$52,14,FALSE),"0"))),IF('Fuel Equipment'!P14='Fuel Equipment'!$D$54,IF('Fuel Equipment'!P26='Fuel Equipment DD'!P39,VLOOKUP('Fuel Equipment'!P25,Generators!$C$5:$K$60,7,FALSE),IF('Fuel Equipment'!P26='Fuel Equipment DD'!P40,VLOOKUP('Fuel Equipment'!P25,Generators!$C$5:$K$60,8,FALSE),IF('Fuel Equipment'!P26='Fuel Equipment DD'!P41,VLOOKUP('Fuel Equipment'!P25,Generators!$C$5:$K$60,9,FALSE),"0"))),IF('Fuel Equipment'!P14='Fuel Equipment'!$D$55,IF('Fuel Equipment'!P26='Fuel Equipment DD'!P39,VLOOKUP('Fuel Equipment'!P25,'Scissor Lifts'!$C$30:$K$36,9,FALSE),0)))))))</f>
        <v>0</v>
      </c>
      <c r="Q44" s="118">
        <f>IF(AND(OR(Q$25=0,Q$25="NOT REQUIRED"),OR(Q$26=0,Q$26="NOT REQUIRED")),(IF(Q$28&gt;0,Q$28,IF(AND(Q$30&gt;0,Q$31&gt;0),(Q$30*Q$31)/Q$43,IF(Q$33&gt;0,Q$33/Q$43,0)))),IF(Q14=$D$51,(IF(Q$28&gt;0,Q$28,IF(AND(Q$30&gt;0,Q$31&gt;0),(Q$30*Q$31)/Q$43,IF(Q$33&gt;0,Q$33/Q$43,0)))),IF(Q14=$D$52,IF(Q26='Fuel Equipment DD'!Q39,VLOOKUP('Fuel Equipment'!Q25,Dumpers!$C$3:$P$16,12,FALSE),IF(Q26='Fuel Equipment DD'!Q40,VLOOKUP('Fuel Equipment'!Q25,Dumpers!$C$3:$P$16,13,FALSE),IF(Q26='Fuel Equipment DD'!Q41,VLOOKUP('Fuel Equipment'!Q25,Dumpers!$C$3:$P$16,14,FALSE),"0"))),IF('Fuel Equipment'!Q14='Fuel Equipment'!$D$53,IF('Fuel Equipment'!Q26='Fuel Equipment DD'!Q39,VLOOKUP('Fuel Equipment'!Q25,Excavators!$C$4:$P$52,12,FALSE),IF('Fuel Equipment'!Q26='Fuel Equipment DD'!Q40,VLOOKUP('Fuel Equipment'!Q25,Excavators!$C$4:$P$52,13,FALSE),IF('Fuel Equipment'!Q26='Fuel Equipment DD'!Q41,VLOOKUP('Fuel Equipment'!Q25,Excavators!$C$4:$P$52,14,FALSE),"0"))),IF('Fuel Equipment'!Q14='Fuel Equipment'!$D$54,IF('Fuel Equipment'!Q26='Fuel Equipment DD'!Q39,VLOOKUP('Fuel Equipment'!Q25,Generators!$C$5:$K$60,7,FALSE),IF('Fuel Equipment'!Q26='Fuel Equipment DD'!Q40,VLOOKUP('Fuel Equipment'!Q25,Generators!$C$5:$K$60,8,FALSE),IF('Fuel Equipment'!Q26='Fuel Equipment DD'!Q41,VLOOKUP('Fuel Equipment'!Q25,Generators!$C$5:$K$60,9,FALSE),"0"))),IF('Fuel Equipment'!Q14='Fuel Equipment'!$D$55,IF('Fuel Equipment'!Q26='Fuel Equipment DD'!Q39,VLOOKUP('Fuel Equipment'!Q25,'Scissor Lifts'!$C$30:$K$36,9,FALSE),0)))))))</f>
        <v>0</v>
      </c>
      <c r="R44" s="118">
        <f>IF(AND(OR(R$25=0,R$25="NOT REQUIRED"),OR(R$26=0,R$26="NOT REQUIRED")),(IF(R$28&gt;0,R$28,IF(AND(R$30&gt;0,R$31&gt;0),(R$30*R$31)/R$43,IF(R$33&gt;0,R$33/R$43,0)))),IF(R14=$D$51,(IF(R$28&gt;0,R$28,IF(AND(R$30&gt;0,R$31&gt;0),(R$30*R$31)/R$43,IF(R$33&gt;0,R$33/R$43,0)))),IF(R14=$D$52,IF(R26='Fuel Equipment DD'!R39,VLOOKUP('Fuel Equipment'!R25,Dumpers!$C$3:$P$16,12,FALSE),IF(R26='Fuel Equipment DD'!R40,VLOOKUP('Fuel Equipment'!R25,Dumpers!$C$3:$P$16,13,FALSE),IF(R26='Fuel Equipment DD'!R41,VLOOKUP('Fuel Equipment'!R25,Dumpers!$C$3:$P$16,14,FALSE),"0"))),IF('Fuel Equipment'!R14='Fuel Equipment'!$D$53,IF('Fuel Equipment'!R26='Fuel Equipment DD'!R39,VLOOKUP('Fuel Equipment'!R25,Excavators!$C$4:$P$52,12,FALSE),IF('Fuel Equipment'!R26='Fuel Equipment DD'!R40,VLOOKUP('Fuel Equipment'!R25,Excavators!$C$4:$P$52,13,FALSE),IF('Fuel Equipment'!R26='Fuel Equipment DD'!R41,VLOOKUP('Fuel Equipment'!R25,Excavators!$C$4:$P$52,14,FALSE),"0"))),IF('Fuel Equipment'!R14='Fuel Equipment'!$D$54,IF('Fuel Equipment'!R26='Fuel Equipment DD'!R39,VLOOKUP('Fuel Equipment'!R25,Generators!$C$5:$K$60,7,FALSE),IF('Fuel Equipment'!R26='Fuel Equipment DD'!R40,VLOOKUP('Fuel Equipment'!R25,Generators!$C$5:$K$60,8,FALSE),IF('Fuel Equipment'!R26='Fuel Equipment DD'!R41,VLOOKUP('Fuel Equipment'!R25,Generators!$C$5:$K$60,9,FALSE),"0"))),IF('Fuel Equipment'!R14='Fuel Equipment'!$D$55,IF('Fuel Equipment'!R26='Fuel Equipment DD'!R39,VLOOKUP('Fuel Equipment'!R25,'Scissor Lifts'!$C$30:$K$36,9,FALSE),0)))))))</f>
        <v>0</v>
      </c>
      <c r="S44" s="118">
        <f>IF(AND(OR(S$25=0,S$25="NOT REQUIRED"),OR(S$26=0,S$26="NOT REQUIRED")),(IF(S$28&gt;0,S$28,IF(AND(S$30&gt;0,S$31&gt;0),(S$30*S$31)/S$43,IF(S$33&gt;0,S$33/S$43,0)))),IF(S14=$D$51,(IF(S$28&gt;0,S$28,IF(AND(S$30&gt;0,S$31&gt;0),(S$30*S$31)/S$43,IF(S$33&gt;0,S$33/S$43,0)))),IF(S14=$D$52,IF(S26='Fuel Equipment DD'!S39,VLOOKUP('Fuel Equipment'!S25,Dumpers!$C$3:$P$16,12,FALSE),IF(S26='Fuel Equipment DD'!S40,VLOOKUP('Fuel Equipment'!S25,Dumpers!$C$3:$P$16,13,FALSE),IF(S26='Fuel Equipment DD'!S41,VLOOKUP('Fuel Equipment'!S25,Dumpers!$C$3:$P$16,14,FALSE),"0"))),IF('Fuel Equipment'!S14='Fuel Equipment'!$D$53,IF('Fuel Equipment'!S26='Fuel Equipment DD'!S39,VLOOKUP('Fuel Equipment'!S25,Excavators!$C$4:$P$52,12,FALSE),IF('Fuel Equipment'!S26='Fuel Equipment DD'!S40,VLOOKUP('Fuel Equipment'!S25,Excavators!$C$4:$P$52,13,FALSE),IF('Fuel Equipment'!S26='Fuel Equipment DD'!S41,VLOOKUP('Fuel Equipment'!S25,Excavators!$C$4:$P$52,14,FALSE),"0"))),IF('Fuel Equipment'!S14='Fuel Equipment'!$D$54,IF('Fuel Equipment'!S26='Fuel Equipment DD'!S39,VLOOKUP('Fuel Equipment'!S25,Generators!$C$5:$K$60,7,FALSE),IF('Fuel Equipment'!S26='Fuel Equipment DD'!S40,VLOOKUP('Fuel Equipment'!S25,Generators!$C$5:$K$60,8,FALSE),IF('Fuel Equipment'!S26='Fuel Equipment DD'!S41,VLOOKUP('Fuel Equipment'!S25,Generators!$C$5:$K$60,9,FALSE),"0"))),IF('Fuel Equipment'!S14='Fuel Equipment'!$D$55,IF('Fuel Equipment'!S26='Fuel Equipment DD'!S39,VLOOKUP('Fuel Equipment'!S25,'Scissor Lifts'!$C$30:$K$36,9,FALSE),0)))))))</f>
        <v>0</v>
      </c>
      <c r="T44" s="87"/>
      <c r="U44" s="87"/>
      <c r="V44" s="87"/>
      <c r="W44" s="87"/>
      <c r="X44" s="87"/>
      <c r="Y44" s="87"/>
      <c r="Z44" s="87"/>
    </row>
    <row r="45" spans="1:26" ht="15.75">
      <c r="A45" s="87" t="s">
        <v>778</v>
      </c>
      <c r="B45" s="118">
        <f>IF(B46&gt;B44,B46,('Fuel Equipment'!B$44/(1-'Fuel Equipment'!B$37)))</f>
        <v>14.823529411764707</v>
      </c>
      <c r="C45" s="118">
        <f>IF(C46&gt;C44,C46,('Fuel Equipment'!C$44/(1-'Fuel Equipment'!C$37)))</f>
        <v>13.978494623655916</v>
      </c>
      <c r="D45" s="118">
        <f>IF(D46&gt;D44,D46,('Fuel Equipment'!D$44/(1-'Fuel Equipment'!D$37)))</f>
        <v>33.799999999999997</v>
      </c>
      <c r="E45" s="118">
        <f>IF(E46&gt;E44,E46,('Fuel Equipment'!E$44/(1-'Fuel Equipment'!E$37)))</f>
        <v>14.444444444444445</v>
      </c>
      <c r="F45" s="118">
        <f>IF(F46&gt;F44,F46,('Fuel Equipment'!F$44/(1-'Fuel Equipment'!F$37)))</f>
        <v>0</v>
      </c>
      <c r="G45" s="118">
        <f>IF(G46&gt;G44,G46,('Fuel Equipment'!G$44/(1-'Fuel Equipment'!G$37)))</f>
        <v>0</v>
      </c>
      <c r="H45" s="118">
        <f>IF(H46&gt;H44,H46,('Fuel Equipment'!H$44/(1-'Fuel Equipment'!H$37)))</f>
        <v>0</v>
      </c>
      <c r="I45" s="118">
        <f>IF(I46&gt;I44,I46,('Fuel Equipment'!I$44/(1-'Fuel Equipment'!I$37)))</f>
        <v>0</v>
      </c>
      <c r="J45" s="118">
        <f>IF(J46&gt;J44,J46,('Fuel Equipment'!J$44/(1-'Fuel Equipment'!J$37)))</f>
        <v>0</v>
      </c>
      <c r="K45" s="118">
        <f>IF(K46&gt;K44,K46,('Fuel Equipment'!K$44/(1-'Fuel Equipment'!K$37)))</f>
        <v>0</v>
      </c>
      <c r="L45" s="118">
        <f>IF(L46&gt;L44,L46,('Fuel Equipment'!L$44/(1-'Fuel Equipment'!L$37)))</f>
        <v>0</v>
      </c>
      <c r="M45" s="118">
        <f>IF(M46&gt;M44,M46,('Fuel Equipment'!M$44/(1-'Fuel Equipment'!M$37)))</f>
        <v>0</v>
      </c>
      <c r="N45" s="118">
        <f>IF(N46&gt;N44,N46,('Fuel Equipment'!N$44/(1-'Fuel Equipment'!N$37)))</f>
        <v>0</v>
      </c>
      <c r="O45" s="118">
        <f>IF(O46&gt;O44,O46,('Fuel Equipment'!O$44/(1-'Fuel Equipment'!O$37)))</f>
        <v>0</v>
      </c>
      <c r="P45" s="118">
        <f>IF(P46&gt;P44,P46,('Fuel Equipment'!P$44/(1-'Fuel Equipment'!P$37)))</f>
        <v>0</v>
      </c>
      <c r="Q45" s="118">
        <f>IF(Q46&gt;Q44,Q46,('Fuel Equipment'!Q$44/(1-'Fuel Equipment'!Q$37)))</f>
        <v>0</v>
      </c>
      <c r="R45" s="118">
        <f>IF(R46&gt;R44,R46,('Fuel Equipment'!R$44/(1-'Fuel Equipment'!R$37)))</f>
        <v>0</v>
      </c>
      <c r="S45" s="118">
        <f>IF(S46&gt;S44,S46,('Fuel Equipment'!S$44/(1-'Fuel Equipment'!S$37)))</f>
        <v>0</v>
      </c>
      <c r="T45" s="87"/>
      <c r="U45" s="87"/>
      <c r="V45" s="87"/>
      <c r="W45" s="87"/>
      <c r="X45" s="87"/>
      <c r="Y45" s="87"/>
      <c r="Z45" s="87"/>
    </row>
    <row r="46" spans="1:26" s="179" customFormat="1" ht="15.75">
      <c r="A46" s="87" t="s">
        <v>812</v>
      </c>
      <c r="B46" s="480">
        <f>IF(AND(B14&gt;0,AND(B16&gt;0,AND(B26&gt;0,NOT(B26="NOT REQUIRED")))),IF(B14=$D$51,0,IF(B14=$D$52,IF(B26='Fuel Equipment DD'!B45,VLOOKUP('Fuel Equipment'!B16,Dumpers!$C$3:$P$16,12,FALSE),IF(B26='Fuel Equipment DD'!B46,VLOOKUP('Fuel Equipment'!B16,Dumpers!$C$3:$P$16,13,FALSE),IF(B26='Fuel Equipment DD'!B47,VLOOKUP('Fuel Equipment'!B16,Dumpers!$C$3:$P$16,14,FALSE),"ERROR2"))),IF('Fuel Equipment'!B14='Fuel Equipment'!$D$53,IF('Fuel Equipment'!B26='Fuel Equipment DD'!B45,VLOOKUP('Fuel Equipment'!B16,Excavators!$C$4:$P$52,12,FALSE),IF('Fuel Equipment'!B26='Fuel Equipment DD'!B46,VLOOKUP('Fuel Equipment'!B16,Excavators!$C$4:$P$52,13,FALSE),IF('Fuel Equipment'!B26='Fuel Equipment DD'!B47,VLOOKUP('Fuel Equipment'!B16,Excavators!$C$4:$P$52,14,FALSE),"ERROR3"))),IF('Fuel Equipment'!B14='Fuel Equipment'!$D$54,IF('Fuel Equipment'!B26='Fuel Equipment DD'!B45,VLOOKUP('Fuel Equipment'!B16,Generators!$C$5:$K$60,7,FALSE),IF('Fuel Equipment'!B26='Fuel Equipment DD'!B46,VLOOKUP('Fuel Equipment'!B16,Generators!$C$5:$K$60,8,FALSE),IF('Fuel Equipment'!B26='Fuel Equipment DD'!B47,VLOOKUP('Fuel Equipment'!B16,Generators!$C$5:$K$60,9,FALSE),"ERROR4"))),IF('Fuel Equipment'!B14='Fuel Equipment'!$D$55,IF('Fuel Equipment'!B26='Fuel Equipment DD'!B39,VLOOKUP('Fuel Equipment'!B16,'Scissor Lifts'!$C$30:$K$36,9,FALSE),"ERROR1"),0))))),('Fuel Equipment'!B$44/(1-'Fuel Equipment'!B$37)))</f>
        <v>14.823529411764707</v>
      </c>
      <c r="C46" s="480">
        <f>IF(AND(C14&gt;0,AND(C16&gt;0,AND(C26&gt;0,NOT(C26="NOT REQUIRED")))),IF(C14=$D$51,0,IF(C14=$D$52,IF(C26='Fuel Equipment DD'!C45,VLOOKUP('Fuel Equipment'!C16,Dumpers!$C$3:$P$16,12,FALSE),IF(C26='Fuel Equipment DD'!C46,VLOOKUP('Fuel Equipment'!C16,Dumpers!$C$3:$P$16,13,FALSE),IF(C26='Fuel Equipment DD'!C47,VLOOKUP('Fuel Equipment'!C16,Dumpers!$C$3:$P$16,14,FALSE),"ERROR2"))),IF('Fuel Equipment'!C14='Fuel Equipment'!$D$53,IF('Fuel Equipment'!C26='Fuel Equipment DD'!C45,VLOOKUP('Fuel Equipment'!C16,Excavators!$C$4:$P$52,12,FALSE),IF('Fuel Equipment'!C26='Fuel Equipment DD'!C46,VLOOKUP('Fuel Equipment'!C16,Excavators!$C$4:$P$52,13,FALSE),IF('Fuel Equipment'!C26='Fuel Equipment DD'!C47,VLOOKUP('Fuel Equipment'!C16,Excavators!$C$4:$P$52,14,FALSE),"ERROR3"))),IF('Fuel Equipment'!C14='Fuel Equipment'!$D$54,IF('Fuel Equipment'!C26='Fuel Equipment DD'!C45,VLOOKUP('Fuel Equipment'!C16,Generators!$C$5:$K$60,7,FALSE),IF('Fuel Equipment'!C26='Fuel Equipment DD'!C46,VLOOKUP('Fuel Equipment'!C16,Generators!$C$5:$K$60,8,FALSE),IF('Fuel Equipment'!C26='Fuel Equipment DD'!C47,VLOOKUP('Fuel Equipment'!C16,Generators!$C$5:$K$60,9,FALSE),"ERROR4"))),IF('Fuel Equipment'!C14='Fuel Equipment'!$D$55,IF('Fuel Equipment'!C26='Fuel Equipment DD'!C39,VLOOKUP('Fuel Equipment'!C16,'Scissor Lifts'!$C$30:$K$36,9,FALSE),"ERROR1"),0))))),('Fuel Equipment'!C$44/(1-'Fuel Equipment'!C$37)))</f>
        <v>13.978494623655916</v>
      </c>
      <c r="D46" s="480">
        <f>IF(AND(D14&gt;0,AND(D16&gt;0,AND(D26&gt;0,NOT(D26="NOT REQUIRED")))),IF(D14=$D$51,0,IF(D14=$D$52,IF(D26='Fuel Equipment DD'!D45,VLOOKUP('Fuel Equipment'!D16,Dumpers!$C$3:$P$16,12,FALSE),IF(D26='Fuel Equipment DD'!D46,VLOOKUP('Fuel Equipment'!D16,Dumpers!$C$3:$P$16,13,FALSE),IF(D26='Fuel Equipment DD'!D47,VLOOKUP('Fuel Equipment'!D16,Dumpers!$C$3:$P$16,14,FALSE),"ERROR2"))),IF('Fuel Equipment'!D14='Fuel Equipment'!$D$53,IF('Fuel Equipment'!D26='Fuel Equipment DD'!D45,VLOOKUP('Fuel Equipment'!D16,Excavators!$C$4:$P$52,12,FALSE),IF('Fuel Equipment'!D26='Fuel Equipment DD'!D46,VLOOKUP('Fuel Equipment'!D16,Excavators!$C$4:$P$52,13,FALSE),IF('Fuel Equipment'!D26='Fuel Equipment DD'!D47,VLOOKUP('Fuel Equipment'!D16,Excavators!$C$4:$P$52,14,FALSE),"ERROR3"))),IF('Fuel Equipment'!D14='Fuel Equipment'!$D$54,IF('Fuel Equipment'!D26='Fuel Equipment DD'!D45,VLOOKUP('Fuel Equipment'!D16,Generators!$C$5:$K$60,7,FALSE),IF('Fuel Equipment'!D26='Fuel Equipment DD'!D46,VLOOKUP('Fuel Equipment'!D16,Generators!$C$5:$K$60,8,FALSE),IF('Fuel Equipment'!D26='Fuel Equipment DD'!D47,VLOOKUP('Fuel Equipment'!D16,Generators!$C$5:$K$60,9,FALSE),"ERROR4"))),IF('Fuel Equipment'!D14='Fuel Equipment'!$D$55,IF('Fuel Equipment'!D26='Fuel Equipment DD'!D39,VLOOKUP('Fuel Equipment'!D16,'Scissor Lifts'!$C$30:$K$36,9,FALSE),"ERROR1"),0))))),('Fuel Equipment'!D$44/(1-'Fuel Equipment'!D$37)))</f>
        <v>33.799999999999997</v>
      </c>
      <c r="E46" s="480">
        <f>IF(AND(E14&gt;0,AND(E16&gt;0,AND(E26&gt;0,NOT(E26="NOT REQUIRED")))),IF(E14=$D$51,0,IF(E14=$D$52,IF(E26='Fuel Equipment DD'!E45,VLOOKUP('Fuel Equipment'!E16,Dumpers!$C$3:$P$16,12,FALSE),IF(E26='Fuel Equipment DD'!E46,VLOOKUP('Fuel Equipment'!E16,Dumpers!$C$3:$P$16,13,FALSE),IF(E26='Fuel Equipment DD'!E47,VLOOKUP('Fuel Equipment'!E16,Dumpers!$C$3:$P$16,14,FALSE),"ERROR2"))),IF('Fuel Equipment'!E14='Fuel Equipment'!$D$53,IF('Fuel Equipment'!E26='Fuel Equipment DD'!E45,VLOOKUP('Fuel Equipment'!E16,Excavators!$C$4:$P$52,12,FALSE),IF('Fuel Equipment'!E26='Fuel Equipment DD'!E46,VLOOKUP('Fuel Equipment'!E16,Excavators!$C$4:$P$52,13,FALSE),IF('Fuel Equipment'!E26='Fuel Equipment DD'!E47,VLOOKUP('Fuel Equipment'!E16,Excavators!$C$4:$P$52,14,FALSE),"ERROR3"))),IF('Fuel Equipment'!E14='Fuel Equipment'!$D$54,IF('Fuel Equipment'!E26='Fuel Equipment DD'!E45,VLOOKUP('Fuel Equipment'!E16,Generators!$C$5:$K$60,7,FALSE),IF('Fuel Equipment'!E26='Fuel Equipment DD'!E46,VLOOKUP('Fuel Equipment'!E16,Generators!$C$5:$K$60,8,FALSE),IF('Fuel Equipment'!E26='Fuel Equipment DD'!E47,VLOOKUP('Fuel Equipment'!E16,Generators!$C$5:$K$60,9,FALSE),"ERROR4"))),IF('Fuel Equipment'!E14='Fuel Equipment'!$D$55,IF('Fuel Equipment'!E26='Fuel Equipment DD'!E39,VLOOKUP('Fuel Equipment'!E16,'Scissor Lifts'!$C$30:$K$36,9,FALSE),"ERROR1"),0))))),('Fuel Equipment'!E$44/(1-'Fuel Equipment'!E$37)))</f>
        <v>14.444444444444445</v>
      </c>
      <c r="F46" s="480">
        <f>IF(AND(F14&gt;0,AND(F16&gt;0,AND(F26&gt;0,NOT(F26="NOT REQUIRED")))),IF(F14=$D$51,0,IF(F14=$D$52,IF(F26='Fuel Equipment DD'!F45,VLOOKUP('Fuel Equipment'!F16,Dumpers!$C$3:$P$16,12,FALSE),IF(F26='Fuel Equipment DD'!F46,VLOOKUP('Fuel Equipment'!F16,Dumpers!$C$3:$P$16,13,FALSE),IF(F26='Fuel Equipment DD'!F47,VLOOKUP('Fuel Equipment'!F16,Dumpers!$C$3:$P$16,14,FALSE),"ERROR2"))),IF('Fuel Equipment'!F14='Fuel Equipment'!$D$53,IF('Fuel Equipment'!F26='Fuel Equipment DD'!F45,VLOOKUP('Fuel Equipment'!F16,Excavators!$C$4:$P$52,12,FALSE),IF('Fuel Equipment'!F26='Fuel Equipment DD'!F46,VLOOKUP('Fuel Equipment'!F16,Excavators!$C$4:$P$52,13,FALSE),IF('Fuel Equipment'!F26='Fuel Equipment DD'!F47,VLOOKUP('Fuel Equipment'!F16,Excavators!$C$4:$P$52,14,FALSE),"ERROR3"))),IF('Fuel Equipment'!F14='Fuel Equipment'!$D$54,IF('Fuel Equipment'!F26='Fuel Equipment DD'!F45,VLOOKUP('Fuel Equipment'!F16,Generators!$C$5:$K$60,7,FALSE),IF('Fuel Equipment'!F26='Fuel Equipment DD'!F46,VLOOKUP('Fuel Equipment'!F16,Generators!$C$5:$K$60,8,FALSE),IF('Fuel Equipment'!F26='Fuel Equipment DD'!F47,VLOOKUP('Fuel Equipment'!F16,Generators!$C$5:$K$60,9,FALSE),"ERROR4"))),IF('Fuel Equipment'!F14='Fuel Equipment'!$D$55,IF('Fuel Equipment'!F26='Fuel Equipment DD'!F39,VLOOKUP('Fuel Equipment'!F16,'Scissor Lifts'!$C$30:$K$36,9,FALSE),"ERROR1"),0))))),('Fuel Equipment'!F$44/(1-'Fuel Equipment'!F$37)))</f>
        <v>0</v>
      </c>
      <c r="G46" s="480">
        <f>IF(AND(G14&gt;0,AND(G16&gt;0,AND(G26&gt;0,NOT(G26="NOT REQUIRED")))),IF(G14=$D$51,0,IF(G14=$D$52,IF(G26='Fuel Equipment DD'!G45,VLOOKUP('Fuel Equipment'!G16,Dumpers!$C$3:$P$16,12,FALSE),IF(G26='Fuel Equipment DD'!G46,VLOOKUP('Fuel Equipment'!G16,Dumpers!$C$3:$P$16,13,FALSE),IF(G26='Fuel Equipment DD'!G47,VLOOKUP('Fuel Equipment'!G16,Dumpers!$C$3:$P$16,14,FALSE),"ERROR2"))),IF('Fuel Equipment'!G14='Fuel Equipment'!$D$53,IF('Fuel Equipment'!G26='Fuel Equipment DD'!G45,VLOOKUP('Fuel Equipment'!G16,Excavators!$C$4:$P$52,12,FALSE),IF('Fuel Equipment'!G26='Fuel Equipment DD'!G46,VLOOKUP('Fuel Equipment'!G16,Excavators!$C$4:$P$52,13,FALSE),IF('Fuel Equipment'!G26='Fuel Equipment DD'!G47,VLOOKUP('Fuel Equipment'!G16,Excavators!$C$4:$P$52,14,FALSE),"ERROR3"))),IF('Fuel Equipment'!G14='Fuel Equipment'!$D$54,IF('Fuel Equipment'!G26='Fuel Equipment DD'!G45,VLOOKUP('Fuel Equipment'!G16,Generators!$C$5:$K$60,7,FALSE),IF('Fuel Equipment'!G26='Fuel Equipment DD'!G46,VLOOKUP('Fuel Equipment'!G16,Generators!$C$5:$K$60,8,FALSE),IF('Fuel Equipment'!G26='Fuel Equipment DD'!G47,VLOOKUP('Fuel Equipment'!G16,Generators!$C$5:$K$60,9,FALSE),"ERROR4"))),IF('Fuel Equipment'!G14='Fuel Equipment'!$D$55,IF('Fuel Equipment'!G26='Fuel Equipment DD'!G39,VLOOKUP('Fuel Equipment'!G16,'Scissor Lifts'!$C$30:$K$36,9,FALSE),"ERROR1"),0))))),('Fuel Equipment'!G$44/(1-'Fuel Equipment'!G$37)))</f>
        <v>0</v>
      </c>
      <c r="H46" s="480">
        <f>IF(AND(H14&gt;0,AND(H16&gt;0,AND(H26&gt;0,NOT(H26="NOT REQUIRED")))),IF(H14=$D$51,0,IF(H14=$D$52,IF(H26='Fuel Equipment DD'!H45,VLOOKUP('Fuel Equipment'!H16,Dumpers!$C$3:$P$16,12,FALSE),IF(H26='Fuel Equipment DD'!H46,VLOOKUP('Fuel Equipment'!H16,Dumpers!$C$3:$P$16,13,FALSE),IF(H26='Fuel Equipment DD'!H47,VLOOKUP('Fuel Equipment'!H16,Dumpers!$C$3:$P$16,14,FALSE),"ERROR2"))),IF('Fuel Equipment'!H14='Fuel Equipment'!$D$53,IF('Fuel Equipment'!H26='Fuel Equipment DD'!H45,VLOOKUP('Fuel Equipment'!H16,Excavators!$C$4:$P$52,12,FALSE),IF('Fuel Equipment'!H26='Fuel Equipment DD'!H46,VLOOKUP('Fuel Equipment'!H16,Excavators!$C$4:$P$52,13,FALSE),IF('Fuel Equipment'!H26='Fuel Equipment DD'!H47,VLOOKUP('Fuel Equipment'!H16,Excavators!$C$4:$P$52,14,FALSE),"ERROR3"))),IF('Fuel Equipment'!H14='Fuel Equipment'!$D$54,IF('Fuel Equipment'!H26='Fuel Equipment DD'!H45,VLOOKUP('Fuel Equipment'!H16,Generators!$C$5:$K$60,7,FALSE),IF('Fuel Equipment'!H26='Fuel Equipment DD'!H46,VLOOKUP('Fuel Equipment'!H16,Generators!$C$5:$K$60,8,FALSE),IF('Fuel Equipment'!H26='Fuel Equipment DD'!H47,VLOOKUP('Fuel Equipment'!H16,Generators!$C$5:$K$60,9,FALSE),"ERROR4"))),IF('Fuel Equipment'!H14='Fuel Equipment'!$D$55,IF('Fuel Equipment'!H26='Fuel Equipment DD'!H39,VLOOKUP('Fuel Equipment'!H16,'Scissor Lifts'!$C$30:$K$36,9,FALSE),"ERROR1"),0))))),('Fuel Equipment'!H$44/(1-'Fuel Equipment'!H$37)))</f>
        <v>0</v>
      </c>
      <c r="I46" s="480">
        <f>IF(AND(I14&gt;0,AND(I16&gt;0,AND(I26&gt;0,NOT(I26="NOT REQUIRED")))),IF(I14=$D$51,0,IF(I14=$D$52,IF(I26='Fuel Equipment DD'!I45,VLOOKUP('Fuel Equipment'!I16,Dumpers!$C$3:$P$16,12,FALSE),IF(I26='Fuel Equipment DD'!I46,VLOOKUP('Fuel Equipment'!I16,Dumpers!$C$3:$P$16,13,FALSE),IF(I26='Fuel Equipment DD'!I47,VLOOKUP('Fuel Equipment'!I16,Dumpers!$C$3:$P$16,14,FALSE),"ERROR2"))),IF('Fuel Equipment'!I14='Fuel Equipment'!$D$53,IF('Fuel Equipment'!I26='Fuel Equipment DD'!I45,VLOOKUP('Fuel Equipment'!I16,Excavators!$C$4:$P$52,12,FALSE),IF('Fuel Equipment'!I26='Fuel Equipment DD'!I46,VLOOKUP('Fuel Equipment'!I16,Excavators!$C$4:$P$52,13,FALSE),IF('Fuel Equipment'!I26='Fuel Equipment DD'!I47,VLOOKUP('Fuel Equipment'!I16,Excavators!$C$4:$P$52,14,FALSE),"ERROR3"))),IF('Fuel Equipment'!I14='Fuel Equipment'!$D$54,IF('Fuel Equipment'!I26='Fuel Equipment DD'!I45,VLOOKUP('Fuel Equipment'!I16,Generators!$C$5:$K$60,7,FALSE),IF('Fuel Equipment'!I26='Fuel Equipment DD'!I46,VLOOKUP('Fuel Equipment'!I16,Generators!$C$5:$K$60,8,FALSE),IF('Fuel Equipment'!I26='Fuel Equipment DD'!I47,VLOOKUP('Fuel Equipment'!I16,Generators!$C$5:$K$60,9,FALSE),"ERROR4"))),IF('Fuel Equipment'!I14='Fuel Equipment'!$D$55,IF('Fuel Equipment'!I26='Fuel Equipment DD'!I39,VLOOKUP('Fuel Equipment'!I16,'Scissor Lifts'!$C$30:$K$36,9,FALSE),"ERROR1"),0))))),('Fuel Equipment'!I$44/(1-'Fuel Equipment'!I$37)))</f>
        <v>0</v>
      </c>
      <c r="J46" s="480">
        <f>IF(AND(J14&gt;0,AND(J16&gt;0,AND(J26&gt;0,NOT(J26="NOT REQUIRED")))),IF(J14=$D$51,0,IF(J14=$D$52,IF(J26='Fuel Equipment DD'!J45,VLOOKUP('Fuel Equipment'!J16,Dumpers!$C$3:$P$16,12,FALSE),IF(J26='Fuel Equipment DD'!J46,VLOOKUP('Fuel Equipment'!J16,Dumpers!$C$3:$P$16,13,FALSE),IF(J26='Fuel Equipment DD'!J47,VLOOKUP('Fuel Equipment'!J16,Dumpers!$C$3:$P$16,14,FALSE),"ERROR2"))),IF('Fuel Equipment'!J14='Fuel Equipment'!$D$53,IF('Fuel Equipment'!J26='Fuel Equipment DD'!J45,VLOOKUP('Fuel Equipment'!J16,Excavators!$C$4:$P$52,12,FALSE),IF('Fuel Equipment'!J26='Fuel Equipment DD'!J46,VLOOKUP('Fuel Equipment'!J16,Excavators!$C$4:$P$52,13,FALSE),IF('Fuel Equipment'!J26='Fuel Equipment DD'!J47,VLOOKUP('Fuel Equipment'!J16,Excavators!$C$4:$P$52,14,FALSE),"ERROR3"))),IF('Fuel Equipment'!J14='Fuel Equipment'!$D$54,IF('Fuel Equipment'!J26='Fuel Equipment DD'!J45,VLOOKUP('Fuel Equipment'!J16,Generators!$C$5:$K$60,7,FALSE),IF('Fuel Equipment'!J26='Fuel Equipment DD'!J46,VLOOKUP('Fuel Equipment'!J16,Generators!$C$5:$K$60,8,FALSE),IF('Fuel Equipment'!J26='Fuel Equipment DD'!J47,VLOOKUP('Fuel Equipment'!J16,Generators!$C$5:$K$60,9,FALSE),"ERROR4"))),IF('Fuel Equipment'!J14='Fuel Equipment'!$D$55,IF('Fuel Equipment'!J26='Fuel Equipment DD'!J39,VLOOKUP('Fuel Equipment'!J16,'Scissor Lifts'!$C$30:$K$36,9,FALSE),"ERROR1"),0))))),('Fuel Equipment'!J$44/(1-'Fuel Equipment'!J$37)))</f>
        <v>0</v>
      </c>
      <c r="K46" s="480">
        <f>IF(AND(K14&gt;0,AND(K16&gt;0,AND(K26&gt;0,NOT(K26="NOT REQUIRED")))),IF(K14=$D$51,0,IF(K14=$D$52,IF(K26='Fuel Equipment DD'!K45,VLOOKUP('Fuel Equipment'!K16,Dumpers!$C$3:$P$16,12,FALSE),IF(K26='Fuel Equipment DD'!K46,VLOOKUP('Fuel Equipment'!K16,Dumpers!$C$3:$P$16,13,FALSE),IF(K26='Fuel Equipment DD'!K47,VLOOKUP('Fuel Equipment'!K16,Dumpers!$C$3:$P$16,14,FALSE),"ERROR2"))),IF('Fuel Equipment'!K14='Fuel Equipment'!$D$53,IF('Fuel Equipment'!K26='Fuel Equipment DD'!K45,VLOOKUP('Fuel Equipment'!K16,Excavators!$C$4:$P$52,12,FALSE),IF('Fuel Equipment'!K26='Fuel Equipment DD'!K46,VLOOKUP('Fuel Equipment'!K16,Excavators!$C$4:$P$52,13,FALSE),IF('Fuel Equipment'!K26='Fuel Equipment DD'!K47,VLOOKUP('Fuel Equipment'!K16,Excavators!$C$4:$P$52,14,FALSE),"ERROR3"))),IF('Fuel Equipment'!K14='Fuel Equipment'!$D$54,IF('Fuel Equipment'!K26='Fuel Equipment DD'!K45,VLOOKUP('Fuel Equipment'!K16,Generators!$C$5:$K$60,7,FALSE),IF('Fuel Equipment'!K26='Fuel Equipment DD'!K46,VLOOKUP('Fuel Equipment'!K16,Generators!$C$5:$K$60,8,FALSE),IF('Fuel Equipment'!K26='Fuel Equipment DD'!K47,VLOOKUP('Fuel Equipment'!K16,Generators!$C$5:$K$60,9,FALSE),"ERROR4"))),IF('Fuel Equipment'!K14='Fuel Equipment'!$D$55,IF('Fuel Equipment'!K26='Fuel Equipment DD'!K39,VLOOKUP('Fuel Equipment'!K16,'Scissor Lifts'!$C$30:$K$36,9,FALSE),"ERROR1"),0))))),('Fuel Equipment'!K$44/(1-'Fuel Equipment'!K$37)))</f>
        <v>0</v>
      </c>
      <c r="L46" s="480">
        <f>IF(AND(L14&gt;0,AND(L16&gt;0,AND(L26&gt;0,NOT(L26="NOT REQUIRED")))),IF(L14=$D$51,0,IF(L14=$D$52,IF(L26='Fuel Equipment DD'!L45,VLOOKUP('Fuel Equipment'!L16,Dumpers!$C$3:$P$16,12,FALSE),IF(L26='Fuel Equipment DD'!L46,VLOOKUP('Fuel Equipment'!L16,Dumpers!$C$3:$P$16,13,FALSE),IF(L26='Fuel Equipment DD'!L47,VLOOKUP('Fuel Equipment'!L16,Dumpers!$C$3:$P$16,14,FALSE),"ERROR2"))),IF('Fuel Equipment'!L14='Fuel Equipment'!$D$53,IF('Fuel Equipment'!L26='Fuel Equipment DD'!L45,VLOOKUP('Fuel Equipment'!L16,Excavators!$C$4:$P$52,12,FALSE),IF('Fuel Equipment'!L26='Fuel Equipment DD'!L46,VLOOKUP('Fuel Equipment'!L16,Excavators!$C$4:$P$52,13,FALSE),IF('Fuel Equipment'!L26='Fuel Equipment DD'!L47,VLOOKUP('Fuel Equipment'!L16,Excavators!$C$4:$P$52,14,FALSE),"ERROR3"))),IF('Fuel Equipment'!L14='Fuel Equipment'!$D$54,IF('Fuel Equipment'!L26='Fuel Equipment DD'!L45,VLOOKUP('Fuel Equipment'!L16,Generators!$C$5:$K$60,7,FALSE),IF('Fuel Equipment'!L26='Fuel Equipment DD'!L46,VLOOKUP('Fuel Equipment'!L16,Generators!$C$5:$K$60,8,FALSE),IF('Fuel Equipment'!L26='Fuel Equipment DD'!L47,VLOOKUP('Fuel Equipment'!L16,Generators!$C$5:$K$60,9,FALSE),"ERROR4"))),IF('Fuel Equipment'!L14='Fuel Equipment'!$D$55,IF('Fuel Equipment'!L26='Fuel Equipment DD'!L39,VLOOKUP('Fuel Equipment'!L16,'Scissor Lifts'!$C$30:$K$36,9,FALSE),"ERROR1"),0))))),('Fuel Equipment'!L$44/(1-'Fuel Equipment'!L$37)))</f>
        <v>0</v>
      </c>
      <c r="M46" s="480">
        <f>IF(AND(M14&gt;0,AND(M16&gt;0,AND(M26&gt;0,NOT(M26="NOT REQUIRED")))),IF(M14=$D$51,0,IF(M14=$D$52,IF(M26='Fuel Equipment DD'!M45,VLOOKUP('Fuel Equipment'!M16,Dumpers!$C$3:$P$16,12,FALSE),IF(M26='Fuel Equipment DD'!M46,VLOOKUP('Fuel Equipment'!M16,Dumpers!$C$3:$P$16,13,FALSE),IF(M26='Fuel Equipment DD'!M47,VLOOKUP('Fuel Equipment'!M16,Dumpers!$C$3:$P$16,14,FALSE),"ERROR2"))),IF('Fuel Equipment'!M14='Fuel Equipment'!$D$53,IF('Fuel Equipment'!M26='Fuel Equipment DD'!M45,VLOOKUP('Fuel Equipment'!M16,Excavators!$C$4:$P$52,12,FALSE),IF('Fuel Equipment'!M26='Fuel Equipment DD'!M46,VLOOKUP('Fuel Equipment'!M16,Excavators!$C$4:$P$52,13,FALSE),IF('Fuel Equipment'!M26='Fuel Equipment DD'!M47,VLOOKUP('Fuel Equipment'!M16,Excavators!$C$4:$P$52,14,FALSE),"ERROR3"))),IF('Fuel Equipment'!M14='Fuel Equipment'!$D$54,IF('Fuel Equipment'!M26='Fuel Equipment DD'!M45,VLOOKUP('Fuel Equipment'!M16,Generators!$C$5:$K$60,7,FALSE),IF('Fuel Equipment'!M26='Fuel Equipment DD'!M46,VLOOKUP('Fuel Equipment'!M16,Generators!$C$5:$K$60,8,FALSE),IF('Fuel Equipment'!M26='Fuel Equipment DD'!M47,VLOOKUP('Fuel Equipment'!M16,Generators!$C$5:$K$60,9,FALSE),"ERROR4"))),IF('Fuel Equipment'!M14='Fuel Equipment'!$D$55,IF('Fuel Equipment'!M26='Fuel Equipment DD'!M39,VLOOKUP('Fuel Equipment'!M16,'Scissor Lifts'!$C$30:$K$36,9,FALSE),"ERROR1"),0))))),('Fuel Equipment'!M$44/(1-'Fuel Equipment'!M$37)))</f>
        <v>0</v>
      </c>
      <c r="N46" s="480">
        <f>IF(AND(N14&gt;0,AND(N16&gt;0,AND(N26&gt;0,NOT(N26="NOT REQUIRED")))),IF(N14=$D$51,0,IF(N14=$D$52,IF(N26='Fuel Equipment DD'!N45,VLOOKUP('Fuel Equipment'!N16,Dumpers!$C$3:$P$16,12,FALSE),IF(N26='Fuel Equipment DD'!N46,VLOOKUP('Fuel Equipment'!N16,Dumpers!$C$3:$P$16,13,FALSE),IF(N26='Fuel Equipment DD'!N47,VLOOKUP('Fuel Equipment'!N16,Dumpers!$C$3:$P$16,14,FALSE),"ERROR2"))),IF('Fuel Equipment'!N14='Fuel Equipment'!$D$53,IF('Fuel Equipment'!N26='Fuel Equipment DD'!N45,VLOOKUP('Fuel Equipment'!N16,Excavators!$C$4:$P$52,12,FALSE),IF('Fuel Equipment'!N26='Fuel Equipment DD'!N46,VLOOKUP('Fuel Equipment'!N16,Excavators!$C$4:$P$52,13,FALSE),IF('Fuel Equipment'!N26='Fuel Equipment DD'!N47,VLOOKUP('Fuel Equipment'!N16,Excavators!$C$4:$P$52,14,FALSE),"ERROR3"))),IF('Fuel Equipment'!N14='Fuel Equipment'!$D$54,IF('Fuel Equipment'!N26='Fuel Equipment DD'!N45,VLOOKUP('Fuel Equipment'!N16,Generators!$C$5:$K$60,7,FALSE),IF('Fuel Equipment'!N26='Fuel Equipment DD'!N46,VLOOKUP('Fuel Equipment'!N16,Generators!$C$5:$K$60,8,FALSE),IF('Fuel Equipment'!N26='Fuel Equipment DD'!N47,VLOOKUP('Fuel Equipment'!N16,Generators!$C$5:$K$60,9,FALSE),"ERROR4"))),IF('Fuel Equipment'!N14='Fuel Equipment'!$D$55,IF('Fuel Equipment'!N26='Fuel Equipment DD'!N39,VLOOKUP('Fuel Equipment'!N16,'Scissor Lifts'!$C$30:$K$36,9,FALSE),"ERROR1"),0))))),('Fuel Equipment'!N$44/(1-'Fuel Equipment'!N$37)))</f>
        <v>0</v>
      </c>
      <c r="O46" s="480">
        <f>IF(AND(O14&gt;0,AND(O16&gt;0,AND(O26&gt;0,NOT(O26="NOT REQUIRED")))),IF(O14=$D$51,0,IF(O14=$D$52,IF(O26='Fuel Equipment DD'!O45,VLOOKUP('Fuel Equipment'!O16,Dumpers!$C$3:$P$16,12,FALSE),IF(O26='Fuel Equipment DD'!O46,VLOOKUP('Fuel Equipment'!O16,Dumpers!$C$3:$P$16,13,FALSE),IF(O26='Fuel Equipment DD'!O47,VLOOKUP('Fuel Equipment'!O16,Dumpers!$C$3:$P$16,14,FALSE),"ERROR2"))),IF('Fuel Equipment'!O14='Fuel Equipment'!$D$53,IF('Fuel Equipment'!O26='Fuel Equipment DD'!O45,VLOOKUP('Fuel Equipment'!O16,Excavators!$C$4:$P$52,12,FALSE),IF('Fuel Equipment'!O26='Fuel Equipment DD'!O46,VLOOKUP('Fuel Equipment'!O16,Excavators!$C$4:$P$52,13,FALSE),IF('Fuel Equipment'!O26='Fuel Equipment DD'!O47,VLOOKUP('Fuel Equipment'!O16,Excavators!$C$4:$P$52,14,FALSE),"ERROR3"))),IF('Fuel Equipment'!O14='Fuel Equipment'!$D$54,IF('Fuel Equipment'!O26='Fuel Equipment DD'!O45,VLOOKUP('Fuel Equipment'!O16,Generators!$C$5:$K$60,7,FALSE),IF('Fuel Equipment'!O26='Fuel Equipment DD'!O46,VLOOKUP('Fuel Equipment'!O16,Generators!$C$5:$K$60,8,FALSE),IF('Fuel Equipment'!O26='Fuel Equipment DD'!O47,VLOOKUP('Fuel Equipment'!O16,Generators!$C$5:$K$60,9,FALSE),"ERROR4"))),IF('Fuel Equipment'!O14='Fuel Equipment'!$D$55,IF('Fuel Equipment'!O26='Fuel Equipment DD'!O39,VLOOKUP('Fuel Equipment'!O16,'Scissor Lifts'!$C$30:$K$36,9,FALSE),"ERROR1"),0))))),('Fuel Equipment'!O$44/(1-'Fuel Equipment'!O$37)))</f>
        <v>0</v>
      </c>
      <c r="P46" s="480">
        <f>IF(AND(P14&gt;0,AND(P16&gt;0,AND(P26&gt;0,NOT(P26="NOT REQUIRED")))),IF(P14=$D$51,0,IF(P14=$D$52,IF(P26='Fuel Equipment DD'!P45,VLOOKUP('Fuel Equipment'!P16,Dumpers!$C$3:$P$16,12,FALSE),IF(P26='Fuel Equipment DD'!P46,VLOOKUP('Fuel Equipment'!P16,Dumpers!$C$3:$P$16,13,FALSE),IF(P26='Fuel Equipment DD'!P47,VLOOKUP('Fuel Equipment'!P16,Dumpers!$C$3:$P$16,14,FALSE),"ERROR2"))),IF('Fuel Equipment'!P14='Fuel Equipment'!$D$53,IF('Fuel Equipment'!P26='Fuel Equipment DD'!P45,VLOOKUP('Fuel Equipment'!P16,Excavators!$C$4:$P$52,12,FALSE),IF('Fuel Equipment'!P26='Fuel Equipment DD'!P46,VLOOKUP('Fuel Equipment'!P16,Excavators!$C$4:$P$52,13,FALSE),IF('Fuel Equipment'!P26='Fuel Equipment DD'!P47,VLOOKUP('Fuel Equipment'!P16,Excavators!$C$4:$P$52,14,FALSE),"ERROR3"))),IF('Fuel Equipment'!P14='Fuel Equipment'!$D$54,IF('Fuel Equipment'!P26='Fuel Equipment DD'!P45,VLOOKUP('Fuel Equipment'!P16,Generators!$C$5:$K$60,7,FALSE),IF('Fuel Equipment'!P26='Fuel Equipment DD'!P46,VLOOKUP('Fuel Equipment'!P16,Generators!$C$5:$K$60,8,FALSE),IF('Fuel Equipment'!P26='Fuel Equipment DD'!P47,VLOOKUP('Fuel Equipment'!P16,Generators!$C$5:$K$60,9,FALSE),"ERROR4"))),IF('Fuel Equipment'!P14='Fuel Equipment'!$D$55,IF('Fuel Equipment'!P26='Fuel Equipment DD'!P39,VLOOKUP('Fuel Equipment'!P16,'Scissor Lifts'!$C$30:$K$36,9,FALSE),"ERROR1"),0))))),('Fuel Equipment'!P$44/(1-'Fuel Equipment'!P$37)))</f>
        <v>0</v>
      </c>
      <c r="Q46" s="480">
        <f>IF(AND(Q14&gt;0,AND(Q16&gt;0,AND(Q26&gt;0,NOT(Q26="NOT REQUIRED")))),IF(Q14=$D$51,0,IF(Q14=$D$52,IF(Q26='Fuel Equipment DD'!Q45,VLOOKUP('Fuel Equipment'!Q16,Dumpers!$C$3:$P$16,12,FALSE),IF(Q26='Fuel Equipment DD'!Q46,VLOOKUP('Fuel Equipment'!Q16,Dumpers!$C$3:$P$16,13,FALSE),IF(Q26='Fuel Equipment DD'!Q47,VLOOKUP('Fuel Equipment'!Q16,Dumpers!$C$3:$P$16,14,FALSE),"ERROR2"))),IF('Fuel Equipment'!Q14='Fuel Equipment'!$D$53,IF('Fuel Equipment'!Q26='Fuel Equipment DD'!Q45,VLOOKUP('Fuel Equipment'!Q16,Excavators!$C$4:$P$52,12,FALSE),IF('Fuel Equipment'!Q26='Fuel Equipment DD'!Q46,VLOOKUP('Fuel Equipment'!Q16,Excavators!$C$4:$P$52,13,FALSE),IF('Fuel Equipment'!Q26='Fuel Equipment DD'!Q47,VLOOKUP('Fuel Equipment'!Q16,Excavators!$C$4:$P$52,14,FALSE),"ERROR3"))),IF('Fuel Equipment'!Q14='Fuel Equipment'!$D$54,IF('Fuel Equipment'!Q26='Fuel Equipment DD'!Q45,VLOOKUP('Fuel Equipment'!Q16,Generators!$C$5:$K$60,7,FALSE),IF('Fuel Equipment'!Q26='Fuel Equipment DD'!Q46,VLOOKUP('Fuel Equipment'!Q16,Generators!$C$5:$K$60,8,FALSE),IF('Fuel Equipment'!Q26='Fuel Equipment DD'!Q47,VLOOKUP('Fuel Equipment'!Q16,Generators!$C$5:$K$60,9,FALSE),"ERROR4"))),IF('Fuel Equipment'!Q14='Fuel Equipment'!$D$55,IF('Fuel Equipment'!Q26='Fuel Equipment DD'!Q39,VLOOKUP('Fuel Equipment'!Q16,'Scissor Lifts'!$C$30:$K$36,9,FALSE),"ERROR1"),0))))),('Fuel Equipment'!Q$44/(1-'Fuel Equipment'!Q$37)))</f>
        <v>0</v>
      </c>
      <c r="R46" s="480">
        <f>IF(AND(R14&gt;0,AND(R16&gt;0,AND(R26&gt;0,NOT(R26="NOT REQUIRED")))),IF(R14=$D$51,0,IF(R14=$D$52,IF(R26='Fuel Equipment DD'!R45,VLOOKUP('Fuel Equipment'!R16,Dumpers!$C$3:$P$16,12,FALSE),IF(R26='Fuel Equipment DD'!R46,VLOOKUP('Fuel Equipment'!R16,Dumpers!$C$3:$P$16,13,FALSE),IF(R26='Fuel Equipment DD'!R47,VLOOKUP('Fuel Equipment'!R16,Dumpers!$C$3:$P$16,14,FALSE),"ERROR2"))),IF('Fuel Equipment'!R14='Fuel Equipment'!$D$53,IF('Fuel Equipment'!R26='Fuel Equipment DD'!R45,VLOOKUP('Fuel Equipment'!R16,Excavators!$C$4:$P$52,12,FALSE),IF('Fuel Equipment'!R26='Fuel Equipment DD'!R46,VLOOKUP('Fuel Equipment'!R16,Excavators!$C$4:$P$52,13,FALSE),IF('Fuel Equipment'!R26='Fuel Equipment DD'!R47,VLOOKUP('Fuel Equipment'!R16,Excavators!$C$4:$P$52,14,FALSE),"ERROR3"))),IF('Fuel Equipment'!R14='Fuel Equipment'!$D$54,IF('Fuel Equipment'!R26='Fuel Equipment DD'!R45,VLOOKUP('Fuel Equipment'!R16,Generators!$C$5:$K$60,7,FALSE),IF('Fuel Equipment'!R26='Fuel Equipment DD'!R46,VLOOKUP('Fuel Equipment'!R16,Generators!$C$5:$K$60,8,FALSE),IF('Fuel Equipment'!R26='Fuel Equipment DD'!R47,VLOOKUP('Fuel Equipment'!R16,Generators!$C$5:$K$60,9,FALSE),"ERROR4"))),IF('Fuel Equipment'!R14='Fuel Equipment'!$D$55,IF('Fuel Equipment'!R26='Fuel Equipment DD'!R39,VLOOKUP('Fuel Equipment'!R16,'Scissor Lifts'!$C$30:$K$36,9,FALSE),"ERROR1"),0))))),('Fuel Equipment'!R$44/(1-'Fuel Equipment'!R$37)))</f>
        <v>0</v>
      </c>
      <c r="S46" s="480">
        <f>IF(AND(S14&gt;0,AND(S16&gt;0,AND(S26&gt;0,NOT(S26="NOT REQUIRED")))),IF(S14=$D$51,0,IF(S14=$D$52,IF(S26='Fuel Equipment DD'!S45,VLOOKUP('Fuel Equipment'!S16,Dumpers!$C$3:$P$16,12,FALSE),IF(S26='Fuel Equipment DD'!S46,VLOOKUP('Fuel Equipment'!S16,Dumpers!$C$3:$P$16,13,FALSE),IF(S26='Fuel Equipment DD'!S47,VLOOKUP('Fuel Equipment'!S16,Dumpers!$C$3:$P$16,14,FALSE),"ERROR2"))),IF('Fuel Equipment'!S14='Fuel Equipment'!$D$53,IF('Fuel Equipment'!S26='Fuel Equipment DD'!S45,VLOOKUP('Fuel Equipment'!S16,Excavators!$C$4:$P$52,12,FALSE),IF('Fuel Equipment'!S26='Fuel Equipment DD'!S46,VLOOKUP('Fuel Equipment'!S16,Excavators!$C$4:$P$52,13,FALSE),IF('Fuel Equipment'!S26='Fuel Equipment DD'!S47,VLOOKUP('Fuel Equipment'!S16,Excavators!$C$4:$P$52,14,FALSE),"ERROR3"))),IF('Fuel Equipment'!S14='Fuel Equipment'!$D$54,IF('Fuel Equipment'!S26='Fuel Equipment DD'!S45,VLOOKUP('Fuel Equipment'!S16,Generators!$C$5:$K$60,7,FALSE),IF('Fuel Equipment'!S26='Fuel Equipment DD'!S46,VLOOKUP('Fuel Equipment'!S16,Generators!$C$5:$K$60,8,FALSE),IF('Fuel Equipment'!S26='Fuel Equipment DD'!S47,VLOOKUP('Fuel Equipment'!S16,Generators!$C$5:$K$60,9,FALSE),"ERROR4"))),IF('Fuel Equipment'!S14='Fuel Equipment'!$D$55,IF('Fuel Equipment'!S26='Fuel Equipment DD'!S39,VLOOKUP('Fuel Equipment'!S16,'Scissor Lifts'!$C$30:$K$36,9,FALSE),"ERROR1"),0))))),('Fuel Equipment'!S$44/(1-'Fuel Equipment'!S$37)))</f>
        <v>0</v>
      </c>
      <c r="T46" s="87"/>
      <c r="U46" s="87"/>
      <c r="V46" s="87"/>
      <c r="W46" s="87"/>
      <c r="X46" s="87"/>
      <c r="Y46" s="87"/>
      <c r="Z46" s="87"/>
    </row>
    <row r="47" spans="1:26" ht="15.75">
      <c r="A47" s="88" t="s">
        <v>218</v>
      </c>
      <c r="B47" s="102">
        <f>IF(AND(B44=0,B45=0),0,(Report!$K$8*VLOOKUP(Report!$C$6,'Fuel Equipment Savings Calculat'!$A$133:$S$249,'Fuel Equipment'!B48,FALSE)/VLOOKUP(Report!$C$6,'Actual-CO2 Calculations'!$A$5:$O$121,'Actual-CO2 Calculations'!$O$1,FALSE)))</f>
        <v>3.0716166013570301E-2</v>
      </c>
      <c r="C47" s="102">
        <f>IF(AND(C44=0,C45=0),0,(Report!$K$8*VLOOKUP(Report!$C$6,'Fuel Equipment Savings Calculat'!$A$133:$S$249,'Fuel Equipment'!C48,FALSE)/VLOOKUP(Report!$C$6,'Actual-CO2 Calculations'!$A$5:$O$121,'Actual-CO2 Calculations'!$O$1,FALSE)))</f>
        <v>6.7585351344076495E-3</v>
      </c>
      <c r="D47" s="102">
        <f>IF(AND(D44=0,D45=0),0,(Report!$K$8*VLOOKUP(Report!$C$6,'Fuel Equipment Savings Calculat'!$A$133:$S$249,'Fuel Equipment'!D48,FALSE)/VLOOKUP(Report!$C$6,'Actual-CO2 Calculations'!$A$5:$O$121,'Actual-CO2 Calculations'!$O$1,FALSE)))</f>
        <v>5.5039332413280455E-2</v>
      </c>
      <c r="E47" s="102">
        <f>IF(AND(E44=0,E45=0),0,(Report!$K$8*VLOOKUP(Report!$C$6,'Fuel Equipment Savings Calculat'!$A$133:$S$249,'Fuel Equipment'!E48,FALSE)/VLOOKUP(Report!$C$6,'Actual-CO2 Calculations'!$A$5:$O$121,'Actual-CO2 Calculations'!$O$1,FALSE)))</f>
        <v>3.9907540793645085E-2</v>
      </c>
      <c r="F47" s="102">
        <f>IF(AND(F44=0,F45=0),0,(Report!$K$8*VLOOKUP(Report!$C$6,'Fuel Equipment Savings Calculat'!$A$133:$S$249,'Fuel Equipment'!F48,FALSE)/VLOOKUP(Report!$C$6,'Actual-CO2 Calculations'!$A$5:$O$121,'Actual-CO2 Calculations'!$O$1,FALSE)))</f>
        <v>0</v>
      </c>
      <c r="G47" s="102">
        <f>IF(AND(G44=0,G45=0),0,(Report!$K$8*VLOOKUP(Report!$C$6,'Fuel Equipment Savings Calculat'!$A$133:$S$249,'Fuel Equipment'!G48,FALSE)/VLOOKUP(Report!$C$6,'Actual-CO2 Calculations'!$A$5:$O$121,'Actual-CO2 Calculations'!$O$1,FALSE)))</f>
        <v>0</v>
      </c>
      <c r="H47" s="102">
        <f>IF(AND(H44=0,H45=0),0,(Report!$K$8*VLOOKUP(Report!$C$6,'Fuel Equipment Savings Calculat'!$A$133:$S$249,'Fuel Equipment'!H48,FALSE)/VLOOKUP(Report!$C$6,'Actual-CO2 Calculations'!$A$5:$O$121,'Actual-CO2 Calculations'!$O$1,FALSE)))</f>
        <v>0</v>
      </c>
      <c r="I47" s="102">
        <f>IF(AND(I44=0,I45=0),0,(Report!$K$8*VLOOKUP(Report!$C$6,'Fuel Equipment Savings Calculat'!$A$133:$S$249,'Fuel Equipment'!I48,FALSE)/VLOOKUP(Report!$C$6,'Actual-CO2 Calculations'!$A$5:$O$121,'Actual-CO2 Calculations'!$O$1,FALSE)))</f>
        <v>0</v>
      </c>
      <c r="J47" s="102">
        <f>IF(AND(J44=0,J45=0),0,(Report!$K$8*VLOOKUP(Report!$C$6,'Fuel Equipment Savings Calculat'!$A$133:$S$249,'Fuel Equipment'!J48,FALSE)/VLOOKUP(Report!$C$6,'Actual-CO2 Calculations'!$A$5:$O$121,'Actual-CO2 Calculations'!$O$1,FALSE)))</f>
        <v>0</v>
      </c>
      <c r="K47" s="102">
        <f>IF(AND(K44=0,K45=0),0,(Report!$K$8*VLOOKUP(Report!$C$6,'Fuel Equipment Savings Calculat'!$A$133:$S$249,'Fuel Equipment'!K48,FALSE)/VLOOKUP(Report!$C$6,'Actual-CO2 Calculations'!$A$5:$O$121,'Actual-CO2 Calculations'!$O$1,FALSE)))</f>
        <v>0</v>
      </c>
      <c r="L47" s="102">
        <f>IF(AND(L44=0,L45=0),0,(Report!$K$8*VLOOKUP(Report!$C$6,'Fuel Equipment Savings Calculat'!$A$133:$S$249,'Fuel Equipment'!L48,FALSE)/VLOOKUP(Report!$C$6,'Actual-CO2 Calculations'!$A$5:$O$121,'Actual-CO2 Calculations'!$O$1,FALSE)))</f>
        <v>0</v>
      </c>
      <c r="M47" s="102">
        <f>IF(AND(M44=0,M45=0),0,(Report!$K$8*VLOOKUP(Report!$C$6,'Fuel Equipment Savings Calculat'!$A$133:$S$249,'Fuel Equipment'!M48,FALSE)/VLOOKUP(Report!$C$6,'Actual-CO2 Calculations'!$A$5:$O$121,'Actual-CO2 Calculations'!$O$1,FALSE)))</f>
        <v>0</v>
      </c>
      <c r="N47" s="102">
        <f>IF(AND(N44=0,N45=0),0,(Report!$K$8*VLOOKUP(Report!$C$6,'Fuel Equipment Savings Calculat'!$A$133:$S$249,'Fuel Equipment'!N48,FALSE)/VLOOKUP(Report!$C$6,'Actual-CO2 Calculations'!$A$5:$O$121,'Actual-CO2 Calculations'!$O$1,FALSE)))</f>
        <v>0</v>
      </c>
      <c r="O47" s="102">
        <f>IF(AND(O44=0,O45=0),0,(Report!$K$8*VLOOKUP(Report!$C$6,'Fuel Equipment Savings Calculat'!$A$133:$S$249,'Fuel Equipment'!O48,FALSE)/VLOOKUP(Report!$C$6,'Actual-CO2 Calculations'!$A$5:$O$121,'Actual-CO2 Calculations'!$O$1,FALSE)))</f>
        <v>0</v>
      </c>
      <c r="P47" s="102">
        <f>IF(AND(P44=0,P45=0),0,(Report!$K$8*VLOOKUP(Report!$C$6,'Fuel Equipment Savings Calculat'!$A$133:$S$249,'Fuel Equipment'!P48,FALSE)/VLOOKUP(Report!$C$6,'Actual-CO2 Calculations'!$A$5:$O$121,'Actual-CO2 Calculations'!$O$1,FALSE)))</f>
        <v>0</v>
      </c>
      <c r="Q47" s="102">
        <f>IF(AND(Q44=0,Q45=0),0,(Report!$K$8*VLOOKUP(Report!$C$6,'Fuel Equipment Savings Calculat'!$A$133:$S$249,'Fuel Equipment'!Q48,FALSE)/VLOOKUP(Report!$C$6,'Actual-CO2 Calculations'!$A$5:$O$121,'Actual-CO2 Calculations'!$O$1,FALSE)))</f>
        <v>0</v>
      </c>
      <c r="R47" s="102">
        <f>IF(AND(R44=0,R45=0),0,(Report!$K$8*VLOOKUP(Report!$C$6,'Fuel Equipment Savings Calculat'!$A$133:$S$249,'Fuel Equipment'!R48,FALSE)/VLOOKUP(Report!$C$6,'Actual-CO2 Calculations'!$A$5:$O$121,'Actual-CO2 Calculations'!$O$1,FALSE)))</f>
        <v>0</v>
      </c>
      <c r="S47" s="102">
        <f>IF(AND(S44=0,S45=0),0,(Report!$K$8*VLOOKUP(Report!$C$6,'Fuel Equipment Savings Calculat'!$A$133:$S$249,'Fuel Equipment'!S48,FALSE)/VLOOKUP(Report!$C$6,'Actual-CO2 Calculations'!$A$5:$O$121,'Actual-CO2 Calculations'!$O$1,FALSE)))</f>
        <v>0</v>
      </c>
      <c r="T47" s="87"/>
      <c r="U47" s="87"/>
      <c r="V47" s="87"/>
      <c r="W47" s="87"/>
      <c r="X47" s="87"/>
      <c r="Y47" s="87"/>
      <c r="Z47" s="87"/>
    </row>
    <row r="48" spans="1:26">
      <c r="A48" s="72"/>
      <c r="B48" s="568">
        <v>2</v>
      </c>
      <c r="C48" s="568">
        <v>3</v>
      </c>
      <c r="D48" s="568">
        <v>4</v>
      </c>
      <c r="E48" s="568">
        <v>5</v>
      </c>
      <c r="F48" s="568">
        <v>6</v>
      </c>
      <c r="G48" s="568">
        <v>7</v>
      </c>
      <c r="H48" s="568">
        <v>8</v>
      </c>
      <c r="I48" s="568">
        <v>9</v>
      </c>
      <c r="J48" s="568">
        <v>10</v>
      </c>
      <c r="K48" s="568">
        <v>11</v>
      </c>
      <c r="L48" s="568">
        <v>12</v>
      </c>
      <c r="M48" s="568">
        <v>13</v>
      </c>
      <c r="N48" s="568">
        <v>14</v>
      </c>
      <c r="O48" s="568">
        <v>15</v>
      </c>
      <c r="P48" s="568">
        <v>16</v>
      </c>
      <c r="Q48" s="568">
        <v>17</v>
      </c>
      <c r="R48" s="568">
        <v>18</v>
      </c>
      <c r="S48" s="568">
        <v>19</v>
      </c>
      <c r="T48" s="72"/>
      <c r="U48" s="72"/>
      <c r="V48" s="72"/>
      <c r="W48" s="72"/>
      <c r="X48" s="72"/>
      <c r="Y48" s="72"/>
      <c r="Z48" s="72"/>
    </row>
    <row r="49" spans="1:26">
      <c r="A49" s="72"/>
      <c r="B49" s="10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c r="A51" s="144" t="s">
        <v>237</v>
      </c>
      <c r="B51" s="145" t="s">
        <v>231</v>
      </c>
      <c r="C51" s="145"/>
      <c r="D51" s="145" t="s">
        <v>807</v>
      </c>
      <c r="E51" s="145"/>
      <c r="F51" s="145"/>
      <c r="G51" s="145"/>
      <c r="H51" s="145"/>
      <c r="I51" s="145"/>
      <c r="J51" s="145"/>
      <c r="K51" s="145"/>
      <c r="L51" s="145"/>
      <c r="M51" s="145"/>
      <c r="N51" s="145"/>
      <c r="O51" s="145"/>
      <c r="P51" s="145"/>
      <c r="Q51" s="145"/>
      <c r="R51" s="145"/>
      <c r="S51" s="146"/>
      <c r="T51" s="72"/>
      <c r="U51" s="72"/>
      <c r="V51" s="72"/>
      <c r="W51" s="72"/>
      <c r="X51" s="72"/>
      <c r="Y51" s="72"/>
      <c r="Z51" s="72"/>
    </row>
    <row r="52" spans="1:26">
      <c r="A52" s="147"/>
      <c r="B52" s="148" t="s">
        <v>232</v>
      </c>
      <c r="C52" s="148"/>
      <c r="D52" s="148" t="s">
        <v>729</v>
      </c>
      <c r="E52" s="148"/>
      <c r="F52" s="148"/>
      <c r="G52" s="148"/>
      <c r="H52" s="148"/>
      <c r="I52" s="148"/>
      <c r="J52" s="148"/>
      <c r="K52" s="148"/>
      <c r="L52" s="148"/>
      <c r="M52" s="148"/>
      <c r="N52" s="148"/>
      <c r="O52" s="148"/>
      <c r="P52" s="148"/>
      <c r="Q52" s="148"/>
      <c r="R52" s="148"/>
      <c r="S52" s="149"/>
      <c r="T52" s="72"/>
      <c r="U52" s="72"/>
      <c r="V52" s="72"/>
      <c r="W52" s="72"/>
      <c r="X52" s="72"/>
      <c r="Y52" s="72"/>
      <c r="Z52" s="72"/>
    </row>
    <row r="53" spans="1:26">
      <c r="A53" s="147"/>
      <c r="B53" s="148"/>
      <c r="C53" s="148"/>
      <c r="D53" s="148" t="s">
        <v>730</v>
      </c>
      <c r="E53" s="148"/>
      <c r="F53" s="148"/>
      <c r="G53" s="148"/>
      <c r="H53" s="148"/>
      <c r="I53" s="148"/>
      <c r="J53" s="148"/>
      <c r="K53" s="148"/>
      <c r="L53" s="148"/>
      <c r="M53" s="148"/>
      <c r="N53" s="148"/>
      <c r="O53" s="148"/>
      <c r="P53" s="148"/>
      <c r="Q53" s="148"/>
      <c r="R53" s="148"/>
      <c r="S53" s="149"/>
      <c r="T53" s="72"/>
      <c r="U53" s="72"/>
      <c r="V53" s="72"/>
      <c r="W53" s="72"/>
      <c r="X53" s="72"/>
      <c r="Y53" s="72"/>
      <c r="Z53" s="72"/>
    </row>
    <row r="54" spans="1:26">
      <c r="A54" s="147" t="s">
        <v>221</v>
      </c>
      <c r="B54" s="588">
        <v>0.05</v>
      </c>
      <c r="C54" s="148"/>
      <c r="D54" s="148" t="s">
        <v>731</v>
      </c>
      <c r="E54" s="148"/>
      <c r="F54" s="148"/>
      <c r="G54" s="148"/>
      <c r="H54" s="148"/>
      <c r="I54" s="148"/>
      <c r="J54" s="148"/>
      <c r="K54" s="148"/>
      <c r="L54" s="148"/>
      <c r="M54" s="148"/>
      <c r="N54" s="148"/>
      <c r="O54" s="148"/>
      <c r="P54" s="148"/>
      <c r="Q54" s="148"/>
      <c r="R54" s="148"/>
      <c r="S54" s="149"/>
      <c r="T54" s="72"/>
      <c r="U54" s="72"/>
      <c r="V54" s="72"/>
      <c r="W54" s="72"/>
      <c r="X54" s="72"/>
      <c r="Y54" s="72"/>
      <c r="Z54" s="72"/>
    </row>
    <row r="55" spans="1:26">
      <c r="A55" s="147"/>
      <c r="B55" s="588">
        <v>0.1</v>
      </c>
      <c r="C55" s="148"/>
      <c r="D55" s="588" t="s">
        <v>732</v>
      </c>
      <c r="E55" s="148"/>
      <c r="F55" s="148"/>
      <c r="G55" s="148"/>
      <c r="H55" s="148"/>
      <c r="I55" s="148"/>
      <c r="J55" s="148"/>
      <c r="K55" s="148"/>
      <c r="L55" s="148"/>
      <c r="M55" s="148"/>
      <c r="N55" s="148"/>
      <c r="O55" s="148"/>
      <c r="P55" s="148"/>
      <c r="Q55" s="148"/>
      <c r="R55" s="148"/>
      <c r="S55" s="149"/>
      <c r="T55" s="72"/>
      <c r="U55" s="72"/>
      <c r="V55" s="72"/>
      <c r="W55" s="72"/>
      <c r="X55" s="72"/>
      <c r="Y55" s="72"/>
      <c r="Z55" s="72"/>
    </row>
    <row r="56" spans="1:26">
      <c r="A56" s="147"/>
      <c r="B56" s="588">
        <v>0.15</v>
      </c>
      <c r="C56" s="148"/>
      <c r="D56" s="588" t="s">
        <v>806</v>
      </c>
      <c r="E56" s="148"/>
      <c r="F56" s="148"/>
      <c r="G56" s="148"/>
      <c r="H56" s="148"/>
      <c r="I56" s="148"/>
      <c r="J56" s="148"/>
      <c r="K56" s="148"/>
      <c r="L56" s="148"/>
      <c r="M56" s="148"/>
      <c r="N56" s="148"/>
      <c r="O56" s="148"/>
      <c r="P56" s="148"/>
      <c r="Q56" s="148"/>
      <c r="R56" s="148"/>
      <c r="S56" s="149"/>
      <c r="T56" s="72"/>
      <c r="U56" s="72"/>
      <c r="V56" s="72"/>
      <c r="W56" s="72"/>
      <c r="X56" s="72"/>
      <c r="Y56" s="72"/>
      <c r="Z56" s="72"/>
    </row>
    <row r="57" spans="1:26" s="179" customFormat="1">
      <c r="A57" s="147"/>
      <c r="B57" s="588">
        <v>0.2</v>
      </c>
      <c r="C57" s="148"/>
      <c r="D57" s="588"/>
      <c r="E57" s="148"/>
      <c r="F57" s="148"/>
      <c r="G57" s="148"/>
      <c r="H57" s="148"/>
      <c r="I57" s="148"/>
      <c r="J57" s="148"/>
      <c r="K57" s="148"/>
      <c r="L57" s="148"/>
      <c r="M57" s="148"/>
      <c r="N57" s="148"/>
      <c r="O57" s="148"/>
      <c r="P57" s="148"/>
      <c r="Q57" s="148"/>
      <c r="R57" s="148"/>
      <c r="S57" s="149"/>
    </row>
    <row r="58" spans="1:26" s="179" customFormat="1">
      <c r="A58" s="147"/>
      <c r="B58" s="588">
        <v>0.25</v>
      </c>
      <c r="C58" s="148"/>
      <c r="D58" s="588"/>
      <c r="E58" s="148"/>
      <c r="F58" s="148"/>
      <c r="G58" s="148"/>
      <c r="H58" s="148"/>
      <c r="I58" s="148"/>
      <c r="J58" s="148"/>
      <c r="K58" s="148"/>
      <c r="L58" s="148"/>
      <c r="M58" s="148"/>
      <c r="N58" s="148"/>
      <c r="O58" s="148"/>
      <c r="P58" s="148"/>
      <c r="Q58" s="148"/>
      <c r="R58" s="148"/>
      <c r="S58" s="149"/>
    </row>
    <row r="59" spans="1:26">
      <c r="A59" s="147"/>
      <c r="B59" s="588">
        <v>0.3</v>
      </c>
      <c r="C59" s="148"/>
      <c r="D59" s="588"/>
      <c r="E59" s="148"/>
      <c r="F59" s="148"/>
      <c r="G59" s="148"/>
      <c r="H59" s="148"/>
      <c r="I59" s="148"/>
      <c r="J59" s="148"/>
      <c r="K59" s="148"/>
      <c r="L59" s="148"/>
      <c r="M59" s="148"/>
      <c r="N59" s="148"/>
      <c r="O59" s="148"/>
      <c r="P59" s="148"/>
      <c r="Q59" s="148"/>
      <c r="R59" s="148"/>
      <c r="S59" s="149"/>
      <c r="T59" s="72"/>
      <c r="U59" s="72"/>
      <c r="V59" s="72"/>
      <c r="W59" s="72"/>
      <c r="X59" s="72"/>
      <c r="Y59" s="72"/>
      <c r="Z59" s="72"/>
    </row>
    <row r="60" spans="1:26">
      <c r="A60" s="147"/>
      <c r="B60" s="588"/>
      <c r="C60" s="148"/>
      <c r="D60" s="588"/>
      <c r="E60" s="148"/>
      <c r="F60" s="148"/>
      <c r="G60" s="148"/>
      <c r="H60" s="148"/>
      <c r="I60" s="148"/>
      <c r="J60" s="148"/>
      <c r="K60" s="148"/>
      <c r="L60" s="148"/>
      <c r="M60" s="148"/>
      <c r="N60" s="148"/>
      <c r="O60" s="148"/>
      <c r="P60" s="148"/>
      <c r="Q60" s="148"/>
      <c r="R60" s="148"/>
      <c r="S60" s="149"/>
      <c r="T60" s="72"/>
      <c r="U60" s="72"/>
      <c r="V60" s="72"/>
      <c r="W60" s="72"/>
      <c r="X60" s="72"/>
      <c r="Y60" s="72"/>
      <c r="Z60" s="72"/>
    </row>
    <row r="61" spans="1:26">
      <c r="A61" s="147"/>
      <c r="B61" s="588"/>
      <c r="C61" s="148"/>
      <c r="D61" s="148"/>
      <c r="E61" s="148"/>
      <c r="F61" s="148"/>
      <c r="G61" s="148"/>
      <c r="H61" s="148"/>
      <c r="I61" s="148"/>
      <c r="J61" s="148"/>
      <c r="K61" s="148"/>
      <c r="L61" s="148"/>
      <c r="M61" s="148"/>
      <c r="N61" s="148"/>
      <c r="O61" s="148"/>
      <c r="P61" s="148"/>
      <c r="Q61" s="148"/>
      <c r="R61" s="148"/>
      <c r="S61" s="149"/>
      <c r="T61" s="72"/>
      <c r="U61" s="72"/>
      <c r="V61" s="72"/>
      <c r="W61" s="72"/>
      <c r="X61" s="72"/>
      <c r="Y61" s="72"/>
      <c r="Z61" s="72"/>
    </row>
    <row r="62" spans="1:26">
      <c r="A62" s="147"/>
      <c r="B62" s="148"/>
      <c r="C62" s="148"/>
      <c r="D62" s="148"/>
      <c r="E62" s="148"/>
      <c r="F62" s="148"/>
      <c r="G62" s="148"/>
      <c r="H62" s="148"/>
      <c r="I62" s="148"/>
      <c r="J62" s="148"/>
      <c r="K62" s="148"/>
      <c r="L62" s="148"/>
      <c r="M62" s="148"/>
      <c r="N62" s="148"/>
      <c r="O62" s="148"/>
      <c r="P62" s="148"/>
      <c r="Q62" s="148"/>
      <c r="R62" s="148"/>
      <c r="S62" s="149"/>
      <c r="T62" s="72"/>
      <c r="U62" s="72"/>
      <c r="V62" s="72"/>
      <c r="W62" s="72"/>
      <c r="X62" s="72"/>
      <c r="Y62" s="72"/>
      <c r="Z62" s="72"/>
    </row>
    <row r="63" spans="1:26">
      <c r="A63" s="147" t="s">
        <v>243</v>
      </c>
      <c r="B63" s="148">
        <f t="shared" ref="B63:S63" si="4">IF(B14&gt;0,1,0)</f>
        <v>1</v>
      </c>
      <c r="C63" s="148">
        <f t="shared" si="4"/>
        <v>1</v>
      </c>
      <c r="D63" s="148">
        <f t="shared" si="4"/>
        <v>1</v>
      </c>
      <c r="E63" s="148">
        <f t="shared" ref="E63:H64" si="5">IF(E14&gt;0,1,0)</f>
        <v>1</v>
      </c>
      <c r="F63" s="148">
        <f t="shared" si="5"/>
        <v>0</v>
      </c>
      <c r="G63" s="148">
        <f t="shared" si="5"/>
        <v>0</v>
      </c>
      <c r="H63" s="148">
        <f t="shared" si="5"/>
        <v>0</v>
      </c>
      <c r="I63" s="148">
        <f t="shared" si="4"/>
        <v>0</v>
      </c>
      <c r="J63" s="148">
        <f t="shared" si="4"/>
        <v>0</v>
      </c>
      <c r="K63" s="148">
        <f t="shared" si="4"/>
        <v>0</v>
      </c>
      <c r="L63" s="148">
        <f t="shared" si="4"/>
        <v>0</v>
      </c>
      <c r="M63" s="148">
        <f t="shared" si="4"/>
        <v>0</v>
      </c>
      <c r="N63" s="148">
        <f t="shared" si="4"/>
        <v>0</v>
      </c>
      <c r="O63" s="148">
        <f t="shared" si="4"/>
        <v>0</v>
      </c>
      <c r="P63" s="148">
        <f t="shared" si="4"/>
        <v>0</v>
      </c>
      <c r="Q63" s="148">
        <f t="shared" si="4"/>
        <v>0</v>
      </c>
      <c r="R63" s="148">
        <f t="shared" si="4"/>
        <v>0</v>
      </c>
      <c r="S63" s="149">
        <f t="shared" si="4"/>
        <v>0</v>
      </c>
      <c r="T63" s="72"/>
      <c r="U63" s="72"/>
      <c r="V63" s="72"/>
      <c r="W63" s="72"/>
      <c r="X63" s="72"/>
      <c r="Y63" s="72"/>
      <c r="Z63" s="72"/>
    </row>
    <row r="64" spans="1:26">
      <c r="A64" s="147"/>
      <c r="B64" s="148">
        <f t="shared" ref="B64:S64" si="6">IF(B15&gt;0,1,0)</f>
        <v>1</v>
      </c>
      <c r="C64" s="148">
        <f t="shared" si="6"/>
        <v>1</v>
      </c>
      <c r="D64" s="148">
        <f t="shared" si="6"/>
        <v>1</v>
      </c>
      <c r="E64" s="148">
        <f t="shared" si="5"/>
        <v>1</v>
      </c>
      <c r="F64" s="148">
        <f t="shared" si="5"/>
        <v>0</v>
      </c>
      <c r="G64" s="148">
        <f t="shared" si="5"/>
        <v>0</v>
      </c>
      <c r="H64" s="148">
        <f t="shared" si="5"/>
        <v>0</v>
      </c>
      <c r="I64" s="148">
        <f t="shared" si="6"/>
        <v>0</v>
      </c>
      <c r="J64" s="148">
        <f t="shared" si="6"/>
        <v>0</v>
      </c>
      <c r="K64" s="148">
        <f t="shared" si="6"/>
        <v>0</v>
      </c>
      <c r="L64" s="148">
        <f t="shared" si="6"/>
        <v>0</v>
      </c>
      <c r="M64" s="148">
        <f t="shared" si="6"/>
        <v>0</v>
      </c>
      <c r="N64" s="148">
        <f t="shared" si="6"/>
        <v>0</v>
      </c>
      <c r="O64" s="148">
        <f t="shared" si="6"/>
        <v>0</v>
      </c>
      <c r="P64" s="148">
        <f t="shared" si="6"/>
        <v>0</v>
      </c>
      <c r="Q64" s="148">
        <f t="shared" si="6"/>
        <v>0</v>
      </c>
      <c r="R64" s="148">
        <f t="shared" si="6"/>
        <v>0</v>
      </c>
      <c r="S64" s="149">
        <f t="shared" si="6"/>
        <v>0</v>
      </c>
      <c r="T64" s="72"/>
      <c r="U64" s="72"/>
      <c r="V64" s="72"/>
      <c r="W64" s="72"/>
      <c r="X64" s="72"/>
      <c r="Y64" s="72"/>
      <c r="Z64" s="72"/>
    </row>
    <row r="65" spans="1:26">
      <c r="A65" s="147"/>
      <c r="B65" s="148">
        <f t="shared" ref="B65:S65" si="7">IF(B14=$D$56,1,IF(B16&gt;0,1,0))</f>
        <v>1</v>
      </c>
      <c r="C65" s="148">
        <f t="shared" si="7"/>
        <v>1</v>
      </c>
      <c r="D65" s="148">
        <f t="shared" si="7"/>
        <v>1</v>
      </c>
      <c r="E65" s="148">
        <f>IF(E14=$D$56,1,IF(E16&gt;0,1,0))</f>
        <v>1</v>
      </c>
      <c r="F65" s="148">
        <f>IF(F14=$D$56,1,IF(F16&gt;0,1,0))</f>
        <v>0</v>
      </c>
      <c r="G65" s="148">
        <f>IF(G14=$D$56,1,IF(G16&gt;0,1,0))</f>
        <v>0</v>
      </c>
      <c r="H65" s="148">
        <f>IF(H14=$D$56,1,IF(H16&gt;0,1,0))</f>
        <v>0</v>
      </c>
      <c r="I65" s="148">
        <f t="shared" si="7"/>
        <v>0</v>
      </c>
      <c r="J65" s="148">
        <f t="shared" si="7"/>
        <v>0</v>
      </c>
      <c r="K65" s="148">
        <f t="shared" si="7"/>
        <v>0</v>
      </c>
      <c r="L65" s="148">
        <f t="shared" si="7"/>
        <v>0</v>
      </c>
      <c r="M65" s="148">
        <f t="shared" si="7"/>
        <v>0</v>
      </c>
      <c r="N65" s="148">
        <f t="shared" si="7"/>
        <v>0</v>
      </c>
      <c r="O65" s="148">
        <f t="shared" si="7"/>
        <v>0</v>
      </c>
      <c r="P65" s="148">
        <f t="shared" si="7"/>
        <v>0</v>
      </c>
      <c r="Q65" s="148">
        <f t="shared" si="7"/>
        <v>0</v>
      </c>
      <c r="R65" s="148">
        <f t="shared" si="7"/>
        <v>0</v>
      </c>
      <c r="S65" s="149">
        <f t="shared" si="7"/>
        <v>0</v>
      </c>
      <c r="T65" s="72"/>
      <c r="U65" s="72"/>
      <c r="V65" s="72"/>
      <c r="W65" s="72"/>
      <c r="X65" s="72"/>
      <c r="Y65" s="72"/>
      <c r="Z65" s="72"/>
    </row>
    <row r="66" spans="1:26">
      <c r="A66" s="147"/>
      <c r="B66" s="148">
        <f t="shared" ref="B66:S66" si="8">IF(B19&gt;0,1,0)</f>
        <v>1</v>
      </c>
      <c r="C66" s="148">
        <f t="shared" si="8"/>
        <v>1</v>
      </c>
      <c r="D66" s="148">
        <f t="shared" si="8"/>
        <v>1</v>
      </c>
      <c r="E66" s="148">
        <f t="shared" ref="E66:H68" si="9">IF(E19&gt;0,1,0)</f>
        <v>1</v>
      </c>
      <c r="F66" s="148">
        <f t="shared" si="9"/>
        <v>0</v>
      </c>
      <c r="G66" s="148">
        <f t="shared" si="9"/>
        <v>0</v>
      </c>
      <c r="H66" s="148">
        <f t="shared" si="9"/>
        <v>0</v>
      </c>
      <c r="I66" s="148">
        <f t="shared" si="8"/>
        <v>0</v>
      </c>
      <c r="J66" s="148">
        <f t="shared" si="8"/>
        <v>0</v>
      </c>
      <c r="K66" s="148">
        <f t="shared" si="8"/>
        <v>0</v>
      </c>
      <c r="L66" s="148">
        <f t="shared" si="8"/>
        <v>0</v>
      </c>
      <c r="M66" s="148">
        <f t="shared" si="8"/>
        <v>0</v>
      </c>
      <c r="N66" s="148">
        <f t="shared" si="8"/>
        <v>0</v>
      </c>
      <c r="O66" s="148">
        <f t="shared" si="8"/>
        <v>0</v>
      </c>
      <c r="P66" s="148">
        <f t="shared" si="8"/>
        <v>0</v>
      </c>
      <c r="Q66" s="148">
        <f t="shared" si="8"/>
        <v>0</v>
      </c>
      <c r="R66" s="148">
        <f t="shared" si="8"/>
        <v>0</v>
      </c>
      <c r="S66" s="149">
        <f t="shared" si="8"/>
        <v>0</v>
      </c>
    </row>
    <row r="67" spans="1:26">
      <c r="A67" s="147"/>
      <c r="B67" s="148">
        <f t="shared" ref="B67:S67" si="10">IF(B20&gt;0,1,0)</f>
        <v>1</v>
      </c>
      <c r="C67" s="148">
        <f t="shared" si="10"/>
        <v>1</v>
      </c>
      <c r="D67" s="148">
        <f t="shared" si="10"/>
        <v>1</v>
      </c>
      <c r="E67" s="148">
        <f t="shared" si="9"/>
        <v>1</v>
      </c>
      <c r="F67" s="148">
        <f t="shared" si="9"/>
        <v>0</v>
      </c>
      <c r="G67" s="148">
        <f t="shared" si="9"/>
        <v>0</v>
      </c>
      <c r="H67" s="148">
        <f t="shared" si="9"/>
        <v>0</v>
      </c>
      <c r="I67" s="148">
        <f t="shared" si="10"/>
        <v>0</v>
      </c>
      <c r="J67" s="148">
        <f t="shared" si="10"/>
        <v>0</v>
      </c>
      <c r="K67" s="148">
        <f t="shared" si="10"/>
        <v>0</v>
      </c>
      <c r="L67" s="148">
        <f t="shared" si="10"/>
        <v>0</v>
      </c>
      <c r="M67" s="148">
        <f t="shared" si="10"/>
        <v>0</v>
      </c>
      <c r="N67" s="148">
        <f t="shared" si="10"/>
        <v>0</v>
      </c>
      <c r="O67" s="148">
        <f t="shared" si="10"/>
        <v>0</v>
      </c>
      <c r="P67" s="148">
        <f t="shared" si="10"/>
        <v>0</v>
      </c>
      <c r="Q67" s="148">
        <f t="shared" si="10"/>
        <v>0</v>
      </c>
      <c r="R67" s="148">
        <f t="shared" si="10"/>
        <v>0</v>
      </c>
      <c r="S67" s="149">
        <f t="shared" si="10"/>
        <v>0</v>
      </c>
    </row>
    <row r="68" spans="1:26">
      <c r="A68" s="147"/>
      <c r="B68" s="148">
        <f t="shared" ref="B68:S68" si="11">IF(B21&gt;0,1,0)</f>
        <v>1</v>
      </c>
      <c r="C68" s="148">
        <f t="shared" si="11"/>
        <v>1</v>
      </c>
      <c r="D68" s="148">
        <f t="shared" si="11"/>
        <v>1</v>
      </c>
      <c r="E68" s="148">
        <f t="shared" si="9"/>
        <v>1</v>
      </c>
      <c r="F68" s="148">
        <f t="shared" si="9"/>
        <v>0</v>
      </c>
      <c r="G68" s="148">
        <f t="shared" si="9"/>
        <v>0</v>
      </c>
      <c r="H68" s="148">
        <f t="shared" si="9"/>
        <v>0</v>
      </c>
      <c r="I68" s="148">
        <f t="shared" si="11"/>
        <v>0</v>
      </c>
      <c r="J68" s="148">
        <f t="shared" si="11"/>
        <v>0</v>
      </c>
      <c r="K68" s="148">
        <f t="shared" si="11"/>
        <v>0</v>
      </c>
      <c r="L68" s="148">
        <f t="shared" si="11"/>
        <v>0</v>
      </c>
      <c r="M68" s="148">
        <f t="shared" si="11"/>
        <v>0</v>
      </c>
      <c r="N68" s="148">
        <f t="shared" si="11"/>
        <v>0</v>
      </c>
      <c r="O68" s="148">
        <f t="shared" si="11"/>
        <v>0</v>
      </c>
      <c r="P68" s="148">
        <f t="shared" si="11"/>
        <v>0</v>
      </c>
      <c r="Q68" s="148">
        <f t="shared" si="11"/>
        <v>0</v>
      </c>
      <c r="R68" s="148">
        <f t="shared" si="11"/>
        <v>0</v>
      </c>
      <c r="S68" s="149">
        <f t="shared" si="11"/>
        <v>0</v>
      </c>
    </row>
    <row r="69" spans="1:26">
      <c r="A69" s="147"/>
      <c r="B69" s="570">
        <f t="shared" ref="B69:S69" si="12">IF(AND(B14=$D$56,OR(B16=0,OR(B16="Not Listed",B16="NOT REQUIRED"))),1,IF(B25&gt;0,1,IF(B28&gt;0,1,IF(AND(B30&gt;0,B31&gt;0),1,IF(B33&gt;0,1,0)))))</f>
        <v>1</v>
      </c>
      <c r="C69" s="570">
        <f t="shared" si="12"/>
        <v>1</v>
      </c>
      <c r="D69" s="570">
        <f t="shared" si="12"/>
        <v>1</v>
      </c>
      <c r="E69" s="570">
        <f>IF(AND(E14=$D$56,OR(E16=0,OR(E16="Not Listed",E16="NOT REQUIRED"))),1,IF(E25&gt;0,1,IF(E28&gt;0,1,IF(AND(E30&gt;0,E31&gt;0),1,IF(E33&gt;0,1,0)))))</f>
        <v>1</v>
      </c>
      <c r="F69" s="570">
        <f>IF(AND(F14=$D$56,OR(F16=0,OR(F16="Not Listed",F16="NOT REQUIRED"))),1,IF(F25&gt;0,1,IF(F28&gt;0,1,IF(AND(F30&gt;0,F31&gt;0),1,IF(F33&gt;0,1,0)))))</f>
        <v>0</v>
      </c>
      <c r="G69" s="570">
        <f>IF(AND(G14=$D$56,OR(G16=0,OR(G16="Not Listed",G16="NOT REQUIRED"))),1,IF(G25&gt;0,1,IF(G28&gt;0,1,IF(AND(G30&gt;0,G31&gt;0),1,IF(G33&gt;0,1,0)))))</f>
        <v>0</v>
      </c>
      <c r="H69" s="570">
        <f>IF(AND(H14=$D$56,OR(H16=0,OR(H16="Not Listed",H16="NOT REQUIRED"))),1,IF(H25&gt;0,1,IF(H28&gt;0,1,IF(AND(H30&gt;0,H31&gt;0),1,IF(H33&gt;0,1,0)))))</f>
        <v>0</v>
      </c>
      <c r="I69" s="570">
        <f t="shared" si="12"/>
        <v>0</v>
      </c>
      <c r="J69" s="570">
        <f t="shared" si="12"/>
        <v>0</v>
      </c>
      <c r="K69" s="570">
        <f t="shared" si="12"/>
        <v>0</v>
      </c>
      <c r="L69" s="570">
        <f t="shared" si="12"/>
        <v>0</v>
      </c>
      <c r="M69" s="570">
        <f t="shared" si="12"/>
        <v>0</v>
      </c>
      <c r="N69" s="570">
        <f t="shared" si="12"/>
        <v>0</v>
      </c>
      <c r="O69" s="570">
        <f t="shared" si="12"/>
        <v>0</v>
      </c>
      <c r="P69" s="570">
        <f t="shared" si="12"/>
        <v>0</v>
      </c>
      <c r="Q69" s="570">
        <f t="shared" si="12"/>
        <v>0</v>
      </c>
      <c r="R69" s="570">
        <f t="shared" si="12"/>
        <v>0</v>
      </c>
      <c r="S69" s="571">
        <f t="shared" si="12"/>
        <v>0</v>
      </c>
    </row>
    <row r="70" spans="1:26" s="179" customFormat="1">
      <c r="A70" s="147"/>
      <c r="B70" s="570">
        <f t="shared" ref="B70:S70" si="13">IF(AND(B14=$D$56,OR(B16=0,OR(B16="Not Listed",B16="NOT REQUIRED"))),1,IF(B26&gt;0,1,IF(B28&gt;0,1,IF(AND(B30&gt;0,B31&gt;0),1,IF(B33&gt;0,1,0)))))</f>
        <v>1</v>
      </c>
      <c r="C70" s="570">
        <f t="shared" si="13"/>
        <v>1</v>
      </c>
      <c r="D70" s="570">
        <f t="shared" si="13"/>
        <v>1</v>
      </c>
      <c r="E70" s="570">
        <f>IF(AND(E14=$D$56,OR(E16=0,OR(E16="Not Listed",E16="NOT REQUIRED"))),1,IF(E26&gt;0,1,IF(E28&gt;0,1,IF(AND(E30&gt;0,E31&gt;0),1,IF(E33&gt;0,1,0)))))</f>
        <v>1</v>
      </c>
      <c r="F70" s="570">
        <f>IF(AND(F14=$D$56,OR(F16=0,OR(F16="Not Listed",F16="NOT REQUIRED"))),1,IF(F26&gt;0,1,IF(F28&gt;0,1,IF(AND(F30&gt;0,F31&gt;0),1,IF(F33&gt;0,1,0)))))</f>
        <v>0</v>
      </c>
      <c r="G70" s="570">
        <f>IF(AND(G14=$D$56,OR(G16=0,OR(G16="Not Listed",G16="NOT REQUIRED"))),1,IF(G26&gt;0,1,IF(G28&gt;0,1,IF(AND(G30&gt;0,G31&gt;0),1,IF(G33&gt;0,1,0)))))</f>
        <v>0</v>
      </c>
      <c r="H70" s="570">
        <f>IF(AND(H14=$D$56,OR(H16=0,OR(H16="Not Listed",H16="NOT REQUIRED"))),1,IF(H26&gt;0,1,IF(H28&gt;0,1,IF(AND(H30&gt;0,H31&gt;0),1,IF(H33&gt;0,1,0)))))</f>
        <v>0</v>
      </c>
      <c r="I70" s="570">
        <f t="shared" si="13"/>
        <v>0</v>
      </c>
      <c r="J70" s="570">
        <f t="shared" si="13"/>
        <v>0</v>
      </c>
      <c r="K70" s="570">
        <f t="shared" si="13"/>
        <v>0</v>
      </c>
      <c r="L70" s="570">
        <f t="shared" si="13"/>
        <v>0</v>
      </c>
      <c r="M70" s="570">
        <f t="shared" si="13"/>
        <v>0</v>
      </c>
      <c r="N70" s="570">
        <f t="shared" si="13"/>
        <v>0</v>
      </c>
      <c r="O70" s="570">
        <f t="shared" si="13"/>
        <v>0</v>
      </c>
      <c r="P70" s="570">
        <f t="shared" si="13"/>
        <v>0</v>
      </c>
      <c r="Q70" s="570">
        <f t="shared" si="13"/>
        <v>0</v>
      </c>
      <c r="R70" s="570">
        <f t="shared" si="13"/>
        <v>0</v>
      </c>
      <c r="S70" s="571">
        <f t="shared" si="13"/>
        <v>0</v>
      </c>
    </row>
    <row r="71" spans="1:26">
      <c r="A71" s="147"/>
      <c r="B71" s="570">
        <f t="shared" ref="B71:S71" si="14">IF(B44*B45=0,IF(B37=0,0,1),IF(B44=B45,0,1))</f>
        <v>1</v>
      </c>
      <c r="C71" s="570">
        <f t="shared" si="14"/>
        <v>1</v>
      </c>
      <c r="D71" s="570">
        <f t="shared" si="14"/>
        <v>1</v>
      </c>
      <c r="E71" s="570">
        <f>IF(E44*E45=0,IF(E37=0,0,1),IF(E44=E45,0,1))</f>
        <v>1</v>
      </c>
      <c r="F71" s="570">
        <f>IF(F44*F45=0,IF(F37=0,0,1),IF(F44=F45,0,1))</f>
        <v>0</v>
      </c>
      <c r="G71" s="570">
        <f>IF(G44*G45=0,IF(G37=0,0,1),IF(G44=G45,0,1))</f>
        <v>0</v>
      </c>
      <c r="H71" s="570">
        <f>IF(H44*H45=0,IF(H37=0,0,1),IF(H44=H45,0,1))</f>
        <v>0</v>
      </c>
      <c r="I71" s="570">
        <f t="shared" si="14"/>
        <v>0</v>
      </c>
      <c r="J71" s="570">
        <f t="shared" si="14"/>
        <v>0</v>
      </c>
      <c r="K71" s="570">
        <f t="shared" si="14"/>
        <v>0</v>
      </c>
      <c r="L71" s="570">
        <f t="shared" si="14"/>
        <v>0</v>
      </c>
      <c r="M71" s="570">
        <f t="shared" si="14"/>
        <v>0</v>
      </c>
      <c r="N71" s="570">
        <f t="shared" si="14"/>
        <v>0</v>
      </c>
      <c r="O71" s="570">
        <f t="shared" si="14"/>
        <v>0</v>
      </c>
      <c r="P71" s="570">
        <f t="shared" si="14"/>
        <v>0</v>
      </c>
      <c r="Q71" s="570">
        <f t="shared" si="14"/>
        <v>0</v>
      </c>
      <c r="R71" s="570">
        <f t="shared" si="14"/>
        <v>0</v>
      </c>
      <c r="S71" s="571">
        <f t="shared" si="14"/>
        <v>0</v>
      </c>
    </row>
    <row r="72" spans="1:26">
      <c r="A72" s="147"/>
      <c r="B72" s="148"/>
      <c r="C72" s="148"/>
      <c r="D72" s="148"/>
      <c r="E72" s="148"/>
      <c r="F72" s="148"/>
      <c r="G72" s="148"/>
      <c r="H72" s="148"/>
      <c r="I72" s="148"/>
      <c r="J72" s="148"/>
      <c r="K72" s="148"/>
      <c r="L72" s="148"/>
      <c r="M72" s="148"/>
      <c r="N72" s="148"/>
      <c r="O72" s="148"/>
      <c r="P72" s="148"/>
      <c r="Q72" s="148"/>
      <c r="R72" s="148"/>
      <c r="S72" s="149"/>
    </row>
    <row r="73" spans="1:26">
      <c r="A73" s="147" t="s">
        <v>247</v>
      </c>
      <c r="B73" s="148">
        <f>IF(SUM(B63:B71)=0,0,1)</f>
        <v>1</v>
      </c>
      <c r="C73" s="148">
        <f t="shared" ref="C73:S73" si="15">IF(SUM(C63:C71)=0,0,1)</f>
        <v>1</v>
      </c>
      <c r="D73" s="148">
        <f t="shared" si="15"/>
        <v>1</v>
      </c>
      <c r="E73" s="148">
        <f t="shared" si="15"/>
        <v>1</v>
      </c>
      <c r="F73" s="148">
        <f t="shared" si="15"/>
        <v>0</v>
      </c>
      <c r="G73" s="148">
        <f t="shared" si="15"/>
        <v>0</v>
      </c>
      <c r="H73" s="148">
        <f t="shared" si="15"/>
        <v>0</v>
      </c>
      <c r="I73" s="148">
        <f t="shared" si="15"/>
        <v>0</v>
      </c>
      <c r="J73" s="148">
        <f t="shared" si="15"/>
        <v>0</v>
      </c>
      <c r="K73" s="148">
        <f t="shared" si="15"/>
        <v>0</v>
      </c>
      <c r="L73" s="148">
        <f t="shared" si="15"/>
        <v>0</v>
      </c>
      <c r="M73" s="148">
        <f t="shared" si="15"/>
        <v>0</v>
      </c>
      <c r="N73" s="148">
        <f t="shared" si="15"/>
        <v>0</v>
      </c>
      <c r="O73" s="148">
        <f t="shared" si="15"/>
        <v>0</v>
      </c>
      <c r="P73" s="148">
        <f t="shared" si="15"/>
        <v>0</v>
      </c>
      <c r="Q73" s="148">
        <f t="shared" si="15"/>
        <v>0</v>
      </c>
      <c r="R73" s="148">
        <f t="shared" si="15"/>
        <v>0</v>
      </c>
      <c r="S73" s="149">
        <f t="shared" si="15"/>
        <v>0</v>
      </c>
    </row>
    <row r="74" spans="1:26">
      <c r="A74" s="147" t="s">
        <v>248</v>
      </c>
      <c r="B74" s="148">
        <f>IF(SUM(B63:B71)=9,1,0)</f>
        <v>1</v>
      </c>
      <c r="C74" s="148">
        <f t="shared" ref="C74:S74" si="16">IF(SUM(C63:C71)=9,1,0)</f>
        <v>1</v>
      </c>
      <c r="D74" s="148">
        <f t="shared" si="16"/>
        <v>1</v>
      </c>
      <c r="E74" s="148">
        <f t="shared" si="16"/>
        <v>1</v>
      </c>
      <c r="F74" s="148">
        <f t="shared" si="16"/>
        <v>0</v>
      </c>
      <c r="G74" s="148">
        <f t="shared" si="16"/>
        <v>0</v>
      </c>
      <c r="H74" s="148">
        <f t="shared" si="16"/>
        <v>0</v>
      </c>
      <c r="I74" s="148">
        <f t="shared" si="16"/>
        <v>0</v>
      </c>
      <c r="J74" s="148">
        <f t="shared" si="16"/>
        <v>0</v>
      </c>
      <c r="K74" s="148">
        <f t="shared" si="16"/>
        <v>0</v>
      </c>
      <c r="L74" s="148">
        <f t="shared" si="16"/>
        <v>0</v>
      </c>
      <c r="M74" s="148">
        <f t="shared" si="16"/>
        <v>0</v>
      </c>
      <c r="N74" s="148">
        <f t="shared" si="16"/>
        <v>0</v>
      </c>
      <c r="O74" s="148">
        <f t="shared" si="16"/>
        <v>0</v>
      </c>
      <c r="P74" s="148">
        <f t="shared" si="16"/>
        <v>0</v>
      </c>
      <c r="Q74" s="148">
        <f t="shared" si="16"/>
        <v>0</v>
      </c>
      <c r="R74" s="148">
        <f t="shared" si="16"/>
        <v>0</v>
      </c>
      <c r="S74" s="149">
        <f t="shared" si="16"/>
        <v>0</v>
      </c>
    </row>
    <row r="75" spans="1:26">
      <c r="A75" s="147" t="s">
        <v>249</v>
      </c>
      <c r="B75" s="148">
        <f>B73+B74</f>
        <v>2</v>
      </c>
      <c r="C75" s="148">
        <f t="shared" ref="C75:S75" si="17">C73+C74</f>
        <v>2</v>
      </c>
      <c r="D75" s="148">
        <f t="shared" si="17"/>
        <v>2</v>
      </c>
      <c r="E75" s="148">
        <f t="shared" si="17"/>
        <v>2</v>
      </c>
      <c r="F75" s="148">
        <f t="shared" si="17"/>
        <v>0</v>
      </c>
      <c r="G75" s="148">
        <f t="shared" si="17"/>
        <v>0</v>
      </c>
      <c r="H75" s="148">
        <f t="shared" si="17"/>
        <v>0</v>
      </c>
      <c r="I75" s="148">
        <f t="shared" si="17"/>
        <v>0</v>
      </c>
      <c r="J75" s="148">
        <f t="shared" si="17"/>
        <v>0</v>
      </c>
      <c r="K75" s="148">
        <f t="shared" si="17"/>
        <v>0</v>
      </c>
      <c r="L75" s="148">
        <f t="shared" si="17"/>
        <v>0</v>
      </c>
      <c r="M75" s="148">
        <f t="shared" si="17"/>
        <v>0</v>
      </c>
      <c r="N75" s="148">
        <f t="shared" si="17"/>
        <v>0</v>
      </c>
      <c r="O75" s="148">
        <f t="shared" si="17"/>
        <v>0</v>
      </c>
      <c r="P75" s="148">
        <f t="shared" si="17"/>
        <v>0</v>
      </c>
      <c r="Q75" s="148">
        <f t="shared" si="17"/>
        <v>0</v>
      </c>
      <c r="R75" s="148">
        <f t="shared" si="17"/>
        <v>0</v>
      </c>
      <c r="S75" s="149">
        <f t="shared" si="17"/>
        <v>0</v>
      </c>
    </row>
    <row r="76" spans="1:26">
      <c r="A76" s="147"/>
      <c r="B76" s="148"/>
      <c r="C76" s="148"/>
      <c r="D76" s="148"/>
      <c r="E76" s="148"/>
      <c r="F76" s="148"/>
      <c r="G76" s="148"/>
      <c r="H76" s="148"/>
      <c r="I76" s="148"/>
      <c r="J76" s="148"/>
      <c r="K76" s="148"/>
      <c r="L76" s="148"/>
      <c r="M76" s="148"/>
      <c r="N76" s="148"/>
      <c r="O76" s="148"/>
      <c r="P76" s="148"/>
      <c r="Q76" s="148"/>
      <c r="R76" s="148"/>
      <c r="S76" s="149"/>
    </row>
    <row r="77" spans="1:26">
      <c r="A77" s="147"/>
      <c r="B77" s="148"/>
      <c r="C77" s="148"/>
      <c r="D77" s="148"/>
      <c r="E77" s="148"/>
      <c r="F77" s="148"/>
      <c r="G77" s="148"/>
      <c r="H77" s="148"/>
      <c r="I77" s="148"/>
      <c r="J77" s="148"/>
      <c r="K77" s="148"/>
      <c r="L77" s="148"/>
      <c r="M77" s="148"/>
      <c r="N77" s="148"/>
      <c r="O77" s="148"/>
      <c r="P77" s="148"/>
      <c r="Q77" s="148"/>
      <c r="R77" s="148"/>
      <c r="S77" s="149"/>
    </row>
    <row r="78" spans="1:26">
      <c r="A78" s="147" t="s">
        <v>257</v>
      </c>
      <c r="B78" s="148"/>
      <c r="C78" s="148"/>
      <c r="D78" s="148"/>
      <c r="E78" s="148"/>
      <c r="F78" s="148"/>
      <c r="G78" s="148"/>
      <c r="H78" s="148"/>
      <c r="I78" s="148"/>
      <c r="J78" s="148"/>
      <c r="K78" s="148"/>
      <c r="L78" s="148"/>
      <c r="M78" s="148"/>
      <c r="N78" s="148"/>
      <c r="O78" s="148"/>
      <c r="P78" s="148"/>
      <c r="Q78" s="148"/>
      <c r="R78" s="148"/>
      <c r="S78" s="149"/>
    </row>
    <row r="79" spans="1:26">
      <c r="A79" s="147"/>
      <c r="B79" s="148"/>
      <c r="C79" s="148"/>
      <c r="D79" s="148"/>
      <c r="E79" s="148"/>
      <c r="F79" s="148"/>
      <c r="G79" s="148"/>
      <c r="H79" s="148"/>
      <c r="I79" s="148"/>
      <c r="J79" s="148"/>
      <c r="K79" s="148"/>
      <c r="L79" s="148"/>
      <c r="M79" s="148"/>
      <c r="N79" s="148"/>
      <c r="O79" s="148"/>
      <c r="P79" s="148"/>
      <c r="Q79" s="148"/>
      <c r="R79" s="148"/>
      <c r="S79" s="149"/>
    </row>
    <row r="80" spans="1:26">
      <c r="A80" s="147"/>
      <c r="B80" s="148"/>
      <c r="C80" s="148"/>
      <c r="D80" s="148"/>
      <c r="E80" s="148"/>
      <c r="F80" s="148"/>
      <c r="G80" s="148"/>
      <c r="H80" s="148"/>
      <c r="I80" s="148"/>
      <c r="J80" s="148"/>
      <c r="K80" s="148"/>
      <c r="L80" s="148"/>
      <c r="M80" s="148"/>
      <c r="N80" s="148"/>
      <c r="O80" s="148"/>
      <c r="P80" s="148"/>
      <c r="Q80" s="148"/>
      <c r="R80" s="148"/>
      <c r="S80" s="149"/>
    </row>
    <row r="81" spans="1:19">
      <c r="A81" s="147" t="s">
        <v>261</v>
      </c>
      <c r="B81" s="148">
        <f t="shared" ref="B81:S81" si="18">IF(B20&gt;24,1,0)</f>
        <v>0</v>
      </c>
      <c r="C81" s="148">
        <f t="shared" si="18"/>
        <v>0</v>
      </c>
      <c r="D81" s="148">
        <f t="shared" si="18"/>
        <v>0</v>
      </c>
      <c r="E81" s="148">
        <f>IF(E20&gt;24,1,0)</f>
        <v>0</v>
      </c>
      <c r="F81" s="148">
        <f>IF(F20&gt;24,1,0)</f>
        <v>0</v>
      </c>
      <c r="G81" s="148">
        <f>IF(G20&gt;24,1,0)</f>
        <v>0</v>
      </c>
      <c r="H81" s="148">
        <f>IF(H20&gt;24,1,0)</f>
        <v>0</v>
      </c>
      <c r="I81" s="148">
        <f t="shared" si="18"/>
        <v>0</v>
      </c>
      <c r="J81" s="148">
        <f t="shared" si="18"/>
        <v>0</v>
      </c>
      <c r="K81" s="148">
        <f t="shared" si="18"/>
        <v>0</v>
      </c>
      <c r="L81" s="148">
        <f t="shared" si="18"/>
        <v>0</v>
      </c>
      <c r="M81" s="148">
        <f t="shared" si="18"/>
        <v>0</v>
      </c>
      <c r="N81" s="148">
        <f t="shared" si="18"/>
        <v>0</v>
      </c>
      <c r="O81" s="148">
        <f t="shared" si="18"/>
        <v>0</v>
      </c>
      <c r="P81" s="148">
        <f t="shared" si="18"/>
        <v>0</v>
      </c>
      <c r="Q81" s="148">
        <f t="shared" si="18"/>
        <v>0</v>
      </c>
      <c r="R81" s="148">
        <f t="shared" si="18"/>
        <v>0</v>
      </c>
      <c r="S81" s="149">
        <f t="shared" si="18"/>
        <v>0</v>
      </c>
    </row>
    <row r="82" spans="1:19">
      <c r="A82" s="147" t="s">
        <v>262</v>
      </c>
      <c r="B82" s="148">
        <f t="shared" ref="B82:S82" si="19">IF(B21&gt;28,1,0)</f>
        <v>0</v>
      </c>
      <c r="C82" s="148">
        <f t="shared" si="19"/>
        <v>0</v>
      </c>
      <c r="D82" s="148">
        <f t="shared" si="19"/>
        <v>0</v>
      </c>
      <c r="E82" s="148">
        <f>IF(E21&gt;28,1,0)</f>
        <v>0</v>
      </c>
      <c r="F82" s="148">
        <f>IF(F21&gt;28,1,0)</f>
        <v>0</v>
      </c>
      <c r="G82" s="148">
        <f>IF(G21&gt;28,1,0)</f>
        <v>0</v>
      </c>
      <c r="H82" s="148">
        <f>IF(H21&gt;28,1,0)</f>
        <v>0</v>
      </c>
      <c r="I82" s="148">
        <f t="shared" si="19"/>
        <v>0</v>
      </c>
      <c r="J82" s="148">
        <f t="shared" si="19"/>
        <v>0</v>
      </c>
      <c r="K82" s="148">
        <f t="shared" si="19"/>
        <v>0</v>
      </c>
      <c r="L82" s="148">
        <f t="shared" si="19"/>
        <v>0</v>
      </c>
      <c r="M82" s="148">
        <f t="shared" si="19"/>
        <v>0</v>
      </c>
      <c r="N82" s="148">
        <f t="shared" si="19"/>
        <v>0</v>
      </c>
      <c r="O82" s="148">
        <f t="shared" si="19"/>
        <v>0</v>
      </c>
      <c r="P82" s="148">
        <f t="shared" si="19"/>
        <v>0</v>
      </c>
      <c r="Q82" s="148">
        <f t="shared" si="19"/>
        <v>0</v>
      </c>
      <c r="R82" s="148">
        <f t="shared" si="19"/>
        <v>0</v>
      </c>
      <c r="S82" s="149">
        <f t="shared" si="19"/>
        <v>0</v>
      </c>
    </row>
    <row r="83" spans="1:19">
      <c r="A83" s="147" t="s">
        <v>263</v>
      </c>
      <c r="B83" s="148">
        <f>IF(B37&gt;0,IF(B39=$B$52,1,0),0)</f>
        <v>0</v>
      </c>
      <c r="C83" s="148">
        <f t="shared" ref="C83:S83" si="20">IF(C37&gt;0,IF(C39=$B$52,1,0),0)</f>
        <v>0</v>
      </c>
      <c r="D83" s="148">
        <f t="shared" si="20"/>
        <v>0</v>
      </c>
      <c r="E83" s="148">
        <f>IF(E37&gt;0,IF(E39=$B$52,1,0),0)</f>
        <v>0</v>
      </c>
      <c r="F83" s="148">
        <f>IF(F37&gt;0,IF(F39=$B$52,1,0),0)</f>
        <v>0</v>
      </c>
      <c r="G83" s="148">
        <f>IF(G37&gt;0,IF(G39=$B$52,1,0),0)</f>
        <v>0</v>
      </c>
      <c r="H83" s="148">
        <f>IF(H37&gt;0,IF(H39=$B$52,1,0),0)</f>
        <v>0</v>
      </c>
      <c r="I83" s="148">
        <f t="shared" si="20"/>
        <v>0</v>
      </c>
      <c r="J83" s="148">
        <f t="shared" si="20"/>
        <v>0</v>
      </c>
      <c r="K83" s="148">
        <f t="shared" si="20"/>
        <v>0</v>
      </c>
      <c r="L83" s="148">
        <f t="shared" si="20"/>
        <v>0</v>
      </c>
      <c r="M83" s="148">
        <f t="shared" si="20"/>
        <v>0</v>
      </c>
      <c r="N83" s="148">
        <f t="shared" si="20"/>
        <v>0</v>
      </c>
      <c r="O83" s="148">
        <f t="shared" si="20"/>
        <v>0</v>
      </c>
      <c r="P83" s="148">
        <f t="shared" si="20"/>
        <v>0</v>
      </c>
      <c r="Q83" s="148">
        <f t="shared" si="20"/>
        <v>0</v>
      </c>
      <c r="R83" s="148">
        <f t="shared" si="20"/>
        <v>0</v>
      </c>
      <c r="S83" s="149">
        <f t="shared" si="20"/>
        <v>0</v>
      </c>
    </row>
    <row r="84" spans="1:19" s="179" customFormat="1">
      <c r="A84" s="147" t="s">
        <v>821</v>
      </c>
      <c r="B84" s="148">
        <f>IF(AND(B35&gt;0,B37&gt;0),1,0)</f>
        <v>0</v>
      </c>
      <c r="C84" s="148">
        <f t="shared" ref="C84:S84" si="21">IF(AND(C35&gt;0,C37&gt;0),1,0)</f>
        <v>0</v>
      </c>
      <c r="D84" s="148">
        <f t="shared" si="21"/>
        <v>0</v>
      </c>
      <c r="E84" s="148">
        <f>IF(AND(E35&gt;0,E37&gt;0),1,0)</f>
        <v>0</v>
      </c>
      <c r="F84" s="148">
        <f>IF(AND(F35&gt;0,F37&gt;0),1,0)</f>
        <v>0</v>
      </c>
      <c r="G84" s="148">
        <f>IF(AND(G35&gt;0,G37&gt;0),1,0)</f>
        <v>0</v>
      </c>
      <c r="H84" s="148">
        <f>IF(AND(H35&gt;0,H37&gt;0),1,0)</f>
        <v>0</v>
      </c>
      <c r="I84" s="148">
        <f t="shared" si="21"/>
        <v>0</v>
      </c>
      <c r="J84" s="148">
        <f t="shared" si="21"/>
        <v>0</v>
      </c>
      <c r="K84" s="148">
        <f t="shared" si="21"/>
        <v>0</v>
      </c>
      <c r="L84" s="148">
        <f t="shared" si="21"/>
        <v>0</v>
      </c>
      <c r="M84" s="148">
        <f t="shared" si="21"/>
        <v>0</v>
      </c>
      <c r="N84" s="148">
        <f t="shared" si="21"/>
        <v>0</v>
      </c>
      <c r="O84" s="148">
        <f t="shared" si="21"/>
        <v>0</v>
      </c>
      <c r="P84" s="148">
        <f t="shared" si="21"/>
        <v>0</v>
      </c>
      <c r="Q84" s="148">
        <f t="shared" si="21"/>
        <v>0</v>
      </c>
      <c r="R84" s="148">
        <f t="shared" si="21"/>
        <v>0</v>
      </c>
      <c r="S84" s="149">
        <f t="shared" si="21"/>
        <v>0</v>
      </c>
    </row>
    <row r="85" spans="1:19">
      <c r="A85" s="147" t="s">
        <v>264</v>
      </c>
      <c r="B85" s="148">
        <f>'Data Entry Fuel'!B137</f>
        <v>0</v>
      </c>
      <c r="C85" s="148">
        <f>'Data Entry Fuel'!C137</f>
        <v>0</v>
      </c>
      <c r="D85" s="148">
        <f>'Data Entry Fuel'!D137</f>
        <v>0</v>
      </c>
      <c r="E85" s="148">
        <f>'Data Entry Fuel'!E137</f>
        <v>0</v>
      </c>
      <c r="F85" s="148">
        <f>'Data Entry Fuel'!F137</f>
        <v>0</v>
      </c>
      <c r="G85" s="148">
        <f>'Data Entry Fuel'!G137</f>
        <v>0</v>
      </c>
      <c r="H85" s="148">
        <f>'Data Entry Fuel'!H137</f>
        <v>0</v>
      </c>
      <c r="I85" s="148">
        <f>'Data Entry Fuel'!I137</f>
        <v>0</v>
      </c>
      <c r="J85" s="148">
        <f>'Data Entry Fuel'!J137</f>
        <v>0</v>
      </c>
      <c r="K85" s="148">
        <f>'Data Entry Fuel'!K137</f>
        <v>0</v>
      </c>
      <c r="L85" s="148">
        <f>'Data Entry Fuel'!L137</f>
        <v>0</v>
      </c>
      <c r="M85" s="148">
        <f>'Data Entry Fuel'!M137</f>
        <v>0</v>
      </c>
      <c r="N85" s="148">
        <f>'Data Entry Fuel'!N137</f>
        <v>0</v>
      </c>
      <c r="O85" s="148">
        <f>'Data Entry Fuel'!O137</f>
        <v>0</v>
      </c>
      <c r="P85" s="148">
        <f>'Data Entry Fuel'!P137</f>
        <v>0</v>
      </c>
      <c r="Q85" s="148">
        <f>'Data Entry Fuel'!Q137</f>
        <v>0</v>
      </c>
      <c r="R85" s="148">
        <f>'Data Entry Fuel'!R137</f>
        <v>0</v>
      </c>
      <c r="S85" s="149">
        <f>'Data Entry Fuel'!S137</f>
        <v>0</v>
      </c>
    </row>
    <row r="86" spans="1:19">
      <c r="A86" s="147" t="s">
        <v>265</v>
      </c>
      <c r="B86" s="148">
        <f>'Data Entry Fuel'!B140</f>
        <v>0</v>
      </c>
      <c r="C86" s="148">
        <f>'Data Entry Fuel'!C140</f>
        <v>0</v>
      </c>
      <c r="D86" s="148">
        <f>'Data Entry Fuel'!D140</f>
        <v>0</v>
      </c>
      <c r="E86" s="148">
        <f>'Data Entry Fuel'!E140</f>
        <v>0</v>
      </c>
      <c r="F86" s="148">
        <f>'Data Entry Fuel'!F140</f>
        <v>0</v>
      </c>
      <c r="G86" s="148">
        <f>'Data Entry Fuel'!G140</f>
        <v>0</v>
      </c>
      <c r="H86" s="148">
        <f>'Data Entry Fuel'!H140</f>
        <v>0</v>
      </c>
      <c r="I86" s="148">
        <f>'Data Entry Fuel'!I140</f>
        <v>0</v>
      </c>
      <c r="J86" s="148">
        <f>'Data Entry Fuel'!J140</f>
        <v>0</v>
      </c>
      <c r="K86" s="148">
        <f>'Data Entry Fuel'!K140</f>
        <v>0</v>
      </c>
      <c r="L86" s="148">
        <f>'Data Entry Fuel'!L140</f>
        <v>0</v>
      </c>
      <c r="M86" s="148">
        <f>'Data Entry Fuel'!M140</f>
        <v>0</v>
      </c>
      <c r="N86" s="148">
        <f>'Data Entry Fuel'!N140</f>
        <v>0</v>
      </c>
      <c r="O86" s="148">
        <f>'Data Entry Fuel'!O140</f>
        <v>0</v>
      </c>
      <c r="P86" s="148">
        <f>'Data Entry Fuel'!P140</f>
        <v>0</v>
      </c>
      <c r="Q86" s="148">
        <f>'Data Entry Fuel'!Q140</f>
        <v>0</v>
      </c>
      <c r="R86" s="148">
        <f>'Data Entry Fuel'!R140</f>
        <v>0</v>
      </c>
      <c r="S86" s="149">
        <f>'Data Entry Fuel'!S140</f>
        <v>0</v>
      </c>
    </row>
    <row r="87" spans="1:19">
      <c r="A87" s="147"/>
      <c r="B87" s="148"/>
      <c r="C87" s="148"/>
      <c r="D87" s="148"/>
      <c r="E87" s="148"/>
      <c r="F87" s="148"/>
      <c r="G87" s="148"/>
      <c r="H87" s="148"/>
      <c r="I87" s="148"/>
      <c r="J87" s="148"/>
      <c r="K87" s="148"/>
      <c r="L87" s="148"/>
      <c r="M87" s="148"/>
      <c r="N87" s="148"/>
      <c r="O87" s="148"/>
      <c r="P87" s="148"/>
      <c r="Q87" s="148"/>
      <c r="R87" s="148"/>
      <c r="S87" s="149"/>
    </row>
    <row r="88" spans="1:19">
      <c r="A88" s="147" t="s">
        <v>266</v>
      </c>
      <c r="B88" s="148">
        <f>IF('Savings Calculator'!D24&gt;0,IF('Fuel Equipment'!B3=0,1,0),0)</f>
        <v>0</v>
      </c>
      <c r="C88" s="148"/>
      <c r="D88" s="148"/>
      <c r="E88" s="148"/>
      <c r="F88" s="148"/>
      <c r="G88" s="148"/>
      <c r="H88" s="148"/>
      <c r="I88" s="148"/>
      <c r="J88" s="148"/>
      <c r="K88" s="148"/>
      <c r="L88" s="148"/>
      <c r="M88" s="148"/>
      <c r="N88" s="148"/>
      <c r="O88" s="148"/>
      <c r="P88" s="148"/>
      <c r="Q88" s="148"/>
      <c r="R88" s="148"/>
      <c r="S88" s="149"/>
    </row>
    <row r="89" spans="1:19">
      <c r="A89" s="147" t="s">
        <v>202</v>
      </c>
      <c r="B89" s="148">
        <f>IF('Savings Calculator'!D24&gt;0,IF('Fuel Equipment'!B7=0,1,0),0)</f>
        <v>0</v>
      </c>
      <c r="C89" s="148"/>
      <c r="D89" s="148"/>
      <c r="E89" s="148"/>
      <c r="F89" s="148"/>
      <c r="G89" s="148"/>
      <c r="H89" s="148"/>
      <c r="I89" s="148"/>
      <c r="J89" s="148"/>
      <c r="K89" s="148"/>
      <c r="L89" s="148"/>
      <c r="M89" s="148"/>
      <c r="N89" s="148"/>
      <c r="O89" s="148"/>
      <c r="P89" s="148"/>
      <c r="Q89" s="148"/>
      <c r="R89" s="148"/>
      <c r="S89" s="149"/>
    </row>
    <row r="90" spans="1:19">
      <c r="A90" s="150" t="s">
        <v>267</v>
      </c>
      <c r="B90" s="151">
        <f>IF('Savings Calculator'!D24&gt;0,IF(B9=0,1,IF(B9=B52,0,IF(B9=B51,IF(B10=0,1,0),"ERROR"))),0)</f>
        <v>0</v>
      </c>
      <c r="C90" s="151"/>
      <c r="D90" s="151"/>
      <c r="E90" s="151"/>
      <c r="F90" s="151"/>
      <c r="G90" s="151"/>
      <c r="H90" s="151"/>
      <c r="I90" s="151"/>
      <c r="J90" s="151"/>
      <c r="K90" s="151"/>
      <c r="L90" s="151"/>
      <c r="M90" s="151"/>
      <c r="N90" s="151"/>
      <c r="O90" s="151"/>
      <c r="P90" s="151"/>
      <c r="Q90" s="151"/>
      <c r="R90" s="151"/>
      <c r="S90" s="152"/>
    </row>
  </sheetData>
  <protectedRanges>
    <protectedRange password="DCDF" sqref="C23:S24 B28:S28 E15:S15 E20:S20 B16:S16 B21:S22 B19:S19" name="Savings"/>
    <protectedRange password="DCDF" sqref="B15:D15" name="Savings_1_1"/>
    <protectedRange password="DCDF" sqref="B20:D20" name="Savings_2"/>
  </protectedRanges>
  <mergeCells count="2">
    <mergeCell ref="A13:D13"/>
    <mergeCell ref="D2:G10"/>
  </mergeCells>
  <conditionalFormatting sqref="E20:S20">
    <cfRule type="expression" dxfId="76" priority="34">
      <formula>E$20&gt;24</formula>
    </cfRule>
  </conditionalFormatting>
  <conditionalFormatting sqref="E20:S20">
    <cfRule type="expression" dxfId="75" priority="32">
      <formula>E$20&gt;24</formula>
    </cfRule>
  </conditionalFormatting>
  <conditionalFormatting sqref="B21:S21">
    <cfRule type="expression" dxfId="74" priority="31">
      <formula>B$21&gt;28</formula>
    </cfRule>
  </conditionalFormatting>
  <conditionalFormatting sqref="B3">
    <cfRule type="expression" dxfId="73" priority="24">
      <formula>$B$88=1</formula>
    </cfRule>
  </conditionalFormatting>
  <conditionalFormatting sqref="B7">
    <cfRule type="expression" dxfId="72" priority="23">
      <formula>$B$89=1</formula>
    </cfRule>
  </conditionalFormatting>
  <conditionalFormatting sqref="B9:B10">
    <cfRule type="expression" dxfId="71" priority="22">
      <formula>$B$90=1</formula>
    </cfRule>
  </conditionalFormatting>
  <conditionalFormatting sqref="B39:S39">
    <cfRule type="expression" dxfId="70" priority="66">
      <formula>B$83=1</formula>
    </cfRule>
    <cfRule type="expression" dxfId="69" priority="67">
      <formula>B$37=0</formula>
    </cfRule>
  </conditionalFormatting>
  <conditionalFormatting sqref="B10">
    <cfRule type="expression" dxfId="68" priority="87">
      <formula>$B$9=$B$52</formula>
    </cfRule>
  </conditionalFormatting>
  <conditionalFormatting sqref="B22:S22">
    <cfRule type="expression" dxfId="67" priority="42">
      <formula>B$85=1</formula>
    </cfRule>
  </conditionalFormatting>
  <conditionalFormatting sqref="B17:S17">
    <cfRule type="expression" dxfId="66" priority="29">
      <formula>B$86=1</formula>
    </cfRule>
  </conditionalFormatting>
  <conditionalFormatting sqref="B35:S36">
    <cfRule type="expression" dxfId="65" priority="17">
      <formula>OR(B$28&gt;0,OR(B$30*B$31&gt;0,B$33&gt;0))</formula>
    </cfRule>
  </conditionalFormatting>
  <conditionalFormatting sqref="B36:S38">
    <cfRule type="expression" dxfId="64" priority="15">
      <formula>B$35&gt;0</formula>
    </cfRule>
  </conditionalFormatting>
  <conditionalFormatting sqref="B25:S27">
    <cfRule type="expression" dxfId="63" priority="13">
      <formula>OR(B$14=$D$56,B$14=$D$51)</formula>
    </cfRule>
  </conditionalFormatting>
  <conditionalFormatting sqref="B27:S33">
    <cfRule type="expression" dxfId="62" priority="12">
      <formula>AND(B$25&gt;0,NOT(B$25="NOT REQUIRED"))</formula>
    </cfRule>
  </conditionalFormatting>
  <conditionalFormatting sqref="B29:S33 B25:S27">
    <cfRule type="expression" dxfId="61" priority="11">
      <formula>B$28&gt;0</formula>
    </cfRule>
  </conditionalFormatting>
  <conditionalFormatting sqref="B32:S33 B25:S29">
    <cfRule type="expression" dxfId="60" priority="10">
      <formula>B$30*B$31&gt;0</formula>
    </cfRule>
  </conditionalFormatting>
  <conditionalFormatting sqref="B25:S32">
    <cfRule type="expression" dxfId="59" priority="9">
      <formula>B$33&gt;0</formula>
    </cfRule>
  </conditionalFormatting>
  <conditionalFormatting sqref="B35:S36">
    <cfRule type="expression" dxfId="58" priority="8">
      <formula>AND(B$44=B$45,NOT(B$44*B$45=0))</formula>
    </cfRule>
  </conditionalFormatting>
  <conditionalFormatting sqref="B25:S27">
    <cfRule type="expression" dxfId="57" priority="7">
      <formula>B$16="Not Listed"</formula>
    </cfRule>
  </conditionalFormatting>
  <conditionalFormatting sqref="B35:S37">
    <cfRule type="expression" dxfId="56" priority="6">
      <formula>B$84=1</formula>
    </cfRule>
  </conditionalFormatting>
  <conditionalFormatting sqref="B20:D20">
    <cfRule type="expression" dxfId="55" priority="5">
      <formula>B$20&gt;24</formula>
    </cfRule>
  </conditionalFormatting>
  <conditionalFormatting sqref="B20:D20">
    <cfRule type="expression" dxfId="54" priority="4">
      <formula>B$20&gt;24</formula>
    </cfRule>
  </conditionalFormatting>
  <dataValidations count="3">
    <dataValidation type="list" allowBlank="1" showInputMessage="1" showErrorMessage="1" sqref="B37 E37:S37">
      <formula1>$B$54:$B$59</formula1>
    </dataValidation>
    <dataValidation type="list" allowBlank="1" showInputMessage="1" showErrorMessage="1" sqref="B9 B39:S39">
      <formula1>$B$51:$B$52</formula1>
    </dataValidation>
    <dataValidation type="list" allowBlank="1" showInputMessage="1" showErrorMessage="1" sqref="B14:S14">
      <formula1>$D$51:$D$56</formula1>
    </dataValidation>
  </dataValidations>
  <pageMargins left="0.7" right="0.7" top="0.75" bottom="0.75" header="0.3" footer="0.3"/>
  <pageSetup paperSize="9" orientation="portrait" verticalDpi="4"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'Actual-CO2 Calculations'!$A$5:$A$121</xm:f>
          </x14:formula1>
          <xm:sqref>B17:S18</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Report!$A$18:$A$26</xm:f>
          </x14:formula1>
          <xm:sqref>B22:S22</xm:sqref>
        </x14:dataValidation>
        <x14:dataValidation type="list" allowBlank="1" showInputMessage="1" showErrorMessage="1">
          <x14:formula1>
            <xm:f>'Fuel Equipment DD'!B$39:B$41</xm:f>
          </x14:formula1>
          <xm:sqref>B26:S26</xm:sqref>
        </x14:dataValidation>
        <x14:dataValidation type="list" allowBlank="1" showInputMessage="1" showErrorMessage="1">
          <x14:formula1>
            <xm:f>'Fuel Equipment DD'!B$3:B$20</xm:f>
          </x14:formula1>
          <xm:sqref>B16:S16</xm:sqref>
        </x14:dataValidation>
        <x14:dataValidation type="list" allowBlank="1" showInputMessage="1" showErrorMessage="1">
          <x14:formula1>
            <xm:f>'Fuel Equipment DD'!B$30:B$36</xm:f>
          </x14:formula1>
          <xm:sqref>B25:S25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385"/>
  <sheetViews>
    <sheetView topLeftCell="A154" zoomScaleNormal="100" workbookViewId="0">
      <selection activeCell="I129" sqref="I129"/>
    </sheetView>
  </sheetViews>
  <sheetFormatPr defaultRowHeight="15"/>
  <cols>
    <col min="1" max="1" width="33.42578125" customWidth="1"/>
    <col min="2" max="6" width="21.7109375" customWidth="1"/>
    <col min="7" max="7" width="10.5703125" bestFit="1" customWidth="1"/>
    <col min="9" max="9" width="23.28515625" customWidth="1"/>
  </cols>
  <sheetData>
    <row r="1" spans="1:7">
      <c r="A1" s="179"/>
      <c r="B1" s="179"/>
      <c r="C1" s="179"/>
      <c r="D1" s="179"/>
      <c r="E1" s="179"/>
      <c r="F1" s="179"/>
      <c r="G1" s="179"/>
    </row>
    <row r="2" spans="1:7" ht="15.75">
      <c r="A2" s="179"/>
      <c r="B2" s="96" t="str">
        <f>Report!B3</f>
        <v>2015/16-Q1</v>
      </c>
      <c r="C2" s="179"/>
      <c r="D2" s="179"/>
      <c r="E2" s="179"/>
      <c r="F2" s="179"/>
      <c r="G2" s="179"/>
    </row>
    <row r="3" spans="1:7" ht="15.75">
      <c r="A3" s="92" t="s">
        <v>967</v>
      </c>
      <c r="B3" s="101" t="s">
        <v>1122</v>
      </c>
      <c r="C3" s="95"/>
      <c r="D3" s="933" t="s">
        <v>969</v>
      </c>
      <c r="E3" s="933"/>
      <c r="F3" s="933"/>
      <c r="G3" s="179"/>
    </row>
    <row r="4" spans="1:7" ht="15.75">
      <c r="A4" s="92" t="s">
        <v>968</v>
      </c>
      <c r="B4" s="101" t="s">
        <v>1123</v>
      </c>
      <c r="C4" s="95"/>
      <c r="D4" s="933"/>
      <c r="E4" s="933"/>
      <c r="F4" s="933"/>
      <c r="G4" s="179"/>
    </row>
    <row r="5" spans="1:7" ht="15.75">
      <c r="A5" s="517" t="s">
        <v>208</v>
      </c>
      <c r="B5" s="101"/>
      <c r="C5" s="179"/>
      <c r="D5" s="933"/>
      <c r="E5" s="933"/>
      <c r="F5" s="933"/>
      <c r="G5" s="179"/>
    </row>
    <row r="6" spans="1:7" ht="15.75">
      <c r="A6" s="86"/>
      <c r="B6" s="179"/>
      <c r="C6" s="179"/>
      <c r="D6" s="933"/>
      <c r="E6" s="933"/>
      <c r="F6" s="933"/>
      <c r="G6" s="179"/>
    </row>
    <row r="7" spans="1:7" ht="15.75">
      <c r="A7" s="92" t="s">
        <v>862</v>
      </c>
      <c r="B7" s="520">
        <v>42200</v>
      </c>
      <c r="D7" s="604"/>
      <c r="E7" s="356"/>
      <c r="F7" s="356"/>
      <c r="G7" s="356"/>
    </row>
    <row r="8" spans="1:7" s="179" customFormat="1" ht="15.75">
      <c r="A8" s="92"/>
      <c r="B8" s="106"/>
    </row>
    <row r="9" spans="1:7" ht="27" thickBot="1">
      <c r="A9" s="492" t="s">
        <v>956</v>
      </c>
      <c r="B9" s="110"/>
      <c r="C9" s="110"/>
      <c r="D9" s="110"/>
      <c r="E9" s="110"/>
      <c r="F9" s="110"/>
    </row>
    <row r="10" spans="1:7">
      <c r="A10" s="483" t="s">
        <v>124</v>
      </c>
      <c r="B10" s="122" t="s">
        <v>1111</v>
      </c>
      <c r="C10" s="122" t="s">
        <v>1112</v>
      </c>
      <c r="D10" s="122" t="s">
        <v>1113</v>
      </c>
      <c r="E10" s="122" t="s">
        <v>1114</v>
      </c>
      <c r="F10" s="122"/>
    </row>
    <row r="11" spans="1:7">
      <c r="A11" s="80" t="s">
        <v>119</v>
      </c>
      <c r="B11" s="123" t="s">
        <v>67</v>
      </c>
      <c r="C11" s="123" t="s">
        <v>68</v>
      </c>
      <c r="D11" s="123" t="s">
        <v>74</v>
      </c>
      <c r="E11" s="123" t="s">
        <v>14</v>
      </c>
      <c r="F11" s="123" t="s">
        <v>62</v>
      </c>
    </row>
    <row r="12" spans="1:7">
      <c r="A12" s="80" t="s">
        <v>120</v>
      </c>
      <c r="B12" s="123" t="s">
        <v>19</v>
      </c>
      <c r="C12" s="123" t="s">
        <v>72</v>
      </c>
      <c r="D12" s="123" t="s">
        <v>12</v>
      </c>
      <c r="E12" s="123" t="s">
        <v>19</v>
      </c>
      <c r="F12" s="123" t="s">
        <v>66</v>
      </c>
    </row>
    <row r="13" spans="1:7" ht="30">
      <c r="A13" s="483" t="s">
        <v>848</v>
      </c>
      <c r="B13" s="500" t="s">
        <v>831</v>
      </c>
      <c r="C13" s="500" t="s">
        <v>831</v>
      </c>
      <c r="D13" s="500" t="s">
        <v>831</v>
      </c>
      <c r="E13" s="500" t="s">
        <v>831</v>
      </c>
      <c r="F13" s="500"/>
    </row>
    <row r="14" spans="1:7" s="179" customFormat="1" ht="30">
      <c r="A14" s="483" t="s">
        <v>849</v>
      </c>
      <c r="B14" s="500"/>
      <c r="C14" s="500"/>
      <c r="D14" s="500"/>
      <c r="E14" s="500"/>
      <c r="F14" s="500"/>
    </row>
    <row r="15" spans="1:7" s="179" customFormat="1" ht="30">
      <c r="A15" s="483" t="s">
        <v>843</v>
      </c>
      <c r="B15" s="500" t="s">
        <v>231</v>
      </c>
      <c r="C15" s="500" t="s">
        <v>231</v>
      </c>
      <c r="D15" s="500" t="s">
        <v>231</v>
      </c>
      <c r="E15" s="500" t="s">
        <v>231</v>
      </c>
      <c r="F15" s="500"/>
    </row>
    <row r="16" spans="1:7" s="179" customFormat="1" ht="15.75">
      <c r="A16" s="573" t="s">
        <v>946</v>
      </c>
      <c r="B16" s="572"/>
      <c r="C16" s="572"/>
      <c r="D16" s="572"/>
      <c r="E16" s="572"/>
      <c r="F16" s="572"/>
    </row>
    <row r="17" spans="1:6" s="179" customFormat="1" ht="30" customHeight="1">
      <c r="A17" s="703" t="s">
        <v>1043</v>
      </c>
      <c r="B17" s="500" t="s">
        <v>232</v>
      </c>
      <c r="C17" s="500" t="s">
        <v>232</v>
      </c>
      <c r="D17" s="500" t="s">
        <v>232</v>
      </c>
      <c r="E17" s="500" t="s">
        <v>232</v>
      </c>
      <c r="F17" s="500"/>
    </row>
    <row r="18" spans="1:6" s="179" customFormat="1" ht="15.75">
      <c r="A18" s="573" t="s">
        <v>215</v>
      </c>
      <c r="B18" s="572"/>
      <c r="C18" s="572"/>
      <c r="D18" s="572"/>
      <c r="E18" s="572"/>
      <c r="F18" s="572"/>
    </row>
    <row r="19" spans="1:6" ht="45">
      <c r="A19" s="482" t="s">
        <v>850</v>
      </c>
      <c r="B19" s="501">
        <v>0.25</v>
      </c>
      <c r="C19" s="501">
        <v>0.2</v>
      </c>
      <c r="D19" s="501">
        <v>0.2</v>
      </c>
      <c r="E19" s="501">
        <v>0.2</v>
      </c>
      <c r="F19" s="501"/>
    </row>
    <row r="20" spans="1:6" ht="15.75">
      <c r="A20" s="92" t="s">
        <v>216</v>
      </c>
      <c r="B20" s="502" t="s">
        <v>211</v>
      </c>
      <c r="C20" s="502" t="s">
        <v>211</v>
      </c>
      <c r="D20" s="502" t="s">
        <v>211</v>
      </c>
      <c r="E20" s="502" t="s">
        <v>211</v>
      </c>
      <c r="F20" s="502" t="s">
        <v>211</v>
      </c>
    </row>
    <row r="21" spans="1:6" s="179" customFormat="1" ht="15.75">
      <c r="A21" s="96"/>
      <c r="B21" s="932" t="s">
        <v>957</v>
      </c>
      <c r="C21" s="932"/>
      <c r="D21" s="932"/>
      <c r="E21" s="932"/>
      <c r="F21" s="932"/>
    </row>
    <row r="22" spans="1:6" ht="15.75">
      <c r="A22" s="498" t="s">
        <v>31</v>
      </c>
      <c r="B22" s="505"/>
      <c r="C22" s="505"/>
      <c r="D22" s="505"/>
      <c r="E22" s="505"/>
      <c r="F22" s="505"/>
    </row>
    <row r="23" spans="1:6" ht="15.75">
      <c r="A23" s="498" t="s">
        <v>32</v>
      </c>
      <c r="B23" s="505"/>
      <c r="C23" s="505"/>
      <c r="D23" s="505"/>
      <c r="E23" s="505"/>
      <c r="F23" s="505"/>
    </row>
    <row r="24" spans="1:6" ht="15.75">
      <c r="A24" s="498" t="s">
        <v>33</v>
      </c>
      <c r="B24" s="505"/>
      <c r="C24" s="505"/>
      <c r="D24" s="505"/>
      <c r="E24" s="505"/>
      <c r="F24" s="505"/>
    </row>
    <row r="25" spans="1:6" ht="15.75">
      <c r="A25" s="498" t="s">
        <v>34</v>
      </c>
      <c r="B25" s="505"/>
      <c r="C25" s="505"/>
      <c r="D25" s="505"/>
      <c r="E25" s="505"/>
      <c r="F25" s="505"/>
    </row>
    <row r="26" spans="1:6" ht="15.75">
      <c r="A26" s="498" t="s">
        <v>35</v>
      </c>
      <c r="B26" s="505"/>
      <c r="C26" s="505"/>
      <c r="D26" s="505"/>
      <c r="E26" s="505"/>
      <c r="F26" s="505"/>
    </row>
    <row r="27" spans="1:6" ht="15.75">
      <c r="A27" s="498" t="s">
        <v>36</v>
      </c>
      <c r="B27" s="505"/>
      <c r="C27" s="505"/>
      <c r="D27" s="505"/>
      <c r="E27" s="505"/>
      <c r="F27" s="505"/>
    </row>
    <row r="28" spans="1:6" ht="15.75">
      <c r="A28" s="498" t="s">
        <v>37</v>
      </c>
      <c r="B28" s="505"/>
      <c r="C28" s="505"/>
      <c r="D28" s="505"/>
      <c r="E28" s="505"/>
      <c r="F28" s="505"/>
    </row>
    <row r="29" spans="1:6" ht="15.75">
      <c r="A29" s="498" t="s">
        <v>38</v>
      </c>
      <c r="B29" s="505"/>
      <c r="C29" s="505"/>
      <c r="D29" s="505"/>
      <c r="E29" s="505"/>
      <c r="F29" s="505"/>
    </row>
    <row r="30" spans="1:6" ht="15.75">
      <c r="A30" s="498" t="s">
        <v>39</v>
      </c>
      <c r="B30" s="505"/>
      <c r="C30" s="505"/>
      <c r="D30" s="505"/>
      <c r="E30" s="505"/>
      <c r="F30" s="505"/>
    </row>
    <row r="31" spans="1:6" ht="15.75">
      <c r="A31" s="498" t="s">
        <v>25</v>
      </c>
      <c r="B31" s="505"/>
      <c r="C31" s="505"/>
      <c r="D31" s="505"/>
      <c r="E31" s="505"/>
      <c r="F31" s="505"/>
    </row>
    <row r="32" spans="1:6" ht="15.75">
      <c r="A32" s="498" t="s">
        <v>26</v>
      </c>
      <c r="B32" s="505"/>
      <c r="C32" s="505"/>
      <c r="D32" s="505"/>
      <c r="E32" s="505"/>
      <c r="F32" s="505"/>
    </row>
    <row r="33" spans="1:6" ht="15.75">
      <c r="A33" s="498" t="s">
        <v>27</v>
      </c>
      <c r="B33" s="505"/>
      <c r="C33" s="505"/>
      <c r="D33" s="505"/>
      <c r="E33" s="505"/>
      <c r="F33" s="505"/>
    </row>
    <row r="34" spans="1:6" ht="15.75">
      <c r="A34" s="498" t="s">
        <v>24</v>
      </c>
      <c r="B34" s="505"/>
      <c r="C34" s="505"/>
      <c r="D34" s="505"/>
      <c r="E34" s="505"/>
      <c r="F34" s="505"/>
    </row>
    <row r="35" spans="1:6" ht="15.75">
      <c r="A35" s="498" t="s">
        <v>40</v>
      </c>
      <c r="B35" s="505"/>
      <c r="C35" s="505"/>
      <c r="D35" s="505"/>
      <c r="E35" s="505"/>
      <c r="F35" s="505"/>
    </row>
    <row r="36" spans="1:6" ht="15.75">
      <c r="A36" s="498" t="s">
        <v>41</v>
      </c>
      <c r="B36" s="505"/>
      <c r="C36" s="505"/>
      <c r="D36" s="505"/>
      <c r="E36" s="505"/>
      <c r="F36" s="505"/>
    </row>
    <row r="37" spans="1:6" ht="15.75">
      <c r="A37" s="498" t="s">
        <v>42</v>
      </c>
      <c r="B37" s="505"/>
      <c r="C37" s="505"/>
      <c r="D37" s="505"/>
      <c r="E37" s="505"/>
      <c r="F37" s="505"/>
    </row>
    <row r="38" spans="1:6" ht="15.75">
      <c r="A38" s="498" t="s">
        <v>43</v>
      </c>
      <c r="B38" s="505"/>
      <c r="C38" s="505"/>
      <c r="D38" s="505"/>
      <c r="E38" s="505"/>
      <c r="F38" s="505"/>
    </row>
    <row r="39" spans="1:6" ht="15.75">
      <c r="A39" s="498" t="s">
        <v>44</v>
      </c>
      <c r="B39" s="505"/>
      <c r="C39" s="505"/>
      <c r="D39" s="505"/>
      <c r="E39" s="505"/>
      <c r="F39" s="505"/>
    </row>
    <row r="40" spans="1:6" ht="15.75">
      <c r="A40" s="498" t="s">
        <v>45</v>
      </c>
      <c r="B40" s="505"/>
      <c r="C40" s="505"/>
      <c r="D40" s="505"/>
      <c r="E40" s="505"/>
      <c r="F40" s="505"/>
    </row>
    <row r="41" spans="1:6" ht="15.75">
      <c r="A41" s="498" t="s">
        <v>46</v>
      </c>
      <c r="B41" s="505"/>
      <c r="C41" s="505"/>
      <c r="D41" s="505"/>
      <c r="E41" s="505"/>
      <c r="F41" s="505"/>
    </row>
    <row r="42" spans="1:6" ht="15.75">
      <c r="A42" s="498" t="s">
        <v>47</v>
      </c>
      <c r="B42" s="505"/>
      <c r="C42" s="505"/>
      <c r="D42" s="505"/>
      <c r="E42" s="505"/>
      <c r="F42" s="505"/>
    </row>
    <row r="43" spans="1:6" ht="15.75">
      <c r="A43" s="498" t="s">
        <v>48</v>
      </c>
      <c r="B43" s="505"/>
      <c r="C43" s="505"/>
      <c r="D43" s="505"/>
      <c r="E43" s="505"/>
      <c r="F43" s="505"/>
    </row>
    <row r="44" spans="1:6" ht="15.75">
      <c r="A44" s="498" t="s">
        <v>0</v>
      </c>
      <c r="B44" s="505"/>
      <c r="C44" s="505"/>
      <c r="D44" s="505"/>
      <c r="E44" s="505"/>
      <c r="F44" s="505"/>
    </row>
    <row r="45" spans="1:6" ht="15.75">
      <c r="A45" s="498" t="s">
        <v>1</v>
      </c>
      <c r="B45" s="505"/>
      <c r="C45" s="505"/>
      <c r="D45" s="505"/>
      <c r="E45" s="505"/>
      <c r="F45" s="505"/>
    </row>
    <row r="46" spans="1:6" ht="15.75">
      <c r="A46" s="498" t="s">
        <v>2</v>
      </c>
      <c r="B46" s="505"/>
      <c r="C46" s="505"/>
      <c r="D46" s="505"/>
      <c r="E46" s="505"/>
      <c r="F46" s="505"/>
    </row>
    <row r="47" spans="1:6" ht="15.75">
      <c r="A47" s="498" t="s">
        <v>3</v>
      </c>
      <c r="B47" s="505"/>
      <c r="C47" s="505"/>
      <c r="D47" s="505"/>
      <c r="E47" s="505"/>
      <c r="F47" s="505"/>
    </row>
    <row r="48" spans="1:6" ht="15.75">
      <c r="A48" s="498" t="s">
        <v>49</v>
      </c>
      <c r="B48" s="505"/>
      <c r="C48" s="505"/>
      <c r="D48" s="505"/>
      <c r="E48" s="505"/>
      <c r="F48" s="505"/>
    </row>
    <row r="49" spans="1:6" ht="15.75">
      <c r="A49" s="498" t="s">
        <v>50</v>
      </c>
      <c r="B49" s="505"/>
      <c r="C49" s="505"/>
      <c r="D49" s="505"/>
      <c r="E49" s="505"/>
      <c r="F49" s="505"/>
    </row>
    <row r="50" spans="1:6" ht="15.75">
      <c r="A50" s="498" t="s">
        <v>51</v>
      </c>
      <c r="B50" s="505"/>
      <c r="C50" s="505"/>
      <c r="D50" s="505"/>
      <c r="E50" s="505"/>
      <c r="F50" s="505"/>
    </row>
    <row r="51" spans="1:6" ht="15.75">
      <c r="A51" s="498" t="s">
        <v>52</v>
      </c>
      <c r="B51" s="505"/>
      <c r="C51" s="505"/>
      <c r="D51" s="505"/>
      <c r="E51" s="505"/>
      <c r="F51" s="505"/>
    </row>
    <row r="52" spans="1:6" ht="15.75">
      <c r="A52" s="498" t="s">
        <v>53</v>
      </c>
      <c r="B52" s="505"/>
      <c r="C52" s="505"/>
      <c r="D52" s="505"/>
      <c r="E52" s="505"/>
      <c r="F52" s="505"/>
    </row>
    <row r="53" spans="1:6" ht="15.75">
      <c r="A53" s="498" t="s">
        <v>54</v>
      </c>
      <c r="B53" s="505"/>
      <c r="C53" s="505"/>
      <c r="D53" s="505"/>
      <c r="E53" s="505"/>
      <c r="F53" s="505"/>
    </row>
    <row r="54" spans="1:6" ht="15.75">
      <c r="A54" s="498" t="s">
        <v>55</v>
      </c>
      <c r="B54" s="505"/>
      <c r="C54" s="505"/>
      <c r="D54" s="505"/>
      <c r="E54" s="505"/>
      <c r="F54" s="505"/>
    </row>
    <row r="55" spans="1:6" ht="15.75">
      <c r="A55" s="498" t="s">
        <v>56</v>
      </c>
      <c r="B55" s="505"/>
      <c r="C55" s="505"/>
      <c r="D55" s="505"/>
      <c r="E55" s="505"/>
      <c r="F55" s="505"/>
    </row>
    <row r="56" spans="1:6" ht="15.75">
      <c r="A56" s="498" t="s">
        <v>57</v>
      </c>
      <c r="B56" s="505"/>
      <c r="C56" s="505"/>
      <c r="D56" s="505"/>
      <c r="E56" s="505"/>
      <c r="F56" s="505"/>
    </row>
    <row r="57" spans="1:6" ht="15.75">
      <c r="A57" s="498" t="s">
        <v>4</v>
      </c>
      <c r="B57" s="505"/>
      <c r="C57" s="505"/>
      <c r="D57" s="505"/>
      <c r="E57" s="505"/>
      <c r="F57" s="505"/>
    </row>
    <row r="58" spans="1:6" ht="15.75">
      <c r="A58" s="498" t="s">
        <v>5</v>
      </c>
      <c r="B58" s="505"/>
      <c r="C58" s="505"/>
      <c r="D58" s="505"/>
      <c r="E58" s="505"/>
      <c r="F58" s="505"/>
    </row>
    <row r="59" spans="1:6" ht="15.75">
      <c r="A59" s="498" t="s">
        <v>6</v>
      </c>
      <c r="B59" s="505"/>
      <c r="C59" s="505"/>
      <c r="D59" s="505"/>
      <c r="E59" s="505"/>
      <c r="F59" s="505"/>
    </row>
    <row r="60" spans="1:6" ht="15.75">
      <c r="A60" s="498" t="s">
        <v>7</v>
      </c>
      <c r="B60" s="505"/>
      <c r="C60" s="505"/>
      <c r="D60" s="505"/>
      <c r="E60" s="505"/>
      <c r="F60" s="505"/>
    </row>
    <row r="61" spans="1:6" ht="15.75">
      <c r="A61" s="498" t="s">
        <v>58</v>
      </c>
      <c r="B61" s="505"/>
      <c r="C61" s="505"/>
      <c r="D61" s="505"/>
      <c r="E61" s="505"/>
      <c r="F61" s="505"/>
    </row>
    <row r="62" spans="1:6" ht="15.75">
      <c r="A62" s="498" t="s">
        <v>59</v>
      </c>
      <c r="B62" s="505"/>
      <c r="C62" s="505"/>
      <c r="D62" s="505"/>
      <c r="E62" s="505"/>
      <c r="F62" s="505"/>
    </row>
    <row r="63" spans="1:6" ht="15.75">
      <c r="A63" s="498" t="s">
        <v>60</v>
      </c>
      <c r="B63" s="505"/>
      <c r="C63" s="505"/>
      <c r="D63" s="505"/>
      <c r="E63" s="505"/>
      <c r="F63" s="505"/>
    </row>
    <row r="64" spans="1:6" ht="15.75">
      <c r="A64" s="498" t="s">
        <v>61</v>
      </c>
      <c r="B64" s="505"/>
      <c r="C64" s="505"/>
      <c r="D64" s="505"/>
      <c r="E64" s="505"/>
      <c r="F64" s="505"/>
    </row>
    <row r="65" spans="1:6" ht="15.75">
      <c r="A65" s="498" t="s">
        <v>62</v>
      </c>
      <c r="B65" s="505"/>
      <c r="C65" s="505"/>
      <c r="D65" s="505"/>
      <c r="E65" s="505"/>
      <c r="F65" s="505"/>
    </row>
    <row r="66" spans="1:6" ht="15.75">
      <c r="A66" s="498" t="s">
        <v>63</v>
      </c>
      <c r="B66" s="505"/>
      <c r="C66" s="505"/>
      <c r="D66" s="505"/>
      <c r="E66" s="505"/>
      <c r="F66" s="505"/>
    </row>
    <row r="67" spans="1:6" ht="15.75">
      <c r="A67" s="498" t="s">
        <v>64</v>
      </c>
      <c r="B67" s="505"/>
      <c r="C67" s="505"/>
      <c r="D67" s="505"/>
      <c r="E67" s="505"/>
      <c r="F67" s="505"/>
    </row>
    <row r="68" spans="1:6" ht="15.75">
      <c r="A68" s="498" t="s">
        <v>65</v>
      </c>
      <c r="B68" s="505"/>
      <c r="C68" s="505"/>
      <c r="D68" s="505"/>
      <c r="E68" s="505"/>
      <c r="F68" s="505"/>
    </row>
    <row r="69" spans="1:6" ht="15.75">
      <c r="A69" s="498" t="s">
        <v>66</v>
      </c>
      <c r="B69" s="505"/>
      <c r="C69" s="505"/>
      <c r="D69" s="505"/>
      <c r="E69" s="505"/>
      <c r="F69" s="505"/>
    </row>
    <row r="70" spans="1:6" ht="15.75">
      <c r="A70" s="498" t="s">
        <v>8</v>
      </c>
      <c r="B70" s="505"/>
      <c r="C70" s="505"/>
      <c r="D70" s="505"/>
      <c r="E70" s="505"/>
      <c r="F70" s="505"/>
    </row>
    <row r="71" spans="1:6" ht="15.75">
      <c r="A71" s="498" t="s">
        <v>9</v>
      </c>
      <c r="B71" s="505"/>
      <c r="C71" s="505"/>
      <c r="D71" s="505"/>
      <c r="E71" s="505"/>
      <c r="F71" s="505"/>
    </row>
    <row r="72" spans="1:6" ht="15.75">
      <c r="A72" s="498" t="s">
        <v>10</v>
      </c>
      <c r="B72" s="505"/>
      <c r="C72" s="505"/>
      <c r="D72" s="505"/>
      <c r="E72" s="505"/>
      <c r="F72" s="505"/>
    </row>
    <row r="73" spans="1:6" ht="15.75">
      <c r="A73" s="498" t="s">
        <v>11</v>
      </c>
      <c r="B73" s="505"/>
      <c r="C73" s="505"/>
      <c r="D73" s="505"/>
      <c r="E73" s="505"/>
      <c r="F73" s="505"/>
    </row>
    <row r="74" spans="1:6" ht="15.75">
      <c r="A74" s="498" t="s">
        <v>67</v>
      </c>
      <c r="B74" s="505"/>
      <c r="C74" s="505"/>
      <c r="D74" s="505"/>
      <c r="E74" s="505"/>
      <c r="F74" s="505"/>
    </row>
    <row r="75" spans="1:6" ht="15.75">
      <c r="A75" s="498" t="s">
        <v>68</v>
      </c>
      <c r="B75" s="505"/>
      <c r="C75" s="505"/>
      <c r="D75" s="505"/>
      <c r="E75" s="505"/>
      <c r="F75" s="505"/>
    </row>
    <row r="76" spans="1:6" ht="15.75">
      <c r="A76" s="498" t="s">
        <v>69</v>
      </c>
      <c r="B76" s="505"/>
      <c r="C76" s="505"/>
      <c r="D76" s="505"/>
      <c r="E76" s="505"/>
      <c r="F76" s="505"/>
    </row>
    <row r="77" spans="1:6" ht="15.75">
      <c r="A77" s="498" t="s">
        <v>70</v>
      </c>
      <c r="B77" s="505"/>
      <c r="C77" s="505"/>
      <c r="D77" s="505"/>
      <c r="E77" s="505"/>
      <c r="F77" s="505"/>
    </row>
    <row r="78" spans="1:6" ht="15.75">
      <c r="A78" s="498" t="s">
        <v>71</v>
      </c>
      <c r="B78" s="505"/>
      <c r="C78" s="505"/>
      <c r="D78" s="505"/>
      <c r="E78" s="505"/>
      <c r="F78" s="505"/>
    </row>
    <row r="79" spans="1:6" ht="15.75">
      <c r="A79" s="498" t="s">
        <v>72</v>
      </c>
      <c r="B79" s="505"/>
      <c r="C79" s="505"/>
      <c r="D79" s="505"/>
      <c r="E79" s="505"/>
      <c r="F79" s="505"/>
    </row>
    <row r="80" spans="1:6" ht="15.75">
      <c r="A80" s="498" t="s">
        <v>73</v>
      </c>
      <c r="B80" s="505"/>
      <c r="C80" s="505"/>
      <c r="D80" s="505"/>
      <c r="E80" s="505"/>
      <c r="F80" s="505"/>
    </row>
    <row r="81" spans="1:6" ht="15.75">
      <c r="A81" s="498" t="s">
        <v>74</v>
      </c>
      <c r="B81" s="505"/>
      <c r="C81" s="505"/>
      <c r="D81" s="505"/>
      <c r="E81" s="505"/>
      <c r="F81" s="505"/>
    </row>
    <row r="82" spans="1:6" ht="15.75">
      <c r="A82" s="498" t="s">
        <v>75</v>
      </c>
      <c r="B82" s="505"/>
      <c r="C82" s="505"/>
      <c r="D82" s="505"/>
      <c r="E82" s="505"/>
      <c r="F82" s="505"/>
    </row>
    <row r="83" spans="1:6" ht="15.75">
      <c r="A83" s="498" t="s">
        <v>12</v>
      </c>
      <c r="B83" s="505"/>
      <c r="C83" s="505"/>
      <c r="D83" s="505"/>
      <c r="E83" s="505"/>
      <c r="F83" s="505"/>
    </row>
    <row r="84" spans="1:6" ht="15.75">
      <c r="A84" s="498" t="s">
        <v>13</v>
      </c>
      <c r="B84" s="505"/>
      <c r="C84" s="505"/>
      <c r="D84" s="505"/>
      <c r="E84" s="505"/>
      <c r="F84" s="505"/>
    </row>
    <row r="85" spans="1:6" ht="15.75">
      <c r="A85" s="498" t="s">
        <v>14</v>
      </c>
      <c r="B85" s="505"/>
      <c r="C85" s="505"/>
      <c r="D85" s="505"/>
      <c r="E85" s="505"/>
      <c r="F85" s="505"/>
    </row>
    <row r="86" spans="1:6" ht="15.75">
      <c r="A86" s="498" t="s">
        <v>15</v>
      </c>
      <c r="B86" s="505"/>
      <c r="C86" s="505"/>
      <c r="D86" s="505"/>
      <c r="E86" s="505"/>
      <c r="F86" s="505"/>
    </row>
    <row r="87" spans="1:6" ht="15.75">
      <c r="A87" s="498" t="s">
        <v>76</v>
      </c>
      <c r="B87" s="505"/>
      <c r="C87" s="505"/>
      <c r="D87" s="505"/>
      <c r="E87" s="505"/>
      <c r="F87" s="505"/>
    </row>
    <row r="88" spans="1:6" ht="15.75">
      <c r="A88" s="498" t="s">
        <v>77</v>
      </c>
      <c r="B88" s="505"/>
      <c r="C88" s="505"/>
      <c r="D88" s="505"/>
      <c r="E88" s="505"/>
      <c r="F88" s="505"/>
    </row>
    <row r="89" spans="1:6" ht="15.75">
      <c r="A89" s="498" t="s">
        <v>78</v>
      </c>
      <c r="B89" s="505"/>
      <c r="C89" s="505"/>
      <c r="D89" s="505"/>
      <c r="E89" s="505"/>
      <c r="F89" s="505"/>
    </row>
    <row r="90" spans="1:6" ht="15.75">
      <c r="A90" s="498" t="s">
        <v>79</v>
      </c>
      <c r="B90" s="505"/>
      <c r="C90" s="505"/>
      <c r="D90" s="505"/>
      <c r="E90" s="505"/>
      <c r="F90" s="505"/>
    </row>
    <row r="91" spans="1:6" ht="15.75">
      <c r="A91" s="498" t="s">
        <v>80</v>
      </c>
      <c r="B91" s="505"/>
      <c r="C91" s="505"/>
      <c r="D91" s="505"/>
      <c r="E91" s="505"/>
      <c r="F91" s="505"/>
    </row>
    <row r="92" spans="1:6" ht="15.75">
      <c r="A92" s="498" t="s">
        <v>81</v>
      </c>
      <c r="B92" s="505"/>
      <c r="C92" s="505"/>
      <c r="D92" s="505"/>
      <c r="E92" s="505"/>
      <c r="F92" s="505"/>
    </row>
    <row r="93" spans="1:6" ht="15.75">
      <c r="A93" s="498" t="s">
        <v>82</v>
      </c>
      <c r="B93" s="505"/>
      <c r="C93" s="505"/>
      <c r="D93" s="505"/>
      <c r="E93" s="505"/>
      <c r="F93" s="505"/>
    </row>
    <row r="94" spans="1:6" ht="15.75">
      <c r="A94" s="498" t="s">
        <v>83</v>
      </c>
      <c r="B94" s="505"/>
      <c r="C94" s="505"/>
      <c r="D94" s="505"/>
      <c r="E94" s="505"/>
      <c r="F94" s="505"/>
    </row>
    <row r="95" spans="1:6" ht="15.75">
      <c r="A95" s="498" t="s">
        <v>84</v>
      </c>
      <c r="B95" s="505"/>
      <c r="C95" s="505"/>
      <c r="D95" s="505"/>
      <c r="E95" s="505"/>
      <c r="F95" s="505"/>
    </row>
    <row r="96" spans="1:6" ht="15.75">
      <c r="A96" s="498" t="s">
        <v>16</v>
      </c>
      <c r="B96" s="505"/>
      <c r="C96" s="505"/>
      <c r="D96" s="505"/>
      <c r="E96" s="505"/>
      <c r="F96" s="505"/>
    </row>
    <row r="97" spans="1:6" ht="15.75">
      <c r="A97" s="498" t="s">
        <v>17</v>
      </c>
      <c r="B97" s="505"/>
      <c r="C97" s="505"/>
      <c r="D97" s="505"/>
      <c r="E97" s="505"/>
      <c r="F97" s="505"/>
    </row>
    <row r="98" spans="1:6" ht="15.75">
      <c r="A98" s="498" t="s">
        <v>18</v>
      </c>
      <c r="B98" s="505"/>
      <c r="C98" s="505"/>
      <c r="D98" s="505"/>
      <c r="E98" s="505"/>
      <c r="F98" s="505"/>
    </row>
    <row r="99" spans="1:6" ht="15.75">
      <c r="A99" s="498" t="s">
        <v>19</v>
      </c>
      <c r="B99" s="505"/>
      <c r="C99" s="505"/>
      <c r="D99" s="505"/>
      <c r="E99" s="505"/>
      <c r="F99" s="505"/>
    </row>
    <row r="100" spans="1:6" ht="15.75">
      <c r="A100" s="498" t="s">
        <v>85</v>
      </c>
      <c r="B100" s="505"/>
      <c r="C100" s="505"/>
      <c r="D100" s="505"/>
      <c r="E100" s="505"/>
      <c r="F100" s="505"/>
    </row>
    <row r="101" spans="1:6" ht="15.75">
      <c r="A101" s="498" t="s">
        <v>86</v>
      </c>
      <c r="B101" s="505"/>
      <c r="C101" s="505"/>
      <c r="D101" s="505"/>
      <c r="E101" s="505"/>
      <c r="F101" s="505"/>
    </row>
    <row r="102" spans="1:6" ht="15.75">
      <c r="A102" s="498" t="s">
        <v>87</v>
      </c>
      <c r="B102" s="505"/>
      <c r="C102" s="505"/>
      <c r="D102" s="505"/>
      <c r="E102" s="505"/>
      <c r="F102" s="505"/>
    </row>
    <row r="103" spans="1:6" ht="15.75">
      <c r="A103" s="498" t="s">
        <v>88</v>
      </c>
      <c r="B103" s="505"/>
      <c r="C103" s="505"/>
      <c r="D103" s="505"/>
      <c r="E103" s="505"/>
      <c r="F103" s="505"/>
    </row>
    <row r="104" spans="1:6" ht="15.75">
      <c r="A104" s="498" t="s">
        <v>89</v>
      </c>
      <c r="B104" s="505"/>
      <c r="C104" s="505"/>
      <c r="D104" s="505"/>
      <c r="E104" s="505"/>
      <c r="F104" s="505"/>
    </row>
    <row r="105" spans="1:6" ht="15.75">
      <c r="A105" s="498" t="s">
        <v>90</v>
      </c>
      <c r="B105" s="505"/>
      <c r="C105" s="505"/>
      <c r="D105" s="505"/>
      <c r="E105" s="505"/>
      <c r="F105" s="505"/>
    </row>
    <row r="106" spans="1:6" ht="15.75">
      <c r="A106" s="498" t="s">
        <v>91</v>
      </c>
      <c r="B106" s="505"/>
      <c r="C106" s="505"/>
      <c r="D106" s="505"/>
      <c r="E106" s="505"/>
      <c r="F106" s="505"/>
    </row>
    <row r="107" spans="1:6" ht="15.75">
      <c r="A107" s="498" t="s">
        <v>92</v>
      </c>
      <c r="B107" s="505"/>
      <c r="C107" s="505"/>
      <c r="D107" s="505"/>
      <c r="E107" s="505"/>
      <c r="F107" s="505"/>
    </row>
    <row r="108" spans="1:6" ht="15.75">
      <c r="A108" s="498" t="s">
        <v>93</v>
      </c>
      <c r="B108" s="505"/>
      <c r="C108" s="505"/>
      <c r="D108" s="505"/>
      <c r="E108" s="505"/>
      <c r="F108" s="505"/>
    </row>
    <row r="109" spans="1:6" ht="15.75">
      <c r="A109" s="498" t="s">
        <v>20</v>
      </c>
      <c r="B109" s="505"/>
      <c r="C109" s="505"/>
      <c r="D109" s="505"/>
      <c r="E109" s="505"/>
      <c r="F109" s="505"/>
    </row>
    <row r="110" spans="1:6" ht="15.75">
      <c r="A110" s="498" t="s">
        <v>21</v>
      </c>
      <c r="B110" s="505"/>
      <c r="C110" s="505"/>
      <c r="D110" s="505"/>
      <c r="E110" s="505"/>
      <c r="F110" s="505"/>
    </row>
    <row r="111" spans="1:6" ht="15.75">
      <c r="A111" s="498" t="s">
        <v>22</v>
      </c>
      <c r="B111" s="505"/>
      <c r="C111" s="505"/>
      <c r="D111" s="505"/>
      <c r="E111" s="505"/>
      <c r="F111" s="505"/>
    </row>
    <row r="112" spans="1:6" s="179" customFormat="1" ht="15.75">
      <c r="A112" s="498" t="s">
        <v>23</v>
      </c>
      <c r="B112" s="505"/>
      <c r="C112" s="505"/>
      <c r="D112" s="505"/>
      <c r="E112" s="505"/>
      <c r="F112" s="505"/>
    </row>
    <row r="113" spans="1:6" s="179" customFormat="1" ht="15.75">
      <c r="A113" s="498" t="s">
        <v>974</v>
      </c>
      <c r="B113" s="505"/>
      <c r="C113" s="505"/>
      <c r="D113" s="505"/>
      <c r="E113" s="505"/>
      <c r="F113" s="505"/>
    </row>
    <row r="114" spans="1:6" s="179" customFormat="1" ht="15.75">
      <c r="A114" s="498" t="s">
        <v>975</v>
      </c>
      <c r="B114" s="505"/>
      <c r="C114" s="505"/>
      <c r="D114" s="505"/>
      <c r="E114" s="505"/>
      <c r="F114" s="505"/>
    </row>
    <row r="115" spans="1:6" s="179" customFormat="1" ht="15.75">
      <c r="A115" s="498" t="s">
        <v>976</v>
      </c>
      <c r="B115" s="505"/>
      <c r="C115" s="505"/>
      <c r="D115" s="505"/>
      <c r="E115" s="505"/>
      <c r="F115" s="505"/>
    </row>
    <row r="116" spans="1:6" s="179" customFormat="1" ht="15.75">
      <c r="A116" s="498" t="s">
        <v>977</v>
      </c>
      <c r="B116" s="505"/>
      <c r="C116" s="505"/>
      <c r="D116" s="505"/>
      <c r="E116" s="505"/>
      <c r="F116" s="505"/>
    </row>
    <row r="117" spans="1:6" s="179" customFormat="1" ht="15.75">
      <c r="A117" s="498" t="s">
        <v>978</v>
      </c>
      <c r="B117" s="505"/>
      <c r="C117" s="505"/>
      <c r="D117" s="505"/>
      <c r="E117" s="505"/>
      <c r="F117" s="505"/>
    </row>
    <row r="118" spans="1:6" s="179" customFormat="1" ht="15.75">
      <c r="A118" s="498" t="s">
        <v>979</v>
      </c>
      <c r="B118" s="505"/>
      <c r="C118" s="505"/>
      <c r="D118" s="505"/>
      <c r="E118" s="505"/>
      <c r="F118" s="505"/>
    </row>
    <row r="119" spans="1:6" s="179" customFormat="1" ht="15.75">
      <c r="A119" s="498" t="s">
        <v>980</v>
      </c>
      <c r="B119" s="505"/>
      <c r="C119" s="505"/>
      <c r="D119" s="505"/>
      <c r="E119" s="505"/>
      <c r="F119" s="505"/>
    </row>
    <row r="120" spans="1:6" s="179" customFormat="1" ht="15.75">
      <c r="A120" s="498" t="s">
        <v>981</v>
      </c>
      <c r="B120" s="505"/>
      <c r="C120" s="505"/>
      <c r="D120" s="505"/>
      <c r="E120" s="505"/>
      <c r="F120" s="505"/>
    </row>
    <row r="121" spans="1:6" s="179" customFormat="1" ht="15.75">
      <c r="A121" s="498" t="s">
        <v>982</v>
      </c>
      <c r="B121" s="505"/>
      <c r="C121" s="505"/>
      <c r="D121" s="505"/>
      <c r="E121" s="505"/>
      <c r="F121" s="505"/>
    </row>
    <row r="122" spans="1:6" s="179" customFormat="1" ht="15.75">
      <c r="A122" s="498" t="s">
        <v>983</v>
      </c>
      <c r="B122" s="505"/>
      <c r="C122" s="505"/>
      <c r="D122" s="505"/>
      <c r="E122" s="505"/>
      <c r="F122" s="505"/>
    </row>
    <row r="123" spans="1:6" s="179" customFormat="1" ht="15.75">
      <c r="A123" s="498" t="s">
        <v>984</v>
      </c>
      <c r="B123" s="505"/>
      <c r="C123" s="505"/>
      <c r="D123" s="505"/>
      <c r="E123" s="505"/>
      <c r="F123" s="505"/>
    </row>
    <row r="124" spans="1:6" s="179" customFormat="1" ht="15.75">
      <c r="A124" s="498" t="s">
        <v>985</v>
      </c>
      <c r="B124" s="505"/>
      <c r="C124" s="505"/>
      <c r="D124" s="505"/>
      <c r="E124" s="505"/>
      <c r="F124" s="505"/>
    </row>
    <row r="125" spans="1:6" s="179" customFormat="1" ht="15.75">
      <c r="A125" s="498" t="s">
        <v>986</v>
      </c>
      <c r="B125" s="505"/>
      <c r="C125" s="505"/>
      <c r="D125" s="505"/>
      <c r="E125" s="505"/>
      <c r="F125" s="505"/>
    </row>
    <row r="126" spans="1:6" s="179" customFormat="1" ht="15.75">
      <c r="A126" s="498" t="s">
        <v>987</v>
      </c>
      <c r="B126" s="505"/>
      <c r="C126" s="505"/>
      <c r="D126" s="505"/>
      <c r="E126" s="505"/>
      <c r="F126" s="505"/>
    </row>
    <row r="127" spans="1:6" s="179" customFormat="1" ht="15.75">
      <c r="A127" s="498" t="s">
        <v>988</v>
      </c>
      <c r="B127" s="505"/>
      <c r="C127" s="505"/>
      <c r="D127" s="505"/>
      <c r="E127" s="505"/>
      <c r="F127" s="505"/>
    </row>
    <row r="128" spans="1:6" s="179" customFormat="1" ht="15.75">
      <c r="A128" s="498" t="s">
        <v>989</v>
      </c>
      <c r="B128" s="505"/>
      <c r="C128" s="505"/>
      <c r="D128" s="505"/>
      <c r="E128" s="505"/>
      <c r="F128" s="505"/>
    </row>
    <row r="129" spans="1:6" s="179" customFormat="1" ht="15.75">
      <c r="A129" s="498" t="s">
        <v>990</v>
      </c>
      <c r="B129" s="505"/>
      <c r="C129" s="505"/>
      <c r="D129" s="505"/>
      <c r="E129" s="505"/>
      <c r="F129" s="505"/>
    </row>
    <row r="130" spans="1:6" s="179" customFormat="1" ht="15.75">
      <c r="A130" s="498" t="s">
        <v>991</v>
      </c>
      <c r="B130" s="505"/>
      <c r="C130" s="505"/>
      <c r="D130" s="505"/>
      <c r="E130" s="505"/>
      <c r="F130" s="505"/>
    </row>
    <row r="131" spans="1:6" s="179" customFormat="1" ht="15.75">
      <c r="A131" s="498" t="s">
        <v>992</v>
      </c>
      <c r="B131" s="505"/>
      <c r="C131" s="505"/>
      <c r="D131" s="505"/>
      <c r="E131" s="505"/>
      <c r="F131" s="505"/>
    </row>
    <row r="132" spans="1:6" s="179" customFormat="1" ht="15.75">
      <c r="A132" s="498" t="s">
        <v>993</v>
      </c>
      <c r="B132" s="505"/>
      <c r="C132" s="505"/>
      <c r="D132" s="505"/>
      <c r="E132" s="505"/>
      <c r="F132" s="505"/>
    </row>
    <row r="133" spans="1:6" s="179" customFormat="1" ht="15.75">
      <c r="A133" s="498" t="s">
        <v>994</v>
      </c>
      <c r="B133" s="505"/>
      <c r="C133" s="505"/>
      <c r="D133" s="505"/>
      <c r="E133" s="505"/>
      <c r="F133" s="505"/>
    </row>
    <row r="134" spans="1:6" s="179" customFormat="1" ht="15.75">
      <c r="A134" s="498" t="s">
        <v>995</v>
      </c>
      <c r="B134" s="505"/>
      <c r="C134" s="505"/>
      <c r="D134" s="505"/>
      <c r="E134" s="505"/>
      <c r="F134" s="505"/>
    </row>
    <row r="135" spans="1:6" s="179" customFormat="1" ht="15.75">
      <c r="A135" s="498" t="s">
        <v>996</v>
      </c>
      <c r="B135" s="505"/>
      <c r="C135" s="505"/>
      <c r="D135" s="505"/>
      <c r="E135" s="505"/>
      <c r="F135" s="505"/>
    </row>
    <row r="136" spans="1:6" s="179" customFormat="1" ht="15.75">
      <c r="A136" s="498" t="s">
        <v>997</v>
      </c>
      <c r="B136" s="505"/>
      <c r="C136" s="505"/>
      <c r="D136" s="505"/>
      <c r="E136" s="505"/>
      <c r="F136" s="505"/>
    </row>
    <row r="137" spans="1:6" s="179" customFormat="1" ht="15.75">
      <c r="A137" s="498" t="s">
        <v>998</v>
      </c>
      <c r="B137" s="505"/>
      <c r="C137" s="505"/>
      <c r="D137" s="505"/>
      <c r="E137" s="505"/>
      <c r="F137" s="505"/>
    </row>
    <row r="138" spans="1:6" s="179" customFormat="1" ht="15.75">
      <c r="A138" s="498" t="s">
        <v>999</v>
      </c>
      <c r="B138" s="505"/>
      <c r="C138" s="505"/>
      <c r="D138" s="505"/>
      <c r="E138" s="505"/>
      <c r="F138" s="505"/>
    </row>
    <row r="140" spans="1:6">
      <c r="A140" s="496" t="s">
        <v>112</v>
      </c>
      <c r="B140">
        <f>SUM(B22:B138)</f>
        <v>0</v>
      </c>
      <c r="C140" s="179">
        <f>SUM(C22:C138)</f>
        <v>0</v>
      </c>
      <c r="D140" s="179">
        <f>SUM(D22:D138)</f>
        <v>0</v>
      </c>
      <c r="E140" s="179">
        <f>SUM(E22:E138)</f>
        <v>0</v>
      </c>
      <c r="F140" s="179">
        <f>SUM(F22:F138)</f>
        <v>0</v>
      </c>
    </row>
    <row r="143" spans="1:6" ht="16.5" thickBot="1">
      <c r="A143" s="109" t="s">
        <v>839</v>
      </c>
      <c r="B143" s="110"/>
      <c r="C143" s="110"/>
      <c r="D143" s="110"/>
      <c r="E143" s="110"/>
      <c r="F143" s="110"/>
    </row>
    <row r="144" spans="1:6" ht="30.75">
      <c r="A144" s="91" t="s">
        <v>218</v>
      </c>
      <c r="B144" s="113">
        <f>IF('Efficient Site Offices DD &amp; Cal'!B$157&gt;0,(Report!$K$8*VLOOKUP(Report!$C$6,'Efficient Site Offices DD &amp; Cal'!$A$160:$F$276,'Efficient Site Offices'!B145,FALSE)/VLOOKUP(Report!$C$6,'Actual-CO2 Calculations'!$A$5:$O$121,'Actual-CO2 Calculations'!$O$1,FALSE)),0)</f>
        <v>7.621551821473848E-3</v>
      </c>
      <c r="C144" s="113">
        <f>IF('Efficient Site Offices DD &amp; Cal'!C$157&gt;0,(Report!$K$8*VLOOKUP(Report!$C$6,'Efficient Site Offices DD &amp; Cal'!$A$160:$F$276,'Efficient Site Offices'!C145,FALSE)/VLOOKUP(Report!$C$6,'Actual-CO2 Calculations'!$A$5:$O$121,'Actual-CO2 Calculations'!$O$1,FALSE)),0)</f>
        <v>1.3086211726978146E-3</v>
      </c>
      <c r="D144" s="113">
        <f>IF('Efficient Site Offices DD &amp; Cal'!D$157&gt;0,(Report!$K$8*VLOOKUP(Report!$C$6,'Efficient Site Offices DD &amp; Cal'!$A$160:$F$276,'Efficient Site Offices'!D145,FALSE)/VLOOKUP(Report!$C$6,'Actual-CO2 Calculations'!$A$5:$O$121,'Actual-CO2 Calculations'!$O$1,FALSE)),0)</f>
        <v>1.1181487759258427E-3</v>
      </c>
      <c r="E144" s="113">
        <f>IF('Efficient Site Offices DD &amp; Cal'!E$157&gt;0,(Report!$K$8*VLOOKUP(Report!$C$6,'Efficient Site Offices DD &amp; Cal'!$A$160:$F$276,'Efficient Site Offices'!E145,FALSE)/VLOOKUP(Report!$C$6,'Actual-CO2 Calculations'!$A$5:$O$121,'Actual-CO2 Calculations'!$O$1,FALSE)),0)</f>
        <v>2.9528016656871193E-3</v>
      </c>
      <c r="F144" s="113">
        <f>IF('Efficient Site Offices DD &amp; Cal'!F$157&gt;0,(Report!$K$8*VLOOKUP(Report!$C$6,'Efficient Site Offices DD &amp; Cal'!$A$160:$F$276,'Efficient Site Offices'!F145,FALSE)/VLOOKUP(Report!$C$6,'Actual-CO2 Calculations'!$A$5:$O$121,'Actual-CO2 Calculations'!$O$1,FALSE)),0)</f>
        <v>0</v>
      </c>
    </row>
    <row r="145" spans="1:19">
      <c r="B145" s="481">
        <v>2</v>
      </c>
      <c r="C145" s="481">
        <v>3</v>
      </c>
      <c r="D145" s="481">
        <v>4</v>
      </c>
      <c r="E145" s="481">
        <v>5</v>
      </c>
      <c r="F145" s="481">
        <v>6</v>
      </c>
    </row>
    <row r="146" spans="1:19">
      <c r="B146" s="179"/>
    </row>
    <row r="149" spans="1:19">
      <c r="A149" s="144" t="s">
        <v>243</v>
      </c>
      <c r="B149" s="754"/>
      <c r="C149" s="754"/>
      <c r="D149" s="754"/>
      <c r="E149" s="754"/>
      <c r="F149" s="754"/>
      <c r="G149" s="592" t="s">
        <v>231</v>
      </c>
      <c r="H149" s="753"/>
      <c r="I149" s="754" t="s">
        <v>1064</v>
      </c>
      <c r="J149" s="754">
        <f>IF(B17=$G149,1,0)</f>
        <v>0</v>
      </c>
      <c r="K149" s="754">
        <f>IF(C17=$G149,1,0)</f>
        <v>0</v>
      </c>
      <c r="L149" s="754">
        <f>IF(D17=$G149,1,0)</f>
        <v>0</v>
      </c>
      <c r="M149" s="754">
        <f>IF(E17=$G149,1,0)</f>
        <v>0</v>
      </c>
      <c r="N149" s="754">
        <f>IF(F17=$G149,1,0)</f>
        <v>0</v>
      </c>
      <c r="O149" s="754"/>
      <c r="P149" s="755">
        <f>SUM(J149:N149)</f>
        <v>0</v>
      </c>
      <c r="Q149" s="754"/>
      <c r="R149" s="754"/>
      <c r="S149" s="146"/>
    </row>
    <row r="150" spans="1:19">
      <c r="A150" s="147"/>
      <c r="B150" s="148">
        <f>IF(B10&gt;0,1,0)</f>
        <v>1</v>
      </c>
      <c r="C150" s="148">
        <f>IF(C10&gt;0,1,0)</f>
        <v>1</v>
      </c>
      <c r="D150" s="148">
        <f>IF(D10&gt;0,1,0)</f>
        <v>1</v>
      </c>
      <c r="E150" s="148">
        <f>IF(E10&gt;0,1,0)</f>
        <v>1</v>
      </c>
      <c r="F150" s="148">
        <f>IF(F10&gt;0,1,0)</f>
        <v>0</v>
      </c>
      <c r="G150" s="594" t="s">
        <v>232</v>
      </c>
      <c r="H150" s="147"/>
      <c r="I150" s="148" t="s">
        <v>1065</v>
      </c>
      <c r="J150" s="148">
        <f>IF(AND(B140&lt;&gt;0,B17=""),1,0)</f>
        <v>0</v>
      </c>
      <c r="K150" s="148">
        <f>IF(AND(C140&lt;&gt;0,C17=""),1,0)</f>
        <v>0</v>
      </c>
      <c r="L150" s="148">
        <f>IF(AND(D140&lt;&gt;0,D17=""),1,0)</f>
        <v>0</v>
      </c>
      <c r="M150" s="148">
        <f>IF(AND(E140&lt;&gt;0,E17=""),1,0)</f>
        <v>0</v>
      </c>
      <c r="N150" s="148">
        <f>IF(AND(F140&lt;&gt;0,F17=""),1,0)</f>
        <v>0</v>
      </c>
      <c r="O150" s="148"/>
      <c r="P150" s="570">
        <f>SUM(J150:N150)</f>
        <v>0</v>
      </c>
      <c r="Q150" s="148"/>
      <c r="R150" s="148"/>
      <c r="S150" s="705"/>
    </row>
    <row r="151" spans="1:19">
      <c r="A151" s="147"/>
      <c r="B151" s="148">
        <f>IF(B13&gt;0,1,0)</f>
        <v>1</v>
      </c>
      <c r="C151" s="148">
        <f>IF(C13&gt;0,1,0)</f>
        <v>1</v>
      </c>
      <c r="D151" s="148">
        <f>IF(D13&gt;0,1,0)</f>
        <v>1</v>
      </c>
      <c r="E151" s="148">
        <f>IF(E13&gt;0,1,0)</f>
        <v>1</v>
      </c>
      <c r="F151" s="148">
        <f>IF(F13&gt;0,1,0)</f>
        <v>0</v>
      </c>
      <c r="G151" s="149"/>
      <c r="H151" s="147"/>
      <c r="I151" s="148"/>
      <c r="J151" s="148"/>
      <c r="K151" s="148"/>
      <c r="L151" s="148"/>
      <c r="M151" s="148"/>
      <c r="N151" s="148"/>
      <c r="O151" s="148"/>
      <c r="P151" s="148"/>
      <c r="Q151" s="148"/>
      <c r="R151" s="148"/>
      <c r="S151" s="705"/>
    </row>
    <row r="152" spans="1:19" s="179" customFormat="1">
      <c r="A152" s="147"/>
      <c r="B152" s="148">
        <f>IF(B15="Yes",1,0)</f>
        <v>1</v>
      </c>
      <c r="C152" s="148">
        <f>IF(C15="Yes",1,0)</f>
        <v>1</v>
      </c>
      <c r="D152" s="148">
        <f>IF(D15="Yes",1,0)</f>
        <v>1</v>
      </c>
      <c r="E152" s="148">
        <f>IF(E15="Yes",1,0)</f>
        <v>1</v>
      </c>
      <c r="F152" s="148">
        <f>IF(F15="Yes",1,0)</f>
        <v>0</v>
      </c>
      <c r="G152" s="149"/>
      <c r="H152" s="147"/>
      <c r="I152" s="148" t="s">
        <v>1070</v>
      </c>
      <c r="J152" s="148">
        <f>IF(AND(SUM(P149:P150)&gt;0,'Data Entry Electricity'!C122=0),1,0)</f>
        <v>0</v>
      </c>
      <c r="K152" s="148"/>
      <c r="L152" s="148"/>
      <c r="M152" s="148"/>
      <c r="N152" s="148"/>
      <c r="O152" s="148"/>
      <c r="P152" s="148"/>
      <c r="Q152" s="148"/>
      <c r="R152" s="148"/>
      <c r="S152" s="705"/>
    </row>
    <row r="153" spans="1:19">
      <c r="A153" s="147"/>
      <c r="B153" s="148">
        <f>IF(OR(B140&gt;0,B19&gt;0),IF(B140*B19&gt;0,0,1),0)</f>
        <v>1</v>
      </c>
      <c r="C153" s="148">
        <f>IF(OR(C140&gt;0,C19&gt;0),IF(C140*C19&gt;0,0,1),0)</f>
        <v>1</v>
      </c>
      <c r="D153" s="148">
        <f>IF(OR(D140&gt;0,D19&gt;0),IF(D140*D19&gt;0,0,1),0)</f>
        <v>1</v>
      </c>
      <c r="E153" s="148">
        <f>IF(OR(E140&gt;0,E19&gt;0),IF(E140*E19&gt;0,0,1),0)</f>
        <v>1</v>
      </c>
      <c r="F153" s="148">
        <f>IF(OR(F140&gt;0,F19&gt;0),IF(F140*F19&gt;0,0,1),0)</f>
        <v>0</v>
      </c>
      <c r="G153" s="149"/>
      <c r="H153" s="147"/>
      <c r="I153" s="148"/>
      <c r="J153" s="148"/>
      <c r="K153" s="148"/>
      <c r="L153" s="148"/>
      <c r="M153" s="148"/>
      <c r="N153" s="148"/>
      <c r="O153" s="148"/>
      <c r="P153" s="148"/>
      <c r="Q153" s="148"/>
      <c r="R153" s="148"/>
      <c r="S153" s="705"/>
    </row>
    <row r="154" spans="1:19" ht="30">
      <c r="A154" s="147" t="s">
        <v>247</v>
      </c>
      <c r="B154" s="148">
        <f>IF(SUM(B150:B153)=0,0,1)</f>
        <v>1</v>
      </c>
      <c r="C154" s="148">
        <f t="shared" ref="C154:F154" si="0">IF(SUM(C150:C153)=0,0,1)</f>
        <v>1</v>
      </c>
      <c r="D154" s="148">
        <f t="shared" si="0"/>
        <v>1</v>
      </c>
      <c r="E154" s="148">
        <f t="shared" si="0"/>
        <v>1</v>
      </c>
      <c r="F154" s="148">
        <f t="shared" si="0"/>
        <v>0</v>
      </c>
      <c r="G154" s="149"/>
      <c r="H154" s="147"/>
      <c r="I154" s="756" t="s">
        <v>1071</v>
      </c>
      <c r="J154" s="148">
        <f>IF(AND(SUM(P149:P150)=0,'Data Entry Electricity'!C122&lt;&gt;0),1,0)</f>
        <v>0</v>
      </c>
      <c r="K154" s="148"/>
      <c r="L154" s="148"/>
      <c r="M154" s="148"/>
      <c r="N154" s="148"/>
      <c r="O154" s="148"/>
      <c r="P154" s="148"/>
      <c r="Q154" s="148"/>
      <c r="R154" s="148"/>
      <c r="S154" s="705"/>
    </row>
    <row r="155" spans="1:19">
      <c r="A155" s="147" t="s">
        <v>248</v>
      </c>
      <c r="B155" s="148">
        <f>IF(SUM(B150:B153)=4,1,0)</f>
        <v>1</v>
      </c>
      <c r="C155" s="148">
        <f t="shared" ref="C155:F155" si="1">IF(SUM(C150:C153)=4,1,0)</f>
        <v>1</v>
      </c>
      <c r="D155" s="148">
        <f t="shared" si="1"/>
        <v>1</v>
      </c>
      <c r="E155" s="148">
        <f t="shared" si="1"/>
        <v>1</v>
      </c>
      <c r="F155" s="148">
        <f t="shared" si="1"/>
        <v>0</v>
      </c>
      <c r="G155" s="149"/>
      <c r="H155" s="147"/>
      <c r="I155" s="148"/>
      <c r="J155" s="148"/>
      <c r="K155" s="148"/>
      <c r="L155" s="148"/>
      <c r="M155" s="148"/>
      <c r="N155" s="148"/>
      <c r="O155" s="148"/>
      <c r="P155" s="148"/>
      <c r="Q155" s="148"/>
      <c r="R155" s="148"/>
      <c r="S155" s="705"/>
    </row>
    <row r="156" spans="1:19">
      <c r="A156" s="147" t="s">
        <v>249</v>
      </c>
      <c r="B156" s="148">
        <f>B154+B155</f>
        <v>2</v>
      </c>
      <c r="C156" s="148">
        <f t="shared" ref="C156:F156" si="2">C154+C155</f>
        <v>2</v>
      </c>
      <c r="D156" s="148">
        <f t="shared" si="2"/>
        <v>2</v>
      </c>
      <c r="E156" s="148">
        <f t="shared" si="2"/>
        <v>2</v>
      </c>
      <c r="F156" s="148">
        <f t="shared" si="2"/>
        <v>0</v>
      </c>
      <c r="G156" s="149"/>
      <c r="H156" s="147"/>
      <c r="I156" s="148"/>
      <c r="J156" s="148"/>
      <c r="K156" s="148"/>
      <c r="L156" s="148"/>
      <c r="M156" s="148"/>
      <c r="N156" s="148"/>
      <c r="O156" s="148"/>
      <c r="P156" s="148"/>
      <c r="Q156" s="148"/>
      <c r="R156" s="148"/>
      <c r="S156" s="705"/>
    </row>
    <row r="157" spans="1:19">
      <c r="A157" s="147"/>
      <c r="B157" s="148"/>
      <c r="C157" s="148"/>
      <c r="D157" s="148"/>
      <c r="E157" s="148"/>
      <c r="F157" s="148"/>
      <c r="G157" s="149"/>
      <c r="H157" s="757"/>
      <c r="I157" s="758"/>
      <c r="J157" s="758"/>
      <c r="K157" s="758"/>
      <c r="L157" s="758"/>
      <c r="M157" s="758"/>
      <c r="N157" s="758"/>
      <c r="O157" s="758"/>
      <c r="P157" s="758"/>
      <c r="Q157" s="758"/>
      <c r="R157" s="758"/>
      <c r="S157" s="759"/>
    </row>
    <row r="158" spans="1:19" s="179" customFormat="1">
      <c r="A158" s="569" t="s">
        <v>257</v>
      </c>
      <c r="B158" s="148"/>
      <c r="C158" s="148"/>
      <c r="D158" s="148"/>
      <c r="E158" s="148"/>
      <c r="F158" s="148"/>
      <c r="G158" s="149"/>
    </row>
    <row r="159" spans="1:19">
      <c r="A159" s="569" t="s">
        <v>266</v>
      </c>
      <c r="B159" s="148">
        <f>IF(SUM(B150:B153)&gt;1,IF(B3=0,1,0),0)</f>
        <v>0</v>
      </c>
      <c r="C159" s="148"/>
      <c r="D159" s="148"/>
      <c r="E159" s="148"/>
      <c r="F159" s="148"/>
      <c r="G159" s="149"/>
    </row>
    <row r="160" spans="1:19">
      <c r="A160" s="569" t="s">
        <v>202</v>
      </c>
      <c r="B160" s="148">
        <f>IF(SUM(B150:B153)&gt;1,IF(B7=0,1,0),0)</f>
        <v>0</v>
      </c>
      <c r="C160" s="148"/>
      <c r="D160" s="148"/>
      <c r="E160" s="148"/>
      <c r="F160" s="148"/>
      <c r="G160" s="149"/>
    </row>
    <row r="161" spans="1:7">
      <c r="A161" s="147"/>
      <c r="B161" s="148"/>
      <c r="C161" s="148"/>
      <c r="D161" s="148"/>
      <c r="E161" s="148"/>
      <c r="F161" s="148"/>
      <c r="G161" s="149"/>
    </row>
    <row r="162" spans="1:7">
      <c r="A162" s="569" t="s">
        <v>840</v>
      </c>
      <c r="B162" s="148">
        <f>IF(B140*B19&gt;0,1,0)</f>
        <v>0</v>
      </c>
      <c r="C162" s="148">
        <f>IF(C140*C19&gt;0,1,0)</f>
        <v>0</v>
      </c>
      <c r="D162" s="148">
        <f>IF(D140*D19&gt;0,1,0)</f>
        <v>0</v>
      </c>
      <c r="E162" s="148">
        <f>IF(E140*E19&gt;0,1,0)</f>
        <v>0</v>
      </c>
      <c r="F162" s="148">
        <f>IF(F140*F19&gt;0,1,0)</f>
        <v>0</v>
      </c>
      <c r="G162" s="149"/>
    </row>
    <row r="163" spans="1:7">
      <c r="A163" s="569" t="s">
        <v>841</v>
      </c>
      <c r="B163" s="148">
        <f>IF('Data Entry Electricity'!$G$122&gt;0,IF(B22&gt;'Data Entry Electricity'!$F4,1,0),0)</f>
        <v>0</v>
      </c>
      <c r="C163" s="148">
        <f>IF('Data Entry Electricity'!$G$122&gt;0,IF(C22&gt;'Data Entry Electricity'!$F4,1,0),0)</f>
        <v>0</v>
      </c>
      <c r="D163" s="148">
        <f>IF('Data Entry Electricity'!$G$122&gt;0,IF(D22&gt;'Data Entry Electricity'!$F4,1,0),0)</f>
        <v>0</v>
      </c>
      <c r="E163" s="148">
        <f>IF('Data Entry Electricity'!$G$122&gt;0,IF(E22&gt;'Data Entry Electricity'!$F4,1,0),0)</f>
        <v>0</v>
      </c>
      <c r="F163" s="148">
        <f>IF('Data Entry Electricity'!$G$122&gt;0,IF(F22&gt;'Data Entry Electricity'!$F4,1,0),0)</f>
        <v>0</v>
      </c>
      <c r="G163" s="149"/>
    </row>
    <row r="164" spans="1:7">
      <c r="A164" s="147"/>
      <c r="B164" s="148">
        <f>IF('Data Entry Electricity'!$G$122&gt;0,IF(B23&gt;'Data Entry Electricity'!$F5,1,0),0)</f>
        <v>0</v>
      </c>
      <c r="C164" s="148">
        <f>IF('Data Entry Electricity'!$G$122&gt;0,IF(C23&gt;'Data Entry Electricity'!$F5,1,0),0)</f>
        <v>0</v>
      </c>
      <c r="D164" s="148">
        <f>IF('Data Entry Electricity'!$G$122&gt;0,IF(D23&gt;'Data Entry Electricity'!$F5,1,0),0)</f>
        <v>0</v>
      </c>
      <c r="E164" s="148">
        <f>IF('Data Entry Electricity'!$G$122&gt;0,IF(E23&gt;'Data Entry Electricity'!$F5,1,0),0)</f>
        <v>0</v>
      </c>
      <c r="F164" s="148">
        <f>IF('Data Entry Electricity'!$G$122&gt;0,IF(F23&gt;'Data Entry Electricity'!$F5,1,0),0)</f>
        <v>0</v>
      </c>
      <c r="G164" s="149"/>
    </row>
    <row r="165" spans="1:7">
      <c r="A165" s="147"/>
      <c r="B165" s="148">
        <f>IF('Data Entry Electricity'!$G$122&gt;0,IF(B24&gt;'Data Entry Electricity'!$F6,1,0),0)</f>
        <v>0</v>
      </c>
      <c r="C165" s="148">
        <f>IF('Data Entry Electricity'!$G$122&gt;0,IF(C24&gt;'Data Entry Electricity'!$F6,1,0),0)</f>
        <v>0</v>
      </c>
      <c r="D165" s="148">
        <f>IF('Data Entry Electricity'!$G$122&gt;0,IF(D24&gt;'Data Entry Electricity'!$F6,1,0),0)</f>
        <v>0</v>
      </c>
      <c r="E165" s="148">
        <f>IF('Data Entry Electricity'!$G$122&gt;0,IF(E24&gt;'Data Entry Electricity'!$F6,1,0),0)</f>
        <v>0</v>
      </c>
      <c r="F165" s="148">
        <f>IF('Data Entry Electricity'!$G$122&gt;0,IF(F24&gt;'Data Entry Electricity'!$F6,1,0),0)</f>
        <v>0</v>
      </c>
      <c r="G165" s="149"/>
    </row>
    <row r="166" spans="1:7">
      <c r="A166" s="147"/>
      <c r="B166" s="148">
        <f>IF('Data Entry Electricity'!$G$122&gt;0,IF(B25&gt;'Data Entry Electricity'!$F7,1,0),0)</f>
        <v>0</v>
      </c>
      <c r="C166" s="148">
        <f>IF('Data Entry Electricity'!$G$122&gt;0,IF(C25&gt;'Data Entry Electricity'!$F7,1,0),0)</f>
        <v>0</v>
      </c>
      <c r="D166" s="148">
        <f>IF('Data Entry Electricity'!$G$122&gt;0,IF(D25&gt;'Data Entry Electricity'!$F7,1,0),0)</f>
        <v>0</v>
      </c>
      <c r="E166" s="148">
        <f>IF('Data Entry Electricity'!$G$122&gt;0,IF(E25&gt;'Data Entry Electricity'!$F7,1,0),0)</f>
        <v>0</v>
      </c>
      <c r="F166" s="148">
        <f>IF('Data Entry Electricity'!$G$122&gt;0,IF(F25&gt;'Data Entry Electricity'!$F7,1,0),0)</f>
        <v>0</v>
      </c>
      <c r="G166" s="149"/>
    </row>
    <row r="167" spans="1:7">
      <c r="A167" s="147"/>
      <c r="B167" s="148">
        <f>IF('Data Entry Electricity'!$G$122&gt;0,IF(B26&gt;'Data Entry Electricity'!$F8,1,0),0)</f>
        <v>0</v>
      </c>
      <c r="C167" s="148">
        <f>IF('Data Entry Electricity'!$G$122&gt;0,IF(C26&gt;'Data Entry Electricity'!$F8,1,0),0)</f>
        <v>0</v>
      </c>
      <c r="D167" s="148">
        <f>IF('Data Entry Electricity'!$G$122&gt;0,IF(D26&gt;'Data Entry Electricity'!$F8,1,0),0)</f>
        <v>0</v>
      </c>
      <c r="E167" s="148">
        <f>IF('Data Entry Electricity'!$G$122&gt;0,IF(E26&gt;'Data Entry Electricity'!$F8,1,0),0)</f>
        <v>0</v>
      </c>
      <c r="F167" s="148">
        <f>IF('Data Entry Electricity'!$G$122&gt;0,IF(F26&gt;'Data Entry Electricity'!$F8,1,0),0)</f>
        <v>0</v>
      </c>
      <c r="G167" s="149"/>
    </row>
    <row r="168" spans="1:7">
      <c r="A168" s="147"/>
      <c r="B168" s="148">
        <f>IF('Data Entry Electricity'!$G$122&gt;0,IF(B27&gt;'Data Entry Electricity'!$F9,1,0),0)</f>
        <v>0</v>
      </c>
      <c r="C168" s="148">
        <f>IF('Data Entry Electricity'!$G$122&gt;0,IF(C27&gt;'Data Entry Electricity'!$F9,1,0),0)</f>
        <v>0</v>
      </c>
      <c r="D168" s="148">
        <f>IF('Data Entry Electricity'!$G$122&gt;0,IF(D27&gt;'Data Entry Electricity'!$F9,1,0),0)</f>
        <v>0</v>
      </c>
      <c r="E168" s="148">
        <f>IF('Data Entry Electricity'!$G$122&gt;0,IF(E27&gt;'Data Entry Electricity'!$F9,1,0),0)</f>
        <v>0</v>
      </c>
      <c r="F168" s="148">
        <f>IF('Data Entry Electricity'!$G$122&gt;0,IF(F27&gt;'Data Entry Electricity'!$F9,1,0),0)</f>
        <v>0</v>
      </c>
      <c r="G168" s="149"/>
    </row>
    <row r="169" spans="1:7">
      <c r="A169" s="147"/>
      <c r="B169" s="148">
        <f>IF('Data Entry Electricity'!$G$122&gt;0,IF(B28&gt;'Data Entry Electricity'!$F10,1,0),0)</f>
        <v>0</v>
      </c>
      <c r="C169" s="148">
        <f>IF('Data Entry Electricity'!$G$122&gt;0,IF(C28&gt;'Data Entry Electricity'!$F10,1,0),0)</f>
        <v>0</v>
      </c>
      <c r="D169" s="148">
        <f>IF('Data Entry Electricity'!$G$122&gt;0,IF(D28&gt;'Data Entry Electricity'!$F10,1,0),0)</f>
        <v>0</v>
      </c>
      <c r="E169" s="148">
        <f>IF('Data Entry Electricity'!$G$122&gt;0,IF(E28&gt;'Data Entry Electricity'!$F10,1,0),0)</f>
        <v>0</v>
      </c>
      <c r="F169" s="148">
        <f>IF('Data Entry Electricity'!$G$122&gt;0,IF(F28&gt;'Data Entry Electricity'!$F10,1,0),0)</f>
        <v>0</v>
      </c>
      <c r="G169" s="149"/>
    </row>
    <row r="170" spans="1:7">
      <c r="A170" s="147"/>
      <c r="B170" s="148">
        <f>IF('Data Entry Electricity'!$G$122&gt;0,IF(B29&gt;'Data Entry Electricity'!$F11,1,0),0)</f>
        <v>0</v>
      </c>
      <c r="C170" s="148">
        <f>IF('Data Entry Electricity'!$G$122&gt;0,IF(C29&gt;'Data Entry Electricity'!$F11,1,0),0)</f>
        <v>0</v>
      </c>
      <c r="D170" s="148">
        <f>IF('Data Entry Electricity'!$G$122&gt;0,IF(D29&gt;'Data Entry Electricity'!$F11,1,0),0)</f>
        <v>0</v>
      </c>
      <c r="E170" s="148">
        <f>IF('Data Entry Electricity'!$G$122&gt;0,IF(E29&gt;'Data Entry Electricity'!$F11,1,0),0)</f>
        <v>0</v>
      </c>
      <c r="F170" s="148">
        <f>IF('Data Entry Electricity'!$G$122&gt;0,IF(F29&gt;'Data Entry Electricity'!$F11,1,0),0)</f>
        <v>0</v>
      </c>
      <c r="G170" s="149"/>
    </row>
    <row r="171" spans="1:7">
      <c r="A171" s="147"/>
      <c r="B171" s="148">
        <f>IF('Data Entry Electricity'!$G$122&gt;0,IF(B30&gt;'Data Entry Electricity'!$F12,1,0),0)</f>
        <v>0</v>
      </c>
      <c r="C171" s="148">
        <f>IF('Data Entry Electricity'!$G$122&gt;0,IF(C30&gt;'Data Entry Electricity'!$F12,1,0),0)</f>
        <v>0</v>
      </c>
      <c r="D171" s="148">
        <f>IF('Data Entry Electricity'!$G$122&gt;0,IF(D30&gt;'Data Entry Electricity'!$F12,1,0),0)</f>
        <v>0</v>
      </c>
      <c r="E171" s="148">
        <f>IF('Data Entry Electricity'!$G$122&gt;0,IF(E30&gt;'Data Entry Electricity'!$F12,1,0),0)</f>
        <v>0</v>
      </c>
      <c r="F171" s="148">
        <f>IF('Data Entry Electricity'!$G$122&gt;0,IF(F30&gt;'Data Entry Electricity'!$F12,1,0),0)</f>
        <v>0</v>
      </c>
      <c r="G171" s="149"/>
    </row>
    <row r="172" spans="1:7">
      <c r="A172" s="147"/>
      <c r="B172" s="148">
        <f>IF('Data Entry Electricity'!$G$122&gt;0,IF(B31&gt;'Data Entry Electricity'!$F13,1,0),0)</f>
        <v>0</v>
      </c>
      <c r="C172" s="148">
        <f>IF('Data Entry Electricity'!$G$122&gt;0,IF(C31&gt;'Data Entry Electricity'!$F13,1,0),0)</f>
        <v>0</v>
      </c>
      <c r="D172" s="148">
        <f>IF('Data Entry Electricity'!$G$122&gt;0,IF(D31&gt;'Data Entry Electricity'!$F13,1,0),0)</f>
        <v>0</v>
      </c>
      <c r="E172" s="148">
        <f>IF('Data Entry Electricity'!$G$122&gt;0,IF(E31&gt;'Data Entry Electricity'!$F13,1,0),0)</f>
        <v>0</v>
      </c>
      <c r="F172" s="148">
        <f>IF('Data Entry Electricity'!$G$122&gt;0,IF(F31&gt;'Data Entry Electricity'!$F13,1,0),0)</f>
        <v>0</v>
      </c>
      <c r="G172" s="149"/>
    </row>
    <row r="173" spans="1:7">
      <c r="A173" s="147"/>
      <c r="B173" s="148">
        <f>IF('Data Entry Electricity'!$G$122&gt;0,IF(B32&gt;'Data Entry Electricity'!$F14,1,0),0)</f>
        <v>0</v>
      </c>
      <c r="C173" s="148">
        <f>IF('Data Entry Electricity'!$G$122&gt;0,IF(C32&gt;'Data Entry Electricity'!$F14,1,0),0)</f>
        <v>0</v>
      </c>
      <c r="D173" s="148">
        <f>IF('Data Entry Electricity'!$G$122&gt;0,IF(D32&gt;'Data Entry Electricity'!$F14,1,0),0)</f>
        <v>0</v>
      </c>
      <c r="E173" s="148">
        <f>IF('Data Entry Electricity'!$G$122&gt;0,IF(E32&gt;'Data Entry Electricity'!$F14,1,0),0)</f>
        <v>0</v>
      </c>
      <c r="F173" s="148">
        <f>IF('Data Entry Electricity'!$G$122&gt;0,IF(F32&gt;'Data Entry Electricity'!$F14,1,0),0)</f>
        <v>0</v>
      </c>
      <c r="G173" s="149"/>
    </row>
    <row r="174" spans="1:7">
      <c r="A174" s="147"/>
      <c r="B174" s="148">
        <f>IF('Data Entry Electricity'!$G$122&gt;0,IF(B33&gt;'Data Entry Electricity'!$F15,1,0),0)</f>
        <v>0</v>
      </c>
      <c r="C174" s="148">
        <f>IF('Data Entry Electricity'!$G$122&gt;0,IF(C33&gt;'Data Entry Electricity'!$F15,1,0),0)</f>
        <v>0</v>
      </c>
      <c r="D174" s="148">
        <f>IF('Data Entry Electricity'!$G$122&gt;0,IF(D33&gt;'Data Entry Electricity'!$F15,1,0),0)</f>
        <v>0</v>
      </c>
      <c r="E174" s="148">
        <f>IF('Data Entry Electricity'!$G$122&gt;0,IF(E33&gt;'Data Entry Electricity'!$F15,1,0),0)</f>
        <v>0</v>
      </c>
      <c r="F174" s="148">
        <f>IF('Data Entry Electricity'!$G$122&gt;0,IF(F33&gt;'Data Entry Electricity'!$F15,1,0),0)</f>
        <v>0</v>
      </c>
      <c r="G174" s="149"/>
    </row>
    <row r="175" spans="1:7">
      <c r="A175" s="147"/>
      <c r="B175" s="148">
        <f>IF('Data Entry Electricity'!$G$122&gt;0,IF(B34&gt;'Data Entry Electricity'!$F16,1,0),0)</f>
        <v>0</v>
      </c>
      <c r="C175" s="148">
        <f>IF('Data Entry Electricity'!$G$122&gt;0,IF(C34&gt;'Data Entry Electricity'!$F16,1,0),0)</f>
        <v>0</v>
      </c>
      <c r="D175" s="148">
        <f>IF('Data Entry Electricity'!$G$122&gt;0,IF(D34&gt;'Data Entry Electricity'!$F16,1,0),0)</f>
        <v>0</v>
      </c>
      <c r="E175" s="148">
        <f>IF('Data Entry Electricity'!$G$122&gt;0,IF(E34&gt;'Data Entry Electricity'!$F16,1,0),0)</f>
        <v>0</v>
      </c>
      <c r="F175" s="148">
        <f>IF('Data Entry Electricity'!$G$122&gt;0,IF(F34&gt;'Data Entry Electricity'!$F16,1,0),0)</f>
        <v>0</v>
      </c>
      <c r="G175" s="149"/>
    </row>
    <row r="176" spans="1:7">
      <c r="A176" s="147"/>
      <c r="B176" s="148">
        <f>IF('Data Entry Electricity'!$G$122&gt;0,IF(B35&gt;'Data Entry Electricity'!$F17,1,0),0)</f>
        <v>0</v>
      </c>
      <c r="C176" s="148">
        <f>IF('Data Entry Electricity'!$G$122&gt;0,IF(C35&gt;'Data Entry Electricity'!$F17,1,0),0)</f>
        <v>0</v>
      </c>
      <c r="D176" s="148">
        <f>IF('Data Entry Electricity'!$G$122&gt;0,IF(D35&gt;'Data Entry Electricity'!$F17,1,0),0)</f>
        <v>0</v>
      </c>
      <c r="E176" s="148">
        <f>IF('Data Entry Electricity'!$G$122&gt;0,IF(E35&gt;'Data Entry Electricity'!$F17,1,0),0)</f>
        <v>0</v>
      </c>
      <c r="F176" s="148">
        <f>IF('Data Entry Electricity'!$G$122&gt;0,IF(F35&gt;'Data Entry Electricity'!$F17,1,0),0)</f>
        <v>0</v>
      </c>
      <c r="G176" s="149"/>
    </row>
    <row r="177" spans="1:7">
      <c r="A177" s="147"/>
      <c r="B177" s="148">
        <f>IF('Data Entry Electricity'!$G$122&gt;0,IF(B36&gt;'Data Entry Electricity'!$F18,1,0),0)</f>
        <v>0</v>
      </c>
      <c r="C177" s="148">
        <f>IF('Data Entry Electricity'!$G$122&gt;0,IF(C36&gt;'Data Entry Electricity'!$F18,1,0),0)</f>
        <v>0</v>
      </c>
      <c r="D177" s="148">
        <f>IF('Data Entry Electricity'!$G$122&gt;0,IF(D36&gt;'Data Entry Electricity'!$F18,1,0),0)</f>
        <v>0</v>
      </c>
      <c r="E177" s="148">
        <f>IF('Data Entry Electricity'!$G$122&gt;0,IF(E36&gt;'Data Entry Electricity'!$F18,1,0),0)</f>
        <v>0</v>
      </c>
      <c r="F177" s="148">
        <f>IF('Data Entry Electricity'!$G$122&gt;0,IF(F36&gt;'Data Entry Electricity'!$F18,1,0),0)</f>
        <v>0</v>
      </c>
      <c r="G177" s="149"/>
    </row>
    <row r="178" spans="1:7">
      <c r="A178" s="147"/>
      <c r="B178" s="148">
        <f>IF('Data Entry Electricity'!$G$122&gt;0,IF(B37&gt;'Data Entry Electricity'!$F19,1,0),0)</f>
        <v>0</v>
      </c>
      <c r="C178" s="148">
        <f>IF('Data Entry Electricity'!$G$122&gt;0,IF(C37&gt;'Data Entry Electricity'!$F19,1,0),0)</f>
        <v>0</v>
      </c>
      <c r="D178" s="148">
        <f>IF('Data Entry Electricity'!$G$122&gt;0,IF(D37&gt;'Data Entry Electricity'!$F19,1,0),0)</f>
        <v>0</v>
      </c>
      <c r="E178" s="148">
        <f>IF('Data Entry Electricity'!$G$122&gt;0,IF(E37&gt;'Data Entry Electricity'!$F19,1,0),0)</f>
        <v>0</v>
      </c>
      <c r="F178" s="148">
        <f>IF('Data Entry Electricity'!$G$122&gt;0,IF(F37&gt;'Data Entry Electricity'!$F19,1,0),0)</f>
        <v>0</v>
      </c>
      <c r="G178" s="149"/>
    </row>
    <row r="179" spans="1:7">
      <c r="A179" s="147"/>
      <c r="B179" s="148">
        <f>IF('Data Entry Electricity'!$G$122&gt;0,IF(B38&gt;'Data Entry Electricity'!$F20,1,0),0)</f>
        <v>0</v>
      </c>
      <c r="C179" s="148">
        <f>IF('Data Entry Electricity'!$G$122&gt;0,IF(C38&gt;'Data Entry Electricity'!$F20,1,0),0)</f>
        <v>0</v>
      </c>
      <c r="D179" s="148">
        <f>IF('Data Entry Electricity'!$G$122&gt;0,IF(D38&gt;'Data Entry Electricity'!$F20,1,0),0)</f>
        <v>0</v>
      </c>
      <c r="E179" s="148">
        <f>IF('Data Entry Electricity'!$G$122&gt;0,IF(E38&gt;'Data Entry Electricity'!$F20,1,0),0)</f>
        <v>0</v>
      </c>
      <c r="F179" s="148">
        <f>IF('Data Entry Electricity'!$G$122&gt;0,IF(F38&gt;'Data Entry Electricity'!$F20,1,0),0)</f>
        <v>0</v>
      </c>
      <c r="G179" s="149"/>
    </row>
    <row r="180" spans="1:7">
      <c r="A180" s="147"/>
      <c r="B180" s="148">
        <f>IF('Data Entry Electricity'!$G$122&gt;0,IF(B39&gt;'Data Entry Electricity'!$F21,1,0),0)</f>
        <v>0</v>
      </c>
      <c r="C180" s="148">
        <f>IF('Data Entry Electricity'!$G$122&gt;0,IF(C39&gt;'Data Entry Electricity'!$F21,1,0),0)</f>
        <v>0</v>
      </c>
      <c r="D180" s="148">
        <f>IF('Data Entry Electricity'!$G$122&gt;0,IF(D39&gt;'Data Entry Electricity'!$F21,1,0),0)</f>
        <v>0</v>
      </c>
      <c r="E180" s="148">
        <f>IF('Data Entry Electricity'!$G$122&gt;0,IF(E39&gt;'Data Entry Electricity'!$F21,1,0),0)</f>
        <v>0</v>
      </c>
      <c r="F180" s="148">
        <f>IF('Data Entry Electricity'!$G$122&gt;0,IF(F39&gt;'Data Entry Electricity'!$F21,1,0),0)</f>
        <v>0</v>
      </c>
      <c r="G180" s="149"/>
    </row>
    <row r="181" spans="1:7">
      <c r="A181" s="147"/>
      <c r="B181" s="148">
        <f>IF('Data Entry Electricity'!$G$122&gt;0,IF(B40&gt;'Data Entry Electricity'!$F22,1,0),0)</f>
        <v>0</v>
      </c>
      <c r="C181" s="148">
        <f>IF('Data Entry Electricity'!$G$122&gt;0,IF(C40&gt;'Data Entry Electricity'!$F22,1,0),0)</f>
        <v>0</v>
      </c>
      <c r="D181" s="148">
        <f>IF('Data Entry Electricity'!$G$122&gt;0,IF(D40&gt;'Data Entry Electricity'!$F22,1,0),0)</f>
        <v>0</v>
      </c>
      <c r="E181" s="148">
        <f>IF('Data Entry Electricity'!$G$122&gt;0,IF(E40&gt;'Data Entry Electricity'!$F22,1,0),0)</f>
        <v>0</v>
      </c>
      <c r="F181" s="148">
        <f>IF('Data Entry Electricity'!$G$122&gt;0,IF(F40&gt;'Data Entry Electricity'!$F22,1,0),0)</f>
        <v>0</v>
      </c>
      <c r="G181" s="149"/>
    </row>
    <row r="182" spans="1:7">
      <c r="A182" s="147"/>
      <c r="B182" s="148">
        <f>IF('Data Entry Electricity'!$G$122&gt;0,IF(B41&gt;'Data Entry Electricity'!$F23,1,0),0)</f>
        <v>0</v>
      </c>
      <c r="C182" s="148">
        <f>IF('Data Entry Electricity'!$G$122&gt;0,IF(C41&gt;'Data Entry Electricity'!$F23,1,0),0)</f>
        <v>0</v>
      </c>
      <c r="D182" s="148">
        <f>IF('Data Entry Electricity'!$G$122&gt;0,IF(D41&gt;'Data Entry Electricity'!$F23,1,0),0)</f>
        <v>0</v>
      </c>
      <c r="E182" s="148">
        <f>IF('Data Entry Electricity'!$G$122&gt;0,IF(E41&gt;'Data Entry Electricity'!$F23,1,0),0)</f>
        <v>0</v>
      </c>
      <c r="F182" s="148">
        <f>IF('Data Entry Electricity'!$G$122&gt;0,IF(F41&gt;'Data Entry Electricity'!$F23,1,0),0)</f>
        <v>0</v>
      </c>
      <c r="G182" s="149"/>
    </row>
    <row r="183" spans="1:7">
      <c r="A183" s="147"/>
      <c r="B183" s="148">
        <f>IF('Data Entry Electricity'!$G$122&gt;0,IF(B42&gt;'Data Entry Electricity'!$F24,1,0),0)</f>
        <v>0</v>
      </c>
      <c r="C183" s="148">
        <f>IF('Data Entry Electricity'!$G$122&gt;0,IF(C42&gt;'Data Entry Electricity'!$F24,1,0),0)</f>
        <v>0</v>
      </c>
      <c r="D183" s="148">
        <f>IF('Data Entry Electricity'!$G$122&gt;0,IF(D42&gt;'Data Entry Electricity'!$F24,1,0),0)</f>
        <v>0</v>
      </c>
      <c r="E183" s="148">
        <f>IF('Data Entry Electricity'!$G$122&gt;0,IF(E42&gt;'Data Entry Electricity'!$F24,1,0),0)</f>
        <v>0</v>
      </c>
      <c r="F183" s="148">
        <f>IF('Data Entry Electricity'!$G$122&gt;0,IF(F42&gt;'Data Entry Electricity'!$F24,1,0),0)</f>
        <v>0</v>
      </c>
      <c r="G183" s="149"/>
    </row>
    <row r="184" spans="1:7">
      <c r="A184" s="147"/>
      <c r="B184" s="148">
        <f>IF('Data Entry Electricity'!$G$122&gt;0,IF(B43&gt;'Data Entry Electricity'!$F25,1,0),0)</f>
        <v>0</v>
      </c>
      <c r="C184" s="148">
        <f>IF('Data Entry Electricity'!$G$122&gt;0,IF(C43&gt;'Data Entry Electricity'!$F25,1,0),0)</f>
        <v>0</v>
      </c>
      <c r="D184" s="148">
        <f>IF('Data Entry Electricity'!$G$122&gt;0,IF(D43&gt;'Data Entry Electricity'!$F25,1,0),0)</f>
        <v>0</v>
      </c>
      <c r="E184" s="148">
        <f>IF('Data Entry Electricity'!$G$122&gt;0,IF(E43&gt;'Data Entry Electricity'!$F25,1,0),0)</f>
        <v>0</v>
      </c>
      <c r="F184" s="148">
        <f>IF('Data Entry Electricity'!$G$122&gt;0,IF(F43&gt;'Data Entry Electricity'!$F25,1,0),0)</f>
        <v>0</v>
      </c>
      <c r="G184" s="149"/>
    </row>
    <row r="185" spans="1:7">
      <c r="A185" s="147"/>
      <c r="B185" s="148">
        <f>IF('Data Entry Electricity'!$G$122&gt;0,IF(B44&gt;'Data Entry Electricity'!$F26,1,0),0)</f>
        <v>0</v>
      </c>
      <c r="C185" s="148">
        <f>IF('Data Entry Electricity'!$G$122&gt;0,IF(C44&gt;'Data Entry Electricity'!$F26,1,0),0)</f>
        <v>0</v>
      </c>
      <c r="D185" s="148">
        <f>IF('Data Entry Electricity'!$G$122&gt;0,IF(D44&gt;'Data Entry Electricity'!$F26,1,0),0)</f>
        <v>0</v>
      </c>
      <c r="E185" s="148">
        <f>IF('Data Entry Electricity'!$G$122&gt;0,IF(E44&gt;'Data Entry Electricity'!$F26,1,0),0)</f>
        <v>0</v>
      </c>
      <c r="F185" s="148">
        <f>IF('Data Entry Electricity'!$G$122&gt;0,IF(F44&gt;'Data Entry Electricity'!$F26,1,0),0)</f>
        <v>0</v>
      </c>
      <c r="G185" s="149"/>
    </row>
    <row r="186" spans="1:7">
      <c r="A186" s="147"/>
      <c r="B186" s="148">
        <f>IF('Data Entry Electricity'!$G$122&gt;0,IF(B45&gt;'Data Entry Electricity'!$F27,1,0),0)</f>
        <v>0</v>
      </c>
      <c r="C186" s="148">
        <f>IF('Data Entry Electricity'!$G$122&gt;0,IF(C45&gt;'Data Entry Electricity'!$F27,1,0),0)</f>
        <v>0</v>
      </c>
      <c r="D186" s="148">
        <f>IF('Data Entry Electricity'!$G$122&gt;0,IF(D45&gt;'Data Entry Electricity'!$F27,1,0),0)</f>
        <v>0</v>
      </c>
      <c r="E186" s="148">
        <f>IF('Data Entry Electricity'!$G$122&gt;0,IF(E45&gt;'Data Entry Electricity'!$F27,1,0),0)</f>
        <v>0</v>
      </c>
      <c r="F186" s="148">
        <f>IF('Data Entry Electricity'!$G$122&gt;0,IF(F45&gt;'Data Entry Electricity'!$F27,1,0),0)</f>
        <v>0</v>
      </c>
      <c r="G186" s="149"/>
    </row>
    <row r="187" spans="1:7">
      <c r="A187" s="147"/>
      <c r="B187" s="148">
        <f>IF('Data Entry Electricity'!$G$122&gt;0,IF(B46&gt;'Data Entry Electricity'!$F28,1,0),0)</f>
        <v>0</v>
      </c>
      <c r="C187" s="148">
        <f>IF('Data Entry Electricity'!$G$122&gt;0,IF(C46&gt;'Data Entry Electricity'!$F28,1,0),0)</f>
        <v>0</v>
      </c>
      <c r="D187" s="148">
        <f>IF('Data Entry Electricity'!$G$122&gt;0,IF(D46&gt;'Data Entry Electricity'!$F28,1,0),0)</f>
        <v>0</v>
      </c>
      <c r="E187" s="148">
        <f>IF('Data Entry Electricity'!$G$122&gt;0,IF(E46&gt;'Data Entry Electricity'!$F28,1,0),0)</f>
        <v>0</v>
      </c>
      <c r="F187" s="148">
        <f>IF('Data Entry Electricity'!$G$122&gt;0,IF(F46&gt;'Data Entry Electricity'!$F28,1,0),0)</f>
        <v>0</v>
      </c>
      <c r="G187" s="149"/>
    </row>
    <row r="188" spans="1:7">
      <c r="A188" s="147"/>
      <c r="B188" s="148">
        <f>IF('Data Entry Electricity'!$G$122&gt;0,IF(B47&gt;'Data Entry Electricity'!$F29,1,0),0)</f>
        <v>0</v>
      </c>
      <c r="C188" s="148">
        <f>IF('Data Entry Electricity'!$G$122&gt;0,IF(C47&gt;'Data Entry Electricity'!$F29,1,0),0)</f>
        <v>0</v>
      </c>
      <c r="D188" s="148">
        <f>IF('Data Entry Electricity'!$G$122&gt;0,IF(D47&gt;'Data Entry Electricity'!$F29,1,0),0)</f>
        <v>0</v>
      </c>
      <c r="E188" s="148">
        <f>IF('Data Entry Electricity'!$G$122&gt;0,IF(E47&gt;'Data Entry Electricity'!$F29,1,0),0)</f>
        <v>0</v>
      </c>
      <c r="F188" s="148">
        <f>IF('Data Entry Electricity'!$G$122&gt;0,IF(F47&gt;'Data Entry Electricity'!$F29,1,0),0)</f>
        <v>0</v>
      </c>
      <c r="G188" s="149"/>
    </row>
    <row r="189" spans="1:7">
      <c r="A189" s="147"/>
      <c r="B189" s="148">
        <f>IF('Data Entry Electricity'!$G$122&gt;0,IF(B48&gt;'Data Entry Electricity'!$F30,1,0),0)</f>
        <v>0</v>
      </c>
      <c r="C189" s="148">
        <f>IF('Data Entry Electricity'!$G$122&gt;0,IF(C48&gt;'Data Entry Electricity'!$F30,1,0),0)</f>
        <v>0</v>
      </c>
      <c r="D189" s="148">
        <f>IF('Data Entry Electricity'!$G$122&gt;0,IF(D48&gt;'Data Entry Electricity'!$F30,1,0),0)</f>
        <v>0</v>
      </c>
      <c r="E189" s="148">
        <f>IF('Data Entry Electricity'!$G$122&gt;0,IF(E48&gt;'Data Entry Electricity'!$F30,1,0),0)</f>
        <v>0</v>
      </c>
      <c r="F189" s="148">
        <f>IF('Data Entry Electricity'!$G$122&gt;0,IF(F48&gt;'Data Entry Electricity'!$F30,1,0),0)</f>
        <v>0</v>
      </c>
      <c r="G189" s="149"/>
    </row>
    <row r="190" spans="1:7">
      <c r="A190" s="147"/>
      <c r="B190" s="148">
        <f>IF('Data Entry Electricity'!$G$122&gt;0,IF(B49&gt;'Data Entry Electricity'!$F31,1,0),0)</f>
        <v>0</v>
      </c>
      <c r="C190" s="148">
        <f>IF('Data Entry Electricity'!$G$122&gt;0,IF(C49&gt;'Data Entry Electricity'!$F31,1,0),0)</f>
        <v>0</v>
      </c>
      <c r="D190" s="148">
        <f>IF('Data Entry Electricity'!$G$122&gt;0,IF(D49&gt;'Data Entry Electricity'!$F31,1,0),0)</f>
        <v>0</v>
      </c>
      <c r="E190" s="148">
        <f>IF('Data Entry Electricity'!$G$122&gt;0,IF(E49&gt;'Data Entry Electricity'!$F31,1,0),0)</f>
        <v>0</v>
      </c>
      <c r="F190" s="148">
        <f>IF('Data Entry Electricity'!$G$122&gt;0,IF(F49&gt;'Data Entry Electricity'!$F31,1,0),0)</f>
        <v>0</v>
      </c>
      <c r="G190" s="149"/>
    </row>
    <row r="191" spans="1:7">
      <c r="A191" s="147"/>
      <c r="B191" s="148">
        <f>IF('Data Entry Electricity'!$G$122&gt;0,IF(B50&gt;'Data Entry Electricity'!$F32,1,0),0)</f>
        <v>0</v>
      </c>
      <c r="C191" s="148">
        <f>IF('Data Entry Electricity'!$G$122&gt;0,IF(C50&gt;'Data Entry Electricity'!$F32,1,0),0)</f>
        <v>0</v>
      </c>
      <c r="D191" s="148">
        <f>IF('Data Entry Electricity'!$G$122&gt;0,IF(D50&gt;'Data Entry Electricity'!$F32,1,0),0)</f>
        <v>0</v>
      </c>
      <c r="E191" s="148">
        <f>IF('Data Entry Electricity'!$G$122&gt;0,IF(E50&gt;'Data Entry Electricity'!$F32,1,0),0)</f>
        <v>0</v>
      </c>
      <c r="F191" s="148">
        <f>IF('Data Entry Electricity'!$G$122&gt;0,IF(F50&gt;'Data Entry Electricity'!$F32,1,0),0)</f>
        <v>0</v>
      </c>
      <c r="G191" s="149"/>
    </row>
    <row r="192" spans="1:7">
      <c r="A192" s="147"/>
      <c r="B192" s="148">
        <f>IF('Data Entry Electricity'!$G$122&gt;0,IF(B51&gt;'Data Entry Electricity'!$F33,1,0),0)</f>
        <v>0</v>
      </c>
      <c r="C192" s="148">
        <f>IF('Data Entry Electricity'!$G$122&gt;0,IF(C51&gt;'Data Entry Electricity'!$F33,1,0),0)</f>
        <v>0</v>
      </c>
      <c r="D192" s="148">
        <f>IF('Data Entry Electricity'!$G$122&gt;0,IF(D51&gt;'Data Entry Electricity'!$F33,1,0),0)</f>
        <v>0</v>
      </c>
      <c r="E192" s="148">
        <f>IF('Data Entry Electricity'!$G$122&gt;0,IF(E51&gt;'Data Entry Electricity'!$F33,1,0),0)</f>
        <v>0</v>
      </c>
      <c r="F192" s="148">
        <f>IF('Data Entry Electricity'!$G$122&gt;0,IF(F51&gt;'Data Entry Electricity'!$F33,1,0),0)</f>
        <v>0</v>
      </c>
      <c r="G192" s="149"/>
    </row>
    <row r="193" spans="1:7">
      <c r="A193" s="147"/>
      <c r="B193" s="148">
        <f>IF('Data Entry Electricity'!$G$122&gt;0,IF(B52&gt;'Data Entry Electricity'!$F34,1,0),0)</f>
        <v>0</v>
      </c>
      <c r="C193" s="148">
        <f>IF('Data Entry Electricity'!$G$122&gt;0,IF(C52&gt;'Data Entry Electricity'!$F34,1,0),0)</f>
        <v>0</v>
      </c>
      <c r="D193" s="148">
        <f>IF('Data Entry Electricity'!$G$122&gt;0,IF(D52&gt;'Data Entry Electricity'!$F34,1,0),0)</f>
        <v>0</v>
      </c>
      <c r="E193" s="148">
        <f>IF('Data Entry Electricity'!$G$122&gt;0,IF(E52&gt;'Data Entry Electricity'!$F34,1,0),0)</f>
        <v>0</v>
      </c>
      <c r="F193" s="148">
        <f>IF('Data Entry Electricity'!$G$122&gt;0,IF(F52&gt;'Data Entry Electricity'!$F34,1,0),0)</f>
        <v>0</v>
      </c>
      <c r="G193" s="149"/>
    </row>
    <row r="194" spans="1:7">
      <c r="A194" s="147"/>
      <c r="B194" s="148">
        <f>IF('Data Entry Electricity'!$G$122&gt;0,IF(B53&gt;'Data Entry Electricity'!$F35,1,0),0)</f>
        <v>0</v>
      </c>
      <c r="C194" s="148">
        <f>IF('Data Entry Electricity'!$G$122&gt;0,IF(C53&gt;'Data Entry Electricity'!$F35,1,0),0)</f>
        <v>0</v>
      </c>
      <c r="D194" s="148">
        <f>IF('Data Entry Electricity'!$G$122&gt;0,IF(D53&gt;'Data Entry Electricity'!$F35,1,0),0)</f>
        <v>0</v>
      </c>
      <c r="E194" s="148">
        <f>IF('Data Entry Electricity'!$G$122&gt;0,IF(E53&gt;'Data Entry Electricity'!$F35,1,0),0)</f>
        <v>0</v>
      </c>
      <c r="F194" s="148">
        <f>IF('Data Entry Electricity'!$G$122&gt;0,IF(F53&gt;'Data Entry Electricity'!$F35,1,0),0)</f>
        <v>0</v>
      </c>
      <c r="G194" s="149"/>
    </row>
    <row r="195" spans="1:7">
      <c r="A195" s="147"/>
      <c r="B195" s="148">
        <f>IF('Data Entry Electricity'!$G$122&gt;0,IF(B54&gt;'Data Entry Electricity'!$F36,1,0),0)</f>
        <v>0</v>
      </c>
      <c r="C195" s="148">
        <f>IF('Data Entry Electricity'!$G$122&gt;0,IF(C54&gt;'Data Entry Electricity'!$F36,1,0),0)</f>
        <v>0</v>
      </c>
      <c r="D195" s="148">
        <f>IF('Data Entry Electricity'!$G$122&gt;0,IF(D54&gt;'Data Entry Electricity'!$F36,1,0),0)</f>
        <v>0</v>
      </c>
      <c r="E195" s="148">
        <f>IF('Data Entry Electricity'!$G$122&gt;0,IF(E54&gt;'Data Entry Electricity'!$F36,1,0),0)</f>
        <v>0</v>
      </c>
      <c r="F195" s="148">
        <f>IF('Data Entry Electricity'!$G$122&gt;0,IF(F54&gt;'Data Entry Electricity'!$F36,1,0),0)</f>
        <v>0</v>
      </c>
      <c r="G195" s="149"/>
    </row>
    <row r="196" spans="1:7">
      <c r="A196" s="147"/>
      <c r="B196" s="148">
        <f>IF('Data Entry Electricity'!$G$122&gt;0,IF(B55&gt;'Data Entry Electricity'!$F37,1,0),0)</f>
        <v>0</v>
      </c>
      <c r="C196" s="148">
        <f>IF('Data Entry Electricity'!$G$122&gt;0,IF(C55&gt;'Data Entry Electricity'!$F37,1,0),0)</f>
        <v>0</v>
      </c>
      <c r="D196" s="148">
        <f>IF('Data Entry Electricity'!$G$122&gt;0,IF(D55&gt;'Data Entry Electricity'!$F37,1,0),0)</f>
        <v>0</v>
      </c>
      <c r="E196" s="148">
        <f>IF('Data Entry Electricity'!$G$122&gt;0,IF(E55&gt;'Data Entry Electricity'!$F37,1,0),0)</f>
        <v>0</v>
      </c>
      <c r="F196" s="148">
        <f>IF('Data Entry Electricity'!$G$122&gt;0,IF(F55&gt;'Data Entry Electricity'!$F37,1,0),0)</f>
        <v>0</v>
      </c>
      <c r="G196" s="149"/>
    </row>
    <row r="197" spans="1:7">
      <c r="A197" s="147"/>
      <c r="B197" s="148">
        <f>IF('Data Entry Electricity'!$G$122&gt;0,IF(B56&gt;'Data Entry Electricity'!$F38,1,0),0)</f>
        <v>0</v>
      </c>
      <c r="C197" s="148">
        <f>IF('Data Entry Electricity'!$G$122&gt;0,IF(C56&gt;'Data Entry Electricity'!$F38,1,0),0)</f>
        <v>0</v>
      </c>
      <c r="D197" s="148">
        <f>IF('Data Entry Electricity'!$G$122&gt;0,IF(D56&gt;'Data Entry Electricity'!$F38,1,0),0)</f>
        <v>0</v>
      </c>
      <c r="E197" s="148">
        <f>IF('Data Entry Electricity'!$G$122&gt;0,IF(E56&gt;'Data Entry Electricity'!$F38,1,0),0)</f>
        <v>0</v>
      </c>
      <c r="F197" s="148">
        <f>IF('Data Entry Electricity'!$G$122&gt;0,IF(F56&gt;'Data Entry Electricity'!$F38,1,0),0)</f>
        <v>0</v>
      </c>
      <c r="G197" s="149"/>
    </row>
    <row r="198" spans="1:7">
      <c r="A198" s="147"/>
      <c r="B198" s="148">
        <f>IF('Data Entry Electricity'!$G$122&gt;0,IF(B57&gt;'Data Entry Electricity'!$F39,1,0),0)</f>
        <v>0</v>
      </c>
      <c r="C198" s="148">
        <f>IF('Data Entry Electricity'!$G$122&gt;0,IF(C57&gt;'Data Entry Electricity'!$F39,1,0),0)</f>
        <v>0</v>
      </c>
      <c r="D198" s="148">
        <f>IF('Data Entry Electricity'!$G$122&gt;0,IF(D57&gt;'Data Entry Electricity'!$F39,1,0),0)</f>
        <v>0</v>
      </c>
      <c r="E198" s="148">
        <f>IF('Data Entry Electricity'!$G$122&gt;0,IF(E57&gt;'Data Entry Electricity'!$F39,1,0),0)</f>
        <v>0</v>
      </c>
      <c r="F198" s="148">
        <f>IF('Data Entry Electricity'!$G$122&gt;0,IF(F57&gt;'Data Entry Electricity'!$F39,1,0),0)</f>
        <v>0</v>
      </c>
      <c r="G198" s="149"/>
    </row>
    <row r="199" spans="1:7">
      <c r="A199" s="147"/>
      <c r="B199" s="148">
        <f>IF('Data Entry Electricity'!$G$122&gt;0,IF(B58&gt;'Data Entry Electricity'!$F40,1,0),0)</f>
        <v>0</v>
      </c>
      <c r="C199" s="148">
        <f>IF('Data Entry Electricity'!$G$122&gt;0,IF(C58&gt;'Data Entry Electricity'!$F40,1,0),0)</f>
        <v>0</v>
      </c>
      <c r="D199" s="148">
        <f>IF('Data Entry Electricity'!$G$122&gt;0,IF(D58&gt;'Data Entry Electricity'!$F40,1,0),0)</f>
        <v>0</v>
      </c>
      <c r="E199" s="148">
        <f>IF('Data Entry Electricity'!$G$122&gt;0,IF(E58&gt;'Data Entry Electricity'!$F40,1,0),0)</f>
        <v>0</v>
      </c>
      <c r="F199" s="148">
        <f>IF('Data Entry Electricity'!$G$122&gt;0,IF(F58&gt;'Data Entry Electricity'!$F40,1,0),0)</f>
        <v>0</v>
      </c>
      <c r="G199" s="149"/>
    </row>
    <row r="200" spans="1:7">
      <c r="A200" s="147"/>
      <c r="B200" s="148">
        <f>IF('Data Entry Electricity'!$G$122&gt;0,IF(B59&gt;'Data Entry Electricity'!$F41,1,0),0)</f>
        <v>0</v>
      </c>
      <c r="C200" s="148">
        <f>IF('Data Entry Electricity'!$G$122&gt;0,IF(C59&gt;'Data Entry Electricity'!$F41,1,0),0)</f>
        <v>0</v>
      </c>
      <c r="D200" s="148">
        <f>IF('Data Entry Electricity'!$G$122&gt;0,IF(D59&gt;'Data Entry Electricity'!$F41,1,0),0)</f>
        <v>0</v>
      </c>
      <c r="E200" s="148">
        <f>IF('Data Entry Electricity'!$G$122&gt;0,IF(E59&gt;'Data Entry Electricity'!$F41,1,0),0)</f>
        <v>0</v>
      </c>
      <c r="F200" s="148">
        <f>IF('Data Entry Electricity'!$G$122&gt;0,IF(F59&gt;'Data Entry Electricity'!$F41,1,0),0)</f>
        <v>0</v>
      </c>
      <c r="G200" s="149"/>
    </row>
    <row r="201" spans="1:7">
      <c r="A201" s="147"/>
      <c r="B201" s="148">
        <f>IF('Data Entry Electricity'!$G$122&gt;0,IF(B60&gt;'Data Entry Electricity'!$F42,1,0),0)</f>
        <v>0</v>
      </c>
      <c r="C201" s="148">
        <f>IF('Data Entry Electricity'!$G$122&gt;0,IF(C60&gt;'Data Entry Electricity'!$F42,1,0),0)</f>
        <v>0</v>
      </c>
      <c r="D201" s="148">
        <f>IF('Data Entry Electricity'!$G$122&gt;0,IF(D60&gt;'Data Entry Electricity'!$F42,1,0),0)</f>
        <v>0</v>
      </c>
      <c r="E201" s="148">
        <f>IF('Data Entry Electricity'!$G$122&gt;0,IF(E60&gt;'Data Entry Electricity'!$F42,1,0),0)</f>
        <v>0</v>
      </c>
      <c r="F201" s="148">
        <f>IF('Data Entry Electricity'!$G$122&gt;0,IF(F60&gt;'Data Entry Electricity'!$F42,1,0),0)</f>
        <v>0</v>
      </c>
      <c r="G201" s="149"/>
    </row>
    <row r="202" spans="1:7">
      <c r="A202" s="147"/>
      <c r="B202" s="148">
        <f>IF('Data Entry Electricity'!$G$122&gt;0,IF(B61&gt;'Data Entry Electricity'!$F43,1,0),0)</f>
        <v>0</v>
      </c>
      <c r="C202" s="148">
        <f>IF('Data Entry Electricity'!$G$122&gt;0,IF(C61&gt;'Data Entry Electricity'!$F43,1,0),0)</f>
        <v>0</v>
      </c>
      <c r="D202" s="148">
        <f>IF('Data Entry Electricity'!$G$122&gt;0,IF(D61&gt;'Data Entry Electricity'!$F43,1,0),0)</f>
        <v>0</v>
      </c>
      <c r="E202" s="148">
        <f>IF('Data Entry Electricity'!$G$122&gt;0,IF(E61&gt;'Data Entry Electricity'!$F43,1,0),0)</f>
        <v>0</v>
      </c>
      <c r="F202" s="148">
        <f>IF('Data Entry Electricity'!$G$122&gt;0,IF(F61&gt;'Data Entry Electricity'!$F43,1,0),0)</f>
        <v>0</v>
      </c>
      <c r="G202" s="149"/>
    </row>
    <row r="203" spans="1:7">
      <c r="A203" s="147"/>
      <c r="B203" s="148">
        <f>IF('Data Entry Electricity'!$G$122&gt;0,IF(B62&gt;'Data Entry Electricity'!$F44,1,0),0)</f>
        <v>0</v>
      </c>
      <c r="C203" s="148">
        <f>IF('Data Entry Electricity'!$G$122&gt;0,IF(C62&gt;'Data Entry Electricity'!$F44,1,0),0)</f>
        <v>0</v>
      </c>
      <c r="D203" s="148">
        <f>IF('Data Entry Electricity'!$G$122&gt;0,IF(D62&gt;'Data Entry Electricity'!$F44,1,0),0)</f>
        <v>0</v>
      </c>
      <c r="E203" s="148">
        <f>IF('Data Entry Electricity'!$G$122&gt;0,IF(E62&gt;'Data Entry Electricity'!$F44,1,0),0)</f>
        <v>0</v>
      </c>
      <c r="F203" s="148">
        <f>IF('Data Entry Electricity'!$G$122&gt;0,IF(F62&gt;'Data Entry Electricity'!$F44,1,0),0)</f>
        <v>0</v>
      </c>
      <c r="G203" s="149"/>
    </row>
    <row r="204" spans="1:7">
      <c r="A204" s="147"/>
      <c r="B204" s="148">
        <f>IF('Data Entry Electricity'!$G$122&gt;0,IF(B63&gt;'Data Entry Electricity'!$F45,1,0),0)</f>
        <v>0</v>
      </c>
      <c r="C204" s="148">
        <f>IF('Data Entry Electricity'!$G$122&gt;0,IF(C63&gt;'Data Entry Electricity'!$F45,1,0),0)</f>
        <v>0</v>
      </c>
      <c r="D204" s="148">
        <f>IF('Data Entry Electricity'!$G$122&gt;0,IF(D63&gt;'Data Entry Electricity'!$F45,1,0),0)</f>
        <v>0</v>
      </c>
      <c r="E204" s="148">
        <f>IF('Data Entry Electricity'!$G$122&gt;0,IF(E63&gt;'Data Entry Electricity'!$F45,1,0),0)</f>
        <v>0</v>
      </c>
      <c r="F204" s="148">
        <f>IF('Data Entry Electricity'!$G$122&gt;0,IF(F63&gt;'Data Entry Electricity'!$F45,1,0),0)</f>
        <v>0</v>
      </c>
      <c r="G204" s="149"/>
    </row>
    <row r="205" spans="1:7">
      <c r="A205" s="147"/>
      <c r="B205" s="148">
        <f>IF('Data Entry Electricity'!$G$122&gt;0,IF(B64&gt;'Data Entry Electricity'!$F46,1,0),0)</f>
        <v>0</v>
      </c>
      <c r="C205" s="148">
        <f>IF('Data Entry Electricity'!$G$122&gt;0,IF(C64&gt;'Data Entry Electricity'!$F46,1,0),0)</f>
        <v>0</v>
      </c>
      <c r="D205" s="148">
        <f>IF('Data Entry Electricity'!$G$122&gt;0,IF(D64&gt;'Data Entry Electricity'!$F46,1,0),0)</f>
        <v>0</v>
      </c>
      <c r="E205" s="148">
        <f>IF('Data Entry Electricity'!$G$122&gt;0,IF(E64&gt;'Data Entry Electricity'!$F46,1,0),0)</f>
        <v>0</v>
      </c>
      <c r="F205" s="148">
        <f>IF('Data Entry Electricity'!$G$122&gt;0,IF(F64&gt;'Data Entry Electricity'!$F46,1,0),0)</f>
        <v>0</v>
      </c>
      <c r="G205" s="149"/>
    </row>
    <row r="206" spans="1:7">
      <c r="A206" s="147"/>
      <c r="B206" s="148">
        <f>IF('Data Entry Electricity'!$G$122&gt;0,IF(B65&gt;'Data Entry Electricity'!$F47,1,0),0)</f>
        <v>0</v>
      </c>
      <c r="C206" s="148">
        <f>IF('Data Entry Electricity'!$G$122&gt;0,IF(C65&gt;'Data Entry Electricity'!$F47,1,0),0)</f>
        <v>0</v>
      </c>
      <c r="D206" s="148">
        <f>IF('Data Entry Electricity'!$G$122&gt;0,IF(D65&gt;'Data Entry Electricity'!$F47,1,0),0)</f>
        <v>0</v>
      </c>
      <c r="E206" s="148">
        <f>IF('Data Entry Electricity'!$G$122&gt;0,IF(E65&gt;'Data Entry Electricity'!$F47,1,0),0)</f>
        <v>0</v>
      </c>
      <c r="F206" s="148">
        <f>IF('Data Entry Electricity'!$G$122&gt;0,IF(F65&gt;'Data Entry Electricity'!$F47,1,0),0)</f>
        <v>0</v>
      </c>
      <c r="G206" s="149"/>
    </row>
    <row r="207" spans="1:7">
      <c r="A207" s="147"/>
      <c r="B207" s="148">
        <f>IF('Data Entry Electricity'!$G$122&gt;0,IF(B66&gt;'Data Entry Electricity'!$F48,1,0),0)</f>
        <v>0</v>
      </c>
      <c r="C207" s="148">
        <f>IF('Data Entry Electricity'!$G$122&gt;0,IF(C66&gt;'Data Entry Electricity'!$F48,1,0),0)</f>
        <v>0</v>
      </c>
      <c r="D207" s="148">
        <f>IF('Data Entry Electricity'!$G$122&gt;0,IF(D66&gt;'Data Entry Electricity'!$F48,1,0),0)</f>
        <v>0</v>
      </c>
      <c r="E207" s="148">
        <f>IF('Data Entry Electricity'!$G$122&gt;0,IF(E66&gt;'Data Entry Electricity'!$F48,1,0),0)</f>
        <v>0</v>
      </c>
      <c r="F207" s="148">
        <f>IF('Data Entry Electricity'!$G$122&gt;0,IF(F66&gt;'Data Entry Electricity'!$F48,1,0),0)</f>
        <v>0</v>
      </c>
      <c r="G207" s="149"/>
    </row>
    <row r="208" spans="1:7">
      <c r="A208" s="147"/>
      <c r="B208" s="148">
        <f>IF('Data Entry Electricity'!$G$122&gt;0,IF(B67&gt;'Data Entry Electricity'!$F49,1,0),0)</f>
        <v>0</v>
      </c>
      <c r="C208" s="148">
        <f>IF('Data Entry Electricity'!$G$122&gt;0,IF(C67&gt;'Data Entry Electricity'!$F49,1,0),0)</f>
        <v>0</v>
      </c>
      <c r="D208" s="148">
        <f>IF('Data Entry Electricity'!$G$122&gt;0,IF(D67&gt;'Data Entry Electricity'!$F49,1,0),0)</f>
        <v>0</v>
      </c>
      <c r="E208" s="148">
        <f>IF('Data Entry Electricity'!$G$122&gt;0,IF(E67&gt;'Data Entry Electricity'!$F49,1,0),0)</f>
        <v>0</v>
      </c>
      <c r="F208" s="148">
        <f>IF('Data Entry Electricity'!$G$122&gt;0,IF(F67&gt;'Data Entry Electricity'!$F49,1,0),0)</f>
        <v>0</v>
      </c>
      <c r="G208" s="149"/>
    </row>
    <row r="209" spans="1:7">
      <c r="A209" s="147"/>
      <c r="B209" s="148">
        <f>IF('Data Entry Electricity'!$G$122&gt;0,IF(B68&gt;'Data Entry Electricity'!$F50,1,0),0)</f>
        <v>0</v>
      </c>
      <c r="C209" s="148">
        <f>IF('Data Entry Electricity'!$G$122&gt;0,IF(C68&gt;'Data Entry Electricity'!$F50,1,0),0)</f>
        <v>0</v>
      </c>
      <c r="D209" s="148">
        <f>IF('Data Entry Electricity'!$G$122&gt;0,IF(D68&gt;'Data Entry Electricity'!$F50,1,0),0)</f>
        <v>0</v>
      </c>
      <c r="E209" s="148">
        <f>IF('Data Entry Electricity'!$G$122&gt;0,IF(E68&gt;'Data Entry Electricity'!$F50,1,0),0)</f>
        <v>0</v>
      </c>
      <c r="F209" s="148">
        <f>IF('Data Entry Electricity'!$G$122&gt;0,IF(F68&gt;'Data Entry Electricity'!$F50,1,0),0)</f>
        <v>0</v>
      </c>
      <c r="G209" s="149"/>
    </row>
    <row r="210" spans="1:7">
      <c r="A210" s="147"/>
      <c r="B210" s="148">
        <f>IF('Data Entry Electricity'!$G$122&gt;0,IF(B69&gt;'Data Entry Electricity'!$F51,1,0),0)</f>
        <v>0</v>
      </c>
      <c r="C210" s="148">
        <f>IF('Data Entry Electricity'!$G$122&gt;0,IF(C69&gt;'Data Entry Electricity'!$F51,1,0),0)</f>
        <v>0</v>
      </c>
      <c r="D210" s="148">
        <f>IF('Data Entry Electricity'!$G$122&gt;0,IF(D69&gt;'Data Entry Electricity'!$F51,1,0),0)</f>
        <v>0</v>
      </c>
      <c r="E210" s="148">
        <f>IF('Data Entry Electricity'!$G$122&gt;0,IF(E69&gt;'Data Entry Electricity'!$F51,1,0),0)</f>
        <v>0</v>
      </c>
      <c r="F210" s="148">
        <f>IF('Data Entry Electricity'!$G$122&gt;0,IF(F69&gt;'Data Entry Electricity'!$F51,1,0),0)</f>
        <v>0</v>
      </c>
      <c r="G210" s="149"/>
    </row>
    <row r="211" spans="1:7">
      <c r="A211" s="147"/>
      <c r="B211" s="148">
        <f>IF('Data Entry Electricity'!$G$122&gt;0,IF(B70&gt;'Data Entry Electricity'!$F52,1,0),0)</f>
        <v>0</v>
      </c>
      <c r="C211" s="148">
        <f>IF('Data Entry Electricity'!$G$122&gt;0,IF(C70&gt;'Data Entry Electricity'!$F52,1,0),0)</f>
        <v>0</v>
      </c>
      <c r="D211" s="148">
        <f>IF('Data Entry Electricity'!$G$122&gt;0,IF(D70&gt;'Data Entry Electricity'!$F52,1,0),0)</f>
        <v>0</v>
      </c>
      <c r="E211" s="148">
        <f>IF('Data Entry Electricity'!$G$122&gt;0,IF(E70&gt;'Data Entry Electricity'!$F52,1,0),0)</f>
        <v>0</v>
      </c>
      <c r="F211" s="148">
        <f>IF('Data Entry Electricity'!$G$122&gt;0,IF(F70&gt;'Data Entry Electricity'!$F52,1,0),0)</f>
        <v>0</v>
      </c>
      <c r="G211" s="149"/>
    </row>
    <row r="212" spans="1:7">
      <c r="A212" s="147"/>
      <c r="B212" s="148">
        <f>IF('Data Entry Electricity'!$G$122&gt;0,IF(B71&gt;'Data Entry Electricity'!$F53,1,0),0)</f>
        <v>0</v>
      </c>
      <c r="C212" s="148">
        <f>IF('Data Entry Electricity'!$G$122&gt;0,IF(C71&gt;'Data Entry Electricity'!$F53,1,0),0)</f>
        <v>0</v>
      </c>
      <c r="D212" s="148">
        <f>IF('Data Entry Electricity'!$G$122&gt;0,IF(D71&gt;'Data Entry Electricity'!$F53,1,0),0)</f>
        <v>0</v>
      </c>
      <c r="E212" s="148">
        <f>IF('Data Entry Electricity'!$G$122&gt;0,IF(E71&gt;'Data Entry Electricity'!$F53,1,0),0)</f>
        <v>0</v>
      </c>
      <c r="F212" s="148">
        <f>IF('Data Entry Electricity'!$G$122&gt;0,IF(F71&gt;'Data Entry Electricity'!$F53,1,0),0)</f>
        <v>0</v>
      </c>
      <c r="G212" s="149"/>
    </row>
    <row r="213" spans="1:7">
      <c r="A213" s="147"/>
      <c r="B213" s="148">
        <f>IF('Data Entry Electricity'!$G$122&gt;0,IF(B72&gt;'Data Entry Electricity'!$F54,1,0),0)</f>
        <v>0</v>
      </c>
      <c r="C213" s="148">
        <f>IF('Data Entry Electricity'!$G$122&gt;0,IF(C72&gt;'Data Entry Electricity'!$F54,1,0),0)</f>
        <v>0</v>
      </c>
      <c r="D213" s="148">
        <f>IF('Data Entry Electricity'!$G$122&gt;0,IF(D72&gt;'Data Entry Electricity'!$F54,1,0),0)</f>
        <v>0</v>
      </c>
      <c r="E213" s="148">
        <f>IF('Data Entry Electricity'!$G$122&gt;0,IF(E72&gt;'Data Entry Electricity'!$F54,1,0),0)</f>
        <v>0</v>
      </c>
      <c r="F213" s="148">
        <f>IF('Data Entry Electricity'!$G$122&gt;0,IF(F72&gt;'Data Entry Electricity'!$F54,1,0),0)</f>
        <v>0</v>
      </c>
      <c r="G213" s="149"/>
    </row>
    <row r="214" spans="1:7">
      <c r="A214" s="147"/>
      <c r="B214" s="148">
        <f>IF('Data Entry Electricity'!$G$122&gt;0,IF(B73&gt;'Data Entry Electricity'!$F55,1,0),0)</f>
        <v>0</v>
      </c>
      <c r="C214" s="148">
        <f>IF('Data Entry Electricity'!$G$122&gt;0,IF(C73&gt;'Data Entry Electricity'!$F55,1,0),0)</f>
        <v>0</v>
      </c>
      <c r="D214" s="148">
        <f>IF('Data Entry Electricity'!$G$122&gt;0,IF(D73&gt;'Data Entry Electricity'!$F55,1,0),0)</f>
        <v>0</v>
      </c>
      <c r="E214" s="148">
        <f>IF('Data Entry Electricity'!$G$122&gt;0,IF(E73&gt;'Data Entry Electricity'!$F55,1,0),0)</f>
        <v>0</v>
      </c>
      <c r="F214" s="148">
        <f>IF('Data Entry Electricity'!$G$122&gt;0,IF(F73&gt;'Data Entry Electricity'!$F55,1,0),0)</f>
        <v>0</v>
      </c>
      <c r="G214" s="149"/>
    </row>
    <row r="215" spans="1:7">
      <c r="A215" s="147"/>
      <c r="B215" s="148">
        <f>IF('Data Entry Electricity'!$G$122&gt;0,IF(B74&gt;'Data Entry Electricity'!$F56,1,0),0)</f>
        <v>0</v>
      </c>
      <c r="C215" s="148">
        <f>IF('Data Entry Electricity'!$G$122&gt;0,IF(C74&gt;'Data Entry Electricity'!$F56,1,0),0)</f>
        <v>0</v>
      </c>
      <c r="D215" s="148">
        <f>IF('Data Entry Electricity'!$G$122&gt;0,IF(D74&gt;'Data Entry Electricity'!$F56,1,0),0)</f>
        <v>0</v>
      </c>
      <c r="E215" s="148">
        <f>IF('Data Entry Electricity'!$G$122&gt;0,IF(E74&gt;'Data Entry Electricity'!$F56,1,0),0)</f>
        <v>0</v>
      </c>
      <c r="F215" s="148">
        <f>IF('Data Entry Electricity'!$G$122&gt;0,IF(F74&gt;'Data Entry Electricity'!$F56,1,0),0)</f>
        <v>0</v>
      </c>
      <c r="G215" s="149"/>
    </row>
    <row r="216" spans="1:7">
      <c r="A216" s="147"/>
      <c r="B216" s="148">
        <f>IF('Data Entry Electricity'!$G$122&gt;0,IF(B75&gt;'Data Entry Electricity'!$F57,1,0),0)</f>
        <v>0</v>
      </c>
      <c r="C216" s="148">
        <f>IF('Data Entry Electricity'!$G$122&gt;0,IF(C75&gt;'Data Entry Electricity'!$F57,1,0),0)</f>
        <v>0</v>
      </c>
      <c r="D216" s="148">
        <f>IF('Data Entry Electricity'!$G$122&gt;0,IF(D75&gt;'Data Entry Electricity'!$F57,1,0),0)</f>
        <v>0</v>
      </c>
      <c r="E216" s="148">
        <f>IF('Data Entry Electricity'!$G$122&gt;0,IF(E75&gt;'Data Entry Electricity'!$F57,1,0),0)</f>
        <v>0</v>
      </c>
      <c r="F216" s="148">
        <f>IF('Data Entry Electricity'!$G$122&gt;0,IF(F75&gt;'Data Entry Electricity'!$F57,1,0),0)</f>
        <v>0</v>
      </c>
      <c r="G216" s="149"/>
    </row>
    <row r="217" spans="1:7">
      <c r="A217" s="147"/>
      <c r="B217" s="148">
        <f>IF('Data Entry Electricity'!$G$122&gt;0,IF(B76&gt;'Data Entry Electricity'!$F58,1,0),0)</f>
        <v>0</v>
      </c>
      <c r="C217" s="148">
        <f>IF('Data Entry Electricity'!$G$122&gt;0,IF(C76&gt;'Data Entry Electricity'!$F58,1,0),0)</f>
        <v>0</v>
      </c>
      <c r="D217" s="148">
        <f>IF('Data Entry Electricity'!$G$122&gt;0,IF(D76&gt;'Data Entry Electricity'!$F58,1,0),0)</f>
        <v>0</v>
      </c>
      <c r="E217" s="148">
        <f>IF('Data Entry Electricity'!$G$122&gt;0,IF(E76&gt;'Data Entry Electricity'!$F58,1,0),0)</f>
        <v>0</v>
      </c>
      <c r="F217" s="148">
        <f>IF('Data Entry Electricity'!$G$122&gt;0,IF(F76&gt;'Data Entry Electricity'!$F58,1,0),0)</f>
        <v>0</v>
      </c>
      <c r="G217" s="149"/>
    </row>
    <row r="218" spans="1:7">
      <c r="A218" s="147"/>
      <c r="B218" s="148">
        <f>IF('Data Entry Electricity'!$G$122&gt;0,IF(B77&gt;'Data Entry Electricity'!$F59,1,0),0)</f>
        <v>0</v>
      </c>
      <c r="C218" s="148">
        <f>IF('Data Entry Electricity'!$G$122&gt;0,IF(C77&gt;'Data Entry Electricity'!$F59,1,0),0)</f>
        <v>0</v>
      </c>
      <c r="D218" s="148">
        <f>IF('Data Entry Electricity'!$G$122&gt;0,IF(D77&gt;'Data Entry Electricity'!$F59,1,0),0)</f>
        <v>0</v>
      </c>
      <c r="E218" s="148">
        <f>IF('Data Entry Electricity'!$G$122&gt;0,IF(E77&gt;'Data Entry Electricity'!$F59,1,0),0)</f>
        <v>0</v>
      </c>
      <c r="F218" s="148">
        <f>IF('Data Entry Electricity'!$G$122&gt;0,IF(F77&gt;'Data Entry Electricity'!$F59,1,0),0)</f>
        <v>0</v>
      </c>
      <c r="G218" s="149"/>
    </row>
    <row r="219" spans="1:7">
      <c r="A219" s="147"/>
      <c r="B219" s="148">
        <f>IF('Data Entry Electricity'!$G$122&gt;0,IF(B78&gt;'Data Entry Electricity'!$F60,1,0),0)</f>
        <v>0</v>
      </c>
      <c r="C219" s="148">
        <f>IF('Data Entry Electricity'!$G$122&gt;0,IF(C78&gt;'Data Entry Electricity'!$F60,1,0),0)</f>
        <v>0</v>
      </c>
      <c r="D219" s="148">
        <f>IF('Data Entry Electricity'!$G$122&gt;0,IF(D78&gt;'Data Entry Electricity'!$F60,1,0),0)</f>
        <v>0</v>
      </c>
      <c r="E219" s="148">
        <f>IF('Data Entry Electricity'!$G$122&gt;0,IF(E78&gt;'Data Entry Electricity'!$F60,1,0),0)</f>
        <v>0</v>
      </c>
      <c r="F219" s="148">
        <f>IF('Data Entry Electricity'!$G$122&gt;0,IF(F78&gt;'Data Entry Electricity'!$F60,1,0),0)</f>
        <v>0</v>
      </c>
      <c r="G219" s="149"/>
    </row>
    <row r="220" spans="1:7">
      <c r="A220" s="147"/>
      <c r="B220" s="148">
        <f>IF('Data Entry Electricity'!$G$122&gt;0,IF(B79&gt;'Data Entry Electricity'!$F61,1,0),0)</f>
        <v>0</v>
      </c>
      <c r="C220" s="148">
        <f>IF('Data Entry Electricity'!$G$122&gt;0,IF(C79&gt;'Data Entry Electricity'!$F61,1,0),0)</f>
        <v>0</v>
      </c>
      <c r="D220" s="148">
        <f>IF('Data Entry Electricity'!$G$122&gt;0,IF(D79&gt;'Data Entry Electricity'!$F61,1,0),0)</f>
        <v>0</v>
      </c>
      <c r="E220" s="148">
        <f>IF('Data Entry Electricity'!$G$122&gt;0,IF(E79&gt;'Data Entry Electricity'!$F61,1,0),0)</f>
        <v>0</v>
      </c>
      <c r="F220" s="148">
        <f>IF('Data Entry Electricity'!$G$122&gt;0,IF(F79&gt;'Data Entry Electricity'!$F61,1,0),0)</f>
        <v>0</v>
      </c>
      <c r="G220" s="149"/>
    </row>
    <row r="221" spans="1:7">
      <c r="A221" s="147"/>
      <c r="B221" s="148">
        <f>IF('Data Entry Electricity'!$G$122&gt;0,IF(B80&gt;'Data Entry Electricity'!$F62,1,0),0)</f>
        <v>0</v>
      </c>
      <c r="C221" s="148">
        <f>IF('Data Entry Electricity'!$G$122&gt;0,IF(C80&gt;'Data Entry Electricity'!$F62,1,0),0)</f>
        <v>0</v>
      </c>
      <c r="D221" s="148">
        <f>IF('Data Entry Electricity'!$G$122&gt;0,IF(D80&gt;'Data Entry Electricity'!$F62,1,0),0)</f>
        <v>0</v>
      </c>
      <c r="E221" s="148">
        <f>IF('Data Entry Electricity'!$G$122&gt;0,IF(E80&gt;'Data Entry Electricity'!$F62,1,0),0)</f>
        <v>0</v>
      </c>
      <c r="F221" s="148">
        <f>IF('Data Entry Electricity'!$G$122&gt;0,IF(F80&gt;'Data Entry Electricity'!$F62,1,0),0)</f>
        <v>0</v>
      </c>
      <c r="G221" s="149"/>
    </row>
    <row r="222" spans="1:7">
      <c r="A222" s="147"/>
      <c r="B222" s="148">
        <f>IF('Data Entry Electricity'!$G$122&gt;0,IF(B81&gt;'Data Entry Electricity'!$F63,1,0),0)</f>
        <v>0</v>
      </c>
      <c r="C222" s="148">
        <f>IF('Data Entry Electricity'!$G$122&gt;0,IF(C81&gt;'Data Entry Electricity'!$F63,1,0),0)</f>
        <v>0</v>
      </c>
      <c r="D222" s="148">
        <f>IF('Data Entry Electricity'!$G$122&gt;0,IF(D81&gt;'Data Entry Electricity'!$F63,1,0),0)</f>
        <v>0</v>
      </c>
      <c r="E222" s="148">
        <f>IF('Data Entry Electricity'!$G$122&gt;0,IF(E81&gt;'Data Entry Electricity'!$F63,1,0),0)</f>
        <v>0</v>
      </c>
      <c r="F222" s="148">
        <f>IF('Data Entry Electricity'!$G$122&gt;0,IF(F81&gt;'Data Entry Electricity'!$F63,1,0),0)</f>
        <v>0</v>
      </c>
      <c r="G222" s="149"/>
    </row>
    <row r="223" spans="1:7">
      <c r="A223" s="147"/>
      <c r="B223" s="148">
        <f>IF('Data Entry Electricity'!$G$122&gt;0,IF(B82&gt;'Data Entry Electricity'!$F64,1,0),0)</f>
        <v>0</v>
      </c>
      <c r="C223" s="148">
        <f>IF('Data Entry Electricity'!$G$122&gt;0,IF(C82&gt;'Data Entry Electricity'!$F64,1,0),0)</f>
        <v>0</v>
      </c>
      <c r="D223" s="148">
        <f>IF('Data Entry Electricity'!$G$122&gt;0,IF(D82&gt;'Data Entry Electricity'!$F64,1,0),0)</f>
        <v>0</v>
      </c>
      <c r="E223" s="148">
        <f>IF('Data Entry Electricity'!$G$122&gt;0,IF(E82&gt;'Data Entry Electricity'!$F64,1,0),0)</f>
        <v>0</v>
      </c>
      <c r="F223" s="148">
        <f>IF('Data Entry Electricity'!$G$122&gt;0,IF(F82&gt;'Data Entry Electricity'!$F64,1,0),0)</f>
        <v>0</v>
      </c>
      <c r="G223" s="149"/>
    </row>
    <row r="224" spans="1:7">
      <c r="A224" s="147"/>
      <c r="B224" s="148">
        <f>IF('Data Entry Electricity'!$G$122&gt;0,IF(B83&gt;'Data Entry Electricity'!$F65,1,0),0)</f>
        <v>0</v>
      </c>
      <c r="C224" s="148">
        <f>IF('Data Entry Electricity'!$G$122&gt;0,IF(C83&gt;'Data Entry Electricity'!$F65,1,0),0)</f>
        <v>0</v>
      </c>
      <c r="D224" s="148">
        <f>IF('Data Entry Electricity'!$G$122&gt;0,IF(D83&gt;'Data Entry Electricity'!$F65,1,0),0)</f>
        <v>0</v>
      </c>
      <c r="E224" s="148">
        <f>IF('Data Entry Electricity'!$G$122&gt;0,IF(E83&gt;'Data Entry Electricity'!$F65,1,0),0)</f>
        <v>0</v>
      </c>
      <c r="F224" s="148">
        <f>IF('Data Entry Electricity'!$G$122&gt;0,IF(F83&gt;'Data Entry Electricity'!$F65,1,0),0)</f>
        <v>0</v>
      </c>
      <c r="G224" s="149"/>
    </row>
    <row r="225" spans="1:7">
      <c r="A225" s="147"/>
      <c r="B225" s="148">
        <f>IF('Data Entry Electricity'!$G$122&gt;0,IF(B84&gt;'Data Entry Electricity'!$F66,1,0),0)</f>
        <v>0</v>
      </c>
      <c r="C225" s="148">
        <f>IF('Data Entry Electricity'!$G$122&gt;0,IF(C84&gt;'Data Entry Electricity'!$F66,1,0),0)</f>
        <v>0</v>
      </c>
      <c r="D225" s="148">
        <f>IF('Data Entry Electricity'!$G$122&gt;0,IF(D84&gt;'Data Entry Electricity'!$F66,1,0),0)</f>
        <v>0</v>
      </c>
      <c r="E225" s="148">
        <f>IF('Data Entry Electricity'!$G$122&gt;0,IF(E84&gt;'Data Entry Electricity'!$F66,1,0),0)</f>
        <v>0</v>
      </c>
      <c r="F225" s="148">
        <f>IF('Data Entry Electricity'!$G$122&gt;0,IF(F84&gt;'Data Entry Electricity'!$F66,1,0),0)</f>
        <v>0</v>
      </c>
      <c r="G225" s="149"/>
    </row>
    <row r="226" spans="1:7">
      <c r="A226" s="147"/>
      <c r="B226" s="148">
        <f>IF('Data Entry Electricity'!$G$122&gt;0,IF(B85&gt;'Data Entry Electricity'!$F67,1,0),0)</f>
        <v>0</v>
      </c>
      <c r="C226" s="148">
        <f>IF('Data Entry Electricity'!$G$122&gt;0,IF(C85&gt;'Data Entry Electricity'!$F67,1,0),0)</f>
        <v>0</v>
      </c>
      <c r="D226" s="148">
        <f>IF('Data Entry Electricity'!$G$122&gt;0,IF(D85&gt;'Data Entry Electricity'!$F67,1,0),0)</f>
        <v>0</v>
      </c>
      <c r="E226" s="148">
        <f>IF('Data Entry Electricity'!$G$122&gt;0,IF(E85&gt;'Data Entry Electricity'!$F67,1,0),0)</f>
        <v>0</v>
      </c>
      <c r="F226" s="148">
        <f>IF('Data Entry Electricity'!$G$122&gt;0,IF(F85&gt;'Data Entry Electricity'!$F67,1,0),0)</f>
        <v>0</v>
      </c>
      <c r="G226" s="149"/>
    </row>
    <row r="227" spans="1:7">
      <c r="A227" s="147"/>
      <c r="B227" s="148">
        <f>IF('Data Entry Electricity'!$G$122&gt;0,IF(B86&gt;'Data Entry Electricity'!$F68,1,0),0)</f>
        <v>0</v>
      </c>
      <c r="C227" s="148">
        <f>IF('Data Entry Electricity'!$G$122&gt;0,IF(C86&gt;'Data Entry Electricity'!$F68,1,0),0)</f>
        <v>0</v>
      </c>
      <c r="D227" s="148">
        <f>IF('Data Entry Electricity'!$G$122&gt;0,IF(D86&gt;'Data Entry Electricity'!$F68,1,0),0)</f>
        <v>0</v>
      </c>
      <c r="E227" s="148">
        <f>IF('Data Entry Electricity'!$G$122&gt;0,IF(E86&gt;'Data Entry Electricity'!$F68,1,0),0)</f>
        <v>0</v>
      </c>
      <c r="F227" s="148">
        <f>IF('Data Entry Electricity'!$G$122&gt;0,IF(F86&gt;'Data Entry Electricity'!$F68,1,0),0)</f>
        <v>0</v>
      </c>
      <c r="G227" s="149"/>
    </row>
    <row r="228" spans="1:7">
      <c r="A228" s="147"/>
      <c r="B228" s="148">
        <f>IF('Data Entry Electricity'!$G$122&gt;0,IF(B87&gt;'Data Entry Electricity'!$F69,1,0),0)</f>
        <v>0</v>
      </c>
      <c r="C228" s="148">
        <f>IF('Data Entry Electricity'!$G$122&gt;0,IF(C87&gt;'Data Entry Electricity'!$F69,1,0),0)</f>
        <v>0</v>
      </c>
      <c r="D228" s="148">
        <f>IF('Data Entry Electricity'!$G$122&gt;0,IF(D87&gt;'Data Entry Electricity'!$F69,1,0),0)</f>
        <v>0</v>
      </c>
      <c r="E228" s="148">
        <f>IF('Data Entry Electricity'!$G$122&gt;0,IF(E87&gt;'Data Entry Electricity'!$F69,1,0),0)</f>
        <v>0</v>
      </c>
      <c r="F228" s="148">
        <f>IF('Data Entry Electricity'!$G$122&gt;0,IF(F87&gt;'Data Entry Electricity'!$F69,1,0),0)</f>
        <v>0</v>
      </c>
      <c r="G228" s="149"/>
    </row>
    <row r="229" spans="1:7">
      <c r="A229" s="147"/>
      <c r="B229" s="148">
        <f>IF('Data Entry Electricity'!$G$122&gt;0,IF(B88&gt;'Data Entry Electricity'!$F70,1,0),0)</f>
        <v>0</v>
      </c>
      <c r="C229" s="148">
        <f>IF('Data Entry Electricity'!$G$122&gt;0,IF(C88&gt;'Data Entry Electricity'!$F70,1,0),0)</f>
        <v>0</v>
      </c>
      <c r="D229" s="148">
        <f>IF('Data Entry Electricity'!$G$122&gt;0,IF(D88&gt;'Data Entry Electricity'!$F70,1,0),0)</f>
        <v>0</v>
      </c>
      <c r="E229" s="148">
        <f>IF('Data Entry Electricity'!$G$122&gt;0,IF(E88&gt;'Data Entry Electricity'!$F70,1,0),0)</f>
        <v>0</v>
      </c>
      <c r="F229" s="148">
        <f>IF('Data Entry Electricity'!$G$122&gt;0,IF(F88&gt;'Data Entry Electricity'!$F70,1,0),0)</f>
        <v>0</v>
      </c>
      <c r="G229" s="149"/>
    </row>
    <row r="230" spans="1:7">
      <c r="A230" s="147"/>
      <c r="B230" s="148">
        <f>IF('Data Entry Electricity'!$G$122&gt;0,IF(B89&gt;'Data Entry Electricity'!$F71,1,0),0)</f>
        <v>0</v>
      </c>
      <c r="C230" s="148">
        <f>IF('Data Entry Electricity'!$G$122&gt;0,IF(C89&gt;'Data Entry Electricity'!$F71,1,0),0)</f>
        <v>0</v>
      </c>
      <c r="D230" s="148">
        <f>IF('Data Entry Electricity'!$G$122&gt;0,IF(D89&gt;'Data Entry Electricity'!$F71,1,0),0)</f>
        <v>0</v>
      </c>
      <c r="E230" s="148">
        <f>IF('Data Entry Electricity'!$G$122&gt;0,IF(E89&gt;'Data Entry Electricity'!$F71,1,0),0)</f>
        <v>0</v>
      </c>
      <c r="F230" s="148">
        <f>IF('Data Entry Electricity'!$G$122&gt;0,IF(F89&gt;'Data Entry Electricity'!$F71,1,0),0)</f>
        <v>0</v>
      </c>
      <c r="G230" s="149"/>
    </row>
    <row r="231" spans="1:7">
      <c r="A231" s="147"/>
      <c r="B231" s="148">
        <f>IF('Data Entry Electricity'!$G$122&gt;0,IF(B90&gt;'Data Entry Electricity'!$F72,1,0),0)</f>
        <v>0</v>
      </c>
      <c r="C231" s="148">
        <f>IF('Data Entry Electricity'!$G$122&gt;0,IF(C90&gt;'Data Entry Electricity'!$F72,1,0),0)</f>
        <v>0</v>
      </c>
      <c r="D231" s="148">
        <f>IF('Data Entry Electricity'!$G$122&gt;0,IF(D90&gt;'Data Entry Electricity'!$F72,1,0),0)</f>
        <v>0</v>
      </c>
      <c r="E231" s="148">
        <f>IF('Data Entry Electricity'!$G$122&gt;0,IF(E90&gt;'Data Entry Electricity'!$F72,1,0),0)</f>
        <v>0</v>
      </c>
      <c r="F231" s="148">
        <f>IF('Data Entry Electricity'!$G$122&gt;0,IF(F90&gt;'Data Entry Electricity'!$F72,1,0),0)</f>
        <v>0</v>
      </c>
      <c r="G231" s="149"/>
    </row>
    <row r="232" spans="1:7">
      <c r="A232" s="147"/>
      <c r="B232" s="148">
        <f>IF('Data Entry Electricity'!$G$122&gt;0,IF(B91&gt;'Data Entry Electricity'!$F73,1,0),0)</f>
        <v>0</v>
      </c>
      <c r="C232" s="148">
        <f>IF('Data Entry Electricity'!$G$122&gt;0,IF(C91&gt;'Data Entry Electricity'!$F73,1,0),0)</f>
        <v>0</v>
      </c>
      <c r="D232" s="148">
        <f>IF('Data Entry Electricity'!$G$122&gt;0,IF(D91&gt;'Data Entry Electricity'!$F73,1,0),0)</f>
        <v>0</v>
      </c>
      <c r="E232" s="148">
        <f>IF('Data Entry Electricity'!$G$122&gt;0,IF(E91&gt;'Data Entry Electricity'!$F73,1,0),0)</f>
        <v>0</v>
      </c>
      <c r="F232" s="148">
        <f>IF('Data Entry Electricity'!$G$122&gt;0,IF(F91&gt;'Data Entry Electricity'!$F73,1,0),0)</f>
        <v>0</v>
      </c>
      <c r="G232" s="149"/>
    </row>
    <row r="233" spans="1:7">
      <c r="A233" s="147"/>
      <c r="B233" s="148">
        <f>IF('Data Entry Electricity'!$G$122&gt;0,IF(B92&gt;'Data Entry Electricity'!$F74,1,0),0)</f>
        <v>0</v>
      </c>
      <c r="C233" s="148">
        <f>IF('Data Entry Electricity'!$G$122&gt;0,IF(C92&gt;'Data Entry Electricity'!$F74,1,0),0)</f>
        <v>0</v>
      </c>
      <c r="D233" s="148">
        <f>IF('Data Entry Electricity'!$G$122&gt;0,IF(D92&gt;'Data Entry Electricity'!$F74,1,0),0)</f>
        <v>0</v>
      </c>
      <c r="E233" s="148">
        <f>IF('Data Entry Electricity'!$G$122&gt;0,IF(E92&gt;'Data Entry Electricity'!$F74,1,0),0)</f>
        <v>0</v>
      </c>
      <c r="F233" s="148">
        <f>IF('Data Entry Electricity'!$G$122&gt;0,IF(F92&gt;'Data Entry Electricity'!$F74,1,0),0)</f>
        <v>0</v>
      </c>
      <c r="G233" s="149"/>
    </row>
    <row r="234" spans="1:7">
      <c r="A234" s="147"/>
      <c r="B234" s="148">
        <f>IF('Data Entry Electricity'!$G$122&gt;0,IF(B93&gt;'Data Entry Electricity'!$F75,1,0),0)</f>
        <v>0</v>
      </c>
      <c r="C234" s="148">
        <f>IF('Data Entry Electricity'!$G$122&gt;0,IF(C93&gt;'Data Entry Electricity'!$F75,1,0),0)</f>
        <v>0</v>
      </c>
      <c r="D234" s="148">
        <f>IF('Data Entry Electricity'!$G$122&gt;0,IF(D93&gt;'Data Entry Electricity'!$F75,1,0),0)</f>
        <v>0</v>
      </c>
      <c r="E234" s="148">
        <f>IF('Data Entry Electricity'!$G$122&gt;0,IF(E93&gt;'Data Entry Electricity'!$F75,1,0),0)</f>
        <v>0</v>
      </c>
      <c r="F234" s="148">
        <f>IF('Data Entry Electricity'!$G$122&gt;0,IF(F93&gt;'Data Entry Electricity'!$F75,1,0),0)</f>
        <v>0</v>
      </c>
      <c r="G234" s="149"/>
    </row>
    <row r="235" spans="1:7">
      <c r="A235" s="147"/>
      <c r="B235" s="148">
        <f>IF('Data Entry Electricity'!$G$122&gt;0,IF(B94&gt;'Data Entry Electricity'!$F76,1,0),0)</f>
        <v>0</v>
      </c>
      <c r="C235" s="148">
        <f>IF('Data Entry Electricity'!$G$122&gt;0,IF(C94&gt;'Data Entry Electricity'!$F76,1,0),0)</f>
        <v>0</v>
      </c>
      <c r="D235" s="148">
        <f>IF('Data Entry Electricity'!$G$122&gt;0,IF(D94&gt;'Data Entry Electricity'!$F76,1,0),0)</f>
        <v>0</v>
      </c>
      <c r="E235" s="148">
        <f>IF('Data Entry Electricity'!$G$122&gt;0,IF(E94&gt;'Data Entry Electricity'!$F76,1,0),0)</f>
        <v>0</v>
      </c>
      <c r="F235" s="148">
        <f>IF('Data Entry Electricity'!$G$122&gt;0,IF(F94&gt;'Data Entry Electricity'!$F76,1,0),0)</f>
        <v>0</v>
      </c>
      <c r="G235" s="149"/>
    </row>
    <row r="236" spans="1:7">
      <c r="A236" s="147"/>
      <c r="B236" s="148">
        <f>IF('Data Entry Electricity'!$G$122&gt;0,IF(B95&gt;'Data Entry Electricity'!$F77,1,0),0)</f>
        <v>0</v>
      </c>
      <c r="C236" s="148">
        <f>IF('Data Entry Electricity'!$G$122&gt;0,IF(C95&gt;'Data Entry Electricity'!$F77,1,0),0)</f>
        <v>0</v>
      </c>
      <c r="D236" s="148">
        <f>IF('Data Entry Electricity'!$G$122&gt;0,IF(D95&gt;'Data Entry Electricity'!$F77,1,0),0)</f>
        <v>0</v>
      </c>
      <c r="E236" s="148">
        <f>IF('Data Entry Electricity'!$G$122&gt;0,IF(E95&gt;'Data Entry Electricity'!$F77,1,0),0)</f>
        <v>0</v>
      </c>
      <c r="F236" s="148">
        <f>IF('Data Entry Electricity'!$G$122&gt;0,IF(F95&gt;'Data Entry Electricity'!$F77,1,0),0)</f>
        <v>0</v>
      </c>
      <c r="G236" s="149"/>
    </row>
    <row r="237" spans="1:7">
      <c r="A237" s="147"/>
      <c r="B237" s="148">
        <f>IF('Data Entry Electricity'!$G$122&gt;0,IF(B96&gt;'Data Entry Electricity'!$F78,1,0),0)</f>
        <v>0</v>
      </c>
      <c r="C237" s="148">
        <f>IF('Data Entry Electricity'!$G$122&gt;0,IF(C96&gt;'Data Entry Electricity'!$F78,1,0),0)</f>
        <v>0</v>
      </c>
      <c r="D237" s="148">
        <f>IF('Data Entry Electricity'!$G$122&gt;0,IF(D96&gt;'Data Entry Electricity'!$F78,1,0),0)</f>
        <v>0</v>
      </c>
      <c r="E237" s="148">
        <f>IF('Data Entry Electricity'!$G$122&gt;0,IF(E96&gt;'Data Entry Electricity'!$F78,1,0),0)</f>
        <v>0</v>
      </c>
      <c r="F237" s="148">
        <f>IF('Data Entry Electricity'!$G$122&gt;0,IF(F96&gt;'Data Entry Electricity'!$F78,1,0),0)</f>
        <v>0</v>
      </c>
      <c r="G237" s="149"/>
    </row>
    <row r="238" spans="1:7">
      <c r="A238" s="147"/>
      <c r="B238" s="148">
        <f>IF('Data Entry Electricity'!$G$122&gt;0,IF(B97&gt;'Data Entry Electricity'!$F79,1,0),0)</f>
        <v>0</v>
      </c>
      <c r="C238" s="148">
        <f>IF('Data Entry Electricity'!$G$122&gt;0,IF(C97&gt;'Data Entry Electricity'!$F79,1,0),0)</f>
        <v>0</v>
      </c>
      <c r="D238" s="148">
        <f>IF('Data Entry Electricity'!$G$122&gt;0,IF(D97&gt;'Data Entry Electricity'!$F79,1,0),0)</f>
        <v>0</v>
      </c>
      <c r="E238" s="148">
        <f>IF('Data Entry Electricity'!$G$122&gt;0,IF(E97&gt;'Data Entry Electricity'!$F79,1,0),0)</f>
        <v>0</v>
      </c>
      <c r="F238" s="148">
        <f>IF('Data Entry Electricity'!$G$122&gt;0,IF(F97&gt;'Data Entry Electricity'!$F79,1,0),0)</f>
        <v>0</v>
      </c>
      <c r="G238" s="149"/>
    </row>
    <row r="239" spans="1:7">
      <c r="A239" s="147"/>
      <c r="B239" s="148">
        <f>IF('Data Entry Electricity'!$G$122&gt;0,IF(B98&gt;'Data Entry Electricity'!$F80,1,0),0)</f>
        <v>0</v>
      </c>
      <c r="C239" s="148">
        <f>IF('Data Entry Electricity'!$G$122&gt;0,IF(C98&gt;'Data Entry Electricity'!$F80,1,0),0)</f>
        <v>0</v>
      </c>
      <c r="D239" s="148">
        <f>IF('Data Entry Electricity'!$G$122&gt;0,IF(D98&gt;'Data Entry Electricity'!$F80,1,0),0)</f>
        <v>0</v>
      </c>
      <c r="E239" s="148">
        <f>IF('Data Entry Electricity'!$G$122&gt;0,IF(E98&gt;'Data Entry Electricity'!$F80,1,0),0)</f>
        <v>0</v>
      </c>
      <c r="F239" s="148">
        <f>IF('Data Entry Electricity'!$G$122&gt;0,IF(F98&gt;'Data Entry Electricity'!$F80,1,0),0)</f>
        <v>0</v>
      </c>
      <c r="G239" s="149"/>
    </row>
    <row r="240" spans="1:7">
      <c r="A240" s="147"/>
      <c r="B240" s="148">
        <f>IF('Data Entry Electricity'!$G$122&gt;0,IF(B99&gt;'Data Entry Electricity'!$F81,1,0),0)</f>
        <v>0</v>
      </c>
      <c r="C240" s="148">
        <f>IF('Data Entry Electricity'!$G$122&gt;0,IF(C99&gt;'Data Entry Electricity'!$F81,1,0),0)</f>
        <v>0</v>
      </c>
      <c r="D240" s="148">
        <f>IF('Data Entry Electricity'!$G$122&gt;0,IF(D99&gt;'Data Entry Electricity'!$F81,1,0),0)</f>
        <v>0</v>
      </c>
      <c r="E240" s="148">
        <f>IF('Data Entry Electricity'!$G$122&gt;0,IF(E99&gt;'Data Entry Electricity'!$F81,1,0),0)</f>
        <v>0</v>
      </c>
      <c r="F240" s="148">
        <f>IF('Data Entry Electricity'!$G$122&gt;0,IF(F99&gt;'Data Entry Electricity'!$F81,1,0),0)</f>
        <v>0</v>
      </c>
      <c r="G240" s="149"/>
    </row>
    <row r="241" spans="1:7">
      <c r="A241" s="147"/>
      <c r="B241" s="148">
        <f>IF('Data Entry Electricity'!$G$122&gt;0,IF(B100&gt;'Data Entry Electricity'!$F82,1,0),0)</f>
        <v>0</v>
      </c>
      <c r="C241" s="148">
        <f>IF('Data Entry Electricity'!$G$122&gt;0,IF(C100&gt;'Data Entry Electricity'!$F82,1,0),0)</f>
        <v>0</v>
      </c>
      <c r="D241" s="148">
        <f>IF('Data Entry Electricity'!$G$122&gt;0,IF(D100&gt;'Data Entry Electricity'!$F82,1,0),0)</f>
        <v>0</v>
      </c>
      <c r="E241" s="148">
        <f>IF('Data Entry Electricity'!$G$122&gt;0,IF(E100&gt;'Data Entry Electricity'!$F82,1,0),0)</f>
        <v>0</v>
      </c>
      <c r="F241" s="148">
        <f>IF('Data Entry Electricity'!$G$122&gt;0,IF(F100&gt;'Data Entry Electricity'!$F82,1,0),0)</f>
        <v>0</v>
      </c>
      <c r="G241" s="149"/>
    </row>
    <row r="242" spans="1:7">
      <c r="A242" s="147"/>
      <c r="B242" s="148">
        <f>IF('Data Entry Electricity'!$G$122&gt;0,IF(B101&gt;'Data Entry Electricity'!$F83,1,0),0)</f>
        <v>0</v>
      </c>
      <c r="C242" s="148">
        <f>IF('Data Entry Electricity'!$G$122&gt;0,IF(C101&gt;'Data Entry Electricity'!$F83,1,0),0)</f>
        <v>0</v>
      </c>
      <c r="D242" s="148">
        <f>IF('Data Entry Electricity'!$G$122&gt;0,IF(D101&gt;'Data Entry Electricity'!$F83,1,0),0)</f>
        <v>0</v>
      </c>
      <c r="E242" s="148">
        <f>IF('Data Entry Electricity'!$G$122&gt;0,IF(E101&gt;'Data Entry Electricity'!$F83,1,0),0)</f>
        <v>0</v>
      </c>
      <c r="F242" s="148">
        <f>IF('Data Entry Electricity'!$G$122&gt;0,IF(F101&gt;'Data Entry Electricity'!$F83,1,0),0)</f>
        <v>0</v>
      </c>
      <c r="G242" s="149"/>
    </row>
    <row r="243" spans="1:7">
      <c r="A243" s="147"/>
      <c r="B243" s="148">
        <f>IF('Data Entry Electricity'!$G$122&gt;0,IF(B102&gt;'Data Entry Electricity'!$F84,1,0),0)</f>
        <v>0</v>
      </c>
      <c r="C243" s="148">
        <f>IF('Data Entry Electricity'!$G$122&gt;0,IF(C102&gt;'Data Entry Electricity'!$F84,1,0),0)</f>
        <v>0</v>
      </c>
      <c r="D243" s="148">
        <f>IF('Data Entry Electricity'!$G$122&gt;0,IF(D102&gt;'Data Entry Electricity'!$F84,1,0),0)</f>
        <v>0</v>
      </c>
      <c r="E243" s="148">
        <f>IF('Data Entry Electricity'!$G$122&gt;0,IF(E102&gt;'Data Entry Electricity'!$F84,1,0),0)</f>
        <v>0</v>
      </c>
      <c r="F243" s="148">
        <f>IF('Data Entry Electricity'!$G$122&gt;0,IF(F102&gt;'Data Entry Electricity'!$F84,1,0),0)</f>
        <v>0</v>
      </c>
      <c r="G243" s="149"/>
    </row>
    <row r="244" spans="1:7">
      <c r="A244" s="147"/>
      <c r="B244" s="148">
        <f>IF('Data Entry Electricity'!$G$122&gt;0,IF(B103&gt;'Data Entry Electricity'!$F85,1,0),0)</f>
        <v>0</v>
      </c>
      <c r="C244" s="148">
        <f>IF('Data Entry Electricity'!$G$122&gt;0,IF(C103&gt;'Data Entry Electricity'!$F85,1,0),0)</f>
        <v>0</v>
      </c>
      <c r="D244" s="148">
        <f>IF('Data Entry Electricity'!$G$122&gt;0,IF(D103&gt;'Data Entry Electricity'!$F85,1,0),0)</f>
        <v>0</v>
      </c>
      <c r="E244" s="148">
        <f>IF('Data Entry Electricity'!$G$122&gt;0,IF(E103&gt;'Data Entry Electricity'!$F85,1,0),0)</f>
        <v>0</v>
      </c>
      <c r="F244" s="148">
        <f>IF('Data Entry Electricity'!$G$122&gt;0,IF(F103&gt;'Data Entry Electricity'!$F85,1,0),0)</f>
        <v>0</v>
      </c>
      <c r="G244" s="149"/>
    </row>
    <row r="245" spans="1:7">
      <c r="A245" s="147"/>
      <c r="B245" s="148">
        <f>IF('Data Entry Electricity'!$G$122&gt;0,IF(B104&gt;'Data Entry Electricity'!$F86,1,0),0)</f>
        <v>0</v>
      </c>
      <c r="C245" s="148">
        <f>IF('Data Entry Electricity'!$G$122&gt;0,IF(C104&gt;'Data Entry Electricity'!$F86,1,0),0)</f>
        <v>0</v>
      </c>
      <c r="D245" s="148">
        <f>IF('Data Entry Electricity'!$G$122&gt;0,IF(D104&gt;'Data Entry Electricity'!$F86,1,0),0)</f>
        <v>0</v>
      </c>
      <c r="E245" s="148">
        <f>IF('Data Entry Electricity'!$G$122&gt;0,IF(E104&gt;'Data Entry Electricity'!$F86,1,0),0)</f>
        <v>0</v>
      </c>
      <c r="F245" s="148">
        <f>IF('Data Entry Electricity'!$G$122&gt;0,IF(F104&gt;'Data Entry Electricity'!$F86,1,0),0)</f>
        <v>0</v>
      </c>
      <c r="G245" s="149"/>
    </row>
    <row r="246" spans="1:7">
      <c r="A246" s="147"/>
      <c r="B246" s="148">
        <f>IF('Data Entry Electricity'!$G$122&gt;0,IF(B105&gt;'Data Entry Electricity'!$F87,1,0),0)</f>
        <v>0</v>
      </c>
      <c r="C246" s="148">
        <f>IF('Data Entry Electricity'!$G$122&gt;0,IF(C105&gt;'Data Entry Electricity'!$F87,1,0),0)</f>
        <v>0</v>
      </c>
      <c r="D246" s="148">
        <f>IF('Data Entry Electricity'!$G$122&gt;0,IF(D105&gt;'Data Entry Electricity'!$F87,1,0),0)</f>
        <v>0</v>
      </c>
      <c r="E246" s="148">
        <f>IF('Data Entry Electricity'!$G$122&gt;0,IF(E105&gt;'Data Entry Electricity'!$F87,1,0),0)</f>
        <v>0</v>
      </c>
      <c r="F246" s="148">
        <f>IF('Data Entry Electricity'!$G$122&gt;0,IF(F105&gt;'Data Entry Electricity'!$F87,1,0),0)</f>
        <v>0</v>
      </c>
      <c r="G246" s="149"/>
    </row>
    <row r="247" spans="1:7">
      <c r="A247" s="147"/>
      <c r="B247" s="148">
        <f>IF('Data Entry Electricity'!$G$122&gt;0,IF(B106&gt;'Data Entry Electricity'!$F88,1,0),0)</f>
        <v>0</v>
      </c>
      <c r="C247" s="148">
        <f>IF('Data Entry Electricity'!$G$122&gt;0,IF(C106&gt;'Data Entry Electricity'!$F88,1,0),0)</f>
        <v>0</v>
      </c>
      <c r="D247" s="148">
        <f>IF('Data Entry Electricity'!$G$122&gt;0,IF(D106&gt;'Data Entry Electricity'!$F88,1,0),0)</f>
        <v>0</v>
      </c>
      <c r="E247" s="148">
        <f>IF('Data Entry Electricity'!$G$122&gt;0,IF(E106&gt;'Data Entry Electricity'!$F88,1,0),0)</f>
        <v>0</v>
      </c>
      <c r="F247" s="148">
        <f>IF('Data Entry Electricity'!$G$122&gt;0,IF(F106&gt;'Data Entry Electricity'!$F88,1,0),0)</f>
        <v>0</v>
      </c>
      <c r="G247" s="149"/>
    </row>
    <row r="248" spans="1:7">
      <c r="A248" s="147"/>
      <c r="B248" s="148">
        <f>IF('Data Entry Electricity'!$G$122&gt;0,IF(B107&gt;'Data Entry Electricity'!$F89,1,0),0)</f>
        <v>0</v>
      </c>
      <c r="C248" s="148">
        <f>IF('Data Entry Electricity'!$G$122&gt;0,IF(C107&gt;'Data Entry Electricity'!$F89,1,0),0)</f>
        <v>0</v>
      </c>
      <c r="D248" s="148">
        <f>IF('Data Entry Electricity'!$G$122&gt;0,IF(D107&gt;'Data Entry Electricity'!$F89,1,0),0)</f>
        <v>0</v>
      </c>
      <c r="E248" s="148">
        <f>IF('Data Entry Electricity'!$G$122&gt;0,IF(E107&gt;'Data Entry Electricity'!$F89,1,0),0)</f>
        <v>0</v>
      </c>
      <c r="F248" s="148">
        <f>IF('Data Entry Electricity'!$G$122&gt;0,IF(F107&gt;'Data Entry Electricity'!$F89,1,0),0)</f>
        <v>0</v>
      </c>
      <c r="G248" s="149"/>
    </row>
    <row r="249" spans="1:7">
      <c r="A249" s="147"/>
      <c r="B249" s="148">
        <f>IF('Data Entry Electricity'!$G$122&gt;0,IF(B108&gt;'Data Entry Electricity'!$F90,1,0),0)</f>
        <v>0</v>
      </c>
      <c r="C249" s="148">
        <f>IF('Data Entry Electricity'!$G$122&gt;0,IF(C108&gt;'Data Entry Electricity'!$F90,1,0),0)</f>
        <v>0</v>
      </c>
      <c r="D249" s="148">
        <f>IF('Data Entry Electricity'!$G$122&gt;0,IF(D108&gt;'Data Entry Electricity'!$F90,1,0),0)</f>
        <v>0</v>
      </c>
      <c r="E249" s="148">
        <f>IF('Data Entry Electricity'!$G$122&gt;0,IF(E108&gt;'Data Entry Electricity'!$F90,1,0),0)</f>
        <v>0</v>
      </c>
      <c r="F249" s="148">
        <f>IF('Data Entry Electricity'!$G$122&gt;0,IF(F108&gt;'Data Entry Electricity'!$F90,1,0),0)</f>
        <v>0</v>
      </c>
      <c r="G249" s="149"/>
    </row>
    <row r="250" spans="1:7">
      <c r="A250" s="147"/>
      <c r="B250" s="148">
        <f>IF('Data Entry Electricity'!$G$122&gt;0,IF(B109&gt;'Data Entry Electricity'!$F91,1,0),0)</f>
        <v>0</v>
      </c>
      <c r="C250" s="148">
        <f>IF('Data Entry Electricity'!$G$122&gt;0,IF(C109&gt;'Data Entry Electricity'!$F91,1,0),0)</f>
        <v>0</v>
      </c>
      <c r="D250" s="148">
        <f>IF('Data Entry Electricity'!$G$122&gt;0,IF(D109&gt;'Data Entry Electricity'!$F91,1,0),0)</f>
        <v>0</v>
      </c>
      <c r="E250" s="148">
        <f>IF('Data Entry Electricity'!$G$122&gt;0,IF(E109&gt;'Data Entry Electricity'!$F91,1,0),0)</f>
        <v>0</v>
      </c>
      <c r="F250" s="148">
        <f>IF('Data Entry Electricity'!$G$122&gt;0,IF(F109&gt;'Data Entry Electricity'!$F91,1,0),0)</f>
        <v>0</v>
      </c>
      <c r="G250" s="149"/>
    </row>
    <row r="251" spans="1:7">
      <c r="A251" s="147"/>
      <c r="B251" s="148">
        <f>IF('Data Entry Electricity'!$G$122&gt;0,IF(B110&gt;'Data Entry Electricity'!$F92,1,0),0)</f>
        <v>0</v>
      </c>
      <c r="C251" s="148">
        <f>IF('Data Entry Electricity'!$G$122&gt;0,IF(C110&gt;'Data Entry Electricity'!$F92,1,0),0)</f>
        <v>0</v>
      </c>
      <c r="D251" s="148">
        <f>IF('Data Entry Electricity'!$G$122&gt;0,IF(D110&gt;'Data Entry Electricity'!$F92,1,0),0)</f>
        <v>0</v>
      </c>
      <c r="E251" s="148">
        <f>IF('Data Entry Electricity'!$G$122&gt;0,IF(E110&gt;'Data Entry Electricity'!$F92,1,0),0)</f>
        <v>0</v>
      </c>
      <c r="F251" s="148">
        <f>IF('Data Entry Electricity'!$G$122&gt;0,IF(F110&gt;'Data Entry Electricity'!$F92,1,0),0)</f>
        <v>0</v>
      </c>
      <c r="G251" s="149"/>
    </row>
    <row r="252" spans="1:7">
      <c r="A252" s="147"/>
      <c r="B252" s="148">
        <f>IF('Data Entry Electricity'!$G$122&gt;0,IF(B111&gt;'Data Entry Electricity'!$F93,1,0),0)</f>
        <v>0</v>
      </c>
      <c r="C252" s="148">
        <f>IF('Data Entry Electricity'!$G$122&gt;0,IF(C111&gt;'Data Entry Electricity'!$F93,1,0),0)</f>
        <v>0</v>
      </c>
      <c r="D252" s="148">
        <f>IF('Data Entry Electricity'!$G$122&gt;0,IF(D111&gt;'Data Entry Electricity'!$F93,1,0),0)</f>
        <v>0</v>
      </c>
      <c r="E252" s="148">
        <f>IF('Data Entry Electricity'!$G$122&gt;0,IF(E111&gt;'Data Entry Electricity'!$F93,1,0),0)</f>
        <v>0</v>
      </c>
      <c r="F252" s="148">
        <f>IF('Data Entry Electricity'!$G$122&gt;0,IF(F111&gt;'Data Entry Electricity'!$F93,1,0),0)</f>
        <v>0</v>
      </c>
      <c r="G252" s="149"/>
    </row>
    <row r="253" spans="1:7">
      <c r="A253" s="147"/>
      <c r="B253" s="148">
        <f>IF('Data Entry Electricity'!$G$122&gt;0,IF(B112&gt;'Data Entry Electricity'!$F94,1,0),0)</f>
        <v>0</v>
      </c>
      <c r="C253" s="148">
        <f>IF('Data Entry Electricity'!$G$122&gt;0,IF(C112&gt;'Data Entry Electricity'!$F94,1,0),0)</f>
        <v>0</v>
      </c>
      <c r="D253" s="148">
        <f>IF('Data Entry Electricity'!$G$122&gt;0,IF(D112&gt;'Data Entry Electricity'!$F94,1,0),0)</f>
        <v>0</v>
      </c>
      <c r="E253" s="148">
        <f>IF('Data Entry Electricity'!$G$122&gt;0,IF(E112&gt;'Data Entry Electricity'!$F94,1,0),0)</f>
        <v>0</v>
      </c>
      <c r="F253" s="148">
        <f>IF('Data Entry Electricity'!$G$122&gt;0,IF(F112&gt;'Data Entry Electricity'!$F94,1,0),0)</f>
        <v>0</v>
      </c>
      <c r="G253" s="149"/>
    </row>
    <row r="254" spans="1:7">
      <c r="A254" s="147"/>
      <c r="B254" s="148">
        <f>IF('Data Entry Electricity'!$G$122&gt;0,IF(B113&gt;'Data Entry Electricity'!$F95,1,0),0)</f>
        <v>0</v>
      </c>
      <c r="C254" s="148">
        <f>IF('Data Entry Electricity'!$G$122&gt;0,IF(C113&gt;'Data Entry Electricity'!$F95,1,0),0)</f>
        <v>0</v>
      </c>
      <c r="D254" s="148">
        <f>IF('Data Entry Electricity'!$G$122&gt;0,IF(D113&gt;'Data Entry Electricity'!$F95,1,0),0)</f>
        <v>0</v>
      </c>
      <c r="E254" s="148">
        <f>IF('Data Entry Electricity'!$G$122&gt;0,IF(E113&gt;'Data Entry Electricity'!$F95,1,0),0)</f>
        <v>0</v>
      </c>
      <c r="F254" s="148">
        <f>IF('Data Entry Electricity'!$G$122&gt;0,IF(F113&gt;'Data Entry Electricity'!$F95,1,0),0)</f>
        <v>0</v>
      </c>
      <c r="G254" s="149"/>
    </row>
    <row r="255" spans="1:7">
      <c r="A255" s="704"/>
      <c r="B255" s="148">
        <f>IF('Data Entry Electricity'!$G$122&gt;0,IF(B114&gt;'Data Entry Electricity'!$F96,1,0),0)</f>
        <v>0</v>
      </c>
      <c r="C255" s="148">
        <f>IF('Data Entry Electricity'!$G$122&gt;0,IF(C114&gt;'Data Entry Electricity'!$F96,1,0),0)</f>
        <v>0</v>
      </c>
      <c r="D255" s="148">
        <f>IF('Data Entry Electricity'!$G$122&gt;0,IF(D114&gt;'Data Entry Electricity'!$F96,1,0),0)</f>
        <v>0</v>
      </c>
      <c r="E255" s="148">
        <f>IF('Data Entry Electricity'!$G$122&gt;0,IF(E114&gt;'Data Entry Electricity'!$F96,1,0),0)</f>
        <v>0</v>
      </c>
      <c r="F255" s="148">
        <f>IF('Data Entry Electricity'!$G$122&gt;0,IF(F114&gt;'Data Entry Electricity'!$F96,1,0),0)</f>
        <v>0</v>
      </c>
      <c r="G255" s="705"/>
    </row>
    <row r="256" spans="1:7">
      <c r="A256" s="706"/>
      <c r="B256" s="148">
        <f>IF('Data Entry Electricity'!$G$122&gt;0,IF(B115&gt;'Data Entry Electricity'!$F97,1,0),0)</f>
        <v>0</v>
      </c>
      <c r="C256" s="148">
        <f>IF('Data Entry Electricity'!$G$122&gt;0,IF(C115&gt;'Data Entry Electricity'!$F97,1,0),0)</f>
        <v>0</v>
      </c>
      <c r="D256" s="148">
        <f>IF('Data Entry Electricity'!$G$122&gt;0,IF(D115&gt;'Data Entry Electricity'!$F97,1,0),0)</f>
        <v>0</v>
      </c>
      <c r="E256" s="148">
        <f>IF('Data Entry Electricity'!$G$122&gt;0,IF(E115&gt;'Data Entry Electricity'!$F97,1,0),0)</f>
        <v>0</v>
      </c>
      <c r="F256" s="148">
        <f>IF('Data Entry Electricity'!$G$122&gt;0,IF(F115&gt;'Data Entry Electricity'!$F97,1,0),0)</f>
        <v>0</v>
      </c>
      <c r="G256" s="707"/>
    </row>
    <row r="257" spans="1:7">
      <c r="A257" s="706"/>
      <c r="B257" s="148">
        <f>IF('Data Entry Electricity'!$G$122&gt;0,IF(B116&gt;'Data Entry Electricity'!$F98,1,0),0)</f>
        <v>0</v>
      </c>
      <c r="C257" s="148">
        <f>IF('Data Entry Electricity'!$G$122&gt;0,IF(C116&gt;'Data Entry Electricity'!$F98,1,0),0)</f>
        <v>0</v>
      </c>
      <c r="D257" s="148">
        <f>IF('Data Entry Electricity'!$G$122&gt;0,IF(D116&gt;'Data Entry Electricity'!$F98,1,0),0)</f>
        <v>0</v>
      </c>
      <c r="E257" s="148">
        <f>IF('Data Entry Electricity'!$G$122&gt;0,IF(E116&gt;'Data Entry Electricity'!$F98,1,0),0)</f>
        <v>0</v>
      </c>
      <c r="F257" s="148">
        <f>IF('Data Entry Electricity'!$G$122&gt;0,IF(F116&gt;'Data Entry Electricity'!$F98,1,0),0)</f>
        <v>0</v>
      </c>
      <c r="G257" s="707"/>
    </row>
    <row r="258" spans="1:7">
      <c r="A258" s="706"/>
      <c r="B258" s="148">
        <f>IF('Data Entry Electricity'!$G$122&gt;0,IF(B117&gt;'Data Entry Electricity'!$F99,1,0),0)</f>
        <v>0</v>
      </c>
      <c r="C258" s="148">
        <f>IF('Data Entry Electricity'!$G$122&gt;0,IF(C117&gt;'Data Entry Electricity'!$F99,1,0),0)</f>
        <v>0</v>
      </c>
      <c r="D258" s="148">
        <f>IF('Data Entry Electricity'!$G$122&gt;0,IF(D117&gt;'Data Entry Electricity'!$F99,1,0),0)</f>
        <v>0</v>
      </c>
      <c r="E258" s="148">
        <f>IF('Data Entry Electricity'!$G$122&gt;0,IF(E117&gt;'Data Entry Electricity'!$F99,1,0),0)</f>
        <v>0</v>
      </c>
      <c r="F258" s="148">
        <f>IF('Data Entry Electricity'!$G$122&gt;0,IF(F117&gt;'Data Entry Electricity'!$F99,1,0),0)</f>
        <v>0</v>
      </c>
      <c r="G258" s="707"/>
    </row>
    <row r="259" spans="1:7">
      <c r="A259" s="706"/>
      <c r="B259" s="148">
        <f>IF('Data Entry Electricity'!$G$122&gt;0,IF(B118&gt;'Data Entry Electricity'!$F100,1,0),0)</f>
        <v>0</v>
      </c>
      <c r="C259" s="148">
        <f>IF('Data Entry Electricity'!$G$122&gt;0,IF(C118&gt;'Data Entry Electricity'!$F100,1,0),0)</f>
        <v>0</v>
      </c>
      <c r="D259" s="148">
        <f>IF('Data Entry Electricity'!$G$122&gt;0,IF(D118&gt;'Data Entry Electricity'!$F100,1,0),0)</f>
        <v>0</v>
      </c>
      <c r="E259" s="148">
        <f>IF('Data Entry Electricity'!$G$122&gt;0,IF(E118&gt;'Data Entry Electricity'!$F100,1,0),0)</f>
        <v>0</v>
      </c>
      <c r="F259" s="148">
        <f>IF('Data Entry Electricity'!$G$122&gt;0,IF(F118&gt;'Data Entry Electricity'!$F100,1,0),0)</f>
        <v>0</v>
      </c>
      <c r="G259" s="707"/>
    </row>
    <row r="260" spans="1:7">
      <c r="A260" s="706"/>
      <c r="B260" s="148">
        <f>IF('Data Entry Electricity'!$G$122&gt;0,IF(B119&gt;'Data Entry Electricity'!$F101,1,0),0)</f>
        <v>0</v>
      </c>
      <c r="C260" s="148">
        <f>IF('Data Entry Electricity'!$G$122&gt;0,IF(C119&gt;'Data Entry Electricity'!$F101,1,0),0)</f>
        <v>0</v>
      </c>
      <c r="D260" s="148">
        <f>IF('Data Entry Electricity'!$G$122&gt;0,IF(D119&gt;'Data Entry Electricity'!$F101,1,0),0)</f>
        <v>0</v>
      </c>
      <c r="E260" s="148">
        <f>IF('Data Entry Electricity'!$G$122&gt;0,IF(E119&gt;'Data Entry Electricity'!$F101,1,0),0)</f>
        <v>0</v>
      </c>
      <c r="F260" s="148">
        <f>IF('Data Entry Electricity'!$G$122&gt;0,IF(F119&gt;'Data Entry Electricity'!$F101,1,0),0)</f>
        <v>0</v>
      </c>
      <c r="G260" s="707"/>
    </row>
    <row r="261" spans="1:7">
      <c r="A261" s="706"/>
      <c r="B261" s="148">
        <f>IF('Data Entry Electricity'!$G$122&gt;0,IF(B120&gt;'Data Entry Electricity'!$F102,1,0),0)</f>
        <v>0</v>
      </c>
      <c r="C261" s="148">
        <f>IF('Data Entry Electricity'!$G$122&gt;0,IF(C120&gt;'Data Entry Electricity'!$F102,1,0),0)</f>
        <v>0</v>
      </c>
      <c r="D261" s="148">
        <f>IF('Data Entry Electricity'!$G$122&gt;0,IF(D120&gt;'Data Entry Electricity'!$F102,1,0),0)</f>
        <v>0</v>
      </c>
      <c r="E261" s="148">
        <f>IF('Data Entry Electricity'!$G$122&gt;0,IF(E120&gt;'Data Entry Electricity'!$F102,1,0),0)</f>
        <v>0</v>
      </c>
      <c r="F261" s="148">
        <f>IF('Data Entry Electricity'!$G$122&gt;0,IF(F120&gt;'Data Entry Electricity'!$F102,1,0),0)</f>
        <v>0</v>
      </c>
      <c r="G261" s="707"/>
    </row>
    <row r="262" spans="1:7">
      <c r="A262" s="706"/>
      <c r="B262" s="148">
        <f>IF('Data Entry Electricity'!$G$122&gt;0,IF(B121&gt;'Data Entry Electricity'!$F103,1,0),0)</f>
        <v>0</v>
      </c>
      <c r="C262" s="148">
        <f>IF('Data Entry Electricity'!$G$122&gt;0,IF(C121&gt;'Data Entry Electricity'!$F103,1,0),0)</f>
        <v>0</v>
      </c>
      <c r="D262" s="148">
        <f>IF('Data Entry Electricity'!$G$122&gt;0,IF(D121&gt;'Data Entry Electricity'!$F103,1,0),0)</f>
        <v>0</v>
      </c>
      <c r="E262" s="148">
        <f>IF('Data Entry Electricity'!$G$122&gt;0,IF(E121&gt;'Data Entry Electricity'!$F103,1,0),0)</f>
        <v>0</v>
      </c>
      <c r="F262" s="148">
        <f>IF('Data Entry Electricity'!$G$122&gt;0,IF(F121&gt;'Data Entry Electricity'!$F103,1,0),0)</f>
        <v>0</v>
      </c>
      <c r="G262" s="707"/>
    </row>
    <row r="263" spans="1:7">
      <c r="A263" s="706"/>
      <c r="B263" s="148">
        <f>IF('Data Entry Electricity'!$G$122&gt;0,IF(B122&gt;'Data Entry Electricity'!$F104,1,0),0)</f>
        <v>0</v>
      </c>
      <c r="C263" s="148">
        <f>IF('Data Entry Electricity'!$G$122&gt;0,IF(C122&gt;'Data Entry Electricity'!$F104,1,0),0)</f>
        <v>0</v>
      </c>
      <c r="D263" s="148">
        <f>IF('Data Entry Electricity'!$G$122&gt;0,IF(D122&gt;'Data Entry Electricity'!$F104,1,0),0)</f>
        <v>0</v>
      </c>
      <c r="E263" s="148">
        <f>IF('Data Entry Electricity'!$G$122&gt;0,IF(E122&gt;'Data Entry Electricity'!$F104,1,0),0)</f>
        <v>0</v>
      </c>
      <c r="F263" s="148">
        <f>IF('Data Entry Electricity'!$G$122&gt;0,IF(F122&gt;'Data Entry Electricity'!$F104,1,0),0)</f>
        <v>0</v>
      </c>
      <c r="G263" s="707"/>
    </row>
    <row r="264" spans="1:7">
      <c r="A264" s="706"/>
      <c r="B264" s="148">
        <f>IF('Data Entry Electricity'!$G$122&gt;0,IF(B123&gt;'Data Entry Electricity'!$F105,1,0),0)</f>
        <v>0</v>
      </c>
      <c r="C264" s="148">
        <f>IF('Data Entry Electricity'!$G$122&gt;0,IF(C123&gt;'Data Entry Electricity'!$F105,1,0),0)</f>
        <v>0</v>
      </c>
      <c r="D264" s="148">
        <f>IF('Data Entry Electricity'!$G$122&gt;0,IF(D123&gt;'Data Entry Electricity'!$F105,1,0),0)</f>
        <v>0</v>
      </c>
      <c r="E264" s="148">
        <f>IF('Data Entry Electricity'!$G$122&gt;0,IF(E123&gt;'Data Entry Electricity'!$F105,1,0),0)</f>
        <v>0</v>
      </c>
      <c r="F264" s="148">
        <f>IF('Data Entry Electricity'!$G$122&gt;0,IF(F123&gt;'Data Entry Electricity'!$F105,1,0),0)</f>
        <v>0</v>
      </c>
      <c r="G264" s="707"/>
    </row>
    <row r="265" spans="1:7">
      <c r="A265" s="706"/>
      <c r="B265" s="148">
        <f>IF('Data Entry Electricity'!$G$122&gt;0,IF(B124&gt;'Data Entry Electricity'!$F106,1,0),0)</f>
        <v>0</v>
      </c>
      <c r="C265" s="148">
        <f>IF('Data Entry Electricity'!$G$122&gt;0,IF(C124&gt;'Data Entry Electricity'!$F106,1,0),0)</f>
        <v>0</v>
      </c>
      <c r="D265" s="148">
        <f>IF('Data Entry Electricity'!$G$122&gt;0,IF(D124&gt;'Data Entry Electricity'!$F106,1,0),0)</f>
        <v>0</v>
      </c>
      <c r="E265" s="148">
        <f>IF('Data Entry Electricity'!$G$122&gt;0,IF(E124&gt;'Data Entry Electricity'!$F106,1,0),0)</f>
        <v>0</v>
      </c>
      <c r="F265" s="148">
        <f>IF('Data Entry Electricity'!$G$122&gt;0,IF(F124&gt;'Data Entry Electricity'!$F106,1,0),0)</f>
        <v>0</v>
      </c>
      <c r="G265" s="707"/>
    </row>
    <row r="266" spans="1:7">
      <c r="A266" s="706"/>
      <c r="B266" s="148">
        <f>IF('Data Entry Electricity'!$G$122&gt;0,IF(B125&gt;'Data Entry Electricity'!$F107,1,0),0)</f>
        <v>0</v>
      </c>
      <c r="C266" s="148">
        <f>IF('Data Entry Electricity'!$G$122&gt;0,IF(C125&gt;'Data Entry Electricity'!$F107,1,0),0)</f>
        <v>0</v>
      </c>
      <c r="D266" s="148">
        <f>IF('Data Entry Electricity'!$G$122&gt;0,IF(D125&gt;'Data Entry Electricity'!$F107,1,0),0)</f>
        <v>0</v>
      </c>
      <c r="E266" s="148">
        <f>IF('Data Entry Electricity'!$G$122&gt;0,IF(E125&gt;'Data Entry Electricity'!$F107,1,0),0)</f>
        <v>0</v>
      </c>
      <c r="F266" s="148">
        <f>IF('Data Entry Electricity'!$G$122&gt;0,IF(F125&gt;'Data Entry Electricity'!$F107,1,0),0)</f>
        <v>0</v>
      </c>
      <c r="G266" s="707"/>
    </row>
    <row r="267" spans="1:7">
      <c r="A267" s="706"/>
      <c r="B267" s="148">
        <f>IF('Data Entry Electricity'!$G$122&gt;0,IF(B126&gt;'Data Entry Electricity'!$F108,1,0),0)</f>
        <v>0</v>
      </c>
      <c r="C267" s="148">
        <f>IF('Data Entry Electricity'!$G$122&gt;0,IF(C126&gt;'Data Entry Electricity'!$F108,1,0),0)</f>
        <v>0</v>
      </c>
      <c r="D267" s="148">
        <f>IF('Data Entry Electricity'!$G$122&gt;0,IF(D126&gt;'Data Entry Electricity'!$F108,1,0),0)</f>
        <v>0</v>
      </c>
      <c r="E267" s="148">
        <f>IF('Data Entry Electricity'!$G$122&gt;0,IF(E126&gt;'Data Entry Electricity'!$F108,1,0),0)</f>
        <v>0</v>
      </c>
      <c r="F267" s="148">
        <f>IF('Data Entry Electricity'!$G$122&gt;0,IF(F126&gt;'Data Entry Electricity'!$F108,1,0),0)</f>
        <v>0</v>
      </c>
      <c r="G267" s="707"/>
    </row>
    <row r="268" spans="1:7">
      <c r="A268" s="706"/>
      <c r="B268" s="148">
        <f>IF('Data Entry Electricity'!$G$122&gt;0,IF(B127&gt;'Data Entry Electricity'!$F109,1,0),0)</f>
        <v>0</v>
      </c>
      <c r="C268" s="148">
        <f>IF('Data Entry Electricity'!$G$122&gt;0,IF(C127&gt;'Data Entry Electricity'!$F109,1,0),0)</f>
        <v>0</v>
      </c>
      <c r="D268" s="148">
        <f>IF('Data Entry Electricity'!$G$122&gt;0,IF(D127&gt;'Data Entry Electricity'!$F109,1,0),0)</f>
        <v>0</v>
      </c>
      <c r="E268" s="148">
        <f>IF('Data Entry Electricity'!$G$122&gt;0,IF(E127&gt;'Data Entry Electricity'!$F109,1,0),0)</f>
        <v>0</v>
      </c>
      <c r="F268" s="148">
        <f>IF('Data Entry Electricity'!$G$122&gt;0,IF(F127&gt;'Data Entry Electricity'!$F109,1,0),0)</f>
        <v>0</v>
      </c>
      <c r="G268" s="707"/>
    </row>
    <row r="269" spans="1:7">
      <c r="A269" s="706"/>
      <c r="B269" s="148">
        <f>IF('Data Entry Electricity'!$G$122&gt;0,IF(B128&gt;'Data Entry Electricity'!$F110,1,0),0)</f>
        <v>0</v>
      </c>
      <c r="C269" s="148">
        <f>IF('Data Entry Electricity'!$G$122&gt;0,IF(C128&gt;'Data Entry Electricity'!$F110,1,0),0)</f>
        <v>0</v>
      </c>
      <c r="D269" s="148">
        <f>IF('Data Entry Electricity'!$G$122&gt;0,IF(D128&gt;'Data Entry Electricity'!$F110,1,0),0)</f>
        <v>0</v>
      </c>
      <c r="E269" s="148">
        <f>IF('Data Entry Electricity'!$G$122&gt;0,IF(E128&gt;'Data Entry Electricity'!$F110,1,0),0)</f>
        <v>0</v>
      </c>
      <c r="F269" s="148">
        <f>IF('Data Entry Electricity'!$G$122&gt;0,IF(F128&gt;'Data Entry Electricity'!$F110,1,0),0)</f>
        <v>0</v>
      </c>
      <c r="G269" s="707"/>
    </row>
    <row r="270" spans="1:7">
      <c r="A270" s="706"/>
      <c r="B270" s="148">
        <f>IF('Data Entry Electricity'!$G$122&gt;0,IF(B129&gt;'Data Entry Electricity'!$F111,1,0),0)</f>
        <v>0</v>
      </c>
      <c r="C270" s="148">
        <f>IF('Data Entry Electricity'!$G$122&gt;0,IF(C129&gt;'Data Entry Electricity'!$F111,1,0),0)</f>
        <v>0</v>
      </c>
      <c r="D270" s="148">
        <f>IF('Data Entry Electricity'!$G$122&gt;0,IF(D129&gt;'Data Entry Electricity'!$F111,1,0),0)</f>
        <v>0</v>
      </c>
      <c r="E270" s="148">
        <f>IF('Data Entry Electricity'!$G$122&gt;0,IF(E129&gt;'Data Entry Electricity'!$F111,1,0),0)</f>
        <v>0</v>
      </c>
      <c r="F270" s="148">
        <f>IF('Data Entry Electricity'!$G$122&gt;0,IF(F129&gt;'Data Entry Electricity'!$F111,1,0),0)</f>
        <v>0</v>
      </c>
      <c r="G270" s="707"/>
    </row>
    <row r="271" spans="1:7">
      <c r="A271" s="706"/>
      <c r="B271" s="148">
        <f>IF('Data Entry Electricity'!$G$122&gt;0,IF(B130&gt;'Data Entry Electricity'!$F112,1,0),0)</f>
        <v>0</v>
      </c>
      <c r="C271" s="148">
        <f>IF('Data Entry Electricity'!$G$122&gt;0,IF(C130&gt;'Data Entry Electricity'!$F112,1,0),0)</f>
        <v>0</v>
      </c>
      <c r="D271" s="148">
        <f>IF('Data Entry Electricity'!$G$122&gt;0,IF(D130&gt;'Data Entry Electricity'!$F112,1,0),0)</f>
        <v>0</v>
      </c>
      <c r="E271" s="148">
        <f>IF('Data Entry Electricity'!$G$122&gt;0,IF(E130&gt;'Data Entry Electricity'!$F112,1,0),0)</f>
        <v>0</v>
      </c>
      <c r="F271" s="148">
        <f>IF('Data Entry Electricity'!$G$122&gt;0,IF(F130&gt;'Data Entry Electricity'!$F112,1,0),0)</f>
        <v>0</v>
      </c>
      <c r="G271" s="707"/>
    </row>
    <row r="272" spans="1:7">
      <c r="A272" s="706"/>
      <c r="B272" s="148">
        <f>IF('Data Entry Electricity'!$G$122&gt;0,IF(B131&gt;'Data Entry Electricity'!$F113,1,0),0)</f>
        <v>0</v>
      </c>
      <c r="C272" s="148">
        <f>IF('Data Entry Electricity'!$G$122&gt;0,IF(C131&gt;'Data Entry Electricity'!$F113,1,0),0)</f>
        <v>0</v>
      </c>
      <c r="D272" s="148">
        <f>IF('Data Entry Electricity'!$G$122&gt;0,IF(D131&gt;'Data Entry Electricity'!$F113,1,0),0)</f>
        <v>0</v>
      </c>
      <c r="E272" s="148">
        <f>IF('Data Entry Electricity'!$G$122&gt;0,IF(E131&gt;'Data Entry Electricity'!$F113,1,0),0)</f>
        <v>0</v>
      </c>
      <c r="F272" s="148">
        <f>IF('Data Entry Electricity'!$G$122&gt;0,IF(F131&gt;'Data Entry Electricity'!$F113,1,0),0)</f>
        <v>0</v>
      </c>
      <c r="G272" s="707"/>
    </row>
    <row r="273" spans="1:7">
      <c r="A273" s="706"/>
      <c r="B273" s="148">
        <f>IF('Data Entry Electricity'!$G$122&gt;0,IF(B132&gt;'Data Entry Electricity'!$F114,1,0),0)</f>
        <v>0</v>
      </c>
      <c r="C273" s="148">
        <f>IF('Data Entry Electricity'!$G$122&gt;0,IF(C132&gt;'Data Entry Electricity'!$F114,1,0),0)</f>
        <v>0</v>
      </c>
      <c r="D273" s="148">
        <f>IF('Data Entry Electricity'!$G$122&gt;0,IF(D132&gt;'Data Entry Electricity'!$F114,1,0),0)</f>
        <v>0</v>
      </c>
      <c r="E273" s="148">
        <f>IF('Data Entry Electricity'!$G$122&gt;0,IF(E132&gt;'Data Entry Electricity'!$F114,1,0),0)</f>
        <v>0</v>
      </c>
      <c r="F273" s="148">
        <f>IF('Data Entry Electricity'!$G$122&gt;0,IF(F132&gt;'Data Entry Electricity'!$F114,1,0),0)</f>
        <v>0</v>
      </c>
      <c r="G273" s="707"/>
    </row>
    <row r="274" spans="1:7">
      <c r="A274" s="706"/>
      <c r="B274" s="148">
        <f>IF('Data Entry Electricity'!$G$122&gt;0,IF(B133&gt;'Data Entry Electricity'!$F115,1,0),0)</f>
        <v>0</v>
      </c>
      <c r="C274" s="148">
        <f>IF('Data Entry Electricity'!$G$122&gt;0,IF(C133&gt;'Data Entry Electricity'!$F115,1,0),0)</f>
        <v>0</v>
      </c>
      <c r="D274" s="148">
        <f>IF('Data Entry Electricity'!$G$122&gt;0,IF(D133&gt;'Data Entry Electricity'!$F115,1,0),0)</f>
        <v>0</v>
      </c>
      <c r="E274" s="148">
        <f>IF('Data Entry Electricity'!$G$122&gt;0,IF(E133&gt;'Data Entry Electricity'!$F115,1,0),0)</f>
        <v>0</v>
      </c>
      <c r="F274" s="148">
        <f>IF('Data Entry Electricity'!$G$122&gt;0,IF(F133&gt;'Data Entry Electricity'!$F115,1,0),0)</f>
        <v>0</v>
      </c>
      <c r="G274" s="707"/>
    </row>
    <row r="275" spans="1:7">
      <c r="A275" s="706"/>
      <c r="B275" s="148">
        <f>IF('Data Entry Electricity'!$G$122&gt;0,IF(B134&gt;'Data Entry Electricity'!$F116,1,0),0)</f>
        <v>0</v>
      </c>
      <c r="C275" s="148">
        <f>IF('Data Entry Electricity'!$G$122&gt;0,IF(C134&gt;'Data Entry Electricity'!$F116,1,0),0)</f>
        <v>0</v>
      </c>
      <c r="D275" s="148">
        <f>IF('Data Entry Electricity'!$G$122&gt;0,IF(D134&gt;'Data Entry Electricity'!$F116,1,0),0)</f>
        <v>0</v>
      </c>
      <c r="E275" s="148">
        <f>IF('Data Entry Electricity'!$G$122&gt;0,IF(E134&gt;'Data Entry Electricity'!$F116,1,0),0)</f>
        <v>0</v>
      </c>
      <c r="F275" s="148">
        <f>IF('Data Entry Electricity'!$G$122&gt;0,IF(F134&gt;'Data Entry Electricity'!$F116,1,0),0)</f>
        <v>0</v>
      </c>
      <c r="G275" s="707"/>
    </row>
    <row r="276" spans="1:7">
      <c r="A276" s="706"/>
      <c r="B276" s="148">
        <f>IF('Data Entry Electricity'!$G$122&gt;0,IF(B135&gt;'Data Entry Electricity'!$F117,1,0),0)</f>
        <v>0</v>
      </c>
      <c r="C276" s="148">
        <f>IF('Data Entry Electricity'!$G$122&gt;0,IF(C135&gt;'Data Entry Electricity'!$F117,1,0),0)</f>
        <v>0</v>
      </c>
      <c r="D276" s="148">
        <f>IF('Data Entry Electricity'!$G$122&gt;0,IF(D135&gt;'Data Entry Electricity'!$F117,1,0),0)</f>
        <v>0</v>
      </c>
      <c r="E276" s="148">
        <f>IF('Data Entry Electricity'!$G$122&gt;0,IF(E135&gt;'Data Entry Electricity'!$F117,1,0),0)</f>
        <v>0</v>
      </c>
      <c r="F276" s="148">
        <f>IF('Data Entry Electricity'!$G$122&gt;0,IF(F135&gt;'Data Entry Electricity'!$F117,1,0),0)</f>
        <v>0</v>
      </c>
      <c r="G276" s="707"/>
    </row>
    <row r="277" spans="1:7">
      <c r="A277" s="706"/>
      <c r="B277" s="148">
        <f>IF('Data Entry Electricity'!$G$122&gt;0,IF(B136&gt;'Data Entry Electricity'!$F118,1,0),0)</f>
        <v>0</v>
      </c>
      <c r="C277" s="148">
        <f>IF('Data Entry Electricity'!$G$122&gt;0,IF(C136&gt;'Data Entry Electricity'!$F118,1,0),0)</f>
        <v>0</v>
      </c>
      <c r="D277" s="148">
        <f>IF('Data Entry Electricity'!$G$122&gt;0,IF(D136&gt;'Data Entry Electricity'!$F118,1,0),0)</f>
        <v>0</v>
      </c>
      <c r="E277" s="148">
        <f>IF('Data Entry Electricity'!$G$122&gt;0,IF(E136&gt;'Data Entry Electricity'!$F118,1,0),0)</f>
        <v>0</v>
      </c>
      <c r="F277" s="148">
        <f>IF('Data Entry Electricity'!$G$122&gt;0,IF(F136&gt;'Data Entry Electricity'!$F118,1,0),0)</f>
        <v>0</v>
      </c>
      <c r="G277" s="707"/>
    </row>
    <row r="278" spans="1:7">
      <c r="A278" s="706"/>
      <c r="B278" s="148">
        <f>IF('Data Entry Electricity'!$G$122&gt;0,IF(B137&gt;'Data Entry Electricity'!$F119,1,0),0)</f>
        <v>0</v>
      </c>
      <c r="C278" s="148">
        <f>IF('Data Entry Electricity'!$G$122&gt;0,IF(C137&gt;'Data Entry Electricity'!$F119,1,0),0)</f>
        <v>0</v>
      </c>
      <c r="D278" s="148">
        <f>IF('Data Entry Electricity'!$G$122&gt;0,IF(D137&gt;'Data Entry Electricity'!$F119,1,0),0)</f>
        <v>0</v>
      </c>
      <c r="E278" s="148">
        <f>IF('Data Entry Electricity'!$G$122&gt;0,IF(E137&gt;'Data Entry Electricity'!$F119,1,0),0)</f>
        <v>0</v>
      </c>
      <c r="F278" s="148">
        <f>IF('Data Entry Electricity'!$G$122&gt;0,IF(F137&gt;'Data Entry Electricity'!$F119,1,0),0)</f>
        <v>0</v>
      </c>
      <c r="G278" s="707"/>
    </row>
    <row r="279" spans="1:7">
      <c r="A279" s="708"/>
      <c r="B279" s="151">
        <f>IF('Data Entry Electricity'!$G$122&gt;0,IF(B138&gt;'Data Entry Electricity'!$F120,1,0),0)</f>
        <v>0</v>
      </c>
      <c r="C279" s="151">
        <f>IF('Data Entry Electricity'!$G$122&gt;0,IF(C138&gt;'Data Entry Electricity'!$F120,1,0),0)</f>
        <v>0</v>
      </c>
      <c r="D279" s="151">
        <f>IF('Data Entry Electricity'!$G$122&gt;0,IF(D138&gt;'Data Entry Electricity'!$F120,1,0),0)</f>
        <v>0</v>
      </c>
      <c r="E279" s="151">
        <f>IF('Data Entry Electricity'!$G$122&gt;0,IF(E138&gt;'Data Entry Electricity'!$F120,1,0),0)</f>
        <v>0</v>
      </c>
      <c r="F279" s="151">
        <f>IF('Data Entry Electricity'!$G$122&gt;0,IF(F138&gt;'Data Entry Electricity'!$F120,1,0),0)</f>
        <v>0</v>
      </c>
      <c r="G279" s="709"/>
    </row>
    <row r="280" spans="1:7">
      <c r="B280" s="148"/>
      <c r="C280" s="148"/>
      <c r="D280" s="148"/>
      <c r="E280" s="148"/>
      <c r="F280" s="148"/>
    </row>
    <row r="281" spans="1:7">
      <c r="B281" s="148"/>
      <c r="C281" s="148"/>
      <c r="D281" s="148"/>
      <c r="E281" s="148"/>
      <c r="F281" s="148"/>
    </row>
    <row r="282" spans="1:7">
      <c r="B282" s="148"/>
      <c r="C282" s="148"/>
      <c r="D282" s="148"/>
      <c r="E282" s="148"/>
      <c r="F282" s="148"/>
    </row>
    <row r="283" spans="1:7">
      <c r="B283" s="148"/>
      <c r="C283" s="148"/>
      <c r="D283" s="148"/>
      <c r="E283" s="148"/>
      <c r="F283" s="148"/>
    </row>
    <row r="284" spans="1:7">
      <c r="B284" s="148"/>
      <c r="C284" s="148"/>
      <c r="D284" s="148"/>
      <c r="E284" s="148"/>
      <c r="F284" s="148"/>
    </row>
    <row r="285" spans="1:7">
      <c r="B285" s="148"/>
      <c r="C285" s="148"/>
      <c r="D285" s="148"/>
      <c r="E285" s="148"/>
      <c r="F285" s="148"/>
    </row>
    <row r="286" spans="1:7">
      <c r="B286" s="148"/>
      <c r="C286" s="148"/>
      <c r="D286" s="148"/>
      <c r="E286" s="148"/>
      <c r="F286" s="148"/>
    </row>
    <row r="287" spans="1:7">
      <c r="B287" s="148"/>
      <c r="C287" s="148"/>
      <c r="D287" s="148"/>
      <c r="E287" s="148"/>
      <c r="F287" s="148"/>
    </row>
    <row r="288" spans="1:7">
      <c r="B288" s="148"/>
      <c r="C288" s="148"/>
      <c r="D288" s="148"/>
      <c r="E288" s="148"/>
      <c r="F288" s="148"/>
    </row>
    <row r="289" spans="2:6">
      <c r="B289" s="148"/>
      <c r="C289" s="148"/>
      <c r="D289" s="148"/>
      <c r="E289" s="148"/>
      <c r="F289" s="148"/>
    </row>
    <row r="290" spans="2:6">
      <c r="B290" s="148"/>
      <c r="C290" s="148"/>
      <c r="D290" s="148"/>
      <c r="E290" s="148"/>
      <c r="F290" s="148"/>
    </row>
    <row r="291" spans="2:6">
      <c r="B291" s="179"/>
      <c r="C291" s="179"/>
      <c r="D291" s="179"/>
      <c r="E291" s="179"/>
      <c r="F291" s="179"/>
    </row>
    <row r="292" spans="2:6">
      <c r="B292" s="179"/>
      <c r="C292" s="179"/>
      <c r="D292" s="179"/>
      <c r="E292" s="179"/>
      <c r="F292" s="179"/>
    </row>
    <row r="293" spans="2:6">
      <c r="B293" s="179"/>
      <c r="C293" s="179"/>
      <c r="D293" s="179"/>
      <c r="E293" s="179"/>
      <c r="F293" s="179"/>
    </row>
    <row r="294" spans="2:6">
      <c r="B294" s="179"/>
      <c r="C294" s="179"/>
      <c r="D294" s="179"/>
      <c r="E294" s="179"/>
      <c r="F294" s="179"/>
    </row>
    <row r="295" spans="2:6">
      <c r="B295" s="179"/>
      <c r="C295" s="179"/>
      <c r="D295" s="179"/>
      <c r="E295" s="179"/>
      <c r="F295" s="179"/>
    </row>
    <row r="296" spans="2:6">
      <c r="B296" s="179"/>
      <c r="C296" s="179"/>
      <c r="D296" s="179"/>
      <c r="E296" s="179"/>
      <c r="F296" s="179"/>
    </row>
    <row r="297" spans="2:6">
      <c r="B297" s="179"/>
      <c r="C297" s="179"/>
      <c r="D297" s="179"/>
      <c r="E297" s="179"/>
      <c r="F297" s="179"/>
    </row>
    <row r="298" spans="2:6">
      <c r="B298" s="179"/>
      <c r="C298" s="179"/>
      <c r="D298" s="179"/>
      <c r="E298" s="179"/>
      <c r="F298" s="179"/>
    </row>
    <row r="299" spans="2:6">
      <c r="B299" s="179"/>
      <c r="C299" s="179"/>
      <c r="D299" s="179"/>
      <c r="E299" s="179"/>
      <c r="F299" s="179"/>
    </row>
    <row r="300" spans="2:6">
      <c r="B300" s="179"/>
      <c r="C300" s="179"/>
      <c r="D300" s="179"/>
      <c r="E300" s="179"/>
      <c r="F300" s="179"/>
    </row>
    <row r="301" spans="2:6">
      <c r="B301" s="179"/>
      <c r="C301" s="179"/>
      <c r="D301" s="179"/>
      <c r="E301" s="179"/>
      <c r="F301" s="179"/>
    </row>
    <row r="302" spans="2:6">
      <c r="B302" s="179"/>
      <c r="C302" s="179"/>
      <c r="D302" s="179"/>
      <c r="E302" s="179"/>
      <c r="F302" s="179"/>
    </row>
    <row r="303" spans="2:6">
      <c r="B303" s="179"/>
      <c r="C303" s="179"/>
      <c r="D303" s="179"/>
      <c r="E303" s="179"/>
      <c r="F303" s="179"/>
    </row>
    <row r="304" spans="2:6">
      <c r="B304" s="179"/>
      <c r="C304" s="179"/>
      <c r="D304" s="179"/>
      <c r="E304" s="179"/>
      <c r="F304" s="179"/>
    </row>
    <row r="305" spans="2:6">
      <c r="B305" s="179"/>
      <c r="C305" s="179"/>
      <c r="D305" s="179"/>
      <c r="E305" s="179"/>
      <c r="F305" s="179"/>
    </row>
    <row r="306" spans="2:6">
      <c r="B306" s="179"/>
      <c r="C306" s="179"/>
      <c r="D306" s="179"/>
      <c r="E306" s="179"/>
      <c r="F306" s="179"/>
    </row>
    <row r="307" spans="2:6">
      <c r="B307" s="179"/>
      <c r="C307" s="179"/>
      <c r="D307" s="179"/>
      <c r="E307" s="179"/>
      <c r="F307" s="179"/>
    </row>
    <row r="308" spans="2:6">
      <c r="B308" s="179"/>
      <c r="C308" s="179"/>
      <c r="D308" s="179"/>
      <c r="E308" s="179"/>
      <c r="F308" s="179"/>
    </row>
    <row r="309" spans="2:6">
      <c r="B309" s="179"/>
      <c r="C309" s="179"/>
      <c r="D309" s="179"/>
      <c r="E309" s="179"/>
      <c r="F309" s="179"/>
    </row>
    <row r="310" spans="2:6">
      <c r="B310" s="179"/>
      <c r="C310" s="179"/>
      <c r="D310" s="179"/>
      <c r="E310" s="179"/>
      <c r="F310" s="179"/>
    </row>
    <row r="311" spans="2:6">
      <c r="B311" s="179"/>
      <c r="C311" s="179"/>
      <c r="D311" s="179"/>
      <c r="E311" s="179"/>
      <c r="F311" s="179"/>
    </row>
    <row r="312" spans="2:6">
      <c r="B312" s="179"/>
      <c r="C312" s="179"/>
      <c r="D312" s="179"/>
      <c r="E312" s="179"/>
      <c r="F312" s="179"/>
    </row>
    <row r="313" spans="2:6">
      <c r="B313" s="179"/>
      <c r="C313" s="179"/>
      <c r="D313" s="179"/>
      <c r="E313" s="179"/>
      <c r="F313" s="179"/>
    </row>
    <row r="314" spans="2:6">
      <c r="B314" s="179"/>
      <c r="C314" s="179"/>
      <c r="D314" s="179"/>
      <c r="E314" s="179"/>
      <c r="F314" s="179"/>
    </row>
    <row r="315" spans="2:6">
      <c r="B315" s="179"/>
      <c r="C315" s="179"/>
      <c r="D315" s="179"/>
      <c r="E315" s="179"/>
      <c r="F315" s="179"/>
    </row>
    <row r="316" spans="2:6">
      <c r="B316" s="179"/>
      <c r="C316" s="179"/>
      <c r="D316" s="179"/>
      <c r="E316" s="179"/>
      <c r="F316" s="179"/>
    </row>
    <row r="317" spans="2:6">
      <c r="B317" s="179"/>
      <c r="C317" s="179"/>
      <c r="D317" s="179"/>
      <c r="E317" s="179"/>
      <c r="F317" s="179"/>
    </row>
    <row r="318" spans="2:6">
      <c r="B318" s="179"/>
      <c r="C318" s="179"/>
      <c r="D318" s="179"/>
      <c r="E318" s="179"/>
      <c r="F318" s="179"/>
    </row>
    <row r="319" spans="2:6">
      <c r="B319" s="179"/>
      <c r="C319" s="179"/>
      <c r="D319" s="179"/>
      <c r="E319" s="179"/>
      <c r="F319" s="179"/>
    </row>
    <row r="320" spans="2:6">
      <c r="B320" s="179"/>
      <c r="C320" s="179"/>
      <c r="D320" s="179"/>
      <c r="E320" s="179"/>
      <c r="F320" s="179"/>
    </row>
    <row r="321" spans="2:6">
      <c r="B321" s="179"/>
      <c r="C321" s="179"/>
      <c r="D321" s="179"/>
      <c r="E321" s="179"/>
      <c r="F321" s="179"/>
    </row>
    <row r="322" spans="2:6">
      <c r="B322" s="179"/>
      <c r="C322" s="179"/>
      <c r="D322" s="179"/>
      <c r="E322" s="179"/>
      <c r="F322" s="179"/>
    </row>
    <row r="323" spans="2:6">
      <c r="B323" s="179"/>
      <c r="C323" s="179"/>
      <c r="D323" s="179"/>
      <c r="E323" s="179"/>
      <c r="F323" s="179"/>
    </row>
    <row r="324" spans="2:6">
      <c r="B324" s="179"/>
      <c r="C324" s="179"/>
      <c r="D324" s="179"/>
      <c r="E324" s="179"/>
      <c r="F324" s="179"/>
    </row>
    <row r="325" spans="2:6">
      <c r="B325" s="179"/>
      <c r="C325" s="179"/>
      <c r="D325" s="179"/>
      <c r="E325" s="179"/>
      <c r="F325" s="179"/>
    </row>
    <row r="326" spans="2:6">
      <c r="B326" s="179"/>
      <c r="C326" s="179"/>
      <c r="D326" s="179"/>
      <c r="E326" s="179"/>
      <c r="F326" s="179"/>
    </row>
    <row r="327" spans="2:6">
      <c r="B327" s="179"/>
      <c r="C327" s="179"/>
      <c r="D327" s="179"/>
      <c r="E327" s="179"/>
      <c r="F327" s="179"/>
    </row>
    <row r="328" spans="2:6">
      <c r="B328" s="179"/>
      <c r="C328" s="179"/>
      <c r="D328" s="179"/>
      <c r="E328" s="179"/>
      <c r="F328" s="179"/>
    </row>
    <row r="329" spans="2:6">
      <c r="B329" s="179"/>
      <c r="C329" s="179"/>
      <c r="D329" s="179"/>
      <c r="E329" s="179"/>
      <c r="F329" s="179"/>
    </row>
    <row r="330" spans="2:6">
      <c r="B330" s="179"/>
      <c r="C330" s="179"/>
      <c r="D330" s="179"/>
      <c r="E330" s="179"/>
      <c r="F330" s="179"/>
    </row>
    <row r="331" spans="2:6">
      <c r="B331" s="179"/>
      <c r="C331" s="179"/>
      <c r="D331" s="179"/>
      <c r="E331" s="179"/>
      <c r="F331" s="179"/>
    </row>
    <row r="332" spans="2:6">
      <c r="B332" s="179"/>
      <c r="C332" s="179"/>
      <c r="D332" s="179"/>
      <c r="E332" s="179"/>
      <c r="F332" s="179"/>
    </row>
    <row r="333" spans="2:6">
      <c r="B333" s="179"/>
      <c r="C333" s="179"/>
      <c r="D333" s="179"/>
      <c r="E333" s="179"/>
      <c r="F333" s="179"/>
    </row>
    <row r="334" spans="2:6">
      <c r="B334" s="179"/>
      <c r="C334" s="179"/>
      <c r="D334" s="179"/>
      <c r="E334" s="179"/>
      <c r="F334" s="179"/>
    </row>
    <row r="335" spans="2:6">
      <c r="B335" s="179"/>
      <c r="C335" s="179"/>
      <c r="D335" s="179"/>
      <c r="E335" s="179"/>
      <c r="F335" s="179"/>
    </row>
    <row r="336" spans="2:6">
      <c r="B336" s="179"/>
      <c r="C336" s="179"/>
      <c r="D336" s="179"/>
      <c r="E336" s="179"/>
      <c r="F336" s="179"/>
    </row>
    <row r="337" spans="2:6">
      <c r="B337" s="179"/>
      <c r="C337" s="179"/>
      <c r="D337" s="179"/>
      <c r="E337" s="179"/>
      <c r="F337" s="179"/>
    </row>
    <row r="338" spans="2:6">
      <c r="B338" s="179"/>
      <c r="C338" s="179"/>
      <c r="D338" s="179"/>
      <c r="E338" s="179"/>
      <c r="F338" s="179"/>
    </row>
    <row r="339" spans="2:6">
      <c r="B339" s="179"/>
      <c r="C339" s="179"/>
      <c r="D339" s="179"/>
      <c r="E339" s="179"/>
      <c r="F339" s="179"/>
    </row>
    <row r="340" spans="2:6">
      <c r="B340" s="179"/>
      <c r="C340" s="179"/>
      <c r="D340" s="179"/>
      <c r="E340" s="179"/>
      <c r="F340" s="179"/>
    </row>
    <row r="341" spans="2:6">
      <c r="B341" s="179"/>
      <c r="C341" s="179"/>
      <c r="D341" s="179"/>
      <c r="E341" s="179"/>
      <c r="F341" s="179"/>
    </row>
    <row r="342" spans="2:6">
      <c r="B342" s="179"/>
      <c r="C342" s="179"/>
      <c r="D342" s="179"/>
      <c r="E342" s="179"/>
      <c r="F342" s="179"/>
    </row>
    <row r="343" spans="2:6">
      <c r="B343" s="179"/>
      <c r="C343" s="179"/>
      <c r="D343" s="179"/>
      <c r="E343" s="179"/>
      <c r="F343" s="179"/>
    </row>
    <row r="344" spans="2:6">
      <c r="B344" s="179"/>
      <c r="C344" s="179"/>
      <c r="D344" s="179"/>
      <c r="E344" s="179"/>
      <c r="F344" s="179"/>
    </row>
    <row r="345" spans="2:6">
      <c r="B345" s="179"/>
      <c r="C345" s="179"/>
      <c r="D345" s="179"/>
      <c r="E345" s="179"/>
      <c r="F345" s="179"/>
    </row>
    <row r="346" spans="2:6">
      <c r="B346" s="179"/>
      <c r="C346" s="179"/>
      <c r="D346" s="179"/>
      <c r="E346" s="179"/>
      <c r="F346" s="179"/>
    </row>
    <row r="347" spans="2:6">
      <c r="B347" s="179"/>
      <c r="C347" s="179"/>
      <c r="D347" s="179"/>
      <c r="E347" s="179"/>
      <c r="F347" s="179"/>
    </row>
    <row r="348" spans="2:6">
      <c r="B348" s="179"/>
      <c r="C348" s="179"/>
      <c r="D348" s="179"/>
      <c r="E348" s="179"/>
      <c r="F348" s="179"/>
    </row>
    <row r="349" spans="2:6">
      <c r="B349" s="179"/>
      <c r="C349" s="179"/>
      <c r="D349" s="179"/>
      <c r="E349" s="179"/>
      <c r="F349" s="179"/>
    </row>
    <row r="350" spans="2:6">
      <c r="B350" s="179"/>
      <c r="C350" s="179"/>
      <c r="D350" s="179"/>
      <c r="E350" s="179"/>
      <c r="F350" s="179"/>
    </row>
    <row r="351" spans="2:6">
      <c r="B351" s="179"/>
      <c r="C351" s="179"/>
      <c r="D351" s="179"/>
      <c r="E351" s="179"/>
      <c r="F351" s="179"/>
    </row>
    <row r="352" spans="2:6">
      <c r="B352" s="179"/>
      <c r="C352" s="179"/>
      <c r="D352" s="179"/>
      <c r="E352" s="179"/>
      <c r="F352" s="179"/>
    </row>
    <row r="353" spans="2:6">
      <c r="B353" s="179"/>
      <c r="C353" s="179"/>
      <c r="D353" s="179"/>
      <c r="E353" s="179"/>
      <c r="F353" s="179"/>
    </row>
    <row r="354" spans="2:6">
      <c r="B354" s="179"/>
      <c r="C354" s="179"/>
      <c r="D354" s="179"/>
      <c r="E354" s="179"/>
      <c r="F354" s="179"/>
    </row>
    <row r="355" spans="2:6">
      <c r="B355" s="179"/>
      <c r="C355" s="179"/>
      <c r="D355" s="179"/>
      <c r="E355" s="179"/>
      <c r="F355" s="179"/>
    </row>
    <row r="356" spans="2:6">
      <c r="B356" s="179"/>
      <c r="C356" s="179"/>
      <c r="D356" s="179"/>
      <c r="E356" s="179"/>
      <c r="F356" s="179"/>
    </row>
    <row r="357" spans="2:6">
      <c r="B357" s="179"/>
      <c r="C357" s="179"/>
      <c r="D357" s="179"/>
      <c r="E357" s="179"/>
      <c r="F357" s="179"/>
    </row>
    <row r="358" spans="2:6">
      <c r="B358" s="179"/>
      <c r="C358" s="179"/>
      <c r="D358" s="179"/>
      <c r="E358" s="179"/>
      <c r="F358" s="179"/>
    </row>
    <row r="359" spans="2:6">
      <c r="B359" s="179"/>
      <c r="C359" s="179"/>
      <c r="D359" s="179"/>
      <c r="E359" s="179"/>
      <c r="F359" s="179"/>
    </row>
    <row r="360" spans="2:6">
      <c r="B360" s="179"/>
      <c r="C360" s="179"/>
      <c r="D360" s="179"/>
      <c r="E360" s="179"/>
      <c r="F360" s="179"/>
    </row>
    <row r="361" spans="2:6">
      <c r="B361" s="179"/>
      <c r="C361" s="179"/>
      <c r="D361" s="179"/>
      <c r="E361" s="179"/>
      <c r="F361" s="179"/>
    </row>
    <row r="362" spans="2:6">
      <c r="B362" s="179"/>
      <c r="C362" s="179"/>
      <c r="D362" s="179"/>
      <c r="E362" s="179"/>
      <c r="F362" s="179"/>
    </row>
    <row r="363" spans="2:6">
      <c r="B363" s="179"/>
      <c r="C363" s="179"/>
      <c r="D363" s="179"/>
      <c r="E363" s="179"/>
      <c r="F363" s="179"/>
    </row>
    <row r="364" spans="2:6">
      <c r="B364" s="179"/>
      <c r="C364" s="179"/>
      <c r="D364" s="179"/>
      <c r="E364" s="179"/>
      <c r="F364" s="179"/>
    </row>
    <row r="365" spans="2:6">
      <c r="B365" s="179"/>
      <c r="C365" s="179"/>
      <c r="D365" s="179"/>
      <c r="E365" s="179"/>
      <c r="F365" s="179"/>
    </row>
    <row r="366" spans="2:6">
      <c r="B366" s="179"/>
      <c r="C366" s="179"/>
      <c r="D366" s="179"/>
      <c r="E366" s="179"/>
      <c r="F366" s="179"/>
    </row>
    <row r="367" spans="2:6">
      <c r="B367" s="179"/>
      <c r="C367" s="179"/>
      <c r="D367" s="179"/>
      <c r="E367" s="179"/>
      <c r="F367" s="179"/>
    </row>
    <row r="368" spans="2:6">
      <c r="B368" s="179"/>
      <c r="C368" s="179"/>
      <c r="D368" s="179"/>
      <c r="E368" s="179"/>
      <c r="F368" s="179"/>
    </row>
    <row r="369" spans="2:6">
      <c r="B369" s="179"/>
      <c r="C369" s="179"/>
      <c r="D369" s="179"/>
      <c r="E369" s="179"/>
      <c r="F369" s="179"/>
    </row>
    <row r="370" spans="2:6">
      <c r="B370" s="179"/>
      <c r="C370" s="179"/>
      <c r="D370" s="179"/>
      <c r="E370" s="179"/>
      <c r="F370" s="179"/>
    </row>
    <row r="371" spans="2:6">
      <c r="B371" s="179"/>
      <c r="C371" s="179"/>
      <c r="D371" s="179"/>
      <c r="E371" s="179"/>
      <c r="F371" s="179"/>
    </row>
    <row r="372" spans="2:6">
      <c r="B372" s="179"/>
      <c r="C372" s="179"/>
      <c r="D372" s="179"/>
      <c r="E372" s="179"/>
      <c r="F372" s="179"/>
    </row>
    <row r="373" spans="2:6">
      <c r="B373" s="179"/>
      <c r="C373" s="179"/>
      <c r="D373" s="179"/>
      <c r="E373" s="179"/>
      <c r="F373" s="179"/>
    </row>
    <row r="374" spans="2:6">
      <c r="B374" s="179"/>
      <c r="C374" s="179"/>
      <c r="D374" s="179"/>
      <c r="E374" s="179"/>
      <c r="F374" s="179"/>
    </row>
    <row r="375" spans="2:6">
      <c r="B375" s="179"/>
      <c r="C375" s="179"/>
      <c r="D375" s="179"/>
      <c r="E375" s="179"/>
      <c r="F375" s="179"/>
    </row>
    <row r="376" spans="2:6">
      <c r="B376" s="179"/>
      <c r="C376" s="179"/>
      <c r="D376" s="179"/>
      <c r="E376" s="179"/>
      <c r="F376" s="179"/>
    </row>
    <row r="377" spans="2:6">
      <c r="B377" s="179"/>
      <c r="C377" s="179"/>
      <c r="D377" s="179"/>
      <c r="E377" s="179"/>
      <c r="F377" s="179"/>
    </row>
    <row r="378" spans="2:6">
      <c r="B378" s="179"/>
      <c r="C378" s="179"/>
      <c r="D378" s="179"/>
      <c r="E378" s="179"/>
      <c r="F378" s="179"/>
    </row>
    <row r="379" spans="2:6">
      <c r="B379" s="179"/>
      <c r="C379" s="179"/>
      <c r="D379" s="179"/>
      <c r="E379" s="179"/>
      <c r="F379" s="179"/>
    </row>
    <row r="380" spans="2:6">
      <c r="B380" s="179"/>
      <c r="C380" s="179"/>
      <c r="D380" s="179"/>
      <c r="E380" s="179"/>
      <c r="F380" s="179"/>
    </row>
    <row r="381" spans="2:6">
      <c r="B381" s="179"/>
      <c r="C381" s="179"/>
      <c r="D381" s="179"/>
      <c r="E381" s="179"/>
      <c r="F381" s="179"/>
    </row>
    <row r="382" spans="2:6">
      <c r="B382" s="179"/>
      <c r="C382" s="179"/>
      <c r="D382" s="179"/>
      <c r="E382" s="179"/>
      <c r="F382" s="179"/>
    </row>
    <row r="383" spans="2:6">
      <c r="B383" s="179"/>
      <c r="C383" s="179"/>
      <c r="D383" s="179"/>
      <c r="E383" s="179"/>
      <c r="F383" s="179"/>
    </row>
    <row r="384" spans="2:6">
      <c r="B384" s="179"/>
      <c r="C384" s="179"/>
      <c r="D384" s="179"/>
      <c r="E384" s="179"/>
      <c r="F384" s="179"/>
    </row>
    <row r="385" spans="2:6">
      <c r="B385" s="179"/>
      <c r="C385" s="179"/>
      <c r="D385" s="179"/>
      <c r="E385" s="179"/>
      <c r="F385" s="179"/>
    </row>
  </sheetData>
  <protectedRanges>
    <protectedRange password="DCDF" sqref="B11:F12" name="Savings"/>
  </protectedRanges>
  <mergeCells count="2">
    <mergeCell ref="B21:F21"/>
    <mergeCell ref="D3:F6"/>
  </mergeCells>
  <conditionalFormatting sqref="B19:F20">
    <cfRule type="expression" dxfId="53" priority="17">
      <formula>B$140&gt;0</formula>
    </cfRule>
  </conditionalFormatting>
  <conditionalFormatting sqref="B20:F20 B22:F138">
    <cfRule type="expression" dxfId="52" priority="16">
      <formula>B$19&gt;0</formula>
    </cfRule>
  </conditionalFormatting>
  <conditionalFormatting sqref="B8">
    <cfRule type="expression" dxfId="51" priority="11">
      <formula>$B$92=1</formula>
    </cfRule>
  </conditionalFormatting>
  <conditionalFormatting sqref="B135:F138">
    <cfRule type="expression" dxfId="50" priority="94">
      <formula>B253=1</formula>
    </cfRule>
  </conditionalFormatting>
  <conditionalFormatting sqref="B127:F134">
    <cfRule type="expression" dxfId="49" priority="95">
      <formula>B253=1</formula>
    </cfRule>
  </conditionalFormatting>
  <conditionalFormatting sqref="B22:F138">
    <cfRule type="expression" dxfId="48" priority="96">
      <formula>B163=1</formula>
    </cfRule>
  </conditionalFormatting>
  <conditionalFormatting sqref="B3">
    <cfRule type="expression" dxfId="47" priority="97">
      <formula>$B$159=1</formula>
    </cfRule>
    <cfRule type="expression" dxfId="46" priority="98">
      <formula>$B$91=1</formula>
    </cfRule>
  </conditionalFormatting>
  <conditionalFormatting sqref="B7">
    <cfRule type="expression" dxfId="45" priority="99">
      <formula>$B$160=1</formula>
    </cfRule>
    <cfRule type="expression" dxfId="44" priority="100">
      <formula>$B$92=1</formula>
    </cfRule>
  </conditionalFormatting>
  <dataValidations xWindow="241" yWindow="742" count="3">
    <dataValidation allowBlank="1" showInputMessage="1" showErrorMessage="1" promptTitle="Office Electricity" prompt="The electricity data input here should be part of the total electricity onsite and not be additional to the data in the Data Entry Electricity tab" sqref="B22:F138"/>
    <dataValidation type="list" allowBlank="1" showInputMessage="1" showErrorMessage="1" sqref="B17:F17">
      <formula1>$G$149:$G$150</formula1>
    </dataValidation>
    <dataValidation type="list" allowBlank="1" showInputMessage="1" showErrorMessage="1" sqref="B11:F12">
      <formula1>$A$22:$A$138</formula1>
    </dataValidation>
  </dataValidations>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xWindow="241" yWindow="742" count="5">
        <x14:dataValidation type="list" allowBlank="1" showInputMessage="1" showErrorMessage="1">
          <x14:formula1>
            <xm:f>'Efficient Site Offices DD &amp; Cal'!$B$3:$B$6</xm:f>
          </x14:formula1>
          <xm:sqref>B13:F13</xm:sqref>
        </x14:dataValidation>
        <x14:dataValidation type="list" allowBlank="1" showInputMessage="1" showErrorMessage="1">
          <x14:formula1>
            <xm:f>'Fuel Equipment'!$B$51:$B$52</xm:f>
          </x14:formula1>
          <xm:sqref>B15:F15</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'Efficient Site Offices DD &amp; Cal'!B$9:B$33</xm:f>
          </x14:formula1>
          <xm:sqref>B14:F14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278"/>
  <sheetViews>
    <sheetView topLeftCell="A119" zoomScale="70" zoomScaleNormal="70" workbookViewId="0">
      <selection activeCell="F154" sqref="F154"/>
    </sheetView>
  </sheetViews>
  <sheetFormatPr defaultRowHeight="15"/>
  <cols>
    <col min="1" max="1" width="17" customWidth="1"/>
  </cols>
  <sheetData>
    <row r="3" spans="1:16">
      <c r="A3" t="s">
        <v>829</v>
      </c>
      <c r="B3" t="s">
        <v>830</v>
      </c>
      <c r="C3">
        <v>24</v>
      </c>
      <c r="E3" s="927" t="s">
        <v>904</v>
      </c>
      <c r="F3" s="927"/>
      <c r="G3" s="927"/>
      <c r="H3" s="927"/>
    </row>
    <row r="4" spans="1:16">
      <c r="B4" t="s">
        <v>831</v>
      </c>
      <c r="C4">
        <v>49</v>
      </c>
      <c r="E4" s="927"/>
      <c r="F4" s="927"/>
      <c r="G4" s="927"/>
      <c r="H4" s="927"/>
    </row>
    <row r="5" spans="1:16">
      <c r="B5" t="s">
        <v>832</v>
      </c>
      <c r="C5">
        <v>74</v>
      </c>
      <c r="E5" s="927"/>
      <c r="F5" s="927"/>
      <c r="G5" s="927"/>
      <c r="H5" s="927"/>
    </row>
    <row r="6" spans="1:16">
      <c r="B6" t="s">
        <v>833</v>
      </c>
      <c r="C6">
        <v>99</v>
      </c>
      <c r="E6" s="927"/>
      <c r="F6" s="927"/>
      <c r="G6" s="927"/>
      <c r="H6" s="927"/>
    </row>
    <row r="8" spans="1:16" ht="15" customHeight="1">
      <c r="A8" t="s">
        <v>834</v>
      </c>
      <c r="B8" t="str">
        <f>'Efficient Site Offices'!B10</f>
        <v xml:space="preserve">Eco Units Wernick </v>
      </c>
      <c r="C8" s="179" t="str">
        <f>'Efficient Site Offices'!C10</f>
        <v>Site Offices AD1</v>
      </c>
      <c r="D8" s="179" t="str">
        <f>'Efficient Site Offices'!D10</f>
        <v>Site Offices AD2</v>
      </c>
      <c r="E8" s="179" t="str">
        <f>'Efficient Site Offices'!E10</f>
        <v>Site Offices AD4</v>
      </c>
      <c r="F8" s="179">
        <f>'Efficient Site Offices'!F10</f>
        <v>0</v>
      </c>
      <c r="I8" t="str">
        <f>B3</f>
        <v>A Rated</v>
      </c>
      <c r="J8" t="str">
        <f>B4</f>
        <v>B Rated</v>
      </c>
      <c r="K8" t="str">
        <f>B5</f>
        <v>C Rated</v>
      </c>
      <c r="L8" t="str">
        <f>B6</f>
        <v>D Rated</v>
      </c>
      <c r="N8" s="927" t="s">
        <v>905</v>
      </c>
      <c r="O8" s="927"/>
      <c r="P8" s="927"/>
    </row>
    <row r="9" spans="1:16">
      <c r="B9">
        <f>IF('Efficient Site Offices'!B$13&gt;0,IF('Efficient Site Offices'!B$13='Efficient Site Offices DD &amp; Cal'!$I$8,'Efficient Site Offices DD &amp; Cal'!$I9,IF('Efficient Site Offices'!B$13='Efficient Site Offices DD &amp; Cal'!$J$8,'Efficient Site Offices DD &amp; Cal'!$J9,IF('Efficient Site Offices'!B$13='Efficient Site Offices DD &amp; Cal'!$K$8,'Efficient Site Offices DD &amp; Cal'!$K9,IF('Efficient Site Offices'!B$13='Efficient Site Offices DD &amp; Cal'!$L$8,'Efficient Site Offices DD &amp; Cal'!$L9,"ERROR")))),"NOT REQUIRED")</f>
        <v>25</v>
      </c>
      <c r="C9" s="179">
        <f>IF('Efficient Site Offices'!C$13&gt;0,IF('Efficient Site Offices'!C$13='Efficient Site Offices DD &amp; Cal'!$I$8,'Efficient Site Offices DD &amp; Cal'!$I9,IF('Efficient Site Offices'!C$13='Efficient Site Offices DD &amp; Cal'!$J$8,'Efficient Site Offices DD &amp; Cal'!$J9,IF('Efficient Site Offices'!C$13='Efficient Site Offices DD &amp; Cal'!$K$8,'Efficient Site Offices DD &amp; Cal'!$K9,IF('Efficient Site Offices'!C$13='Efficient Site Offices DD &amp; Cal'!$L$8,'Efficient Site Offices DD &amp; Cal'!$L9,"ERROR")))),"NOT REQUIRED")</f>
        <v>25</v>
      </c>
      <c r="D9" s="179">
        <f>IF('Efficient Site Offices'!D$13&gt;0,IF('Efficient Site Offices'!D$13='Efficient Site Offices DD &amp; Cal'!$I$8,'Efficient Site Offices DD &amp; Cal'!$I9,IF('Efficient Site Offices'!D$13='Efficient Site Offices DD &amp; Cal'!$J$8,'Efficient Site Offices DD &amp; Cal'!$J9,IF('Efficient Site Offices'!D$13='Efficient Site Offices DD &amp; Cal'!$K$8,'Efficient Site Offices DD &amp; Cal'!$K9,IF('Efficient Site Offices'!D$13='Efficient Site Offices DD &amp; Cal'!$L$8,'Efficient Site Offices DD &amp; Cal'!$L9,"ERROR")))),"NOT REQUIRED")</f>
        <v>25</v>
      </c>
      <c r="E9" s="179">
        <f>IF('Efficient Site Offices'!E$13&gt;0,IF('Efficient Site Offices'!E$13='Efficient Site Offices DD &amp; Cal'!$I$8,'Efficient Site Offices DD &amp; Cal'!$I9,IF('Efficient Site Offices'!E$13='Efficient Site Offices DD &amp; Cal'!$J$8,'Efficient Site Offices DD &amp; Cal'!$J9,IF('Efficient Site Offices'!E$13='Efficient Site Offices DD &amp; Cal'!$K$8,'Efficient Site Offices DD &amp; Cal'!$K9,IF('Efficient Site Offices'!E$13='Efficient Site Offices DD &amp; Cal'!$L$8,'Efficient Site Offices DD &amp; Cal'!$L9,"ERROR")))),"NOT REQUIRED")</f>
        <v>25</v>
      </c>
      <c r="F9" s="179" t="str">
        <f>IF('Efficient Site Offices'!F$13&gt;0,IF('Efficient Site Offices'!F$13='Efficient Site Offices DD &amp; Cal'!$I$8,'Efficient Site Offices DD &amp; Cal'!$I9,IF('Efficient Site Offices'!F$13='Efficient Site Offices DD &amp; Cal'!$J$8,'Efficient Site Offices DD &amp; Cal'!$J9,IF('Efficient Site Offices'!F$13='Efficient Site Offices DD &amp; Cal'!$K$8,'Efficient Site Offices DD &amp; Cal'!$K9,IF('Efficient Site Offices'!F$13='Efficient Site Offices DD &amp; Cal'!$L$8,'Efficient Site Offices DD &amp; Cal'!$L9,"ERROR")))),"NOT REQUIRED")</f>
        <v>NOT REQUIRED</v>
      </c>
      <c r="I9">
        <v>0</v>
      </c>
      <c r="J9">
        <v>25</v>
      </c>
      <c r="K9">
        <v>50</v>
      </c>
      <c r="L9">
        <v>75</v>
      </c>
      <c r="N9" s="927"/>
      <c r="O9" s="927"/>
      <c r="P9" s="927"/>
    </row>
    <row r="10" spans="1:16">
      <c r="B10" s="179">
        <f>IF('Efficient Site Offices'!B$13&gt;0,IF('Efficient Site Offices'!B$13='Efficient Site Offices DD &amp; Cal'!$I$8,'Efficient Site Offices DD &amp; Cal'!$I10,IF('Efficient Site Offices'!B$13='Efficient Site Offices DD &amp; Cal'!$J$8,'Efficient Site Offices DD &amp; Cal'!$J10,IF('Efficient Site Offices'!B$13='Efficient Site Offices DD &amp; Cal'!$K$8,'Efficient Site Offices DD &amp; Cal'!$K10,IF('Efficient Site Offices'!B$13='Efficient Site Offices DD &amp; Cal'!$L$8,'Efficient Site Offices DD &amp; Cal'!$L10,"ERROR")))),"NOT REQUIRED")</f>
        <v>26</v>
      </c>
      <c r="C10" s="179">
        <f>IF('Efficient Site Offices'!C$13&gt;0,IF('Efficient Site Offices'!C$13='Efficient Site Offices DD &amp; Cal'!$I$8,'Efficient Site Offices DD &amp; Cal'!$I10,IF('Efficient Site Offices'!C$13='Efficient Site Offices DD &amp; Cal'!$J$8,'Efficient Site Offices DD &amp; Cal'!$J10,IF('Efficient Site Offices'!C$13='Efficient Site Offices DD &amp; Cal'!$K$8,'Efficient Site Offices DD &amp; Cal'!$K10,IF('Efficient Site Offices'!C$13='Efficient Site Offices DD &amp; Cal'!$L$8,'Efficient Site Offices DD &amp; Cal'!$L10,"ERROR")))),"NOT REQUIRED")</f>
        <v>26</v>
      </c>
      <c r="D10" s="179">
        <f>IF('Efficient Site Offices'!D$13&gt;0,IF('Efficient Site Offices'!D$13='Efficient Site Offices DD &amp; Cal'!$I$8,'Efficient Site Offices DD &amp; Cal'!$I10,IF('Efficient Site Offices'!D$13='Efficient Site Offices DD &amp; Cal'!$J$8,'Efficient Site Offices DD &amp; Cal'!$J10,IF('Efficient Site Offices'!D$13='Efficient Site Offices DD &amp; Cal'!$K$8,'Efficient Site Offices DD &amp; Cal'!$K10,IF('Efficient Site Offices'!D$13='Efficient Site Offices DD &amp; Cal'!$L$8,'Efficient Site Offices DD &amp; Cal'!$L10,"ERROR")))),"NOT REQUIRED")</f>
        <v>26</v>
      </c>
      <c r="E10" s="179">
        <f>IF('Efficient Site Offices'!E$13&gt;0,IF('Efficient Site Offices'!E$13='Efficient Site Offices DD &amp; Cal'!$I$8,'Efficient Site Offices DD &amp; Cal'!$I10,IF('Efficient Site Offices'!E$13='Efficient Site Offices DD &amp; Cal'!$J$8,'Efficient Site Offices DD &amp; Cal'!$J10,IF('Efficient Site Offices'!E$13='Efficient Site Offices DD &amp; Cal'!$K$8,'Efficient Site Offices DD &amp; Cal'!$K10,IF('Efficient Site Offices'!E$13='Efficient Site Offices DD &amp; Cal'!$L$8,'Efficient Site Offices DD &amp; Cal'!$L10,"ERROR")))),"NOT REQUIRED")</f>
        <v>26</v>
      </c>
      <c r="F10" s="179" t="str">
        <f>IF('Efficient Site Offices'!F$13&gt;0,IF('Efficient Site Offices'!F$13='Efficient Site Offices DD &amp; Cal'!$I$8,'Efficient Site Offices DD &amp; Cal'!$I10,IF('Efficient Site Offices'!F$13='Efficient Site Offices DD &amp; Cal'!$J$8,'Efficient Site Offices DD &amp; Cal'!$J10,IF('Efficient Site Offices'!F$13='Efficient Site Offices DD &amp; Cal'!$K$8,'Efficient Site Offices DD &amp; Cal'!$K10,IF('Efficient Site Offices'!F$13='Efficient Site Offices DD &amp; Cal'!$L$8,'Efficient Site Offices DD &amp; Cal'!$L10,"ERROR")))),"NOT REQUIRED")</f>
        <v>NOT REQUIRED</v>
      </c>
      <c r="I10">
        <v>1</v>
      </c>
      <c r="J10">
        <v>26</v>
      </c>
      <c r="K10">
        <v>51</v>
      </c>
      <c r="L10">
        <v>76</v>
      </c>
      <c r="N10" s="927"/>
      <c r="O10" s="927"/>
      <c r="P10" s="927"/>
    </row>
    <row r="11" spans="1:16">
      <c r="B11" s="179">
        <f>IF('Efficient Site Offices'!B$13&gt;0,IF('Efficient Site Offices'!B$13='Efficient Site Offices DD &amp; Cal'!$I$8,'Efficient Site Offices DD &amp; Cal'!$I11,IF('Efficient Site Offices'!B$13='Efficient Site Offices DD &amp; Cal'!$J$8,'Efficient Site Offices DD &amp; Cal'!$J11,IF('Efficient Site Offices'!B$13='Efficient Site Offices DD &amp; Cal'!$K$8,'Efficient Site Offices DD &amp; Cal'!$K11,IF('Efficient Site Offices'!B$13='Efficient Site Offices DD &amp; Cal'!$L$8,'Efficient Site Offices DD &amp; Cal'!$L11,"ERROR")))),"NOT REQUIRED")</f>
        <v>27</v>
      </c>
      <c r="C11" s="179">
        <f>IF('Efficient Site Offices'!C$13&gt;0,IF('Efficient Site Offices'!C$13='Efficient Site Offices DD &amp; Cal'!$I$8,'Efficient Site Offices DD &amp; Cal'!$I11,IF('Efficient Site Offices'!C$13='Efficient Site Offices DD &amp; Cal'!$J$8,'Efficient Site Offices DD &amp; Cal'!$J11,IF('Efficient Site Offices'!C$13='Efficient Site Offices DD &amp; Cal'!$K$8,'Efficient Site Offices DD &amp; Cal'!$K11,IF('Efficient Site Offices'!C$13='Efficient Site Offices DD &amp; Cal'!$L$8,'Efficient Site Offices DD &amp; Cal'!$L11,"ERROR")))),"NOT REQUIRED")</f>
        <v>27</v>
      </c>
      <c r="D11" s="179">
        <f>IF('Efficient Site Offices'!D$13&gt;0,IF('Efficient Site Offices'!D$13='Efficient Site Offices DD &amp; Cal'!$I$8,'Efficient Site Offices DD &amp; Cal'!$I11,IF('Efficient Site Offices'!D$13='Efficient Site Offices DD &amp; Cal'!$J$8,'Efficient Site Offices DD &amp; Cal'!$J11,IF('Efficient Site Offices'!D$13='Efficient Site Offices DD &amp; Cal'!$K$8,'Efficient Site Offices DD &amp; Cal'!$K11,IF('Efficient Site Offices'!D$13='Efficient Site Offices DD &amp; Cal'!$L$8,'Efficient Site Offices DD &amp; Cal'!$L11,"ERROR")))),"NOT REQUIRED")</f>
        <v>27</v>
      </c>
      <c r="E11" s="179">
        <f>IF('Efficient Site Offices'!E$13&gt;0,IF('Efficient Site Offices'!E$13='Efficient Site Offices DD &amp; Cal'!$I$8,'Efficient Site Offices DD &amp; Cal'!$I11,IF('Efficient Site Offices'!E$13='Efficient Site Offices DD &amp; Cal'!$J$8,'Efficient Site Offices DD &amp; Cal'!$J11,IF('Efficient Site Offices'!E$13='Efficient Site Offices DD &amp; Cal'!$K$8,'Efficient Site Offices DD &amp; Cal'!$K11,IF('Efficient Site Offices'!E$13='Efficient Site Offices DD &amp; Cal'!$L$8,'Efficient Site Offices DD &amp; Cal'!$L11,"ERROR")))),"NOT REQUIRED")</f>
        <v>27</v>
      </c>
      <c r="F11" s="179" t="str">
        <f>IF('Efficient Site Offices'!F$13&gt;0,IF('Efficient Site Offices'!F$13='Efficient Site Offices DD &amp; Cal'!$I$8,'Efficient Site Offices DD &amp; Cal'!$I11,IF('Efficient Site Offices'!F$13='Efficient Site Offices DD &amp; Cal'!$J$8,'Efficient Site Offices DD &amp; Cal'!$J11,IF('Efficient Site Offices'!F$13='Efficient Site Offices DD &amp; Cal'!$K$8,'Efficient Site Offices DD &amp; Cal'!$K11,IF('Efficient Site Offices'!F$13='Efficient Site Offices DD &amp; Cal'!$L$8,'Efficient Site Offices DD &amp; Cal'!$L11,"ERROR")))),"NOT REQUIRED")</f>
        <v>NOT REQUIRED</v>
      </c>
      <c r="I11">
        <v>2</v>
      </c>
      <c r="J11">
        <v>27</v>
      </c>
      <c r="K11">
        <v>52</v>
      </c>
      <c r="L11">
        <v>77</v>
      </c>
      <c r="N11" s="927"/>
      <c r="O11" s="927"/>
      <c r="P11" s="927"/>
    </row>
    <row r="12" spans="1:16">
      <c r="B12" s="179">
        <f>IF('Efficient Site Offices'!B$13&gt;0,IF('Efficient Site Offices'!B$13='Efficient Site Offices DD &amp; Cal'!$I$8,'Efficient Site Offices DD &amp; Cal'!$I12,IF('Efficient Site Offices'!B$13='Efficient Site Offices DD &amp; Cal'!$J$8,'Efficient Site Offices DD &amp; Cal'!$J12,IF('Efficient Site Offices'!B$13='Efficient Site Offices DD &amp; Cal'!$K$8,'Efficient Site Offices DD &amp; Cal'!$K12,IF('Efficient Site Offices'!B$13='Efficient Site Offices DD &amp; Cal'!$L$8,'Efficient Site Offices DD &amp; Cal'!$L12,"ERROR")))),"NOT REQUIRED")</f>
        <v>28</v>
      </c>
      <c r="C12" s="179">
        <f>IF('Efficient Site Offices'!C$13&gt;0,IF('Efficient Site Offices'!C$13='Efficient Site Offices DD &amp; Cal'!$I$8,'Efficient Site Offices DD &amp; Cal'!$I12,IF('Efficient Site Offices'!C$13='Efficient Site Offices DD &amp; Cal'!$J$8,'Efficient Site Offices DD &amp; Cal'!$J12,IF('Efficient Site Offices'!C$13='Efficient Site Offices DD &amp; Cal'!$K$8,'Efficient Site Offices DD &amp; Cal'!$K12,IF('Efficient Site Offices'!C$13='Efficient Site Offices DD &amp; Cal'!$L$8,'Efficient Site Offices DD &amp; Cal'!$L12,"ERROR")))),"NOT REQUIRED")</f>
        <v>28</v>
      </c>
      <c r="D12" s="179">
        <f>IF('Efficient Site Offices'!D$13&gt;0,IF('Efficient Site Offices'!D$13='Efficient Site Offices DD &amp; Cal'!$I$8,'Efficient Site Offices DD &amp; Cal'!$I12,IF('Efficient Site Offices'!D$13='Efficient Site Offices DD &amp; Cal'!$J$8,'Efficient Site Offices DD &amp; Cal'!$J12,IF('Efficient Site Offices'!D$13='Efficient Site Offices DD &amp; Cal'!$K$8,'Efficient Site Offices DD &amp; Cal'!$K12,IF('Efficient Site Offices'!D$13='Efficient Site Offices DD &amp; Cal'!$L$8,'Efficient Site Offices DD &amp; Cal'!$L12,"ERROR")))),"NOT REQUIRED")</f>
        <v>28</v>
      </c>
      <c r="E12" s="179">
        <f>IF('Efficient Site Offices'!E$13&gt;0,IF('Efficient Site Offices'!E$13='Efficient Site Offices DD &amp; Cal'!$I$8,'Efficient Site Offices DD &amp; Cal'!$I12,IF('Efficient Site Offices'!E$13='Efficient Site Offices DD &amp; Cal'!$J$8,'Efficient Site Offices DD &amp; Cal'!$J12,IF('Efficient Site Offices'!E$13='Efficient Site Offices DD &amp; Cal'!$K$8,'Efficient Site Offices DD &amp; Cal'!$K12,IF('Efficient Site Offices'!E$13='Efficient Site Offices DD &amp; Cal'!$L$8,'Efficient Site Offices DD &amp; Cal'!$L12,"ERROR")))),"NOT REQUIRED")</f>
        <v>28</v>
      </c>
      <c r="F12" s="179" t="str">
        <f>IF('Efficient Site Offices'!F$13&gt;0,IF('Efficient Site Offices'!F$13='Efficient Site Offices DD &amp; Cal'!$I$8,'Efficient Site Offices DD &amp; Cal'!$I12,IF('Efficient Site Offices'!F$13='Efficient Site Offices DD &amp; Cal'!$J$8,'Efficient Site Offices DD &amp; Cal'!$J12,IF('Efficient Site Offices'!F$13='Efficient Site Offices DD &amp; Cal'!$K$8,'Efficient Site Offices DD &amp; Cal'!$K12,IF('Efficient Site Offices'!F$13='Efficient Site Offices DD &amp; Cal'!$L$8,'Efficient Site Offices DD &amp; Cal'!$L12,"ERROR")))),"NOT REQUIRED")</f>
        <v>NOT REQUIRED</v>
      </c>
      <c r="I12" s="179">
        <v>3</v>
      </c>
      <c r="J12" s="179">
        <v>28</v>
      </c>
      <c r="K12" s="179">
        <v>53</v>
      </c>
      <c r="L12" s="179">
        <v>78</v>
      </c>
      <c r="N12" s="927"/>
      <c r="O12" s="927"/>
      <c r="P12" s="927"/>
    </row>
    <row r="13" spans="1:16">
      <c r="B13" s="179">
        <f>IF('Efficient Site Offices'!B$13&gt;0,IF('Efficient Site Offices'!B$13='Efficient Site Offices DD &amp; Cal'!$I$8,'Efficient Site Offices DD &amp; Cal'!$I13,IF('Efficient Site Offices'!B$13='Efficient Site Offices DD &amp; Cal'!$J$8,'Efficient Site Offices DD &amp; Cal'!$J13,IF('Efficient Site Offices'!B$13='Efficient Site Offices DD &amp; Cal'!$K$8,'Efficient Site Offices DD &amp; Cal'!$K13,IF('Efficient Site Offices'!B$13='Efficient Site Offices DD &amp; Cal'!$L$8,'Efficient Site Offices DD &amp; Cal'!$L13,"ERROR")))),"NOT REQUIRED")</f>
        <v>29</v>
      </c>
      <c r="C13" s="179">
        <f>IF('Efficient Site Offices'!C$13&gt;0,IF('Efficient Site Offices'!C$13='Efficient Site Offices DD &amp; Cal'!$I$8,'Efficient Site Offices DD &amp; Cal'!$I13,IF('Efficient Site Offices'!C$13='Efficient Site Offices DD &amp; Cal'!$J$8,'Efficient Site Offices DD &amp; Cal'!$J13,IF('Efficient Site Offices'!C$13='Efficient Site Offices DD &amp; Cal'!$K$8,'Efficient Site Offices DD &amp; Cal'!$K13,IF('Efficient Site Offices'!C$13='Efficient Site Offices DD &amp; Cal'!$L$8,'Efficient Site Offices DD &amp; Cal'!$L13,"ERROR")))),"NOT REQUIRED")</f>
        <v>29</v>
      </c>
      <c r="D13" s="179">
        <f>IF('Efficient Site Offices'!D$13&gt;0,IF('Efficient Site Offices'!D$13='Efficient Site Offices DD &amp; Cal'!$I$8,'Efficient Site Offices DD &amp; Cal'!$I13,IF('Efficient Site Offices'!D$13='Efficient Site Offices DD &amp; Cal'!$J$8,'Efficient Site Offices DD &amp; Cal'!$J13,IF('Efficient Site Offices'!D$13='Efficient Site Offices DD &amp; Cal'!$K$8,'Efficient Site Offices DD &amp; Cal'!$K13,IF('Efficient Site Offices'!D$13='Efficient Site Offices DD &amp; Cal'!$L$8,'Efficient Site Offices DD &amp; Cal'!$L13,"ERROR")))),"NOT REQUIRED")</f>
        <v>29</v>
      </c>
      <c r="E13" s="179">
        <f>IF('Efficient Site Offices'!E$13&gt;0,IF('Efficient Site Offices'!E$13='Efficient Site Offices DD &amp; Cal'!$I$8,'Efficient Site Offices DD &amp; Cal'!$I13,IF('Efficient Site Offices'!E$13='Efficient Site Offices DD &amp; Cal'!$J$8,'Efficient Site Offices DD &amp; Cal'!$J13,IF('Efficient Site Offices'!E$13='Efficient Site Offices DD &amp; Cal'!$K$8,'Efficient Site Offices DD &amp; Cal'!$K13,IF('Efficient Site Offices'!E$13='Efficient Site Offices DD &amp; Cal'!$L$8,'Efficient Site Offices DD &amp; Cal'!$L13,"ERROR")))),"NOT REQUIRED")</f>
        <v>29</v>
      </c>
      <c r="F13" s="179" t="str">
        <f>IF('Efficient Site Offices'!F$13&gt;0,IF('Efficient Site Offices'!F$13='Efficient Site Offices DD &amp; Cal'!$I$8,'Efficient Site Offices DD &amp; Cal'!$I13,IF('Efficient Site Offices'!F$13='Efficient Site Offices DD &amp; Cal'!$J$8,'Efficient Site Offices DD &amp; Cal'!$J13,IF('Efficient Site Offices'!F$13='Efficient Site Offices DD &amp; Cal'!$K$8,'Efficient Site Offices DD &amp; Cal'!$K13,IF('Efficient Site Offices'!F$13='Efficient Site Offices DD &amp; Cal'!$L$8,'Efficient Site Offices DD &amp; Cal'!$L13,"ERROR")))),"NOT REQUIRED")</f>
        <v>NOT REQUIRED</v>
      </c>
      <c r="I13" s="179">
        <v>4</v>
      </c>
      <c r="J13" s="179">
        <v>29</v>
      </c>
      <c r="K13" s="179">
        <v>54</v>
      </c>
      <c r="L13" s="179">
        <v>79</v>
      </c>
      <c r="N13" s="927"/>
      <c r="O13" s="927"/>
      <c r="P13" s="927"/>
    </row>
    <row r="14" spans="1:16">
      <c r="B14" s="179">
        <f>IF('Efficient Site Offices'!B$13&gt;0,IF('Efficient Site Offices'!B$13='Efficient Site Offices DD &amp; Cal'!$I$8,'Efficient Site Offices DD &amp; Cal'!$I14,IF('Efficient Site Offices'!B$13='Efficient Site Offices DD &amp; Cal'!$J$8,'Efficient Site Offices DD &amp; Cal'!$J14,IF('Efficient Site Offices'!B$13='Efficient Site Offices DD &amp; Cal'!$K$8,'Efficient Site Offices DD &amp; Cal'!$K14,IF('Efficient Site Offices'!B$13='Efficient Site Offices DD &amp; Cal'!$L$8,'Efficient Site Offices DD &amp; Cal'!$L14,"ERROR")))),"NOT REQUIRED")</f>
        <v>30</v>
      </c>
      <c r="C14" s="179">
        <f>IF('Efficient Site Offices'!C$13&gt;0,IF('Efficient Site Offices'!C$13='Efficient Site Offices DD &amp; Cal'!$I$8,'Efficient Site Offices DD &amp; Cal'!$I14,IF('Efficient Site Offices'!C$13='Efficient Site Offices DD &amp; Cal'!$J$8,'Efficient Site Offices DD &amp; Cal'!$J14,IF('Efficient Site Offices'!C$13='Efficient Site Offices DD &amp; Cal'!$K$8,'Efficient Site Offices DD &amp; Cal'!$K14,IF('Efficient Site Offices'!C$13='Efficient Site Offices DD &amp; Cal'!$L$8,'Efficient Site Offices DD &amp; Cal'!$L14,"ERROR")))),"NOT REQUIRED")</f>
        <v>30</v>
      </c>
      <c r="D14" s="179">
        <f>IF('Efficient Site Offices'!D$13&gt;0,IF('Efficient Site Offices'!D$13='Efficient Site Offices DD &amp; Cal'!$I$8,'Efficient Site Offices DD &amp; Cal'!$I14,IF('Efficient Site Offices'!D$13='Efficient Site Offices DD &amp; Cal'!$J$8,'Efficient Site Offices DD &amp; Cal'!$J14,IF('Efficient Site Offices'!D$13='Efficient Site Offices DD &amp; Cal'!$K$8,'Efficient Site Offices DD &amp; Cal'!$K14,IF('Efficient Site Offices'!D$13='Efficient Site Offices DD &amp; Cal'!$L$8,'Efficient Site Offices DD &amp; Cal'!$L14,"ERROR")))),"NOT REQUIRED")</f>
        <v>30</v>
      </c>
      <c r="E14" s="179">
        <f>IF('Efficient Site Offices'!E$13&gt;0,IF('Efficient Site Offices'!E$13='Efficient Site Offices DD &amp; Cal'!$I$8,'Efficient Site Offices DD &amp; Cal'!$I14,IF('Efficient Site Offices'!E$13='Efficient Site Offices DD &amp; Cal'!$J$8,'Efficient Site Offices DD &amp; Cal'!$J14,IF('Efficient Site Offices'!E$13='Efficient Site Offices DD &amp; Cal'!$K$8,'Efficient Site Offices DD &amp; Cal'!$K14,IF('Efficient Site Offices'!E$13='Efficient Site Offices DD &amp; Cal'!$L$8,'Efficient Site Offices DD &amp; Cal'!$L14,"ERROR")))),"NOT REQUIRED")</f>
        <v>30</v>
      </c>
      <c r="F14" s="179" t="str">
        <f>IF('Efficient Site Offices'!F$13&gt;0,IF('Efficient Site Offices'!F$13='Efficient Site Offices DD &amp; Cal'!$I$8,'Efficient Site Offices DD &amp; Cal'!$I14,IF('Efficient Site Offices'!F$13='Efficient Site Offices DD &amp; Cal'!$J$8,'Efficient Site Offices DD &amp; Cal'!$J14,IF('Efficient Site Offices'!F$13='Efficient Site Offices DD &amp; Cal'!$K$8,'Efficient Site Offices DD &amp; Cal'!$K14,IF('Efficient Site Offices'!F$13='Efficient Site Offices DD &amp; Cal'!$L$8,'Efficient Site Offices DD &amp; Cal'!$L14,"ERROR")))),"NOT REQUIRED")</f>
        <v>NOT REQUIRED</v>
      </c>
      <c r="I14" s="179">
        <v>5</v>
      </c>
      <c r="J14" s="179">
        <v>30</v>
      </c>
      <c r="K14" s="179">
        <v>55</v>
      </c>
      <c r="L14" s="179">
        <v>80</v>
      </c>
      <c r="N14" s="927"/>
      <c r="O14" s="927"/>
      <c r="P14" s="927"/>
    </row>
    <row r="15" spans="1:16">
      <c r="B15" s="179">
        <f>IF('Efficient Site Offices'!B$13&gt;0,IF('Efficient Site Offices'!B$13='Efficient Site Offices DD &amp; Cal'!$I$8,'Efficient Site Offices DD &amp; Cal'!$I15,IF('Efficient Site Offices'!B$13='Efficient Site Offices DD &amp; Cal'!$J$8,'Efficient Site Offices DD &amp; Cal'!$J15,IF('Efficient Site Offices'!B$13='Efficient Site Offices DD &amp; Cal'!$K$8,'Efficient Site Offices DD &amp; Cal'!$K15,IF('Efficient Site Offices'!B$13='Efficient Site Offices DD &amp; Cal'!$L$8,'Efficient Site Offices DD &amp; Cal'!$L15,"ERROR")))),"NOT REQUIRED")</f>
        <v>31</v>
      </c>
      <c r="C15" s="179">
        <f>IF('Efficient Site Offices'!C$13&gt;0,IF('Efficient Site Offices'!C$13='Efficient Site Offices DD &amp; Cal'!$I$8,'Efficient Site Offices DD &amp; Cal'!$I15,IF('Efficient Site Offices'!C$13='Efficient Site Offices DD &amp; Cal'!$J$8,'Efficient Site Offices DD &amp; Cal'!$J15,IF('Efficient Site Offices'!C$13='Efficient Site Offices DD &amp; Cal'!$K$8,'Efficient Site Offices DD &amp; Cal'!$K15,IF('Efficient Site Offices'!C$13='Efficient Site Offices DD &amp; Cal'!$L$8,'Efficient Site Offices DD &amp; Cal'!$L15,"ERROR")))),"NOT REQUIRED")</f>
        <v>31</v>
      </c>
      <c r="D15" s="179">
        <f>IF('Efficient Site Offices'!D$13&gt;0,IF('Efficient Site Offices'!D$13='Efficient Site Offices DD &amp; Cal'!$I$8,'Efficient Site Offices DD &amp; Cal'!$I15,IF('Efficient Site Offices'!D$13='Efficient Site Offices DD &amp; Cal'!$J$8,'Efficient Site Offices DD &amp; Cal'!$J15,IF('Efficient Site Offices'!D$13='Efficient Site Offices DD &amp; Cal'!$K$8,'Efficient Site Offices DD &amp; Cal'!$K15,IF('Efficient Site Offices'!D$13='Efficient Site Offices DD &amp; Cal'!$L$8,'Efficient Site Offices DD &amp; Cal'!$L15,"ERROR")))),"NOT REQUIRED")</f>
        <v>31</v>
      </c>
      <c r="E15" s="179">
        <f>IF('Efficient Site Offices'!E$13&gt;0,IF('Efficient Site Offices'!E$13='Efficient Site Offices DD &amp; Cal'!$I$8,'Efficient Site Offices DD &amp; Cal'!$I15,IF('Efficient Site Offices'!E$13='Efficient Site Offices DD &amp; Cal'!$J$8,'Efficient Site Offices DD &amp; Cal'!$J15,IF('Efficient Site Offices'!E$13='Efficient Site Offices DD &amp; Cal'!$K$8,'Efficient Site Offices DD &amp; Cal'!$K15,IF('Efficient Site Offices'!E$13='Efficient Site Offices DD &amp; Cal'!$L$8,'Efficient Site Offices DD &amp; Cal'!$L15,"ERROR")))),"NOT REQUIRED")</f>
        <v>31</v>
      </c>
      <c r="F15" s="179" t="str">
        <f>IF('Efficient Site Offices'!F$13&gt;0,IF('Efficient Site Offices'!F$13='Efficient Site Offices DD &amp; Cal'!$I$8,'Efficient Site Offices DD &amp; Cal'!$I15,IF('Efficient Site Offices'!F$13='Efficient Site Offices DD &amp; Cal'!$J$8,'Efficient Site Offices DD &amp; Cal'!$J15,IF('Efficient Site Offices'!F$13='Efficient Site Offices DD &amp; Cal'!$K$8,'Efficient Site Offices DD &amp; Cal'!$K15,IF('Efficient Site Offices'!F$13='Efficient Site Offices DD &amp; Cal'!$L$8,'Efficient Site Offices DD &amp; Cal'!$L15,"ERROR")))),"NOT REQUIRED")</f>
        <v>NOT REQUIRED</v>
      </c>
      <c r="I15" s="179">
        <v>6</v>
      </c>
      <c r="J15" s="179">
        <v>31</v>
      </c>
      <c r="K15" s="179">
        <v>56</v>
      </c>
      <c r="L15" s="179">
        <v>81</v>
      </c>
      <c r="N15" s="927"/>
      <c r="O15" s="927"/>
      <c r="P15" s="927"/>
    </row>
    <row r="16" spans="1:16">
      <c r="B16" s="179">
        <f>IF('Efficient Site Offices'!B$13&gt;0,IF('Efficient Site Offices'!B$13='Efficient Site Offices DD &amp; Cal'!$I$8,'Efficient Site Offices DD &amp; Cal'!$I16,IF('Efficient Site Offices'!B$13='Efficient Site Offices DD &amp; Cal'!$J$8,'Efficient Site Offices DD &amp; Cal'!$J16,IF('Efficient Site Offices'!B$13='Efficient Site Offices DD &amp; Cal'!$K$8,'Efficient Site Offices DD &amp; Cal'!$K16,IF('Efficient Site Offices'!B$13='Efficient Site Offices DD &amp; Cal'!$L$8,'Efficient Site Offices DD &amp; Cal'!$L16,"ERROR")))),"NOT REQUIRED")</f>
        <v>32</v>
      </c>
      <c r="C16" s="179">
        <f>IF('Efficient Site Offices'!C$13&gt;0,IF('Efficient Site Offices'!C$13='Efficient Site Offices DD &amp; Cal'!$I$8,'Efficient Site Offices DD &amp; Cal'!$I16,IF('Efficient Site Offices'!C$13='Efficient Site Offices DD &amp; Cal'!$J$8,'Efficient Site Offices DD &amp; Cal'!$J16,IF('Efficient Site Offices'!C$13='Efficient Site Offices DD &amp; Cal'!$K$8,'Efficient Site Offices DD &amp; Cal'!$K16,IF('Efficient Site Offices'!C$13='Efficient Site Offices DD &amp; Cal'!$L$8,'Efficient Site Offices DD &amp; Cal'!$L16,"ERROR")))),"NOT REQUIRED")</f>
        <v>32</v>
      </c>
      <c r="D16" s="179">
        <f>IF('Efficient Site Offices'!D$13&gt;0,IF('Efficient Site Offices'!D$13='Efficient Site Offices DD &amp; Cal'!$I$8,'Efficient Site Offices DD &amp; Cal'!$I16,IF('Efficient Site Offices'!D$13='Efficient Site Offices DD &amp; Cal'!$J$8,'Efficient Site Offices DD &amp; Cal'!$J16,IF('Efficient Site Offices'!D$13='Efficient Site Offices DD &amp; Cal'!$K$8,'Efficient Site Offices DD &amp; Cal'!$K16,IF('Efficient Site Offices'!D$13='Efficient Site Offices DD &amp; Cal'!$L$8,'Efficient Site Offices DD &amp; Cal'!$L16,"ERROR")))),"NOT REQUIRED")</f>
        <v>32</v>
      </c>
      <c r="E16" s="179">
        <f>IF('Efficient Site Offices'!E$13&gt;0,IF('Efficient Site Offices'!E$13='Efficient Site Offices DD &amp; Cal'!$I$8,'Efficient Site Offices DD &amp; Cal'!$I16,IF('Efficient Site Offices'!E$13='Efficient Site Offices DD &amp; Cal'!$J$8,'Efficient Site Offices DD &amp; Cal'!$J16,IF('Efficient Site Offices'!E$13='Efficient Site Offices DD &amp; Cal'!$K$8,'Efficient Site Offices DD &amp; Cal'!$K16,IF('Efficient Site Offices'!E$13='Efficient Site Offices DD &amp; Cal'!$L$8,'Efficient Site Offices DD &amp; Cal'!$L16,"ERROR")))),"NOT REQUIRED")</f>
        <v>32</v>
      </c>
      <c r="F16" s="179" t="str">
        <f>IF('Efficient Site Offices'!F$13&gt;0,IF('Efficient Site Offices'!F$13='Efficient Site Offices DD &amp; Cal'!$I$8,'Efficient Site Offices DD &amp; Cal'!$I16,IF('Efficient Site Offices'!F$13='Efficient Site Offices DD &amp; Cal'!$J$8,'Efficient Site Offices DD &amp; Cal'!$J16,IF('Efficient Site Offices'!F$13='Efficient Site Offices DD &amp; Cal'!$K$8,'Efficient Site Offices DD &amp; Cal'!$K16,IF('Efficient Site Offices'!F$13='Efficient Site Offices DD &amp; Cal'!$L$8,'Efficient Site Offices DD &amp; Cal'!$L16,"ERROR")))),"NOT REQUIRED")</f>
        <v>NOT REQUIRED</v>
      </c>
      <c r="I16" s="179">
        <v>7</v>
      </c>
      <c r="J16" s="179">
        <v>32</v>
      </c>
      <c r="K16" s="179">
        <v>57</v>
      </c>
      <c r="L16" s="179">
        <v>82</v>
      </c>
      <c r="N16" s="927"/>
      <c r="O16" s="927"/>
      <c r="P16" s="927"/>
    </row>
    <row r="17" spans="2:16">
      <c r="B17" s="179">
        <f>IF('Efficient Site Offices'!B$13&gt;0,IF('Efficient Site Offices'!B$13='Efficient Site Offices DD &amp; Cal'!$I$8,'Efficient Site Offices DD &amp; Cal'!$I17,IF('Efficient Site Offices'!B$13='Efficient Site Offices DD &amp; Cal'!$J$8,'Efficient Site Offices DD &amp; Cal'!$J17,IF('Efficient Site Offices'!B$13='Efficient Site Offices DD &amp; Cal'!$K$8,'Efficient Site Offices DD &amp; Cal'!$K17,IF('Efficient Site Offices'!B$13='Efficient Site Offices DD &amp; Cal'!$L$8,'Efficient Site Offices DD &amp; Cal'!$L17,"ERROR")))),"NOT REQUIRED")</f>
        <v>33</v>
      </c>
      <c r="C17" s="179">
        <f>IF('Efficient Site Offices'!C$13&gt;0,IF('Efficient Site Offices'!C$13='Efficient Site Offices DD &amp; Cal'!$I$8,'Efficient Site Offices DD &amp; Cal'!$I17,IF('Efficient Site Offices'!C$13='Efficient Site Offices DD &amp; Cal'!$J$8,'Efficient Site Offices DD &amp; Cal'!$J17,IF('Efficient Site Offices'!C$13='Efficient Site Offices DD &amp; Cal'!$K$8,'Efficient Site Offices DD &amp; Cal'!$K17,IF('Efficient Site Offices'!C$13='Efficient Site Offices DD &amp; Cal'!$L$8,'Efficient Site Offices DD &amp; Cal'!$L17,"ERROR")))),"NOT REQUIRED")</f>
        <v>33</v>
      </c>
      <c r="D17" s="179">
        <f>IF('Efficient Site Offices'!D$13&gt;0,IF('Efficient Site Offices'!D$13='Efficient Site Offices DD &amp; Cal'!$I$8,'Efficient Site Offices DD &amp; Cal'!$I17,IF('Efficient Site Offices'!D$13='Efficient Site Offices DD &amp; Cal'!$J$8,'Efficient Site Offices DD &amp; Cal'!$J17,IF('Efficient Site Offices'!D$13='Efficient Site Offices DD &amp; Cal'!$K$8,'Efficient Site Offices DD &amp; Cal'!$K17,IF('Efficient Site Offices'!D$13='Efficient Site Offices DD &amp; Cal'!$L$8,'Efficient Site Offices DD &amp; Cal'!$L17,"ERROR")))),"NOT REQUIRED")</f>
        <v>33</v>
      </c>
      <c r="E17" s="179">
        <f>IF('Efficient Site Offices'!E$13&gt;0,IF('Efficient Site Offices'!E$13='Efficient Site Offices DD &amp; Cal'!$I$8,'Efficient Site Offices DD &amp; Cal'!$I17,IF('Efficient Site Offices'!E$13='Efficient Site Offices DD &amp; Cal'!$J$8,'Efficient Site Offices DD &amp; Cal'!$J17,IF('Efficient Site Offices'!E$13='Efficient Site Offices DD &amp; Cal'!$K$8,'Efficient Site Offices DD &amp; Cal'!$K17,IF('Efficient Site Offices'!E$13='Efficient Site Offices DD &amp; Cal'!$L$8,'Efficient Site Offices DD &amp; Cal'!$L17,"ERROR")))),"NOT REQUIRED")</f>
        <v>33</v>
      </c>
      <c r="F17" s="179" t="str">
        <f>IF('Efficient Site Offices'!F$13&gt;0,IF('Efficient Site Offices'!F$13='Efficient Site Offices DD &amp; Cal'!$I$8,'Efficient Site Offices DD &amp; Cal'!$I17,IF('Efficient Site Offices'!F$13='Efficient Site Offices DD &amp; Cal'!$J$8,'Efficient Site Offices DD &amp; Cal'!$J17,IF('Efficient Site Offices'!F$13='Efficient Site Offices DD &amp; Cal'!$K$8,'Efficient Site Offices DD &amp; Cal'!$K17,IF('Efficient Site Offices'!F$13='Efficient Site Offices DD &amp; Cal'!$L$8,'Efficient Site Offices DD &amp; Cal'!$L17,"ERROR")))),"NOT REQUIRED")</f>
        <v>NOT REQUIRED</v>
      </c>
      <c r="I17" s="179">
        <v>8</v>
      </c>
      <c r="J17" s="179">
        <v>33</v>
      </c>
      <c r="K17" s="179">
        <v>58</v>
      </c>
      <c r="L17" s="179">
        <v>83</v>
      </c>
      <c r="N17" s="927"/>
      <c r="O17" s="927"/>
      <c r="P17" s="927"/>
    </row>
    <row r="18" spans="2:16">
      <c r="B18" s="179">
        <f>IF('Efficient Site Offices'!B$13&gt;0,IF('Efficient Site Offices'!B$13='Efficient Site Offices DD &amp; Cal'!$I$8,'Efficient Site Offices DD &amp; Cal'!$I18,IF('Efficient Site Offices'!B$13='Efficient Site Offices DD &amp; Cal'!$J$8,'Efficient Site Offices DD &amp; Cal'!$J18,IF('Efficient Site Offices'!B$13='Efficient Site Offices DD &amp; Cal'!$K$8,'Efficient Site Offices DD &amp; Cal'!$K18,IF('Efficient Site Offices'!B$13='Efficient Site Offices DD &amp; Cal'!$L$8,'Efficient Site Offices DD &amp; Cal'!$L18,"ERROR")))),"NOT REQUIRED")</f>
        <v>34</v>
      </c>
      <c r="C18" s="179">
        <f>IF('Efficient Site Offices'!C$13&gt;0,IF('Efficient Site Offices'!C$13='Efficient Site Offices DD &amp; Cal'!$I$8,'Efficient Site Offices DD &amp; Cal'!$I18,IF('Efficient Site Offices'!C$13='Efficient Site Offices DD &amp; Cal'!$J$8,'Efficient Site Offices DD &amp; Cal'!$J18,IF('Efficient Site Offices'!C$13='Efficient Site Offices DD &amp; Cal'!$K$8,'Efficient Site Offices DD &amp; Cal'!$K18,IF('Efficient Site Offices'!C$13='Efficient Site Offices DD &amp; Cal'!$L$8,'Efficient Site Offices DD &amp; Cal'!$L18,"ERROR")))),"NOT REQUIRED")</f>
        <v>34</v>
      </c>
      <c r="D18" s="179">
        <f>IF('Efficient Site Offices'!D$13&gt;0,IF('Efficient Site Offices'!D$13='Efficient Site Offices DD &amp; Cal'!$I$8,'Efficient Site Offices DD &amp; Cal'!$I18,IF('Efficient Site Offices'!D$13='Efficient Site Offices DD &amp; Cal'!$J$8,'Efficient Site Offices DD &amp; Cal'!$J18,IF('Efficient Site Offices'!D$13='Efficient Site Offices DD &amp; Cal'!$K$8,'Efficient Site Offices DD &amp; Cal'!$K18,IF('Efficient Site Offices'!D$13='Efficient Site Offices DD &amp; Cal'!$L$8,'Efficient Site Offices DD &amp; Cal'!$L18,"ERROR")))),"NOT REQUIRED")</f>
        <v>34</v>
      </c>
      <c r="E18" s="179">
        <f>IF('Efficient Site Offices'!E$13&gt;0,IF('Efficient Site Offices'!E$13='Efficient Site Offices DD &amp; Cal'!$I$8,'Efficient Site Offices DD &amp; Cal'!$I18,IF('Efficient Site Offices'!E$13='Efficient Site Offices DD &amp; Cal'!$J$8,'Efficient Site Offices DD &amp; Cal'!$J18,IF('Efficient Site Offices'!E$13='Efficient Site Offices DD &amp; Cal'!$K$8,'Efficient Site Offices DD &amp; Cal'!$K18,IF('Efficient Site Offices'!E$13='Efficient Site Offices DD &amp; Cal'!$L$8,'Efficient Site Offices DD &amp; Cal'!$L18,"ERROR")))),"NOT REQUIRED")</f>
        <v>34</v>
      </c>
      <c r="F18" s="179" t="str">
        <f>IF('Efficient Site Offices'!F$13&gt;0,IF('Efficient Site Offices'!F$13='Efficient Site Offices DD &amp; Cal'!$I$8,'Efficient Site Offices DD &amp; Cal'!$I18,IF('Efficient Site Offices'!F$13='Efficient Site Offices DD &amp; Cal'!$J$8,'Efficient Site Offices DD &amp; Cal'!$J18,IF('Efficient Site Offices'!F$13='Efficient Site Offices DD &amp; Cal'!$K$8,'Efficient Site Offices DD &amp; Cal'!$K18,IF('Efficient Site Offices'!F$13='Efficient Site Offices DD &amp; Cal'!$L$8,'Efficient Site Offices DD &amp; Cal'!$L18,"ERROR")))),"NOT REQUIRED")</f>
        <v>NOT REQUIRED</v>
      </c>
      <c r="I18" s="179">
        <v>9</v>
      </c>
      <c r="J18" s="179">
        <v>34</v>
      </c>
      <c r="K18" s="179">
        <v>59</v>
      </c>
      <c r="L18" s="179">
        <v>84</v>
      </c>
      <c r="N18" s="927"/>
      <c r="O18" s="927"/>
      <c r="P18" s="927"/>
    </row>
    <row r="19" spans="2:16">
      <c r="B19" s="179">
        <f>IF('Efficient Site Offices'!B$13&gt;0,IF('Efficient Site Offices'!B$13='Efficient Site Offices DD &amp; Cal'!$I$8,'Efficient Site Offices DD &amp; Cal'!$I19,IF('Efficient Site Offices'!B$13='Efficient Site Offices DD &amp; Cal'!$J$8,'Efficient Site Offices DD &amp; Cal'!$J19,IF('Efficient Site Offices'!B$13='Efficient Site Offices DD &amp; Cal'!$K$8,'Efficient Site Offices DD &amp; Cal'!$K19,IF('Efficient Site Offices'!B$13='Efficient Site Offices DD &amp; Cal'!$L$8,'Efficient Site Offices DD &amp; Cal'!$L19,"ERROR")))),"NOT REQUIRED")</f>
        <v>35</v>
      </c>
      <c r="C19" s="179">
        <f>IF('Efficient Site Offices'!C$13&gt;0,IF('Efficient Site Offices'!C$13='Efficient Site Offices DD &amp; Cal'!$I$8,'Efficient Site Offices DD &amp; Cal'!$I19,IF('Efficient Site Offices'!C$13='Efficient Site Offices DD &amp; Cal'!$J$8,'Efficient Site Offices DD &amp; Cal'!$J19,IF('Efficient Site Offices'!C$13='Efficient Site Offices DD &amp; Cal'!$K$8,'Efficient Site Offices DD &amp; Cal'!$K19,IF('Efficient Site Offices'!C$13='Efficient Site Offices DD &amp; Cal'!$L$8,'Efficient Site Offices DD &amp; Cal'!$L19,"ERROR")))),"NOT REQUIRED")</f>
        <v>35</v>
      </c>
      <c r="D19" s="179">
        <f>IF('Efficient Site Offices'!D$13&gt;0,IF('Efficient Site Offices'!D$13='Efficient Site Offices DD &amp; Cal'!$I$8,'Efficient Site Offices DD &amp; Cal'!$I19,IF('Efficient Site Offices'!D$13='Efficient Site Offices DD &amp; Cal'!$J$8,'Efficient Site Offices DD &amp; Cal'!$J19,IF('Efficient Site Offices'!D$13='Efficient Site Offices DD &amp; Cal'!$K$8,'Efficient Site Offices DD &amp; Cal'!$K19,IF('Efficient Site Offices'!D$13='Efficient Site Offices DD &amp; Cal'!$L$8,'Efficient Site Offices DD &amp; Cal'!$L19,"ERROR")))),"NOT REQUIRED")</f>
        <v>35</v>
      </c>
      <c r="E19" s="179">
        <f>IF('Efficient Site Offices'!E$13&gt;0,IF('Efficient Site Offices'!E$13='Efficient Site Offices DD &amp; Cal'!$I$8,'Efficient Site Offices DD &amp; Cal'!$I19,IF('Efficient Site Offices'!E$13='Efficient Site Offices DD &amp; Cal'!$J$8,'Efficient Site Offices DD &amp; Cal'!$J19,IF('Efficient Site Offices'!E$13='Efficient Site Offices DD &amp; Cal'!$K$8,'Efficient Site Offices DD &amp; Cal'!$K19,IF('Efficient Site Offices'!E$13='Efficient Site Offices DD &amp; Cal'!$L$8,'Efficient Site Offices DD &amp; Cal'!$L19,"ERROR")))),"NOT REQUIRED")</f>
        <v>35</v>
      </c>
      <c r="F19" s="179" t="str">
        <f>IF('Efficient Site Offices'!F$13&gt;0,IF('Efficient Site Offices'!F$13='Efficient Site Offices DD &amp; Cal'!$I$8,'Efficient Site Offices DD &amp; Cal'!$I19,IF('Efficient Site Offices'!F$13='Efficient Site Offices DD &amp; Cal'!$J$8,'Efficient Site Offices DD &amp; Cal'!$J19,IF('Efficient Site Offices'!F$13='Efficient Site Offices DD &amp; Cal'!$K$8,'Efficient Site Offices DD &amp; Cal'!$K19,IF('Efficient Site Offices'!F$13='Efficient Site Offices DD &amp; Cal'!$L$8,'Efficient Site Offices DD &amp; Cal'!$L19,"ERROR")))),"NOT REQUIRED")</f>
        <v>NOT REQUIRED</v>
      </c>
      <c r="I19" s="179">
        <v>10</v>
      </c>
      <c r="J19" s="179">
        <v>35</v>
      </c>
      <c r="K19" s="179">
        <v>60</v>
      </c>
      <c r="L19" s="179">
        <v>85</v>
      </c>
      <c r="N19" s="927"/>
      <c r="O19" s="927"/>
      <c r="P19" s="927"/>
    </row>
    <row r="20" spans="2:16">
      <c r="B20" s="179">
        <f>IF('Efficient Site Offices'!B$13&gt;0,IF('Efficient Site Offices'!B$13='Efficient Site Offices DD &amp; Cal'!$I$8,'Efficient Site Offices DD &amp; Cal'!$I20,IF('Efficient Site Offices'!B$13='Efficient Site Offices DD &amp; Cal'!$J$8,'Efficient Site Offices DD &amp; Cal'!$J20,IF('Efficient Site Offices'!B$13='Efficient Site Offices DD &amp; Cal'!$K$8,'Efficient Site Offices DD &amp; Cal'!$K20,IF('Efficient Site Offices'!B$13='Efficient Site Offices DD &amp; Cal'!$L$8,'Efficient Site Offices DD &amp; Cal'!$L20,"ERROR")))),"NOT REQUIRED")</f>
        <v>36</v>
      </c>
      <c r="C20" s="179">
        <f>IF('Efficient Site Offices'!C$13&gt;0,IF('Efficient Site Offices'!C$13='Efficient Site Offices DD &amp; Cal'!$I$8,'Efficient Site Offices DD &amp; Cal'!$I20,IF('Efficient Site Offices'!C$13='Efficient Site Offices DD &amp; Cal'!$J$8,'Efficient Site Offices DD &amp; Cal'!$J20,IF('Efficient Site Offices'!C$13='Efficient Site Offices DD &amp; Cal'!$K$8,'Efficient Site Offices DD &amp; Cal'!$K20,IF('Efficient Site Offices'!C$13='Efficient Site Offices DD &amp; Cal'!$L$8,'Efficient Site Offices DD &amp; Cal'!$L20,"ERROR")))),"NOT REQUIRED")</f>
        <v>36</v>
      </c>
      <c r="D20" s="179">
        <f>IF('Efficient Site Offices'!D$13&gt;0,IF('Efficient Site Offices'!D$13='Efficient Site Offices DD &amp; Cal'!$I$8,'Efficient Site Offices DD &amp; Cal'!$I20,IF('Efficient Site Offices'!D$13='Efficient Site Offices DD &amp; Cal'!$J$8,'Efficient Site Offices DD &amp; Cal'!$J20,IF('Efficient Site Offices'!D$13='Efficient Site Offices DD &amp; Cal'!$K$8,'Efficient Site Offices DD &amp; Cal'!$K20,IF('Efficient Site Offices'!D$13='Efficient Site Offices DD &amp; Cal'!$L$8,'Efficient Site Offices DD &amp; Cal'!$L20,"ERROR")))),"NOT REQUIRED")</f>
        <v>36</v>
      </c>
      <c r="E20" s="179">
        <f>IF('Efficient Site Offices'!E$13&gt;0,IF('Efficient Site Offices'!E$13='Efficient Site Offices DD &amp; Cal'!$I$8,'Efficient Site Offices DD &amp; Cal'!$I20,IF('Efficient Site Offices'!E$13='Efficient Site Offices DD &amp; Cal'!$J$8,'Efficient Site Offices DD &amp; Cal'!$J20,IF('Efficient Site Offices'!E$13='Efficient Site Offices DD &amp; Cal'!$K$8,'Efficient Site Offices DD &amp; Cal'!$K20,IF('Efficient Site Offices'!E$13='Efficient Site Offices DD &amp; Cal'!$L$8,'Efficient Site Offices DD &amp; Cal'!$L20,"ERROR")))),"NOT REQUIRED")</f>
        <v>36</v>
      </c>
      <c r="F20" s="179" t="str">
        <f>IF('Efficient Site Offices'!F$13&gt;0,IF('Efficient Site Offices'!F$13='Efficient Site Offices DD &amp; Cal'!$I$8,'Efficient Site Offices DD &amp; Cal'!$I20,IF('Efficient Site Offices'!F$13='Efficient Site Offices DD &amp; Cal'!$J$8,'Efficient Site Offices DD &amp; Cal'!$J20,IF('Efficient Site Offices'!F$13='Efficient Site Offices DD &amp; Cal'!$K$8,'Efficient Site Offices DD &amp; Cal'!$K20,IF('Efficient Site Offices'!F$13='Efficient Site Offices DD &amp; Cal'!$L$8,'Efficient Site Offices DD &amp; Cal'!$L20,"ERROR")))),"NOT REQUIRED")</f>
        <v>NOT REQUIRED</v>
      </c>
      <c r="I20" s="179">
        <v>11</v>
      </c>
      <c r="J20" s="179">
        <v>36</v>
      </c>
      <c r="K20" s="179">
        <v>61</v>
      </c>
      <c r="L20" s="179">
        <v>86</v>
      </c>
      <c r="N20" s="927"/>
      <c r="O20" s="927"/>
      <c r="P20" s="927"/>
    </row>
    <row r="21" spans="2:16">
      <c r="B21" s="179">
        <f>IF('Efficient Site Offices'!B$13&gt;0,IF('Efficient Site Offices'!B$13='Efficient Site Offices DD &amp; Cal'!$I$8,'Efficient Site Offices DD &amp; Cal'!$I21,IF('Efficient Site Offices'!B$13='Efficient Site Offices DD &amp; Cal'!$J$8,'Efficient Site Offices DD &amp; Cal'!$J21,IF('Efficient Site Offices'!B$13='Efficient Site Offices DD &amp; Cal'!$K$8,'Efficient Site Offices DD &amp; Cal'!$K21,IF('Efficient Site Offices'!B$13='Efficient Site Offices DD &amp; Cal'!$L$8,'Efficient Site Offices DD &amp; Cal'!$L21,"ERROR")))),"NOT REQUIRED")</f>
        <v>37</v>
      </c>
      <c r="C21" s="179">
        <f>IF('Efficient Site Offices'!C$13&gt;0,IF('Efficient Site Offices'!C$13='Efficient Site Offices DD &amp; Cal'!$I$8,'Efficient Site Offices DD &amp; Cal'!$I21,IF('Efficient Site Offices'!C$13='Efficient Site Offices DD &amp; Cal'!$J$8,'Efficient Site Offices DD &amp; Cal'!$J21,IF('Efficient Site Offices'!C$13='Efficient Site Offices DD &amp; Cal'!$K$8,'Efficient Site Offices DD &amp; Cal'!$K21,IF('Efficient Site Offices'!C$13='Efficient Site Offices DD &amp; Cal'!$L$8,'Efficient Site Offices DD &amp; Cal'!$L21,"ERROR")))),"NOT REQUIRED")</f>
        <v>37</v>
      </c>
      <c r="D21" s="179">
        <f>IF('Efficient Site Offices'!D$13&gt;0,IF('Efficient Site Offices'!D$13='Efficient Site Offices DD &amp; Cal'!$I$8,'Efficient Site Offices DD &amp; Cal'!$I21,IF('Efficient Site Offices'!D$13='Efficient Site Offices DD &amp; Cal'!$J$8,'Efficient Site Offices DD &amp; Cal'!$J21,IF('Efficient Site Offices'!D$13='Efficient Site Offices DD &amp; Cal'!$K$8,'Efficient Site Offices DD &amp; Cal'!$K21,IF('Efficient Site Offices'!D$13='Efficient Site Offices DD &amp; Cal'!$L$8,'Efficient Site Offices DD &amp; Cal'!$L21,"ERROR")))),"NOT REQUIRED")</f>
        <v>37</v>
      </c>
      <c r="E21" s="179">
        <f>IF('Efficient Site Offices'!E$13&gt;0,IF('Efficient Site Offices'!E$13='Efficient Site Offices DD &amp; Cal'!$I$8,'Efficient Site Offices DD &amp; Cal'!$I21,IF('Efficient Site Offices'!E$13='Efficient Site Offices DD &amp; Cal'!$J$8,'Efficient Site Offices DD &amp; Cal'!$J21,IF('Efficient Site Offices'!E$13='Efficient Site Offices DD &amp; Cal'!$K$8,'Efficient Site Offices DD &amp; Cal'!$K21,IF('Efficient Site Offices'!E$13='Efficient Site Offices DD &amp; Cal'!$L$8,'Efficient Site Offices DD &amp; Cal'!$L21,"ERROR")))),"NOT REQUIRED")</f>
        <v>37</v>
      </c>
      <c r="F21" s="179" t="str">
        <f>IF('Efficient Site Offices'!F$13&gt;0,IF('Efficient Site Offices'!F$13='Efficient Site Offices DD &amp; Cal'!$I$8,'Efficient Site Offices DD &amp; Cal'!$I21,IF('Efficient Site Offices'!F$13='Efficient Site Offices DD &amp; Cal'!$J$8,'Efficient Site Offices DD &amp; Cal'!$J21,IF('Efficient Site Offices'!F$13='Efficient Site Offices DD &amp; Cal'!$K$8,'Efficient Site Offices DD &amp; Cal'!$K21,IF('Efficient Site Offices'!F$13='Efficient Site Offices DD &amp; Cal'!$L$8,'Efficient Site Offices DD &amp; Cal'!$L21,"ERROR")))),"NOT REQUIRED")</f>
        <v>NOT REQUIRED</v>
      </c>
      <c r="I21" s="179">
        <v>12</v>
      </c>
      <c r="J21" s="179">
        <v>37</v>
      </c>
      <c r="K21" s="179">
        <v>62</v>
      </c>
      <c r="L21" s="179">
        <v>87</v>
      </c>
      <c r="N21" s="927" t="s">
        <v>906</v>
      </c>
      <c r="O21" s="927"/>
      <c r="P21" s="927"/>
    </row>
    <row r="22" spans="2:16">
      <c r="B22" s="179">
        <f>IF('Efficient Site Offices'!B$13&gt;0,IF('Efficient Site Offices'!B$13='Efficient Site Offices DD &amp; Cal'!$I$8,'Efficient Site Offices DD &amp; Cal'!$I22,IF('Efficient Site Offices'!B$13='Efficient Site Offices DD &amp; Cal'!$J$8,'Efficient Site Offices DD &amp; Cal'!$J22,IF('Efficient Site Offices'!B$13='Efficient Site Offices DD &amp; Cal'!$K$8,'Efficient Site Offices DD &amp; Cal'!$K22,IF('Efficient Site Offices'!B$13='Efficient Site Offices DD &amp; Cal'!$L$8,'Efficient Site Offices DD &amp; Cal'!$L22,"ERROR")))),"NOT REQUIRED")</f>
        <v>38</v>
      </c>
      <c r="C22" s="179">
        <f>IF('Efficient Site Offices'!C$13&gt;0,IF('Efficient Site Offices'!C$13='Efficient Site Offices DD &amp; Cal'!$I$8,'Efficient Site Offices DD &amp; Cal'!$I22,IF('Efficient Site Offices'!C$13='Efficient Site Offices DD &amp; Cal'!$J$8,'Efficient Site Offices DD &amp; Cal'!$J22,IF('Efficient Site Offices'!C$13='Efficient Site Offices DD &amp; Cal'!$K$8,'Efficient Site Offices DD &amp; Cal'!$K22,IF('Efficient Site Offices'!C$13='Efficient Site Offices DD &amp; Cal'!$L$8,'Efficient Site Offices DD &amp; Cal'!$L22,"ERROR")))),"NOT REQUIRED")</f>
        <v>38</v>
      </c>
      <c r="D22" s="179">
        <f>IF('Efficient Site Offices'!D$13&gt;0,IF('Efficient Site Offices'!D$13='Efficient Site Offices DD &amp; Cal'!$I$8,'Efficient Site Offices DD &amp; Cal'!$I22,IF('Efficient Site Offices'!D$13='Efficient Site Offices DD &amp; Cal'!$J$8,'Efficient Site Offices DD &amp; Cal'!$J22,IF('Efficient Site Offices'!D$13='Efficient Site Offices DD &amp; Cal'!$K$8,'Efficient Site Offices DD &amp; Cal'!$K22,IF('Efficient Site Offices'!D$13='Efficient Site Offices DD &amp; Cal'!$L$8,'Efficient Site Offices DD &amp; Cal'!$L22,"ERROR")))),"NOT REQUIRED")</f>
        <v>38</v>
      </c>
      <c r="E22" s="179">
        <f>IF('Efficient Site Offices'!E$13&gt;0,IF('Efficient Site Offices'!E$13='Efficient Site Offices DD &amp; Cal'!$I$8,'Efficient Site Offices DD &amp; Cal'!$I22,IF('Efficient Site Offices'!E$13='Efficient Site Offices DD &amp; Cal'!$J$8,'Efficient Site Offices DD &amp; Cal'!$J22,IF('Efficient Site Offices'!E$13='Efficient Site Offices DD &amp; Cal'!$K$8,'Efficient Site Offices DD &amp; Cal'!$K22,IF('Efficient Site Offices'!E$13='Efficient Site Offices DD &amp; Cal'!$L$8,'Efficient Site Offices DD &amp; Cal'!$L22,"ERROR")))),"NOT REQUIRED")</f>
        <v>38</v>
      </c>
      <c r="F22" s="179" t="str">
        <f>IF('Efficient Site Offices'!F$13&gt;0,IF('Efficient Site Offices'!F$13='Efficient Site Offices DD &amp; Cal'!$I$8,'Efficient Site Offices DD &amp; Cal'!$I22,IF('Efficient Site Offices'!F$13='Efficient Site Offices DD &amp; Cal'!$J$8,'Efficient Site Offices DD &amp; Cal'!$J22,IF('Efficient Site Offices'!F$13='Efficient Site Offices DD &amp; Cal'!$K$8,'Efficient Site Offices DD &amp; Cal'!$K22,IF('Efficient Site Offices'!F$13='Efficient Site Offices DD &amp; Cal'!$L$8,'Efficient Site Offices DD &amp; Cal'!$L22,"ERROR")))),"NOT REQUIRED")</f>
        <v>NOT REQUIRED</v>
      </c>
      <c r="I22" s="179">
        <v>13</v>
      </c>
      <c r="J22" s="179">
        <v>38</v>
      </c>
      <c r="K22" s="179">
        <v>63</v>
      </c>
      <c r="L22" s="179">
        <v>88</v>
      </c>
      <c r="N22" s="927"/>
      <c r="O22" s="927"/>
      <c r="P22" s="927"/>
    </row>
    <row r="23" spans="2:16">
      <c r="B23" s="179">
        <f>IF('Efficient Site Offices'!B$13&gt;0,IF('Efficient Site Offices'!B$13='Efficient Site Offices DD &amp; Cal'!$I$8,'Efficient Site Offices DD &amp; Cal'!$I23,IF('Efficient Site Offices'!B$13='Efficient Site Offices DD &amp; Cal'!$J$8,'Efficient Site Offices DD &amp; Cal'!$J23,IF('Efficient Site Offices'!B$13='Efficient Site Offices DD &amp; Cal'!$K$8,'Efficient Site Offices DD &amp; Cal'!$K23,IF('Efficient Site Offices'!B$13='Efficient Site Offices DD &amp; Cal'!$L$8,'Efficient Site Offices DD &amp; Cal'!$L23,"ERROR")))),"NOT REQUIRED")</f>
        <v>39</v>
      </c>
      <c r="C23" s="179">
        <f>IF('Efficient Site Offices'!C$13&gt;0,IF('Efficient Site Offices'!C$13='Efficient Site Offices DD &amp; Cal'!$I$8,'Efficient Site Offices DD &amp; Cal'!$I23,IF('Efficient Site Offices'!C$13='Efficient Site Offices DD &amp; Cal'!$J$8,'Efficient Site Offices DD &amp; Cal'!$J23,IF('Efficient Site Offices'!C$13='Efficient Site Offices DD &amp; Cal'!$K$8,'Efficient Site Offices DD &amp; Cal'!$K23,IF('Efficient Site Offices'!C$13='Efficient Site Offices DD &amp; Cal'!$L$8,'Efficient Site Offices DD &amp; Cal'!$L23,"ERROR")))),"NOT REQUIRED")</f>
        <v>39</v>
      </c>
      <c r="D23" s="179">
        <f>IF('Efficient Site Offices'!D$13&gt;0,IF('Efficient Site Offices'!D$13='Efficient Site Offices DD &amp; Cal'!$I$8,'Efficient Site Offices DD &amp; Cal'!$I23,IF('Efficient Site Offices'!D$13='Efficient Site Offices DD &amp; Cal'!$J$8,'Efficient Site Offices DD &amp; Cal'!$J23,IF('Efficient Site Offices'!D$13='Efficient Site Offices DD &amp; Cal'!$K$8,'Efficient Site Offices DD &amp; Cal'!$K23,IF('Efficient Site Offices'!D$13='Efficient Site Offices DD &amp; Cal'!$L$8,'Efficient Site Offices DD &amp; Cal'!$L23,"ERROR")))),"NOT REQUIRED")</f>
        <v>39</v>
      </c>
      <c r="E23" s="179">
        <f>IF('Efficient Site Offices'!E$13&gt;0,IF('Efficient Site Offices'!E$13='Efficient Site Offices DD &amp; Cal'!$I$8,'Efficient Site Offices DD &amp; Cal'!$I23,IF('Efficient Site Offices'!E$13='Efficient Site Offices DD &amp; Cal'!$J$8,'Efficient Site Offices DD &amp; Cal'!$J23,IF('Efficient Site Offices'!E$13='Efficient Site Offices DD &amp; Cal'!$K$8,'Efficient Site Offices DD &amp; Cal'!$K23,IF('Efficient Site Offices'!E$13='Efficient Site Offices DD &amp; Cal'!$L$8,'Efficient Site Offices DD &amp; Cal'!$L23,"ERROR")))),"NOT REQUIRED")</f>
        <v>39</v>
      </c>
      <c r="F23" s="179" t="str">
        <f>IF('Efficient Site Offices'!F$13&gt;0,IF('Efficient Site Offices'!F$13='Efficient Site Offices DD &amp; Cal'!$I$8,'Efficient Site Offices DD &amp; Cal'!$I23,IF('Efficient Site Offices'!F$13='Efficient Site Offices DD &amp; Cal'!$J$8,'Efficient Site Offices DD &amp; Cal'!$J23,IF('Efficient Site Offices'!F$13='Efficient Site Offices DD &amp; Cal'!$K$8,'Efficient Site Offices DD &amp; Cal'!$K23,IF('Efficient Site Offices'!F$13='Efficient Site Offices DD &amp; Cal'!$L$8,'Efficient Site Offices DD &amp; Cal'!$L23,"ERROR")))),"NOT REQUIRED")</f>
        <v>NOT REQUIRED</v>
      </c>
      <c r="I23" s="179">
        <v>14</v>
      </c>
      <c r="J23" s="179">
        <v>39</v>
      </c>
      <c r="K23" s="179">
        <v>64</v>
      </c>
      <c r="L23" s="179">
        <v>89</v>
      </c>
      <c r="N23" s="927"/>
      <c r="O23" s="927"/>
      <c r="P23" s="927"/>
    </row>
    <row r="24" spans="2:16">
      <c r="B24" s="179">
        <f>IF('Efficient Site Offices'!B$13&gt;0,IF('Efficient Site Offices'!B$13='Efficient Site Offices DD &amp; Cal'!$I$8,'Efficient Site Offices DD &amp; Cal'!$I24,IF('Efficient Site Offices'!B$13='Efficient Site Offices DD &amp; Cal'!$J$8,'Efficient Site Offices DD &amp; Cal'!$J24,IF('Efficient Site Offices'!B$13='Efficient Site Offices DD &amp; Cal'!$K$8,'Efficient Site Offices DD &amp; Cal'!$K24,IF('Efficient Site Offices'!B$13='Efficient Site Offices DD &amp; Cal'!$L$8,'Efficient Site Offices DD &amp; Cal'!$L24,"ERROR")))),"NOT REQUIRED")</f>
        <v>40</v>
      </c>
      <c r="C24" s="179">
        <f>IF('Efficient Site Offices'!C$13&gt;0,IF('Efficient Site Offices'!C$13='Efficient Site Offices DD &amp; Cal'!$I$8,'Efficient Site Offices DD &amp; Cal'!$I24,IF('Efficient Site Offices'!C$13='Efficient Site Offices DD &amp; Cal'!$J$8,'Efficient Site Offices DD &amp; Cal'!$J24,IF('Efficient Site Offices'!C$13='Efficient Site Offices DD &amp; Cal'!$K$8,'Efficient Site Offices DD &amp; Cal'!$K24,IF('Efficient Site Offices'!C$13='Efficient Site Offices DD &amp; Cal'!$L$8,'Efficient Site Offices DD &amp; Cal'!$L24,"ERROR")))),"NOT REQUIRED")</f>
        <v>40</v>
      </c>
      <c r="D24" s="179">
        <f>IF('Efficient Site Offices'!D$13&gt;0,IF('Efficient Site Offices'!D$13='Efficient Site Offices DD &amp; Cal'!$I$8,'Efficient Site Offices DD &amp; Cal'!$I24,IF('Efficient Site Offices'!D$13='Efficient Site Offices DD &amp; Cal'!$J$8,'Efficient Site Offices DD &amp; Cal'!$J24,IF('Efficient Site Offices'!D$13='Efficient Site Offices DD &amp; Cal'!$K$8,'Efficient Site Offices DD &amp; Cal'!$K24,IF('Efficient Site Offices'!D$13='Efficient Site Offices DD &amp; Cal'!$L$8,'Efficient Site Offices DD &amp; Cal'!$L24,"ERROR")))),"NOT REQUIRED")</f>
        <v>40</v>
      </c>
      <c r="E24" s="179">
        <f>IF('Efficient Site Offices'!E$13&gt;0,IF('Efficient Site Offices'!E$13='Efficient Site Offices DD &amp; Cal'!$I$8,'Efficient Site Offices DD &amp; Cal'!$I24,IF('Efficient Site Offices'!E$13='Efficient Site Offices DD &amp; Cal'!$J$8,'Efficient Site Offices DD &amp; Cal'!$J24,IF('Efficient Site Offices'!E$13='Efficient Site Offices DD &amp; Cal'!$K$8,'Efficient Site Offices DD &amp; Cal'!$K24,IF('Efficient Site Offices'!E$13='Efficient Site Offices DD &amp; Cal'!$L$8,'Efficient Site Offices DD &amp; Cal'!$L24,"ERROR")))),"NOT REQUIRED")</f>
        <v>40</v>
      </c>
      <c r="F24" s="179" t="str">
        <f>IF('Efficient Site Offices'!F$13&gt;0,IF('Efficient Site Offices'!F$13='Efficient Site Offices DD &amp; Cal'!$I$8,'Efficient Site Offices DD &amp; Cal'!$I24,IF('Efficient Site Offices'!F$13='Efficient Site Offices DD &amp; Cal'!$J$8,'Efficient Site Offices DD &amp; Cal'!$J24,IF('Efficient Site Offices'!F$13='Efficient Site Offices DD &amp; Cal'!$K$8,'Efficient Site Offices DD &amp; Cal'!$K24,IF('Efficient Site Offices'!F$13='Efficient Site Offices DD &amp; Cal'!$L$8,'Efficient Site Offices DD &amp; Cal'!$L24,"ERROR")))),"NOT REQUIRED")</f>
        <v>NOT REQUIRED</v>
      </c>
      <c r="I24" s="179">
        <v>15</v>
      </c>
      <c r="J24" s="179">
        <v>40</v>
      </c>
      <c r="K24" s="179">
        <v>65</v>
      </c>
      <c r="L24" s="179">
        <v>90</v>
      </c>
      <c r="N24" s="927"/>
      <c r="O24" s="927"/>
      <c r="P24" s="927"/>
    </row>
    <row r="25" spans="2:16">
      <c r="B25" s="179">
        <f>IF('Efficient Site Offices'!B$13&gt;0,IF('Efficient Site Offices'!B$13='Efficient Site Offices DD &amp; Cal'!$I$8,'Efficient Site Offices DD &amp; Cal'!$I25,IF('Efficient Site Offices'!B$13='Efficient Site Offices DD &amp; Cal'!$J$8,'Efficient Site Offices DD &amp; Cal'!$J25,IF('Efficient Site Offices'!B$13='Efficient Site Offices DD &amp; Cal'!$K$8,'Efficient Site Offices DD &amp; Cal'!$K25,IF('Efficient Site Offices'!B$13='Efficient Site Offices DD &amp; Cal'!$L$8,'Efficient Site Offices DD &amp; Cal'!$L25,"ERROR")))),"NOT REQUIRED")</f>
        <v>41</v>
      </c>
      <c r="C25" s="179">
        <f>IF('Efficient Site Offices'!C$13&gt;0,IF('Efficient Site Offices'!C$13='Efficient Site Offices DD &amp; Cal'!$I$8,'Efficient Site Offices DD &amp; Cal'!$I25,IF('Efficient Site Offices'!C$13='Efficient Site Offices DD &amp; Cal'!$J$8,'Efficient Site Offices DD &amp; Cal'!$J25,IF('Efficient Site Offices'!C$13='Efficient Site Offices DD &amp; Cal'!$K$8,'Efficient Site Offices DD &amp; Cal'!$K25,IF('Efficient Site Offices'!C$13='Efficient Site Offices DD &amp; Cal'!$L$8,'Efficient Site Offices DD &amp; Cal'!$L25,"ERROR")))),"NOT REQUIRED")</f>
        <v>41</v>
      </c>
      <c r="D25" s="179">
        <f>IF('Efficient Site Offices'!D$13&gt;0,IF('Efficient Site Offices'!D$13='Efficient Site Offices DD &amp; Cal'!$I$8,'Efficient Site Offices DD &amp; Cal'!$I25,IF('Efficient Site Offices'!D$13='Efficient Site Offices DD &amp; Cal'!$J$8,'Efficient Site Offices DD &amp; Cal'!$J25,IF('Efficient Site Offices'!D$13='Efficient Site Offices DD &amp; Cal'!$K$8,'Efficient Site Offices DD &amp; Cal'!$K25,IF('Efficient Site Offices'!D$13='Efficient Site Offices DD &amp; Cal'!$L$8,'Efficient Site Offices DD &amp; Cal'!$L25,"ERROR")))),"NOT REQUIRED")</f>
        <v>41</v>
      </c>
      <c r="E25" s="179">
        <f>IF('Efficient Site Offices'!E$13&gt;0,IF('Efficient Site Offices'!E$13='Efficient Site Offices DD &amp; Cal'!$I$8,'Efficient Site Offices DD &amp; Cal'!$I25,IF('Efficient Site Offices'!E$13='Efficient Site Offices DD &amp; Cal'!$J$8,'Efficient Site Offices DD &amp; Cal'!$J25,IF('Efficient Site Offices'!E$13='Efficient Site Offices DD &amp; Cal'!$K$8,'Efficient Site Offices DD &amp; Cal'!$K25,IF('Efficient Site Offices'!E$13='Efficient Site Offices DD &amp; Cal'!$L$8,'Efficient Site Offices DD &amp; Cal'!$L25,"ERROR")))),"NOT REQUIRED")</f>
        <v>41</v>
      </c>
      <c r="F25" s="179" t="str">
        <f>IF('Efficient Site Offices'!F$13&gt;0,IF('Efficient Site Offices'!F$13='Efficient Site Offices DD &amp; Cal'!$I$8,'Efficient Site Offices DD &amp; Cal'!$I25,IF('Efficient Site Offices'!F$13='Efficient Site Offices DD &amp; Cal'!$J$8,'Efficient Site Offices DD &amp; Cal'!$J25,IF('Efficient Site Offices'!F$13='Efficient Site Offices DD &amp; Cal'!$K$8,'Efficient Site Offices DD &amp; Cal'!$K25,IF('Efficient Site Offices'!F$13='Efficient Site Offices DD &amp; Cal'!$L$8,'Efficient Site Offices DD &amp; Cal'!$L25,"ERROR")))),"NOT REQUIRED")</f>
        <v>NOT REQUIRED</v>
      </c>
      <c r="I25" s="179">
        <v>16</v>
      </c>
      <c r="J25" s="179">
        <v>41</v>
      </c>
      <c r="K25" s="179">
        <v>66</v>
      </c>
      <c r="L25" s="179">
        <v>91</v>
      </c>
      <c r="N25" s="927"/>
      <c r="O25" s="927"/>
      <c r="P25" s="927"/>
    </row>
    <row r="26" spans="2:16">
      <c r="B26" s="179">
        <f>IF('Efficient Site Offices'!B$13&gt;0,IF('Efficient Site Offices'!B$13='Efficient Site Offices DD &amp; Cal'!$I$8,'Efficient Site Offices DD &amp; Cal'!$I26,IF('Efficient Site Offices'!B$13='Efficient Site Offices DD &amp; Cal'!$J$8,'Efficient Site Offices DD &amp; Cal'!$J26,IF('Efficient Site Offices'!B$13='Efficient Site Offices DD &amp; Cal'!$K$8,'Efficient Site Offices DD &amp; Cal'!$K26,IF('Efficient Site Offices'!B$13='Efficient Site Offices DD &amp; Cal'!$L$8,'Efficient Site Offices DD &amp; Cal'!$L26,"ERROR")))),"NOT REQUIRED")</f>
        <v>42</v>
      </c>
      <c r="C26" s="179">
        <f>IF('Efficient Site Offices'!C$13&gt;0,IF('Efficient Site Offices'!C$13='Efficient Site Offices DD &amp; Cal'!$I$8,'Efficient Site Offices DD &amp; Cal'!$I26,IF('Efficient Site Offices'!C$13='Efficient Site Offices DD &amp; Cal'!$J$8,'Efficient Site Offices DD &amp; Cal'!$J26,IF('Efficient Site Offices'!C$13='Efficient Site Offices DD &amp; Cal'!$K$8,'Efficient Site Offices DD &amp; Cal'!$K26,IF('Efficient Site Offices'!C$13='Efficient Site Offices DD &amp; Cal'!$L$8,'Efficient Site Offices DD &amp; Cal'!$L26,"ERROR")))),"NOT REQUIRED")</f>
        <v>42</v>
      </c>
      <c r="D26" s="179">
        <f>IF('Efficient Site Offices'!D$13&gt;0,IF('Efficient Site Offices'!D$13='Efficient Site Offices DD &amp; Cal'!$I$8,'Efficient Site Offices DD &amp; Cal'!$I26,IF('Efficient Site Offices'!D$13='Efficient Site Offices DD &amp; Cal'!$J$8,'Efficient Site Offices DD &amp; Cal'!$J26,IF('Efficient Site Offices'!D$13='Efficient Site Offices DD &amp; Cal'!$K$8,'Efficient Site Offices DD &amp; Cal'!$K26,IF('Efficient Site Offices'!D$13='Efficient Site Offices DD &amp; Cal'!$L$8,'Efficient Site Offices DD &amp; Cal'!$L26,"ERROR")))),"NOT REQUIRED")</f>
        <v>42</v>
      </c>
      <c r="E26" s="179">
        <f>IF('Efficient Site Offices'!E$13&gt;0,IF('Efficient Site Offices'!E$13='Efficient Site Offices DD &amp; Cal'!$I$8,'Efficient Site Offices DD &amp; Cal'!$I26,IF('Efficient Site Offices'!E$13='Efficient Site Offices DD &amp; Cal'!$J$8,'Efficient Site Offices DD &amp; Cal'!$J26,IF('Efficient Site Offices'!E$13='Efficient Site Offices DD &amp; Cal'!$K$8,'Efficient Site Offices DD &amp; Cal'!$K26,IF('Efficient Site Offices'!E$13='Efficient Site Offices DD &amp; Cal'!$L$8,'Efficient Site Offices DD &amp; Cal'!$L26,"ERROR")))),"NOT REQUIRED")</f>
        <v>42</v>
      </c>
      <c r="F26" s="179" t="str">
        <f>IF('Efficient Site Offices'!F$13&gt;0,IF('Efficient Site Offices'!F$13='Efficient Site Offices DD &amp; Cal'!$I$8,'Efficient Site Offices DD &amp; Cal'!$I26,IF('Efficient Site Offices'!F$13='Efficient Site Offices DD &amp; Cal'!$J$8,'Efficient Site Offices DD &amp; Cal'!$J26,IF('Efficient Site Offices'!F$13='Efficient Site Offices DD &amp; Cal'!$K$8,'Efficient Site Offices DD &amp; Cal'!$K26,IF('Efficient Site Offices'!F$13='Efficient Site Offices DD &amp; Cal'!$L$8,'Efficient Site Offices DD &amp; Cal'!$L26,"ERROR")))),"NOT REQUIRED")</f>
        <v>NOT REQUIRED</v>
      </c>
      <c r="I26" s="179">
        <v>17</v>
      </c>
      <c r="J26" s="179">
        <v>42</v>
      </c>
      <c r="K26" s="179">
        <v>67</v>
      </c>
      <c r="L26" s="179">
        <v>92</v>
      </c>
      <c r="N26" s="927"/>
      <c r="O26" s="927"/>
      <c r="P26" s="927"/>
    </row>
    <row r="27" spans="2:16">
      <c r="B27" s="179">
        <f>IF('Efficient Site Offices'!B$13&gt;0,IF('Efficient Site Offices'!B$13='Efficient Site Offices DD &amp; Cal'!$I$8,'Efficient Site Offices DD &amp; Cal'!$I27,IF('Efficient Site Offices'!B$13='Efficient Site Offices DD &amp; Cal'!$J$8,'Efficient Site Offices DD &amp; Cal'!$J27,IF('Efficient Site Offices'!B$13='Efficient Site Offices DD &amp; Cal'!$K$8,'Efficient Site Offices DD &amp; Cal'!$K27,IF('Efficient Site Offices'!B$13='Efficient Site Offices DD &amp; Cal'!$L$8,'Efficient Site Offices DD &amp; Cal'!$L27,"ERROR")))),"NOT REQUIRED")</f>
        <v>43</v>
      </c>
      <c r="C27" s="179">
        <f>IF('Efficient Site Offices'!C$13&gt;0,IF('Efficient Site Offices'!C$13='Efficient Site Offices DD &amp; Cal'!$I$8,'Efficient Site Offices DD &amp; Cal'!$I27,IF('Efficient Site Offices'!C$13='Efficient Site Offices DD &amp; Cal'!$J$8,'Efficient Site Offices DD &amp; Cal'!$J27,IF('Efficient Site Offices'!C$13='Efficient Site Offices DD &amp; Cal'!$K$8,'Efficient Site Offices DD &amp; Cal'!$K27,IF('Efficient Site Offices'!C$13='Efficient Site Offices DD &amp; Cal'!$L$8,'Efficient Site Offices DD &amp; Cal'!$L27,"ERROR")))),"NOT REQUIRED")</f>
        <v>43</v>
      </c>
      <c r="D27" s="179">
        <f>IF('Efficient Site Offices'!D$13&gt;0,IF('Efficient Site Offices'!D$13='Efficient Site Offices DD &amp; Cal'!$I$8,'Efficient Site Offices DD &amp; Cal'!$I27,IF('Efficient Site Offices'!D$13='Efficient Site Offices DD &amp; Cal'!$J$8,'Efficient Site Offices DD &amp; Cal'!$J27,IF('Efficient Site Offices'!D$13='Efficient Site Offices DD &amp; Cal'!$K$8,'Efficient Site Offices DD &amp; Cal'!$K27,IF('Efficient Site Offices'!D$13='Efficient Site Offices DD &amp; Cal'!$L$8,'Efficient Site Offices DD &amp; Cal'!$L27,"ERROR")))),"NOT REQUIRED")</f>
        <v>43</v>
      </c>
      <c r="E27" s="179">
        <f>IF('Efficient Site Offices'!E$13&gt;0,IF('Efficient Site Offices'!E$13='Efficient Site Offices DD &amp; Cal'!$I$8,'Efficient Site Offices DD &amp; Cal'!$I27,IF('Efficient Site Offices'!E$13='Efficient Site Offices DD &amp; Cal'!$J$8,'Efficient Site Offices DD &amp; Cal'!$J27,IF('Efficient Site Offices'!E$13='Efficient Site Offices DD &amp; Cal'!$K$8,'Efficient Site Offices DD &amp; Cal'!$K27,IF('Efficient Site Offices'!E$13='Efficient Site Offices DD &amp; Cal'!$L$8,'Efficient Site Offices DD &amp; Cal'!$L27,"ERROR")))),"NOT REQUIRED")</f>
        <v>43</v>
      </c>
      <c r="F27" s="179" t="str">
        <f>IF('Efficient Site Offices'!F$13&gt;0,IF('Efficient Site Offices'!F$13='Efficient Site Offices DD &amp; Cal'!$I$8,'Efficient Site Offices DD &amp; Cal'!$I27,IF('Efficient Site Offices'!F$13='Efficient Site Offices DD &amp; Cal'!$J$8,'Efficient Site Offices DD &amp; Cal'!$J27,IF('Efficient Site Offices'!F$13='Efficient Site Offices DD &amp; Cal'!$K$8,'Efficient Site Offices DD &amp; Cal'!$K27,IF('Efficient Site Offices'!F$13='Efficient Site Offices DD &amp; Cal'!$L$8,'Efficient Site Offices DD &amp; Cal'!$L27,"ERROR")))),"NOT REQUIRED")</f>
        <v>NOT REQUIRED</v>
      </c>
      <c r="I27" s="179">
        <v>18</v>
      </c>
      <c r="J27" s="179">
        <v>43</v>
      </c>
      <c r="K27" s="179">
        <v>68</v>
      </c>
      <c r="L27" s="179">
        <v>93</v>
      </c>
      <c r="N27" s="927"/>
      <c r="O27" s="927"/>
      <c r="P27" s="927"/>
    </row>
    <row r="28" spans="2:16">
      <c r="B28" s="179">
        <f>IF('Efficient Site Offices'!B$13&gt;0,IF('Efficient Site Offices'!B$13='Efficient Site Offices DD &amp; Cal'!$I$8,'Efficient Site Offices DD &amp; Cal'!$I28,IF('Efficient Site Offices'!B$13='Efficient Site Offices DD &amp; Cal'!$J$8,'Efficient Site Offices DD &amp; Cal'!$J28,IF('Efficient Site Offices'!B$13='Efficient Site Offices DD &amp; Cal'!$K$8,'Efficient Site Offices DD &amp; Cal'!$K28,IF('Efficient Site Offices'!B$13='Efficient Site Offices DD &amp; Cal'!$L$8,'Efficient Site Offices DD &amp; Cal'!$L28,"ERROR")))),"NOT REQUIRED")</f>
        <v>44</v>
      </c>
      <c r="C28" s="179">
        <f>IF('Efficient Site Offices'!C$13&gt;0,IF('Efficient Site Offices'!C$13='Efficient Site Offices DD &amp; Cal'!$I$8,'Efficient Site Offices DD &amp; Cal'!$I28,IF('Efficient Site Offices'!C$13='Efficient Site Offices DD &amp; Cal'!$J$8,'Efficient Site Offices DD &amp; Cal'!$J28,IF('Efficient Site Offices'!C$13='Efficient Site Offices DD &amp; Cal'!$K$8,'Efficient Site Offices DD &amp; Cal'!$K28,IF('Efficient Site Offices'!C$13='Efficient Site Offices DD &amp; Cal'!$L$8,'Efficient Site Offices DD &amp; Cal'!$L28,"ERROR")))),"NOT REQUIRED")</f>
        <v>44</v>
      </c>
      <c r="D28" s="179">
        <f>IF('Efficient Site Offices'!D$13&gt;0,IF('Efficient Site Offices'!D$13='Efficient Site Offices DD &amp; Cal'!$I$8,'Efficient Site Offices DD &amp; Cal'!$I28,IF('Efficient Site Offices'!D$13='Efficient Site Offices DD &amp; Cal'!$J$8,'Efficient Site Offices DD &amp; Cal'!$J28,IF('Efficient Site Offices'!D$13='Efficient Site Offices DD &amp; Cal'!$K$8,'Efficient Site Offices DD &amp; Cal'!$K28,IF('Efficient Site Offices'!D$13='Efficient Site Offices DD &amp; Cal'!$L$8,'Efficient Site Offices DD &amp; Cal'!$L28,"ERROR")))),"NOT REQUIRED")</f>
        <v>44</v>
      </c>
      <c r="E28" s="179">
        <f>IF('Efficient Site Offices'!E$13&gt;0,IF('Efficient Site Offices'!E$13='Efficient Site Offices DD &amp; Cal'!$I$8,'Efficient Site Offices DD &amp; Cal'!$I28,IF('Efficient Site Offices'!E$13='Efficient Site Offices DD &amp; Cal'!$J$8,'Efficient Site Offices DD &amp; Cal'!$J28,IF('Efficient Site Offices'!E$13='Efficient Site Offices DD &amp; Cal'!$K$8,'Efficient Site Offices DD &amp; Cal'!$K28,IF('Efficient Site Offices'!E$13='Efficient Site Offices DD &amp; Cal'!$L$8,'Efficient Site Offices DD &amp; Cal'!$L28,"ERROR")))),"NOT REQUIRED")</f>
        <v>44</v>
      </c>
      <c r="F28" s="179" t="str">
        <f>IF('Efficient Site Offices'!F$13&gt;0,IF('Efficient Site Offices'!F$13='Efficient Site Offices DD &amp; Cal'!$I$8,'Efficient Site Offices DD &amp; Cal'!$I28,IF('Efficient Site Offices'!F$13='Efficient Site Offices DD &amp; Cal'!$J$8,'Efficient Site Offices DD &amp; Cal'!$J28,IF('Efficient Site Offices'!F$13='Efficient Site Offices DD &amp; Cal'!$K$8,'Efficient Site Offices DD &amp; Cal'!$K28,IF('Efficient Site Offices'!F$13='Efficient Site Offices DD &amp; Cal'!$L$8,'Efficient Site Offices DD &amp; Cal'!$L28,"ERROR")))),"NOT REQUIRED")</f>
        <v>NOT REQUIRED</v>
      </c>
      <c r="I28" s="179">
        <v>19</v>
      </c>
      <c r="J28" s="179">
        <v>44</v>
      </c>
      <c r="K28" s="179">
        <v>69</v>
      </c>
      <c r="L28" s="179">
        <v>94</v>
      </c>
      <c r="N28" s="927"/>
      <c r="O28" s="927"/>
      <c r="P28" s="927"/>
    </row>
    <row r="29" spans="2:16">
      <c r="B29" s="179">
        <f>IF('Efficient Site Offices'!B$13&gt;0,IF('Efficient Site Offices'!B$13='Efficient Site Offices DD &amp; Cal'!$I$8,'Efficient Site Offices DD &amp; Cal'!$I29,IF('Efficient Site Offices'!B$13='Efficient Site Offices DD &amp; Cal'!$J$8,'Efficient Site Offices DD &amp; Cal'!$J29,IF('Efficient Site Offices'!B$13='Efficient Site Offices DD &amp; Cal'!$K$8,'Efficient Site Offices DD &amp; Cal'!$K29,IF('Efficient Site Offices'!B$13='Efficient Site Offices DD &amp; Cal'!$L$8,'Efficient Site Offices DD &amp; Cal'!$L29,"ERROR")))),"NOT REQUIRED")</f>
        <v>45</v>
      </c>
      <c r="C29" s="179">
        <f>IF('Efficient Site Offices'!C$13&gt;0,IF('Efficient Site Offices'!C$13='Efficient Site Offices DD &amp; Cal'!$I$8,'Efficient Site Offices DD &amp; Cal'!$I29,IF('Efficient Site Offices'!C$13='Efficient Site Offices DD &amp; Cal'!$J$8,'Efficient Site Offices DD &amp; Cal'!$J29,IF('Efficient Site Offices'!C$13='Efficient Site Offices DD &amp; Cal'!$K$8,'Efficient Site Offices DD &amp; Cal'!$K29,IF('Efficient Site Offices'!C$13='Efficient Site Offices DD &amp; Cal'!$L$8,'Efficient Site Offices DD &amp; Cal'!$L29,"ERROR")))),"NOT REQUIRED")</f>
        <v>45</v>
      </c>
      <c r="D29" s="179">
        <f>IF('Efficient Site Offices'!D$13&gt;0,IF('Efficient Site Offices'!D$13='Efficient Site Offices DD &amp; Cal'!$I$8,'Efficient Site Offices DD &amp; Cal'!$I29,IF('Efficient Site Offices'!D$13='Efficient Site Offices DD &amp; Cal'!$J$8,'Efficient Site Offices DD &amp; Cal'!$J29,IF('Efficient Site Offices'!D$13='Efficient Site Offices DD &amp; Cal'!$K$8,'Efficient Site Offices DD &amp; Cal'!$K29,IF('Efficient Site Offices'!D$13='Efficient Site Offices DD &amp; Cal'!$L$8,'Efficient Site Offices DD &amp; Cal'!$L29,"ERROR")))),"NOT REQUIRED")</f>
        <v>45</v>
      </c>
      <c r="E29" s="179">
        <f>IF('Efficient Site Offices'!E$13&gt;0,IF('Efficient Site Offices'!E$13='Efficient Site Offices DD &amp; Cal'!$I$8,'Efficient Site Offices DD &amp; Cal'!$I29,IF('Efficient Site Offices'!E$13='Efficient Site Offices DD &amp; Cal'!$J$8,'Efficient Site Offices DD &amp; Cal'!$J29,IF('Efficient Site Offices'!E$13='Efficient Site Offices DD &amp; Cal'!$K$8,'Efficient Site Offices DD &amp; Cal'!$K29,IF('Efficient Site Offices'!E$13='Efficient Site Offices DD &amp; Cal'!$L$8,'Efficient Site Offices DD &amp; Cal'!$L29,"ERROR")))),"NOT REQUIRED")</f>
        <v>45</v>
      </c>
      <c r="F29" s="179" t="str">
        <f>IF('Efficient Site Offices'!F$13&gt;0,IF('Efficient Site Offices'!F$13='Efficient Site Offices DD &amp; Cal'!$I$8,'Efficient Site Offices DD &amp; Cal'!$I29,IF('Efficient Site Offices'!F$13='Efficient Site Offices DD &amp; Cal'!$J$8,'Efficient Site Offices DD &amp; Cal'!$J29,IF('Efficient Site Offices'!F$13='Efficient Site Offices DD &amp; Cal'!$K$8,'Efficient Site Offices DD &amp; Cal'!$K29,IF('Efficient Site Offices'!F$13='Efficient Site Offices DD &amp; Cal'!$L$8,'Efficient Site Offices DD &amp; Cal'!$L29,"ERROR")))),"NOT REQUIRED")</f>
        <v>NOT REQUIRED</v>
      </c>
      <c r="I29" s="179">
        <v>20</v>
      </c>
      <c r="J29" s="179">
        <v>45</v>
      </c>
      <c r="K29" s="179">
        <v>70</v>
      </c>
      <c r="L29" s="179">
        <v>95</v>
      </c>
      <c r="N29" s="927"/>
      <c r="O29" s="927"/>
      <c r="P29" s="927"/>
    </row>
    <row r="30" spans="2:16">
      <c r="B30" s="179">
        <f>IF('Efficient Site Offices'!B$13&gt;0,IF('Efficient Site Offices'!B$13='Efficient Site Offices DD &amp; Cal'!$I$8,'Efficient Site Offices DD &amp; Cal'!$I30,IF('Efficient Site Offices'!B$13='Efficient Site Offices DD &amp; Cal'!$J$8,'Efficient Site Offices DD &amp; Cal'!$J30,IF('Efficient Site Offices'!B$13='Efficient Site Offices DD &amp; Cal'!$K$8,'Efficient Site Offices DD &amp; Cal'!$K30,IF('Efficient Site Offices'!B$13='Efficient Site Offices DD &amp; Cal'!$L$8,'Efficient Site Offices DD &amp; Cal'!$L30,"ERROR")))),"NOT REQUIRED")</f>
        <v>46</v>
      </c>
      <c r="C30" s="179">
        <f>IF('Efficient Site Offices'!C$13&gt;0,IF('Efficient Site Offices'!C$13='Efficient Site Offices DD &amp; Cal'!$I$8,'Efficient Site Offices DD &amp; Cal'!$I30,IF('Efficient Site Offices'!C$13='Efficient Site Offices DD &amp; Cal'!$J$8,'Efficient Site Offices DD &amp; Cal'!$J30,IF('Efficient Site Offices'!C$13='Efficient Site Offices DD &amp; Cal'!$K$8,'Efficient Site Offices DD &amp; Cal'!$K30,IF('Efficient Site Offices'!C$13='Efficient Site Offices DD &amp; Cal'!$L$8,'Efficient Site Offices DD &amp; Cal'!$L30,"ERROR")))),"NOT REQUIRED")</f>
        <v>46</v>
      </c>
      <c r="D30" s="179">
        <f>IF('Efficient Site Offices'!D$13&gt;0,IF('Efficient Site Offices'!D$13='Efficient Site Offices DD &amp; Cal'!$I$8,'Efficient Site Offices DD &amp; Cal'!$I30,IF('Efficient Site Offices'!D$13='Efficient Site Offices DD &amp; Cal'!$J$8,'Efficient Site Offices DD &amp; Cal'!$J30,IF('Efficient Site Offices'!D$13='Efficient Site Offices DD &amp; Cal'!$K$8,'Efficient Site Offices DD &amp; Cal'!$K30,IF('Efficient Site Offices'!D$13='Efficient Site Offices DD &amp; Cal'!$L$8,'Efficient Site Offices DD &amp; Cal'!$L30,"ERROR")))),"NOT REQUIRED")</f>
        <v>46</v>
      </c>
      <c r="E30" s="179">
        <f>IF('Efficient Site Offices'!E$13&gt;0,IF('Efficient Site Offices'!E$13='Efficient Site Offices DD &amp; Cal'!$I$8,'Efficient Site Offices DD &amp; Cal'!$I30,IF('Efficient Site Offices'!E$13='Efficient Site Offices DD &amp; Cal'!$J$8,'Efficient Site Offices DD &amp; Cal'!$J30,IF('Efficient Site Offices'!E$13='Efficient Site Offices DD &amp; Cal'!$K$8,'Efficient Site Offices DD &amp; Cal'!$K30,IF('Efficient Site Offices'!E$13='Efficient Site Offices DD &amp; Cal'!$L$8,'Efficient Site Offices DD &amp; Cal'!$L30,"ERROR")))),"NOT REQUIRED")</f>
        <v>46</v>
      </c>
      <c r="F30" s="179" t="str">
        <f>IF('Efficient Site Offices'!F$13&gt;0,IF('Efficient Site Offices'!F$13='Efficient Site Offices DD &amp; Cal'!$I$8,'Efficient Site Offices DD &amp; Cal'!$I30,IF('Efficient Site Offices'!F$13='Efficient Site Offices DD &amp; Cal'!$J$8,'Efficient Site Offices DD &amp; Cal'!$J30,IF('Efficient Site Offices'!F$13='Efficient Site Offices DD &amp; Cal'!$K$8,'Efficient Site Offices DD &amp; Cal'!$K30,IF('Efficient Site Offices'!F$13='Efficient Site Offices DD &amp; Cal'!$L$8,'Efficient Site Offices DD &amp; Cal'!$L30,"ERROR")))),"NOT REQUIRED")</f>
        <v>NOT REQUIRED</v>
      </c>
      <c r="I30" s="179">
        <v>21</v>
      </c>
      <c r="J30" s="179">
        <v>46</v>
      </c>
      <c r="K30" s="179">
        <v>71</v>
      </c>
      <c r="L30" s="179">
        <v>96</v>
      </c>
      <c r="N30" s="927"/>
      <c r="O30" s="927"/>
      <c r="P30" s="927"/>
    </row>
    <row r="31" spans="2:16">
      <c r="B31" s="179">
        <f>IF('Efficient Site Offices'!B$13&gt;0,IF('Efficient Site Offices'!B$13='Efficient Site Offices DD &amp; Cal'!$I$8,'Efficient Site Offices DD &amp; Cal'!$I31,IF('Efficient Site Offices'!B$13='Efficient Site Offices DD &amp; Cal'!$J$8,'Efficient Site Offices DD &amp; Cal'!$J31,IF('Efficient Site Offices'!B$13='Efficient Site Offices DD &amp; Cal'!$K$8,'Efficient Site Offices DD &amp; Cal'!$K31,IF('Efficient Site Offices'!B$13='Efficient Site Offices DD &amp; Cal'!$L$8,'Efficient Site Offices DD &amp; Cal'!$L31,"ERROR")))),"NOT REQUIRED")</f>
        <v>47</v>
      </c>
      <c r="C31" s="179">
        <f>IF('Efficient Site Offices'!C$13&gt;0,IF('Efficient Site Offices'!C$13='Efficient Site Offices DD &amp; Cal'!$I$8,'Efficient Site Offices DD &amp; Cal'!$I31,IF('Efficient Site Offices'!C$13='Efficient Site Offices DD &amp; Cal'!$J$8,'Efficient Site Offices DD &amp; Cal'!$J31,IF('Efficient Site Offices'!C$13='Efficient Site Offices DD &amp; Cal'!$K$8,'Efficient Site Offices DD &amp; Cal'!$K31,IF('Efficient Site Offices'!C$13='Efficient Site Offices DD &amp; Cal'!$L$8,'Efficient Site Offices DD &amp; Cal'!$L31,"ERROR")))),"NOT REQUIRED")</f>
        <v>47</v>
      </c>
      <c r="D31" s="179">
        <f>IF('Efficient Site Offices'!D$13&gt;0,IF('Efficient Site Offices'!D$13='Efficient Site Offices DD &amp; Cal'!$I$8,'Efficient Site Offices DD &amp; Cal'!$I31,IF('Efficient Site Offices'!D$13='Efficient Site Offices DD &amp; Cal'!$J$8,'Efficient Site Offices DD &amp; Cal'!$J31,IF('Efficient Site Offices'!D$13='Efficient Site Offices DD &amp; Cal'!$K$8,'Efficient Site Offices DD &amp; Cal'!$K31,IF('Efficient Site Offices'!D$13='Efficient Site Offices DD &amp; Cal'!$L$8,'Efficient Site Offices DD &amp; Cal'!$L31,"ERROR")))),"NOT REQUIRED")</f>
        <v>47</v>
      </c>
      <c r="E31" s="179">
        <f>IF('Efficient Site Offices'!E$13&gt;0,IF('Efficient Site Offices'!E$13='Efficient Site Offices DD &amp; Cal'!$I$8,'Efficient Site Offices DD &amp; Cal'!$I31,IF('Efficient Site Offices'!E$13='Efficient Site Offices DD &amp; Cal'!$J$8,'Efficient Site Offices DD &amp; Cal'!$J31,IF('Efficient Site Offices'!E$13='Efficient Site Offices DD &amp; Cal'!$K$8,'Efficient Site Offices DD &amp; Cal'!$K31,IF('Efficient Site Offices'!E$13='Efficient Site Offices DD &amp; Cal'!$L$8,'Efficient Site Offices DD &amp; Cal'!$L31,"ERROR")))),"NOT REQUIRED")</f>
        <v>47</v>
      </c>
      <c r="F31" s="179" t="str">
        <f>IF('Efficient Site Offices'!F$13&gt;0,IF('Efficient Site Offices'!F$13='Efficient Site Offices DD &amp; Cal'!$I$8,'Efficient Site Offices DD &amp; Cal'!$I31,IF('Efficient Site Offices'!F$13='Efficient Site Offices DD &amp; Cal'!$J$8,'Efficient Site Offices DD &amp; Cal'!$J31,IF('Efficient Site Offices'!F$13='Efficient Site Offices DD &amp; Cal'!$K$8,'Efficient Site Offices DD &amp; Cal'!$K31,IF('Efficient Site Offices'!F$13='Efficient Site Offices DD &amp; Cal'!$L$8,'Efficient Site Offices DD &amp; Cal'!$L31,"ERROR")))),"NOT REQUIRED")</f>
        <v>NOT REQUIRED</v>
      </c>
      <c r="I31" s="179">
        <v>22</v>
      </c>
      <c r="J31" s="179">
        <v>47</v>
      </c>
      <c r="K31" s="179">
        <v>72</v>
      </c>
      <c r="L31" s="179">
        <v>97</v>
      </c>
      <c r="N31" s="927"/>
      <c r="O31" s="927"/>
      <c r="P31" s="927"/>
    </row>
    <row r="32" spans="2:16">
      <c r="B32" s="179">
        <f>IF('Efficient Site Offices'!B$13&gt;0,IF('Efficient Site Offices'!B$13='Efficient Site Offices DD &amp; Cal'!$I$8,'Efficient Site Offices DD &amp; Cal'!$I32,IF('Efficient Site Offices'!B$13='Efficient Site Offices DD &amp; Cal'!$J$8,'Efficient Site Offices DD &amp; Cal'!$J32,IF('Efficient Site Offices'!B$13='Efficient Site Offices DD &amp; Cal'!$K$8,'Efficient Site Offices DD &amp; Cal'!$K32,IF('Efficient Site Offices'!B$13='Efficient Site Offices DD &amp; Cal'!$L$8,'Efficient Site Offices DD &amp; Cal'!$L32,"ERROR")))),"NOT REQUIRED")</f>
        <v>48</v>
      </c>
      <c r="C32" s="179">
        <f>IF('Efficient Site Offices'!C$13&gt;0,IF('Efficient Site Offices'!C$13='Efficient Site Offices DD &amp; Cal'!$I$8,'Efficient Site Offices DD &amp; Cal'!$I32,IF('Efficient Site Offices'!C$13='Efficient Site Offices DD &amp; Cal'!$J$8,'Efficient Site Offices DD &amp; Cal'!$J32,IF('Efficient Site Offices'!C$13='Efficient Site Offices DD &amp; Cal'!$K$8,'Efficient Site Offices DD &amp; Cal'!$K32,IF('Efficient Site Offices'!C$13='Efficient Site Offices DD &amp; Cal'!$L$8,'Efficient Site Offices DD &amp; Cal'!$L32,"ERROR")))),"NOT REQUIRED")</f>
        <v>48</v>
      </c>
      <c r="D32" s="179">
        <f>IF('Efficient Site Offices'!D$13&gt;0,IF('Efficient Site Offices'!D$13='Efficient Site Offices DD &amp; Cal'!$I$8,'Efficient Site Offices DD &amp; Cal'!$I32,IF('Efficient Site Offices'!D$13='Efficient Site Offices DD &amp; Cal'!$J$8,'Efficient Site Offices DD &amp; Cal'!$J32,IF('Efficient Site Offices'!D$13='Efficient Site Offices DD &amp; Cal'!$K$8,'Efficient Site Offices DD &amp; Cal'!$K32,IF('Efficient Site Offices'!D$13='Efficient Site Offices DD &amp; Cal'!$L$8,'Efficient Site Offices DD &amp; Cal'!$L32,"ERROR")))),"NOT REQUIRED")</f>
        <v>48</v>
      </c>
      <c r="E32" s="179">
        <f>IF('Efficient Site Offices'!E$13&gt;0,IF('Efficient Site Offices'!E$13='Efficient Site Offices DD &amp; Cal'!$I$8,'Efficient Site Offices DD &amp; Cal'!$I32,IF('Efficient Site Offices'!E$13='Efficient Site Offices DD &amp; Cal'!$J$8,'Efficient Site Offices DD &amp; Cal'!$J32,IF('Efficient Site Offices'!E$13='Efficient Site Offices DD &amp; Cal'!$K$8,'Efficient Site Offices DD &amp; Cal'!$K32,IF('Efficient Site Offices'!E$13='Efficient Site Offices DD &amp; Cal'!$L$8,'Efficient Site Offices DD &amp; Cal'!$L32,"ERROR")))),"NOT REQUIRED")</f>
        <v>48</v>
      </c>
      <c r="F32" s="179" t="str">
        <f>IF('Efficient Site Offices'!F$13&gt;0,IF('Efficient Site Offices'!F$13='Efficient Site Offices DD &amp; Cal'!$I$8,'Efficient Site Offices DD &amp; Cal'!$I32,IF('Efficient Site Offices'!F$13='Efficient Site Offices DD &amp; Cal'!$J$8,'Efficient Site Offices DD &amp; Cal'!$J32,IF('Efficient Site Offices'!F$13='Efficient Site Offices DD &amp; Cal'!$K$8,'Efficient Site Offices DD &amp; Cal'!$K32,IF('Efficient Site Offices'!F$13='Efficient Site Offices DD &amp; Cal'!$L$8,'Efficient Site Offices DD &amp; Cal'!$L32,"ERROR")))),"NOT REQUIRED")</f>
        <v>NOT REQUIRED</v>
      </c>
      <c r="I32" s="179">
        <v>23</v>
      </c>
      <c r="J32" s="179">
        <v>48</v>
      </c>
      <c r="K32" s="179">
        <v>73</v>
      </c>
      <c r="L32" s="179">
        <v>98</v>
      </c>
      <c r="N32" s="927"/>
      <c r="O32" s="927"/>
      <c r="P32" s="927"/>
    </row>
    <row r="33" spans="1:18">
      <c r="B33" s="179">
        <f>IF('Efficient Site Offices'!B$13&gt;0,IF('Efficient Site Offices'!B$13='Efficient Site Offices DD &amp; Cal'!$I$8,'Efficient Site Offices DD &amp; Cal'!$I33,IF('Efficient Site Offices'!B$13='Efficient Site Offices DD &amp; Cal'!$J$8,'Efficient Site Offices DD &amp; Cal'!$J33,IF('Efficient Site Offices'!B$13='Efficient Site Offices DD &amp; Cal'!$K$8,'Efficient Site Offices DD &amp; Cal'!$K33,IF('Efficient Site Offices'!B$13='Efficient Site Offices DD &amp; Cal'!$L$8,'Efficient Site Offices DD &amp; Cal'!$L33,"ERROR")))),"NOT REQUIRED")</f>
        <v>49</v>
      </c>
      <c r="C33" s="179">
        <f>IF('Efficient Site Offices'!C$13&gt;0,IF('Efficient Site Offices'!C$13='Efficient Site Offices DD &amp; Cal'!$I$8,'Efficient Site Offices DD &amp; Cal'!$I33,IF('Efficient Site Offices'!C$13='Efficient Site Offices DD &amp; Cal'!$J$8,'Efficient Site Offices DD &amp; Cal'!$J33,IF('Efficient Site Offices'!C$13='Efficient Site Offices DD &amp; Cal'!$K$8,'Efficient Site Offices DD &amp; Cal'!$K33,IF('Efficient Site Offices'!C$13='Efficient Site Offices DD &amp; Cal'!$L$8,'Efficient Site Offices DD &amp; Cal'!$L33,"ERROR")))),"NOT REQUIRED")</f>
        <v>49</v>
      </c>
      <c r="D33" s="179">
        <f>IF('Efficient Site Offices'!D$13&gt;0,IF('Efficient Site Offices'!D$13='Efficient Site Offices DD &amp; Cal'!$I$8,'Efficient Site Offices DD &amp; Cal'!$I33,IF('Efficient Site Offices'!D$13='Efficient Site Offices DD &amp; Cal'!$J$8,'Efficient Site Offices DD &amp; Cal'!$J33,IF('Efficient Site Offices'!D$13='Efficient Site Offices DD &amp; Cal'!$K$8,'Efficient Site Offices DD &amp; Cal'!$K33,IF('Efficient Site Offices'!D$13='Efficient Site Offices DD &amp; Cal'!$L$8,'Efficient Site Offices DD &amp; Cal'!$L33,"ERROR")))),"NOT REQUIRED")</f>
        <v>49</v>
      </c>
      <c r="E33" s="179">
        <f>IF('Efficient Site Offices'!E$13&gt;0,IF('Efficient Site Offices'!E$13='Efficient Site Offices DD &amp; Cal'!$I$8,'Efficient Site Offices DD &amp; Cal'!$I33,IF('Efficient Site Offices'!E$13='Efficient Site Offices DD &amp; Cal'!$J$8,'Efficient Site Offices DD &amp; Cal'!$J33,IF('Efficient Site Offices'!E$13='Efficient Site Offices DD &amp; Cal'!$K$8,'Efficient Site Offices DD &amp; Cal'!$K33,IF('Efficient Site Offices'!E$13='Efficient Site Offices DD &amp; Cal'!$L$8,'Efficient Site Offices DD &amp; Cal'!$L33,"ERROR")))),"NOT REQUIRED")</f>
        <v>49</v>
      </c>
      <c r="F33" s="179" t="str">
        <f>IF('Efficient Site Offices'!F$13&gt;0,IF('Efficient Site Offices'!F$13='Efficient Site Offices DD &amp; Cal'!$I$8,'Efficient Site Offices DD &amp; Cal'!$I33,IF('Efficient Site Offices'!F$13='Efficient Site Offices DD &amp; Cal'!$J$8,'Efficient Site Offices DD &amp; Cal'!$J33,IF('Efficient Site Offices'!F$13='Efficient Site Offices DD &amp; Cal'!$K$8,'Efficient Site Offices DD &amp; Cal'!$K33,IF('Efficient Site Offices'!F$13='Efficient Site Offices DD &amp; Cal'!$L$8,'Efficient Site Offices DD &amp; Cal'!$L33,"ERROR")))),"NOT REQUIRED")</f>
        <v>NOT REQUIRED</v>
      </c>
      <c r="I33" s="179">
        <v>24</v>
      </c>
      <c r="J33" s="179">
        <v>49</v>
      </c>
      <c r="K33" s="179">
        <v>74</v>
      </c>
      <c r="L33" s="179">
        <v>99</v>
      </c>
      <c r="N33" s="927"/>
      <c r="O33" s="927"/>
      <c r="P33" s="927"/>
    </row>
    <row r="34" spans="1:18">
      <c r="I34" s="179"/>
      <c r="J34" s="179"/>
      <c r="K34" s="179"/>
      <c r="L34" s="179"/>
    </row>
    <row r="35" spans="1:18" s="179" customFormat="1"/>
    <row r="36" spans="1:18">
      <c r="A36" t="s">
        <v>907</v>
      </c>
      <c r="B36" s="179">
        <f>IF(OR('Efficient Site Offices'!B$13&gt;0,'Efficient Site Offices'!B$14&gt;0),IF('Efficient Site Offices'!B$14&gt;0,'Efficient Site Offices'!B$14,VLOOKUP('Efficient Site Offices'!B$13,'Efficient Site Offices DD &amp; Cal'!$B$3:$C$6,2,FALSE)),100)</f>
        <v>49</v>
      </c>
      <c r="C36" s="179">
        <f>IF(OR('Efficient Site Offices'!C$13&gt;0,'Efficient Site Offices'!C$14&gt;0),IF('Efficient Site Offices'!C$14&gt;0,'Efficient Site Offices'!C$14,VLOOKUP('Efficient Site Offices'!C$13,'Efficient Site Offices DD &amp; Cal'!$B$3:$C$6,2,FALSE)),100)</f>
        <v>49</v>
      </c>
      <c r="D36" s="179">
        <f>IF(OR('Efficient Site Offices'!D$13&gt;0,'Efficient Site Offices'!D$14&gt;0),IF('Efficient Site Offices'!D$14&gt;0,'Efficient Site Offices'!D$14,VLOOKUP('Efficient Site Offices'!D$13,'Efficient Site Offices DD &amp; Cal'!$B$3:$C$6,2,FALSE)),100)</f>
        <v>49</v>
      </c>
      <c r="E36" s="179">
        <f>IF(OR('Efficient Site Offices'!E$13&gt;0,'Efficient Site Offices'!E$14&gt;0),IF('Efficient Site Offices'!E$14&gt;0,'Efficient Site Offices'!E$14,VLOOKUP('Efficient Site Offices'!E$13,'Efficient Site Offices DD &amp; Cal'!$B$3:$C$6,2,FALSE)),100)</f>
        <v>49</v>
      </c>
      <c r="F36" s="179">
        <f>IF(OR('Efficient Site Offices'!F$13&gt;0,'Efficient Site Offices'!F$14&gt;0),IF('Efficient Site Offices'!F$14&gt;0,'Efficient Site Offices'!F$14,VLOOKUP('Efficient Site Offices'!F$13,'Efficient Site Offices DD &amp; Cal'!$B$3:$C$6,2,FALSE)),100)</f>
        <v>100</v>
      </c>
      <c r="I36" s="179"/>
      <c r="J36" s="179"/>
      <c r="K36" s="179"/>
      <c r="L36" s="179"/>
    </row>
    <row r="37" spans="1:18" ht="135">
      <c r="A37" s="418" t="s">
        <v>835</v>
      </c>
      <c r="B37" s="497" t="str">
        <f>IF('Efficient Site Offices'!B19&gt;0,'Efficient Site Offices'!$A19,IF('Efficient Site Offices'!B140&gt;0,"DATA ENTERED",0))</f>
        <v>% of total electricity consumption consumed by site office</v>
      </c>
      <c r="C37" s="497" t="str">
        <f>IF('Efficient Site Offices'!C19&gt;0,'Efficient Site Offices'!$A19,IF('Efficient Site Offices'!C140&gt;0,"DATA ENTERED",0))</f>
        <v>% of total electricity consumption consumed by site office</v>
      </c>
      <c r="D37" s="497" t="str">
        <f>IF('Efficient Site Offices'!D19&gt;0,'Efficient Site Offices'!$A19,IF('Efficient Site Offices'!D140&gt;0,"DATA ENTERED",0))</f>
        <v>% of total electricity consumption consumed by site office</v>
      </c>
      <c r="E37" s="497" t="str">
        <f>IF('Efficient Site Offices'!E19&gt;0,'Efficient Site Offices'!$A19,IF('Efficient Site Offices'!E140&gt;0,"DATA ENTERED",0))</f>
        <v>% of total electricity consumption consumed by site office</v>
      </c>
      <c r="F37" s="497">
        <f>IF('Efficient Site Offices'!F19&gt;0,'Efficient Site Offices'!$A19,IF('Efficient Site Offices'!F140&gt;0,"DATA ENTERED",0))</f>
        <v>0</v>
      </c>
      <c r="H37" s="664" t="s">
        <v>112</v>
      </c>
      <c r="I37" s="179"/>
      <c r="J37" s="179"/>
      <c r="K37" s="179"/>
      <c r="L37" s="179"/>
    </row>
    <row r="38" spans="1:18" ht="15" customHeight="1">
      <c r="A38" t="s">
        <v>31</v>
      </c>
      <c r="B38" s="179">
        <f>IF(AND($A38&gt;='Efficient Site Offices'!B$11,$A38&lt;='Efficient Site Offices'!B$12),IF(B$37='Efficient Site Offices'!$A$19,((100-B$36)/100)*('Efficient Site Offices'!B$19)*'Actual-CO2 Calculations'!$D5,IF('Efficient Site Offices'!B$140&gt;0,((100-B$36)/100)*'Efficient Site Offices'!B22*'Data Entry Electricity'!$L4,0)),0)</f>
        <v>0</v>
      </c>
      <c r="C38" s="738">
        <f>IF(AND($A38&gt;='Efficient Site Offices'!C$11,$A38&lt;='Efficient Site Offices'!C$12),IF(C$37='Efficient Site Offices'!$A$19,((100-C$36)/100)*('Efficient Site Offices'!C$19)*'Actual-CO2 Calculations'!$D5,IF('Efficient Site Offices'!C$140&gt;0,((100-C$36)/100)*'Efficient Site Offices'!C22*'Data Entry Electricity'!$L4,0)),0)</f>
        <v>0</v>
      </c>
      <c r="D38" s="738">
        <f>IF(AND($A38&gt;='Efficient Site Offices'!D$11,$A38&lt;='Efficient Site Offices'!D$12),IF(D$37='Efficient Site Offices'!$A$19,((100-D$36)/100)*('Efficient Site Offices'!D$19)*'Actual-CO2 Calculations'!$D5,IF('Efficient Site Offices'!D$140&gt;0,((100-D$36)/100)*'Efficient Site Offices'!D22*'Data Entry Electricity'!$L4,0)),0)</f>
        <v>0</v>
      </c>
      <c r="E38" s="738">
        <f>IF(AND($A38&gt;='Efficient Site Offices'!E$11,$A38&lt;='Efficient Site Offices'!E$12),IF(E$37='Efficient Site Offices'!$A$19,((100-E$36)/100)*('Efficient Site Offices'!E$19)*'Actual-CO2 Calculations'!$D5,IF('Efficient Site Offices'!E$140&gt;0,((100-E$36)/100)*'Efficient Site Offices'!E22*'Data Entry Electricity'!$L4,0)),0)</f>
        <v>0</v>
      </c>
      <c r="F38" s="738">
        <f>IF(AND($A38&gt;='Efficient Site Offices'!F$11,$A38&lt;='Efficient Site Offices'!F$12),IF(F$37='Efficient Site Offices'!$A$19,((100-F$36)/100)*('Efficient Site Offices'!F$19)*'Actual-CO2 Calculations'!$D5,IF('Efficient Site Offices'!F$140&gt;0,((100-F$36)/100)*'Efficient Site Offices'!F22*'Data Entry Electricity'!$L4,0)),0)</f>
        <v>0</v>
      </c>
      <c r="H38" s="664">
        <f>SUM(B38:F38)</f>
        <v>0</v>
      </c>
      <c r="I38" s="928" t="s">
        <v>908</v>
      </c>
      <c r="J38" s="928"/>
      <c r="K38" s="928"/>
      <c r="L38" s="928"/>
      <c r="M38" s="928"/>
      <c r="N38" s="928"/>
      <c r="O38" s="179"/>
      <c r="P38" s="179"/>
      <c r="Q38" s="179"/>
      <c r="R38" s="179"/>
    </row>
    <row r="39" spans="1:18">
      <c r="A39" s="179" t="s">
        <v>32</v>
      </c>
      <c r="B39" s="738">
        <f>IF(AND($A39&gt;='Efficient Site Offices'!B$11,$A39&lt;='Efficient Site Offices'!B$12),IF(B$37='Efficient Site Offices'!$A$19,((100-B$36)/100)*('Efficient Site Offices'!B$19)*'Actual-CO2 Calculations'!$D6,IF('Efficient Site Offices'!B$140&gt;0,((100-B$36)/100)*'Efficient Site Offices'!B23*'Data Entry Electricity'!$L5,0)),0)</f>
        <v>0</v>
      </c>
      <c r="C39" s="738">
        <f>IF(AND($A39&gt;='Efficient Site Offices'!C$11,$A39&lt;='Efficient Site Offices'!C$12),IF(C$37='Efficient Site Offices'!$A$19,((100-C$36)/100)*('Efficient Site Offices'!C$19)*'Actual-CO2 Calculations'!$D6,IF('Efficient Site Offices'!C$140&gt;0,((100-C$36)/100)*'Efficient Site Offices'!C23*'Data Entry Electricity'!$L5,0)),0)</f>
        <v>0</v>
      </c>
      <c r="D39" s="738">
        <f>IF(AND($A39&gt;='Efficient Site Offices'!D$11,$A39&lt;='Efficient Site Offices'!D$12),IF(D$37='Efficient Site Offices'!$A$19,((100-D$36)/100)*('Efficient Site Offices'!D$19)*'Actual-CO2 Calculations'!$D6,IF('Efficient Site Offices'!D$140&gt;0,((100-D$36)/100)*'Efficient Site Offices'!D23*'Data Entry Electricity'!$L5,0)),0)</f>
        <v>0</v>
      </c>
      <c r="E39" s="738">
        <f>IF(AND($A39&gt;='Efficient Site Offices'!E$11,$A39&lt;='Efficient Site Offices'!E$12),IF(E$37='Efficient Site Offices'!$A$19,((100-E$36)/100)*('Efficient Site Offices'!E$19)*'Actual-CO2 Calculations'!$D6,IF('Efficient Site Offices'!E$140&gt;0,((100-E$36)/100)*'Efficient Site Offices'!E23*'Data Entry Electricity'!$L5,0)),0)</f>
        <v>0</v>
      </c>
      <c r="F39" s="738">
        <f>IF(AND($A39&gt;='Efficient Site Offices'!F$11,$A39&lt;='Efficient Site Offices'!F$12),IF(F$37='Efficient Site Offices'!$A$19,((100-F$36)/100)*('Efficient Site Offices'!F$19)*'Actual-CO2 Calculations'!$D6,IF('Efficient Site Offices'!F$140&gt;0,((100-F$36)/100)*'Efficient Site Offices'!F23*'Data Entry Electricity'!$L5,0)),0)</f>
        <v>0</v>
      </c>
      <c r="H39" s="664">
        <f t="shared" ref="H39:H102" si="0">SUM(B39:F39)</f>
        <v>0</v>
      </c>
      <c r="I39" s="928"/>
      <c r="J39" s="928"/>
      <c r="K39" s="928"/>
      <c r="L39" s="928"/>
      <c r="M39" s="928"/>
      <c r="N39" s="928"/>
    </row>
    <row r="40" spans="1:18">
      <c r="A40" s="179" t="s">
        <v>33</v>
      </c>
      <c r="B40" s="738">
        <f>IF(AND($A40&gt;='Efficient Site Offices'!B$11,$A40&lt;='Efficient Site Offices'!B$12),IF(B$37='Efficient Site Offices'!$A$19,((100-B$36)/100)*('Efficient Site Offices'!B$19)*'Actual-CO2 Calculations'!$D7,IF('Efficient Site Offices'!B$140&gt;0,((100-B$36)/100)*'Efficient Site Offices'!B24*'Data Entry Electricity'!$L6,0)),0)</f>
        <v>0</v>
      </c>
      <c r="C40" s="738">
        <f>IF(AND($A40&gt;='Efficient Site Offices'!C$11,$A40&lt;='Efficient Site Offices'!C$12),IF(C$37='Efficient Site Offices'!$A$19,((100-C$36)/100)*('Efficient Site Offices'!C$19)*'Actual-CO2 Calculations'!$D7,IF('Efficient Site Offices'!C$140&gt;0,((100-C$36)/100)*'Efficient Site Offices'!C24*'Data Entry Electricity'!$L6,0)),0)</f>
        <v>0</v>
      </c>
      <c r="D40" s="738">
        <f>IF(AND($A40&gt;='Efficient Site Offices'!D$11,$A40&lt;='Efficient Site Offices'!D$12),IF(D$37='Efficient Site Offices'!$A$19,((100-D$36)/100)*('Efficient Site Offices'!D$19)*'Actual-CO2 Calculations'!$D7,IF('Efficient Site Offices'!D$140&gt;0,((100-D$36)/100)*'Efficient Site Offices'!D24*'Data Entry Electricity'!$L6,0)),0)</f>
        <v>0</v>
      </c>
      <c r="E40" s="738">
        <f>IF(AND($A40&gt;='Efficient Site Offices'!E$11,$A40&lt;='Efficient Site Offices'!E$12),IF(E$37='Efficient Site Offices'!$A$19,((100-E$36)/100)*('Efficient Site Offices'!E$19)*'Actual-CO2 Calculations'!$D7,IF('Efficient Site Offices'!E$140&gt;0,((100-E$36)/100)*'Efficient Site Offices'!E24*'Data Entry Electricity'!$L6,0)),0)</f>
        <v>0</v>
      </c>
      <c r="F40" s="738">
        <f>IF(AND($A40&gt;='Efficient Site Offices'!F$11,$A40&lt;='Efficient Site Offices'!F$12),IF(F$37='Efficient Site Offices'!$A$19,((100-F$36)/100)*('Efficient Site Offices'!F$19)*'Actual-CO2 Calculations'!$D7,IF('Efficient Site Offices'!F$140&gt;0,((100-F$36)/100)*'Efficient Site Offices'!F24*'Data Entry Electricity'!$L6,0)),0)</f>
        <v>0</v>
      </c>
      <c r="H40" s="664">
        <f t="shared" si="0"/>
        <v>0</v>
      </c>
      <c r="I40" s="928"/>
      <c r="J40" s="928"/>
      <c r="K40" s="928"/>
      <c r="L40" s="928"/>
      <c r="M40" s="928"/>
      <c r="N40" s="928"/>
    </row>
    <row r="41" spans="1:18">
      <c r="A41" s="179" t="s">
        <v>34</v>
      </c>
      <c r="B41" s="738">
        <f>IF(AND($A41&gt;='Efficient Site Offices'!B$11,$A41&lt;='Efficient Site Offices'!B$12),IF(B$37='Efficient Site Offices'!$A$19,((100-B$36)/100)*('Efficient Site Offices'!B$19)*'Actual-CO2 Calculations'!$D8,IF('Efficient Site Offices'!B$140&gt;0,((100-B$36)/100)*'Efficient Site Offices'!B25*'Data Entry Electricity'!$L7,0)),0)</f>
        <v>0</v>
      </c>
      <c r="C41" s="738">
        <f>IF(AND($A41&gt;='Efficient Site Offices'!C$11,$A41&lt;='Efficient Site Offices'!C$12),IF(C$37='Efficient Site Offices'!$A$19,((100-C$36)/100)*('Efficient Site Offices'!C$19)*'Actual-CO2 Calculations'!$D8,IF('Efficient Site Offices'!C$140&gt;0,((100-C$36)/100)*'Efficient Site Offices'!C25*'Data Entry Electricity'!$L7,0)),0)</f>
        <v>0</v>
      </c>
      <c r="D41" s="738">
        <f>IF(AND($A41&gt;='Efficient Site Offices'!D$11,$A41&lt;='Efficient Site Offices'!D$12),IF(D$37='Efficient Site Offices'!$A$19,((100-D$36)/100)*('Efficient Site Offices'!D$19)*'Actual-CO2 Calculations'!$D8,IF('Efficient Site Offices'!D$140&gt;0,((100-D$36)/100)*'Efficient Site Offices'!D25*'Data Entry Electricity'!$L7,0)),0)</f>
        <v>0</v>
      </c>
      <c r="E41" s="738">
        <f>IF(AND($A41&gt;='Efficient Site Offices'!E$11,$A41&lt;='Efficient Site Offices'!E$12),IF(E$37='Efficient Site Offices'!$A$19,((100-E$36)/100)*('Efficient Site Offices'!E$19)*'Actual-CO2 Calculations'!$D8,IF('Efficient Site Offices'!E$140&gt;0,((100-E$36)/100)*'Efficient Site Offices'!E25*'Data Entry Electricity'!$L7,0)),0)</f>
        <v>0</v>
      </c>
      <c r="F41" s="738">
        <f>IF(AND($A41&gt;='Efficient Site Offices'!F$11,$A41&lt;='Efficient Site Offices'!F$12),IF(F$37='Efficient Site Offices'!$A$19,((100-F$36)/100)*('Efficient Site Offices'!F$19)*'Actual-CO2 Calculations'!$D8,IF('Efficient Site Offices'!F$140&gt;0,((100-F$36)/100)*'Efficient Site Offices'!F25*'Data Entry Electricity'!$L7,0)),0)</f>
        <v>0</v>
      </c>
      <c r="H41" s="664">
        <f t="shared" si="0"/>
        <v>0</v>
      </c>
      <c r="I41" s="928"/>
      <c r="J41" s="928"/>
      <c r="K41" s="928"/>
      <c r="L41" s="928"/>
      <c r="M41" s="928"/>
      <c r="N41" s="928"/>
    </row>
    <row r="42" spans="1:18">
      <c r="A42" s="179" t="s">
        <v>35</v>
      </c>
      <c r="B42" s="738">
        <f>IF(AND($A42&gt;='Efficient Site Offices'!B$11,$A42&lt;='Efficient Site Offices'!B$12),IF(B$37='Efficient Site Offices'!$A$19,((100-B$36)/100)*('Efficient Site Offices'!B$19)*'Actual-CO2 Calculations'!$D9,IF('Efficient Site Offices'!B$140&gt;0,((100-B$36)/100)*'Efficient Site Offices'!B26*'Data Entry Electricity'!$L8,0)),0)</f>
        <v>0</v>
      </c>
      <c r="C42" s="738">
        <f>IF(AND($A42&gt;='Efficient Site Offices'!C$11,$A42&lt;='Efficient Site Offices'!C$12),IF(C$37='Efficient Site Offices'!$A$19,((100-C$36)/100)*('Efficient Site Offices'!C$19)*'Actual-CO2 Calculations'!$D9,IF('Efficient Site Offices'!C$140&gt;0,((100-C$36)/100)*'Efficient Site Offices'!C26*'Data Entry Electricity'!$L8,0)),0)</f>
        <v>0</v>
      </c>
      <c r="D42" s="738">
        <f>IF(AND($A42&gt;='Efficient Site Offices'!D$11,$A42&lt;='Efficient Site Offices'!D$12),IF(D$37='Efficient Site Offices'!$A$19,((100-D$36)/100)*('Efficient Site Offices'!D$19)*'Actual-CO2 Calculations'!$D9,IF('Efficient Site Offices'!D$140&gt;0,((100-D$36)/100)*'Efficient Site Offices'!D26*'Data Entry Electricity'!$L8,0)),0)</f>
        <v>0</v>
      </c>
      <c r="E42" s="738">
        <f>IF(AND($A42&gt;='Efficient Site Offices'!E$11,$A42&lt;='Efficient Site Offices'!E$12),IF(E$37='Efficient Site Offices'!$A$19,((100-E$36)/100)*('Efficient Site Offices'!E$19)*'Actual-CO2 Calculations'!$D9,IF('Efficient Site Offices'!E$140&gt;0,((100-E$36)/100)*'Efficient Site Offices'!E26*'Data Entry Electricity'!$L8,0)),0)</f>
        <v>0</v>
      </c>
      <c r="F42" s="738">
        <f>IF(AND($A42&gt;='Efficient Site Offices'!F$11,$A42&lt;='Efficient Site Offices'!F$12),IF(F$37='Efficient Site Offices'!$A$19,((100-F$36)/100)*('Efficient Site Offices'!F$19)*'Actual-CO2 Calculations'!$D9,IF('Efficient Site Offices'!F$140&gt;0,((100-F$36)/100)*'Efficient Site Offices'!F26*'Data Entry Electricity'!$L8,0)),0)</f>
        <v>0</v>
      </c>
      <c r="H42" s="664">
        <f t="shared" si="0"/>
        <v>0</v>
      </c>
      <c r="I42" s="179"/>
      <c r="J42" s="179"/>
      <c r="K42" s="179"/>
      <c r="L42" s="179"/>
    </row>
    <row r="43" spans="1:18">
      <c r="A43" s="179" t="s">
        <v>36</v>
      </c>
      <c r="B43" s="738">
        <f>IF(AND($A43&gt;='Efficient Site Offices'!B$11,$A43&lt;='Efficient Site Offices'!B$12),IF(B$37='Efficient Site Offices'!$A$19,((100-B$36)/100)*('Efficient Site Offices'!B$19)*'Actual-CO2 Calculations'!$D10,IF('Efficient Site Offices'!B$140&gt;0,((100-B$36)/100)*'Efficient Site Offices'!B27*'Data Entry Electricity'!$L9,0)),0)</f>
        <v>0</v>
      </c>
      <c r="C43" s="738">
        <f>IF(AND($A43&gt;='Efficient Site Offices'!C$11,$A43&lt;='Efficient Site Offices'!C$12),IF(C$37='Efficient Site Offices'!$A$19,((100-C$36)/100)*('Efficient Site Offices'!C$19)*'Actual-CO2 Calculations'!$D10,IF('Efficient Site Offices'!C$140&gt;0,((100-C$36)/100)*'Efficient Site Offices'!C27*'Data Entry Electricity'!$L9,0)),0)</f>
        <v>0</v>
      </c>
      <c r="D43" s="738">
        <f>IF(AND($A43&gt;='Efficient Site Offices'!D$11,$A43&lt;='Efficient Site Offices'!D$12),IF(D$37='Efficient Site Offices'!$A$19,((100-D$36)/100)*('Efficient Site Offices'!D$19)*'Actual-CO2 Calculations'!$D10,IF('Efficient Site Offices'!D$140&gt;0,((100-D$36)/100)*'Efficient Site Offices'!D27*'Data Entry Electricity'!$L9,0)),0)</f>
        <v>0</v>
      </c>
      <c r="E43" s="738">
        <f>IF(AND($A43&gt;='Efficient Site Offices'!E$11,$A43&lt;='Efficient Site Offices'!E$12),IF(E$37='Efficient Site Offices'!$A$19,((100-E$36)/100)*('Efficient Site Offices'!E$19)*'Actual-CO2 Calculations'!$D10,IF('Efficient Site Offices'!E$140&gt;0,((100-E$36)/100)*'Efficient Site Offices'!E27*'Data Entry Electricity'!$L9,0)),0)</f>
        <v>0</v>
      </c>
      <c r="F43" s="738">
        <f>IF(AND($A43&gt;='Efficient Site Offices'!F$11,$A43&lt;='Efficient Site Offices'!F$12),IF(F$37='Efficient Site Offices'!$A$19,((100-F$36)/100)*('Efficient Site Offices'!F$19)*'Actual-CO2 Calculations'!$D10,IF('Efficient Site Offices'!F$140&gt;0,((100-F$36)/100)*'Efficient Site Offices'!F27*'Data Entry Electricity'!$L9,0)),0)</f>
        <v>0</v>
      </c>
      <c r="H43" s="664">
        <f t="shared" si="0"/>
        <v>0</v>
      </c>
      <c r="I43" s="179"/>
      <c r="J43" s="179"/>
      <c r="K43" s="179"/>
      <c r="L43" s="179"/>
    </row>
    <row r="44" spans="1:18">
      <c r="A44" s="179" t="s">
        <v>37</v>
      </c>
      <c r="B44" s="738">
        <f>IF(AND($A44&gt;='Efficient Site Offices'!B$11,$A44&lt;='Efficient Site Offices'!B$12),IF(B$37='Efficient Site Offices'!$A$19,((100-B$36)/100)*('Efficient Site Offices'!B$19)*'Actual-CO2 Calculations'!$D11,IF('Efficient Site Offices'!B$140&gt;0,((100-B$36)/100)*'Efficient Site Offices'!B28*'Data Entry Electricity'!$L10,0)),0)</f>
        <v>0</v>
      </c>
      <c r="C44" s="738">
        <f>IF(AND($A44&gt;='Efficient Site Offices'!C$11,$A44&lt;='Efficient Site Offices'!C$12),IF(C$37='Efficient Site Offices'!$A$19,((100-C$36)/100)*('Efficient Site Offices'!C$19)*'Actual-CO2 Calculations'!$D11,IF('Efficient Site Offices'!C$140&gt;0,((100-C$36)/100)*'Efficient Site Offices'!C28*'Data Entry Electricity'!$L10,0)),0)</f>
        <v>0</v>
      </c>
      <c r="D44" s="738">
        <f>IF(AND($A44&gt;='Efficient Site Offices'!D$11,$A44&lt;='Efficient Site Offices'!D$12),IF(D$37='Efficient Site Offices'!$A$19,((100-D$36)/100)*('Efficient Site Offices'!D$19)*'Actual-CO2 Calculations'!$D11,IF('Efficient Site Offices'!D$140&gt;0,((100-D$36)/100)*'Efficient Site Offices'!D28*'Data Entry Electricity'!$L10,0)),0)</f>
        <v>0</v>
      </c>
      <c r="E44" s="738">
        <f>IF(AND($A44&gt;='Efficient Site Offices'!E$11,$A44&lt;='Efficient Site Offices'!E$12),IF(E$37='Efficient Site Offices'!$A$19,((100-E$36)/100)*('Efficient Site Offices'!E$19)*'Actual-CO2 Calculations'!$D11,IF('Efficient Site Offices'!E$140&gt;0,((100-E$36)/100)*'Efficient Site Offices'!E28*'Data Entry Electricity'!$L10,0)),0)</f>
        <v>0</v>
      </c>
      <c r="F44" s="738">
        <f>IF(AND($A44&gt;='Efficient Site Offices'!F$11,$A44&lt;='Efficient Site Offices'!F$12),IF(F$37='Efficient Site Offices'!$A$19,((100-F$36)/100)*('Efficient Site Offices'!F$19)*'Actual-CO2 Calculations'!$D11,IF('Efficient Site Offices'!F$140&gt;0,((100-F$36)/100)*'Efficient Site Offices'!F28*'Data Entry Electricity'!$L10,0)),0)</f>
        <v>0</v>
      </c>
      <c r="H44" s="664">
        <f t="shared" si="0"/>
        <v>0</v>
      </c>
      <c r="I44" s="179"/>
      <c r="J44" s="179"/>
      <c r="K44" s="179"/>
      <c r="L44" s="179"/>
    </row>
    <row r="45" spans="1:18">
      <c r="A45" s="179" t="s">
        <v>38</v>
      </c>
      <c r="B45" s="738">
        <f>IF(AND($A45&gt;='Efficient Site Offices'!B$11,$A45&lt;='Efficient Site Offices'!B$12),IF(B$37='Efficient Site Offices'!$A$19,((100-B$36)/100)*('Efficient Site Offices'!B$19)*'Actual-CO2 Calculations'!$D12,IF('Efficient Site Offices'!B$140&gt;0,((100-B$36)/100)*'Efficient Site Offices'!B29*'Data Entry Electricity'!$L11,0)),0)</f>
        <v>0</v>
      </c>
      <c r="C45" s="738">
        <f>IF(AND($A45&gt;='Efficient Site Offices'!C$11,$A45&lt;='Efficient Site Offices'!C$12),IF(C$37='Efficient Site Offices'!$A$19,((100-C$36)/100)*('Efficient Site Offices'!C$19)*'Actual-CO2 Calculations'!$D12,IF('Efficient Site Offices'!C$140&gt;0,((100-C$36)/100)*'Efficient Site Offices'!C29*'Data Entry Electricity'!$L11,0)),0)</f>
        <v>0</v>
      </c>
      <c r="D45" s="738">
        <f>IF(AND($A45&gt;='Efficient Site Offices'!D$11,$A45&lt;='Efficient Site Offices'!D$12),IF(D$37='Efficient Site Offices'!$A$19,((100-D$36)/100)*('Efficient Site Offices'!D$19)*'Actual-CO2 Calculations'!$D12,IF('Efficient Site Offices'!D$140&gt;0,((100-D$36)/100)*'Efficient Site Offices'!D29*'Data Entry Electricity'!$L11,0)),0)</f>
        <v>0</v>
      </c>
      <c r="E45" s="738">
        <f>IF(AND($A45&gt;='Efficient Site Offices'!E$11,$A45&lt;='Efficient Site Offices'!E$12),IF(E$37='Efficient Site Offices'!$A$19,((100-E$36)/100)*('Efficient Site Offices'!E$19)*'Actual-CO2 Calculations'!$D12,IF('Efficient Site Offices'!E$140&gt;0,((100-E$36)/100)*'Efficient Site Offices'!E29*'Data Entry Electricity'!$L11,0)),0)</f>
        <v>0</v>
      </c>
      <c r="F45" s="738">
        <f>IF(AND($A45&gt;='Efficient Site Offices'!F$11,$A45&lt;='Efficient Site Offices'!F$12),IF(F$37='Efficient Site Offices'!$A$19,((100-F$36)/100)*('Efficient Site Offices'!F$19)*'Actual-CO2 Calculations'!$D12,IF('Efficient Site Offices'!F$140&gt;0,((100-F$36)/100)*'Efficient Site Offices'!F29*'Data Entry Electricity'!$L11,0)),0)</f>
        <v>0</v>
      </c>
      <c r="H45" s="664">
        <f t="shared" si="0"/>
        <v>0</v>
      </c>
      <c r="I45" s="179"/>
      <c r="J45" s="179"/>
      <c r="K45" s="179"/>
      <c r="L45" s="179"/>
    </row>
    <row r="46" spans="1:18">
      <c r="A46" s="179" t="s">
        <v>39</v>
      </c>
      <c r="B46" s="738">
        <f>IF(AND($A46&gt;='Efficient Site Offices'!B$11,$A46&lt;='Efficient Site Offices'!B$12),IF(B$37='Efficient Site Offices'!$A$19,((100-B$36)/100)*('Efficient Site Offices'!B$19)*'Actual-CO2 Calculations'!$D13,IF('Efficient Site Offices'!B$140&gt;0,((100-B$36)/100)*'Efficient Site Offices'!B30*'Data Entry Electricity'!$L12,0)),0)</f>
        <v>0</v>
      </c>
      <c r="C46" s="738">
        <f>IF(AND($A46&gt;='Efficient Site Offices'!C$11,$A46&lt;='Efficient Site Offices'!C$12),IF(C$37='Efficient Site Offices'!$A$19,((100-C$36)/100)*('Efficient Site Offices'!C$19)*'Actual-CO2 Calculations'!$D13,IF('Efficient Site Offices'!C$140&gt;0,((100-C$36)/100)*'Efficient Site Offices'!C30*'Data Entry Electricity'!$L12,0)),0)</f>
        <v>0</v>
      </c>
      <c r="D46" s="738">
        <f>IF(AND($A46&gt;='Efficient Site Offices'!D$11,$A46&lt;='Efficient Site Offices'!D$12),IF(D$37='Efficient Site Offices'!$A$19,((100-D$36)/100)*('Efficient Site Offices'!D$19)*'Actual-CO2 Calculations'!$D13,IF('Efficient Site Offices'!D$140&gt;0,((100-D$36)/100)*'Efficient Site Offices'!D30*'Data Entry Electricity'!$L12,0)),0)</f>
        <v>0</v>
      </c>
      <c r="E46" s="738">
        <f>IF(AND($A46&gt;='Efficient Site Offices'!E$11,$A46&lt;='Efficient Site Offices'!E$12),IF(E$37='Efficient Site Offices'!$A$19,((100-E$36)/100)*('Efficient Site Offices'!E$19)*'Actual-CO2 Calculations'!$D13,IF('Efficient Site Offices'!E$140&gt;0,((100-E$36)/100)*'Efficient Site Offices'!E30*'Data Entry Electricity'!$L12,0)),0)</f>
        <v>0</v>
      </c>
      <c r="F46" s="738">
        <f>IF(AND($A46&gt;='Efficient Site Offices'!F$11,$A46&lt;='Efficient Site Offices'!F$12),IF(F$37='Efficient Site Offices'!$A$19,((100-F$36)/100)*('Efficient Site Offices'!F$19)*'Actual-CO2 Calculations'!$D13,IF('Efficient Site Offices'!F$140&gt;0,((100-F$36)/100)*'Efficient Site Offices'!F30*'Data Entry Electricity'!$L12,0)),0)</f>
        <v>0</v>
      </c>
      <c r="H46" s="664">
        <f t="shared" si="0"/>
        <v>0</v>
      </c>
      <c r="I46" s="179"/>
      <c r="J46" s="179"/>
      <c r="K46" s="179"/>
      <c r="L46" s="179"/>
    </row>
    <row r="47" spans="1:18">
      <c r="A47" s="179" t="s">
        <v>25</v>
      </c>
      <c r="B47" s="738">
        <f>IF(AND($A47&gt;='Efficient Site Offices'!B$11,$A47&lt;='Efficient Site Offices'!B$12),IF(B$37='Efficient Site Offices'!$A$19,((100-B$36)/100)*('Efficient Site Offices'!B$19)*'Actual-CO2 Calculations'!$D14,IF('Efficient Site Offices'!B$140&gt;0,((100-B$36)/100)*'Efficient Site Offices'!B31*'Data Entry Electricity'!$L13,0)),0)</f>
        <v>0</v>
      </c>
      <c r="C47" s="738">
        <f>IF(AND($A47&gt;='Efficient Site Offices'!C$11,$A47&lt;='Efficient Site Offices'!C$12),IF(C$37='Efficient Site Offices'!$A$19,((100-C$36)/100)*('Efficient Site Offices'!C$19)*'Actual-CO2 Calculations'!$D14,IF('Efficient Site Offices'!C$140&gt;0,((100-C$36)/100)*'Efficient Site Offices'!C31*'Data Entry Electricity'!$L13,0)),0)</f>
        <v>0</v>
      </c>
      <c r="D47" s="738">
        <f>IF(AND($A47&gt;='Efficient Site Offices'!D$11,$A47&lt;='Efficient Site Offices'!D$12),IF(D$37='Efficient Site Offices'!$A$19,((100-D$36)/100)*('Efficient Site Offices'!D$19)*'Actual-CO2 Calculations'!$D14,IF('Efficient Site Offices'!D$140&gt;0,((100-D$36)/100)*'Efficient Site Offices'!D31*'Data Entry Electricity'!$L13,0)),0)</f>
        <v>0</v>
      </c>
      <c r="E47" s="738">
        <f>IF(AND($A47&gt;='Efficient Site Offices'!E$11,$A47&lt;='Efficient Site Offices'!E$12),IF(E$37='Efficient Site Offices'!$A$19,((100-E$36)/100)*('Efficient Site Offices'!E$19)*'Actual-CO2 Calculations'!$D14,IF('Efficient Site Offices'!E$140&gt;0,((100-E$36)/100)*'Efficient Site Offices'!E31*'Data Entry Electricity'!$L13,0)),0)</f>
        <v>0</v>
      </c>
      <c r="F47" s="738">
        <f>IF(AND($A47&gt;='Efficient Site Offices'!F$11,$A47&lt;='Efficient Site Offices'!F$12),IF(F$37='Efficient Site Offices'!$A$19,((100-F$36)/100)*('Efficient Site Offices'!F$19)*'Actual-CO2 Calculations'!$D14,IF('Efficient Site Offices'!F$140&gt;0,((100-F$36)/100)*'Efficient Site Offices'!F31*'Data Entry Electricity'!$L13,0)),0)</f>
        <v>0</v>
      </c>
      <c r="H47" s="664">
        <f t="shared" si="0"/>
        <v>0</v>
      </c>
      <c r="I47" s="179"/>
      <c r="J47" s="179"/>
      <c r="K47" s="179"/>
      <c r="L47" s="179"/>
    </row>
    <row r="48" spans="1:18">
      <c r="A48" s="179" t="s">
        <v>26</v>
      </c>
      <c r="B48" s="738">
        <f>IF(AND($A48&gt;='Efficient Site Offices'!B$11,$A48&lt;='Efficient Site Offices'!B$12),IF(B$37='Efficient Site Offices'!$A$19,((100-B$36)/100)*('Efficient Site Offices'!B$19)*'Actual-CO2 Calculations'!$D15,IF('Efficient Site Offices'!B$140&gt;0,((100-B$36)/100)*'Efficient Site Offices'!B32*'Data Entry Electricity'!$L14,0)),0)</f>
        <v>0</v>
      </c>
      <c r="C48" s="738">
        <f>IF(AND($A48&gt;='Efficient Site Offices'!C$11,$A48&lt;='Efficient Site Offices'!C$12),IF(C$37='Efficient Site Offices'!$A$19,((100-C$36)/100)*('Efficient Site Offices'!C$19)*'Actual-CO2 Calculations'!$D15,IF('Efficient Site Offices'!C$140&gt;0,((100-C$36)/100)*'Efficient Site Offices'!C32*'Data Entry Electricity'!$L14,0)),0)</f>
        <v>0</v>
      </c>
      <c r="D48" s="738">
        <f>IF(AND($A48&gt;='Efficient Site Offices'!D$11,$A48&lt;='Efficient Site Offices'!D$12),IF(D$37='Efficient Site Offices'!$A$19,((100-D$36)/100)*('Efficient Site Offices'!D$19)*'Actual-CO2 Calculations'!$D15,IF('Efficient Site Offices'!D$140&gt;0,((100-D$36)/100)*'Efficient Site Offices'!D32*'Data Entry Electricity'!$L14,0)),0)</f>
        <v>0</v>
      </c>
      <c r="E48" s="738">
        <f>IF(AND($A48&gt;='Efficient Site Offices'!E$11,$A48&lt;='Efficient Site Offices'!E$12),IF(E$37='Efficient Site Offices'!$A$19,((100-E$36)/100)*('Efficient Site Offices'!E$19)*'Actual-CO2 Calculations'!$D15,IF('Efficient Site Offices'!E$140&gt;0,((100-E$36)/100)*'Efficient Site Offices'!E32*'Data Entry Electricity'!$L14,0)),0)</f>
        <v>0</v>
      </c>
      <c r="F48" s="738">
        <f>IF(AND($A48&gt;='Efficient Site Offices'!F$11,$A48&lt;='Efficient Site Offices'!F$12),IF(F$37='Efficient Site Offices'!$A$19,((100-F$36)/100)*('Efficient Site Offices'!F$19)*'Actual-CO2 Calculations'!$D15,IF('Efficient Site Offices'!F$140&gt;0,((100-F$36)/100)*'Efficient Site Offices'!F32*'Data Entry Electricity'!$L14,0)),0)</f>
        <v>0</v>
      </c>
      <c r="H48" s="664">
        <f t="shared" si="0"/>
        <v>0</v>
      </c>
      <c r="I48" s="179"/>
      <c r="J48" s="179"/>
      <c r="K48" s="179"/>
      <c r="L48" s="179"/>
    </row>
    <row r="49" spans="1:12">
      <c r="A49" s="179" t="s">
        <v>27</v>
      </c>
      <c r="B49" s="738">
        <f>IF(AND($A49&gt;='Efficient Site Offices'!B$11,$A49&lt;='Efficient Site Offices'!B$12),IF(B$37='Efficient Site Offices'!$A$19,((100-B$36)/100)*('Efficient Site Offices'!B$19)*'Actual-CO2 Calculations'!$D16,IF('Efficient Site Offices'!B$140&gt;0,((100-B$36)/100)*'Efficient Site Offices'!B33*'Data Entry Electricity'!$L15,0)),0)</f>
        <v>0</v>
      </c>
      <c r="C49" s="738">
        <f>IF(AND($A49&gt;='Efficient Site Offices'!C$11,$A49&lt;='Efficient Site Offices'!C$12),IF(C$37='Efficient Site Offices'!$A$19,((100-C$36)/100)*('Efficient Site Offices'!C$19)*'Actual-CO2 Calculations'!$D16,IF('Efficient Site Offices'!C$140&gt;0,((100-C$36)/100)*'Efficient Site Offices'!C33*'Data Entry Electricity'!$L15,0)),0)</f>
        <v>0</v>
      </c>
      <c r="D49" s="738">
        <f>IF(AND($A49&gt;='Efficient Site Offices'!D$11,$A49&lt;='Efficient Site Offices'!D$12),IF(D$37='Efficient Site Offices'!$A$19,((100-D$36)/100)*('Efficient Site Offices'!D$19)*'Actual-CO2 Calculations'!$D16,IF('Efficient Site Offices'!D$140&gt;0,((100-D$36)/100)*'Efficient Site Offices'!D33*'Data Entry Electricity'!$L15,0)),0)</f>
        <v>0</v>
      </c>
      <c r="E49" s="738">
        <f>IF(AND($A49&gt;='Efficient Site Offices'!E$11,$A49&lt;='Efficient Site Offices'!E$12),IF(E$37='Efficient Site Offices'!$A$19,((100-E$36)/100)*('Efficient Site Offices'!E$19)*'Actual-CO2 Calculations'!$D16,IF('Efficient Site Offices'!E$140&gt;0,((100-E$36)/100)*'Efficient Site Offices'!E33*'Data Entry Electricity'!$L15,0)),0)</f>
        <v>0</v>
      </c>
      <c r="F49" s="738">
        <f>IF(AND($A49&gt;='Efficient Site Offices'!F$11,$A49&lt;='Efficient Site Offices'!F$12),IF(F$37='Efficient Site Offices'!$A$19,((100-F$36)/100)*('Efficient Site Offices'!F$19)*'Actual-CO2 Calculations'!$D16,IF('Efficient Site Offices'!F$140&gt;0,((100-F$36)/100)*'Efficient Site Offices'!F33*'Data Entry Electricity'!$L15,0)),0)</f>
        <v>0</v>
      </c>
      <c r="H49" s="664">
        <f t="shared" si="0"/>
        <v>0</v>
      </c>
      <c r="I49" s="179"/>
      <c r="J49" s="179"/>
      <c r="K49" s="179"/>
      <c r="L49" s="179"/>
    </row>
    <row r="50" spans="1:12">
      <c r="A50" s="179" t="s">
        <v>24</v>
      </c>
      <c r="B50" s="738">
        <f>IF(AND($A50&gt;='Efficient Site Offices'!B$11,$A50&lt;='Efficient Site Offices'!B$12),IF(B$37='Efficient Site Offices'!$A$19,((100-B$36)/100)*('Efficient Site Offices'!B$19)*'Actual-CO2 Calculations'!$D17,IF('Efficient Site Offices'!B$140&gt;0,((100-B$36)/100)*'Efficient Site Offices'!B34*'Data Entry Electricity'!$L16,0)),0)</f>
        <v>0</v>
      </c>
      <c r="C50" s="738">
        <f>IF(AND($A50&gt;='Efficient Site Offices'!C$11,$A50&lt;='Efficient Site Offices'!C$12),IF(C$37='Efficient Site Offices'!$A$19,((100-C$36)/100)*('Efficient Site Offices'!C$19)*'Actual-CO2 Calculations'!$D17,IF('Efficient Site Offices'!C$140&gt;0,((100-C$36)/100)*'Efficient Site Offices'!C34*'Data Entry Electricity'!$L16,0)),0)</f>
        <v>0</v>
      </c>
      <c r="D50" s="738">
        <f>IF(AND($A50&gt;='Efficient Site Offices'!D$11,$A50&lt;='Efficient Site Offices'!D$12),IF(D$37='Efficient Site Offices'!$A$19,((100-D$36)/100)*('Efficient Site Offices'!D$19)*'Actual-CO2 Calculations'!$D17,IF('Efficient Site Offices'!D$140&gt;0,((100-D$36)/100)*'Efficient Site Offices'!D34*'Data Entry Electricity'!$L16,0)),0)</f>
        <v>0</v>
      </c>
      <c r="E50" s="738">
        <f>IF(AND($A50&gt;='Efficient Site Offices'!E$11,$A50&lt;='Efficient Site Offices'!E$12),IF(E$37='Efficient Site Offices'!$A$19,((100-E$36)/100)*('Efficient Site Offices'!E$19)*'Actual-CO2 Calculations'!$D17,IF('Efficient Site Offices'!E$140&gt;0,((100-E$36)/100)*'Efficient Site Offices'!E34*'Data Entry Electricity'!$L16,0)),0)</f>
        <v>0</v>
      </c>
      <c r="F50" s="738">
        <f>IF(AND($A50&gt;='Efficient Site Offices'!F$11,$A50&lt;='Efficient Site Offices'!F$12),IF(F$37='Efficient Site Offices'!$A$19,((100-F$36)/100)*('Efficient Site Offices'!F$19)*'Actual-CO2 Calculations'!$D17,IF('Efficient Site Offices'!F$140&gt;0,((100-F$36)/100)*'Efficient Site Offices'!F34*'Data Entry Electricity'!$L16,0)),0)</f>
        <v>0</v>
      </c>
      <c r="H50" s="664">
        <f t="shared" si="0"/>
        <v>0</v>
      </c>
      <c r="I50" s="179"/>
      <c r="J50" s="179"/>
      <c r="K50" s="179"/>
      <c r="L50" s="179"/>
    </row>
    <row r="51" spans="1:12">
      <c r="A51" s="179" t="s">
        <v>40</v>
      </c>
      <c r="B51" s="738">
        <f>IF(AND($A51&gt;='Efficient Site Offices'!B$11,$A51&lt;='Efficient Site Offices'!B$12),IF(B$37='Efficient Site Offices'!$A$19,((100-B$36)/100)*('Efficient Site Offices'!B$19)*'Actual-CO2 Calculations'!$D18,IF('Efficient Site Offices'!B$140&gt;0,((100-B$36)/100)*'Efficient Site Offices'!B35*'Data Entry Electricity'!$L17,0)),0)</f>
        <v>0</v>
      </c>
      <c r="C51" s="738">
        <f>IF(AND($A51&gt;='Efficient Site Offices'!C$11,$A51&lt;='Efficient Site Offices'!C$12),IF(C$37='Efficient Site Offices'!$A$19,((100-C$36)/100)*('Efficient Site Offices'!C$19)*'Actual-CO2 Calculations'!$D18,IF('Efficient Site Offices'!C$140&gt;0,((100-C$36)/100)*'Efficient Site Offices'!C35*'Data Entry Electricity'!$L17,0)),0)</f>
        <v>0</v>
      </c>
      <c r="D51" s="738">
        <f>IF(AND($A51&gt;='Efficient Site Offices'!D$11,$A51&lt;='Efficient Site Offices'!D$12),IF(D$37='Efficient Site Offices'!$A$19,((100-D$36)/100)*('Efficient Site Offices'!D$19)*'Actual-CO2 Calculations'!$D18,IF('Efficient Site Offices'!D$140&gt;0,((100-D$36)/100)*'Efficient Site Offices'!D35*'Data Entry Electricity'!$L17,0)),0)</f>
        <v>0</v>
      </c>
      <c r="E51" s="738">
        <f>IF(AND($A51&gt;='Efficient Site Offices'!E$11,$A51&lt;='Efficient Site Offices'!E$12),IF(E$37='Efficient Site Offices'!$A$19,((100-E$36)/100)*('Efficient Site Offices'!E$19)*'Actual-CO2 Calculations'!$D18,IF('Efficient Site Offices'!E$140&gt;0,((100-E$36)/100)*'Efficient Site Offices'!E35*'Data Entry Electricity'!$L17,0)),0)</f>
        <v>0</v>
      </c>
      <c r="F51" s="738">
        <f>IF(AND($A51&gt;='Efficient Site Offices'!F$11,$A51&lt;='Efficient Site Offices'!F$12),IF(F$37='Efficient Site Offices'!$A$19,((100-F$36)/100)*('Efficient Site Offices'!F$19)*'Actual-CO2 Calculations'!$D18,IF('Efficient Site Offices'!F$140&gt;0,((100-F$36)/100)*'Efficient Site Offices'!F35*'Data Entry Electricity'!$L17,0)),0)</f>
        <v>0</v>
      </c>
      <c r="H51" s="664">
        <f t="shared" si="0"/>
        <v>0</v>
      </c>
      <c r="I51" s="179"/>
      <c r="J51" s="179"/>
      <c r="K51" s="179"/>
      <c r="L51" s="179"/>
    </row>
    <row r="52" spans="1:12">
      <c r="A52" s="179" t="s">
        <v>41</v>
      </c>
      <c r="B52" s="738">
        <f>IF(AND($A52&gt;='Efficient Site Offices'!B$11,$A52&lt;='Efficient Site Offices'!B$12),IF(B$37='Efficient Site Offices'!$A$19,((100-B$36)/100)*('Efficient Site Offices'!B$19)*'Actual-CO2 Calculations'!$D19,IF('Efficient Site Offices'!B$140&gt;0,((100-B$36)/100)*'Efficient Site Offices'!B36*'Data Entry Electricity'!$L18,0)),0)</f>
        <v>0</v>
      </c>
      <c r="C52" s="738">
        <f>IF(AND($A52&gt;='Efficient Site Offices'!C$11,$A52&lt;='Efficient Site Offices'!C$12),IF(C$37='Efficient Site Offices'!$A$19,((100-C$36)/100)*('Efficient Site Offices'!C$19)*'Actual-CO2 Calculations'!$D19,IF('Efficient Site Offices'!C$140&gt;0,((100-C$36)/100)*'Efficient Site Offices'!C36*'Data Entry Electricity'!$L18,0)),0)</f>
        <v>0</v>
      </c>
      <c r="D52" s="738">
        <f>IF(AND($A52&gt;='Efficient Site Offices'!D$11,$A52&lt;='Efficient Site Offices'!D$12),IF(D$37='Efficient Site Offices'!$A$19,((100-D$36)/100)*('Efficient Site Offices'!D$19)*'Actual-CO2 Calculations'!$D19,IF('Efficient Site Offices'!D$140&gt;0,((100-D$36)/100)*'Efficient Site Offices'!D36*'Data Entry Electricity'!$L18,0)),0)</f>
        <v>0</v>
      </c>
      <c r="E52" s="738">
        <f>IF(AND($A52&gt;='Efficient Site Offices'!E$11,$A52&lt;='Efficient Site Offices'!E$12),IF(E$37='Efficient Site Offices'!$A$19,((100-E$36)/100)*('Efficient Site Offices'!E$19)*'Actual-CO2 Calculations'!$D19,IF('Efficient Site Offices'!E$140&gt;0,((100-E$36)/100)*'Efficient Site Offices'!E36*'Data Entry Electricity'!$L18,0)),0)</f>
        <v>0</v>
      </c>
      <c r="F52" s="738">
        <f>IF(AND($A52&gt;='Efficient Site Offices'!F$11,$A52&lt;='Efficient Site Offices'!F$12),IF(F$37='Efficient Site Offices'!$A$19,((100-F$36)/100)*('Efficient Site Offices'!F$19)*'Actual-CO2 Calculations'!$D19,IF('Efficient Site Offices'!F$140&gt;0,((100-F$36)/100)*'Efficient Site Offices'!F36*'Data Entry Electricity'!$L18,0)),0)</f>
        <v>0</v>
      </c>
      <c r="H52" s="664">
        <f t="shared" si="0"/>
        <v>0</v>
      </c>
      <c r="I52" s="179"/>
      <c r="J52" s="179"/>
      <c r="K52" s="179"/>
      <c r="L52" s="179"/>
    </row>
    <row r="53" spans="1:12">
      <c r="A53" s="179" t="s">
        <v>42</v>
      </c>
      <c r="B53" s="738">
        <f>IF(AND($A53&gt;='Efficient Site Offices'!B$11,$A53&lt;='Efficient Site Offices'!B$12),IF(B$37='Efficient Site Offices'!$A$19,((100-B$36)/100)*('Efficient Site Offices'!B$19)*'Actual-CO2 Calculations'!$D20,IF('Efficient Site Offices'!B$140&gt;0,((100-B$36)/100)*'Efficient Site Offices'!B37*'Data Entry Electricity'!$L19,0)),0)</f>
        <v>0</v>
      </c>
      <c r="C53" s="738">
        <f>IF(AND($A53&gt;='Efficient Site Offices'!C$11,$A53&lt;='Efficient Site Offices'!C$12),IF(C$37='Efficient Site Offices'!$A$19,((100-C$36)/100)*('Efficient Site Offices'!C$19)*'Actual-CO2 Calculations'!$D20,IF('Efficient Site Offices'!C$140&gt;0,((100-C$36)/100)*'Efficient Site Offices'!C37*'Data Entry Electricity'!$L19,0)),0)</f>
        <v>0</v>
      </c>
      <c r="D53" s="738">
        <f>IF(AND($A53&gt;='Efficient Site Offices'!D$11,$A53&lt;='Efficient Site Offices'!D$12),IF(D$37='Efficient Site Offices'!$A$19,((100-D$36)/100)*('Efficient Site Offices'!D$19)*'Actual-CO2 Calculations'!$D20,IF('Efficient Site Offices'!D$140&gt;0,((100-D$36)/100)*'Efficient Site Offices'!D37*'Data Entry Electricity'!$L19,0)),0)</f>
        <v>0</v>
      </c>
      <c r="E53" s="738">
        <f>IF(AND($A53&gt;='Efficient Site Offices'!E$11,$A53&lt;='Efficient Site Offices'!E$12),IF(E$37='Efficient Site Offices'!$A$19,((100-E$36)/100)*('Efficient Site Offices'!E$19)*'Actual-CO2 Calculations'!$D20,IF('Efficient Site Offices'!E$140&gt;0,((100-E$36)/100)*'Efficient Site Offices'!E37*'Data Entry Electricity'!$L19,0)),0)</f>
        <v>0</v>
      </c>
      <c r="F53" s="738">
        <f>IF(AND($A53&gt;='Efficient Site Offices'!F$11,$A53&lt;='Efficient Site Offices'!F$12),IF(F$37='Efficient Site Offices'!$A$19,((100-F$36)/100)*('Efficient Site Offices'!F$19)*'Actual-CO2 Calculations'!$D20,IF('Efficient Site Offices'!F$140&gt;0,((100-F$36)/100)*'Efficient Site Offices'!F37*'Data Entry Electricity'!$L19,0)),0)</f>
        <v>0</v>
      </c>
      <c r="H53" s="664">
        <f t="shared" si="0"/>
        <v>0</v>
      </c>
      <c r="I53" s="179"/>
      <c r="J53" s="179"/>
      <c r="K53" s="179"/>
      <c r="L53" s="179"/>
    </row>
    <row r="54" spans="1:12">
      <c r="A54" s="179" t="s">
        <v>43</v>
      </c>
      <c r="B54" s="738">
        <f>IF(AND($A54&gt;='Efficient Site Offices'!B$11,$A54&lt;='Efficient Site Offices'!B$12),IF(B$37='Efficient Site Offices'!$A$19,((100-B$36)/100)*('Efficient Site Offices'!B$19)*'Actual-CO2 Calculations'!$D21,IF('Efficient Site Offices'!B$140&gt;0,((100-B$36)/100)*'Efficient Site Offices'!B38*'Data Entry Electricity'!$L20,0)),0)</f>
        <v>0</v>
      </c>
      <c r="C54" s="738">
        <f>IF(AND($A54&gt;='Efficient Site Offices'!C$11,$A54&lt;='Efficient Site Offices'!C$12),IF(C$37='Efficient Site Offices'!$A$19,((100-C$36)/100)*('Efficient Site Offices'!C$19)*'Actual-CO2 Calculations'!$D21,IF('Efficient Site Offices'!C$140&gt;0,((100-C$36)/100)*'Efficient Site Offices'!C38*'Data Entry Electricity'!$L20,0)),0)</f>
        <v>0</v>
      </c>
      <c r="D54" s="738">
        <f>IF(AND($A54&gt;='Efficient Site Offices'!D$11,$A54&lt;='Efficient Site Offices'!D$12),IF(D$37='Efficient Site Offices'!$A$19,((100-D$36)/100)*('Efficient Site Offices'!D$19)*'Actual-CO2 Calculations'!$D21,IF('Efficient Site Offices'!D$140&gt;0,((100-D$36)/100)*'Efficient Site Offices'!D38*'Data Entry Electricity'!$L20,0)),0)</f>
        <v>0</v>
      </c>
      <c r="E54" s="738">
        <f>IF(AND($A54&gt;='Efficient Site Offices'!E$11,$A54&lt;='Efficient Site Offices'!E$12),IF(E$37='Efficient Site Offices'!$A$19,((100-E$36)/100)*('Efficient Site Offices'!E$19)*'Actual-CO2 Calculations'!$D21,IF('Efficient Site Offices'!E$140&gt;0,((100-E$36)/100)*'Efficient Site Offices'!E38*'Data Entry Electricity'!$L20,0)),0)</f>
        <v>0</v>
      </c>
      <c r="F54" s="738">
        <f>IF(AND($A54&gt;='Efficient Site Offices'!F$11,$A54&lt;='Efficient Site Offices'!F$12),IF(F$37='Efficient Site Offices'!$A$19,((100-F$36)/100)*('Efficient Site Offices'!F$19)*'Actual-CO2 Calculations'!$D21,IF('Efficient Site Offices'!F$140&gt;0,((100-F$36)/100)*'Efficient Site Offices'!F38*'Data Entry Electricity'!$L20,0)),0)</f>
        <v>0</v>
      </c>
      <c r="H54" s="664">
        <f t="shared" si="0"/>
        <v>0</v>
      </c>
      <c r="I54" s="179"/>
      <c r="J54" s="179"/>
      <c r="K54" s="179"/>
      <c r="L54" s="179"/>
    </row>
    <row r="55" spans="1:12">
      <c r="A55" s="179" t="s">
        <v>44</v>
      </c>
      <c r="B55" s="738">
        <f>IF(AND($A55&gt;='Efficient Site Offices'!B$11,$A55&lt;='Efficient Site Offices'!B$12),IF(B$37='Efficient Site Offices'!$A$19,((100-B$36)/100)*('Efficient Site Offices'!B$19)*'Actual-CO2 Calculations'!$D22,IF('Efficient Site Offices'!B$140&gt;0,((100-B$36)/100)*'Efficient Site Offices'!B39*'Data Entry Electricity'!$L21,0)),0)</f>
        <v>0</v>
      </c>
      <c r="C55" s="738">
        <f>IF(AND($A55&gt;='Efficient Site Offices'!C$11,$A55&lt;='Efficient Site Offices'!C$12),IF(C$37='Efficient Site Offices'!$A$19,((100-C$36)/100)*('Efficient Site Offices'!C$19)*'Actual-CO2 Calculations'!$D22,IF('Efficient Site Offices'!C$140&gt;0,((100-C$36)/100)*'Efficient Site Offices'!C39*'Data Entry Electricity'!$L21,0)),0)</f>
        <v>0</v>
      </c>
      <c r="D55" s="738">
        <f>IF(AND($A55&gt;='Efficient Site Offices'!D$11,$A55&lt;='Efficient Site Offices'!D$12),IF(D$37='Efficient Site Offices'!$A$19,((100-D$36)/100)*('Efficient Site Offices'!D$19)*'Actual-CO2 Calculations'!$D22,IF('Efficient Site Offices'!D$140&gt;0,((100-D$36)/100)*'Efficient Site Offices'!D39*'Data Entry Electricity'!$L21,0)),0)</f>
        <v>0</v>
      </c>
      <c r="E55" s="738">
        <f>IF(AND($A55&gt;='Efficient Site Offices'!E$11,$A55&lt;='Efficient Site Offices'!E$12),IF(E$37='Efficient Site Offices'!$A$19,((100-E$36)/100)*('Efficient Site Offices'!E$19)*'Actual-CO2 Calculations'!$D22,IF('Efficient Site Offices'!E$140&gt;0,((100-E$36)/100)*'Efficient Site Offices'!E39*'Data Entry Electricity'!$L21,0)),0)</f>
        <v>0</v>
      </c>
      <c r="F55" s="738">
        <f>IF(AND($A55&gt;='Efficient Site Offices'!F$11,$A55&lt;='Efficient Site Offices'!F$12),IF(F$37='Efficient Site Offices'!$A$19,((100-F$36)/100)*('Efficient Site Offices'!F$19)*'Actual-CO2 Calculations'!$D22,IF('Efficient Site Offices'!F$140&gt;0,((100-F$36)/100)*'Efficient Site Offices'!F39*'Data Entry Electricity'!$L21,0)),0)</f>
        <v>0</v>
      </c>
      <c r="H55" s="664">
        <f t="shared" si="0"/>
        <v>0</v>
      </c>
      <c r="I55" s="179"/>
      <c r="J55" s="179"/>
      <c r="K55" s="179"/>
      <c r="L55" s="179"/>
    </row>
    <row r="56" spans="1:12">
      <c r="A56" s="179" t="s">
        <v>45</v>
      </c>
      <c r="B56" s="738">
        <f>IF(AND($A56&gt;='Efficient Site Offices'!B$11,$A56&lt;='Efficient Site Offices'!B$12),IF(B$37='Efficient Site Offices'!$A$19,((100-B$36)/100)*('Efficient Site Offices'!B$19)*'Actual-CO2 Calculations'!$D23,IF('Efficient Site Offices'!B$140&gt;0,((100-B$36)/100)*'Efficient Site Offices'!B40*'Data Entry Electricity'!$L22,0)),0)</f>
        <v>0</v>
      </c>
      <c r="C56" s="738">
        <f>IF(AND($A56&gt;='Efficient Site Offices'!C$11,$A56&lt;='Efficient Site Offices'!C$12),IF(C$37='Efficient Site Offices'!$A$19,((100-C$36)/100)*('Efficient Site Offices'!C$19)*'Actual-CO2 Calculations'!$D23,IF('Efficient Site Offices'!C$140&gt;0,((100-C$36)/100)*'Efficient Site Offices'!C40*'Data Entry Electricity'!$L22,0)),0)</f>
        <v>0</v>
      </c>
      <c r="D56" s="738">
        <f>IF(AND($A56&gt;='Efficient Site Offices'!D$11,$A56&lt;='Efficient Site Offices'!D$12),IF(D$37='Efficient Site Offices'!$A$19,((100-D$36)/100)*('Efficient Site Offices'!D$19)*'Actual-CO2 Calculations'!$D23,IF('Efficient Site Offices'!D$140&gt;0,((100-D$36)/100)*'Efficient Site Offices'!D40*'Data Entry Electricity'!$L22,0)),0)</f>
        <v>0</v>
      </c>
      <c r="E56" s="738">
        <f>IF(AND($A56&gt;='Efficient Site Offices'!E$11,$A56&lt;='Efficient Site Offices'!E$12),IF(E$37='Efficient Site Offices'!$A$19,((100-E$36)/100)*('Efficient Site Offices'!E$19)*'Actual-CO2 Calculations'!$D23,IF('Efficient Site Offices'!E$140&gt;0,((100-E$36)/100)*'Efficient Site Offices'!E40*'Data Entry Electricity'!$L22,0)),0)</f>
        <v>0</v>
      </c>
      <c r="F56" s="738">
        <f>IF(AND($A56&gt;='Efficient Site Offices'!F$11,$A56&lt;='Efficient Site Offices'!F$12),IF(F$37='Efficient Site Offices'!$A$19,((100-F$36)/100)*('Efficient Site Offices'!F$19)*'Actual-CO2 Calculations'!$D23,IF('Efficient Site Offices'!F$140&gt;0,((100-F$36)/100)*'Efficient Site Offices'!F40*'Data Entry Electricity'!$L22,0)),0)</f>
        <v>0</v>
      </c>
      <c r="H56" s="664">
        <f t="shared" si="0"/>
        <v>0</v>
      </c>
      <c r="I56" s="179"/>
      <c r="J56" s="179"/>
      <c r="K56" s="179"/>
      <c r="L56" s="179"/>
    </row>
    <row r="57" spans="1:12">
      <c r="A57" s="179" t="s">
        <v>46</v>
      </c>
      <c r="B57" s="738">
        <f>IF(AND($A57&gt;='Efficient Site Offices'!B$11,$A57&lt;='Efficient Site Offices'!B$12),IF(B$37='Efficient Site Offices'!$A$19,((100-B$36)/100)*('Efficient Site Offices'!B$19)*'Actual-CO2 Calculations'!$D24,IF('Efficient Site Offices'!B$140&gt;0,((100-B$36)/100)*'Efficient Site Offices'!B41*'Data Entry Electricity'!$L23,0)),0)</f>
        <v>0</v>
      </c>
      <c r="C57" s="738">
        <f>IF(AND($A57&gt;='Efficient Site Offices'!C$11,$A57&lt;='Efficient Site Offices'!C$12),IF(C$37='Efficient Site Offices'!$A$19,((100-C$36)/100)*('Efficient Site Offices'!C$19)*'Actual-CO2 Calculations'!$D24,IF('Efficient Site Offices'!C$140&gt;0,((100-C$36)/100)*'Efficient Site Offices'!C41*'Data Entry Electricity'!$L23,0)),0)</f>
        <v>0</v>
      </c>
      <c r="D57" s="738">
        <f>IF(AND($A57&gt;='Efficient Site Offices'!D$11,$A57&lt;='Efficient Site Offices'!D$12),IF(D$37='Efficient Site Offices'!$A$19,((100-D$36)/100)*('Efficient Site Offices'!D$19)*'Actual-CO2 Calculations'!$D24,IF('Efficient Site Offices'!D$140&gt;0,((100-D$36)/100)*'Efficient Site Offices'!D41*'Data Entry Electricity'!$L23,0)),0)</f>
        <v>0</v>
      </c>
      <c r="E57" s="738">
        <f>IF(AND($A57&gt;='Efficient Site Offices'!E$11,$A57&lt;='Efficient Site Offices'!E$12),IF(E$37='Efficient Site Offices'!$A$19,((100-E$36)/100)*('Efficient Site Offices'!E$19)*'Actual-CO2 Calculations'!$D24,IF('Efficient Site Offices'!E$140&gt;0,((100-E$36)/100)*'Efficient Site Offices'!E41*'Data Entry Electricity'!$L23,0)),0)</f>
        <v>0</v>
      </c>
      <c r="F57" s="738">
        <f>IF(AND($A57&gt;='Efficient Site Offices'!F$11,$A57&lt;='Efficient Site Offices'!F$12),IF(F$37='Efficient Site Offices'!$A$19,((100-F$36)/100)*('Efficient Site Offices'!F$19)*'Actual-CO2 Calculations'!$D24,IF('Efficient Site Offices'!F$140&gt;0,((100-F$36)/100)*'Efficient Site Offices'!F41*'Data Entry Electricity'!$L23,0)),0)</f>
        <v>0</v>
      </c>
      <c r="H57" s="664">
        <f t="shared" si="0"/>
        <v>0</v>
      </c>
      <c r="I57" s="179"/>
      <c r="J57" s="179"/>
      <c r="K57" s="179"/>
      <c r="L57" s="179"/>
    </row>
    <row r="58" spans="1:12">
      <c r="A58" s="179" t="s">
        <v>47</v>
      </c>
      <c r="B58" s="738">
        <f>IF(AND($A58&gt;='Efficient Site Offices'!B$11,$A58&lt;='Efficient Site Offices'!B$12),IF(B$37='Efficient Site Offices'!$A$19,((100-B$36)/100)*('Efficient Site Offices'!B$19)*'Actual-CO2 Calculations'!$D25,IF('Efficient Site Offices'!B$140&gt;0,((100-B$36)/100)*'Efficient Site Offices'!B42*'Data Entry Electricity'!$L24,0)),0)</f>
        <v>0</v>
      </c>
      <c r="C58" s="738">
        <f>IF(AND($A58&gt;='Efficient Site Offices'!C$11,$A58&lt;='Efficient Site Offices'!C$12),IF(C$37='Efficient Site Offices'!$A$19,((100-C$36)/100)*('Efficient Site Offices'!C$19)*'Actual-CO2 Calculations'!$D25,IF('Efficient Site Offices'!C$140&gt;0,((100-C$36)/100)*'Efficient Site Offices'!C42*'Data Entry Electricity'!$L24,0)),0)</f>
        <v>0</v>
      </c>
      <c r="D58" s="738">
        <f>IF(AND($A58&gt;='Efficient Site Offices'!D$11,$A58&lt;='Efficient Site Offices'!D$12),IF(D$37='Efficient Site Offices'!$A$19,((100-D$36)/100)*('Efficient Site Offices'!D$19)*'Actual-CO2 Calculations'!$D25,IF('Efficient Site Offices'!D$140&gt;0,((100-D$36)/100)*'Efficient Site Offices'!D42*'Data Entry Electricity'!$L24,0)),0)</f>
        <v>0</v>
      </c>
      <c r="E58" s="738">
        <f>IF(AND($A58&gt;='Efficient Site Offices'!E$11,$A58&lt;='Efficient Site Offices'!E$12),IF(E$37='Efficient Site Offices'!$A$19,((100-E$36)/100)*('Efficient Site Offices'!E$19)*'Actual-CO2 Calculations'!$D25,IF('Efficient Site Offices'!E$140&gt;0,((100-E$36)/100)*'Efficient Site Offices'!E42*'Data Entry Electricity'!$L24,0)),0)</f>
        <v>0</v>
      </c>
      <c r="F58" s="738">
        <f>IF(AND($A58&gt;='Efficient Site Offices'!F$11,$A58&lt;='Efficient Site Offices'!F$12),IF(F$37='Efficient Site Offices'!$A$19,((100-F$36)/100)*('Efficient Site Offices'!F$19)*'Actual-CO2 Calculations'!$D25,IF('Efficient Site Offices'!F$140&gt;0,((100-F$36)/100)*'Efficient Site Offices'!F42*'Data Entry Electricity'!$L24,0)),0)</f>
        <v>0</v>
      </c>
      <c r="H58" s="664">
        <f t="shared" si="0"/>
        <v>0</v>
      </c>
      <c r="I58" s="179"/>
      <c r="J58" s="179"/>
      <c r="K58" s="179"/>
      <c r="L58" s="179"/>
    </row>
    <row r="59" spans="1:12">
      <c r="A59" s="179" t="s">
        <v>48</v>
      </c>
      <c r="B59" s="738">
        <f>IF(AND($A59&gt;='Efficient Site Offices'!B$11,$A59&lt;='Efficient Site Offices'!B$12),IF(B$37='Efficient Site Offices'!$A$19,((100-B$36)/100)*('Efficient Site Offices'!B$19)*'Actual-CO2 Calculations'!$D26,IF('Efficient Site Offices'!B$140&gt;0,((100-B$36)/100)*'Efficient Site Offices'!B43*'Data Entry Electricity'!$L25,0)),0)</f>
        <v>0</v>
      </c>
      <c r="C59" s="738">
        <f>IF(AND($A59&gt;='Efficient Site Offices'!C$11,$A59&lt;='Efficient Site Offices'!C$12),IF(C$37='Efficient Site Offices'!$A$19,((100-C$36)/100)*('Efficient Site Offices'!C$19)*'Actual-CO2 Calculations'!$D26,IF('Efficient Site Offices'!C$140&gt;0,((100-C$36)/100)*'Efficient Site Offices'!C43*'Data Entry Electricity'!$L25,0)),0)</f>
        <v>0</v>
      </c>
      <c r="D59" s="738">
        <f>IF(AND($A59&gt;='Efficient Site Offices'!D$11,$A59&lt;='Efficient Site Offices'!D$12),IF(D$37='Efficient Site Offices'!$A$19,((100-D$36)/100)*('Efficient Site Offices'!D$19)*'Actual-CO2 Calculations'!$D26,IF('Efficient Site Offices'!D$140&gt;0,((100-D$36)/100)*'Efficient Site Offices'!D43*'Data Entry Electricity'!$L25,0)),0)</f>
        <v>0</v>
      </c>
      <c r="E59" s="738">
        <f>IF(AND($A59&gt;='Efficient Site Offices'!E$11,$A59&lt;='Efficient Site Offices'!E$12),IF(E$37='Efficient Site Offices'!$A$19,((100-E$36)/100)*('Efficient Site Offices'!E$19)*'Actual-CO2 Calculations'!$D26,IF('Efficient Site Offices'!E$140&gt;0,((100-E$36)/100)*'Efficient Site Offices'!E43*'Data Entry Electricity'!$L25,0)),0)</f>
        <v>0</v>
      </c>
      <c r="F59" s="738">
        <f>IF(AND($A59&gt;='Efficient Site Offices'!F$11,$A59&lt;='Efficient Site Offices'!F$12),IF(F$37='Efficient Site Offices'!$A$19,((100-F$36)/100)*('Efficient Site Offices'!F$19)*'Actual-CO2 Calculations'!$D26,IF('Efficient Site Offices'!F$140&gt;0,((100-F$36)/100)*'Efficient Site Offices'!F43*'Data Entry Electricity'!$L25,0)),0)</f>
        <v>0</v>
      </c>
      <c r="H59" s="664">
        <f t="shared" si="0"/>
        <v>0</v>
      </c>
      <c r="I59" s="179"/>
      <c r="J59" s="179"/>
      <c r="K59" s="179"/>
      <c r="L59" s="179"/>
    </row>
    <row r="60" spans="1:12">
      <c r="A60" s="179" t="s">
        <v>0</v>
      </c>
      <c r="B60" s="738">
        <f>IF(AND($A60&gt;='Efficient Site Offices'!B$11,$A60&lt;='Efficient Site Offices'!B$12),IF(B$37='Efficient Site Offices'!$A$19,((100-B$36)/100)*('Efficient Site Offices'!B$19)*'Actual-CO2 Calculations'!$D27,IF('Efficient Site Offices'!B$140&gt;0,((100-B$36)/100)*'Efficient Site Offices'!B44*'Data Entry Electricity'!$L26,0)),0)</f>
        <v>0</v>
      </c>
      <c r="C60" s="738">
        <f>IF(AND($A60&gt;='Efficient Site Offices'!C$11,$A60&lt;='Efficient Site Offices'!C$12),IF(C$37='Efficient Site Offices'!$A$19,((100-C$36)/100)*('Efficient Site Offices'!C$19)*'Actual-CO2 Calculations'!$D27,IF('Efficient Site Offices'!C$140&gt;0,((100-C$36)/100)*'Efficient Site Offices'!C44*'Data Entry Electricity'!$L26,0)),0)</f>
        <v>0</v>
      </c>
      <c r="D60" s="738">
        <f>IF(AND($A60&gt;='Efficient Site Offices'!D$11,$A60&lt;='Efficient Site Offices'!D$12),IF(D$37='Efficient Site Offices'!$A$19,((100-D$36)/100)*('Efficient Site Offices'!D$19)*'Actual-CO2 Calculations'!$D27,IF('Efficient Site Offices'!D$140&gt;0,((100-D$36)/100)*'Efficient Site Offices'!D44*'Data Entry Electricity'!$L26,0)),0)</f>
        <v>0</v>
      </c>
      <c r="E60" s="738">
        <f>IF(AND($A60&gt;='Efficient Site Offices'!E$11,$A60&lt;='Efficient Site Offices'!E$12),IF(E$37='Efficient Site Offices'!$A$19,((100-E$36)/100)*('Efficient Site Offices'!E$19)*'Actual-CO2 Calculations'!$D27,IF('Efficient Site Offices'!E$140&gt;0,((100-E$36)/100)*'Efficient Site Offices'!E44*'Data Entry Electricity'!$L26,0)),0)</f>
        <v>0</v>
      </c>
      <c r="F60" s="738">
        <f>IF(AND($A60&gt;='Efficient Site Offices'!F$11,$A60&lt;='Efficient Site Offices'!F$12),IF(F$37='Efficient Site Offices'!$A$19,((100-F$36)/100)*('Efficient Site Offices'!F$19)*'Actual-CO2 Calculations'!$D27,IF('Efficient Site Offices'!F$140&gt;0,((100-F$36)/100)*'Efficient Site Offices'!F44*'Data Entry Electricity'!$L26,0)),0)</f>
        <v>0</v>
      </c>
      <c r="H60" s="664">
        <f t="shared" si="0"/>
        <v>0</v>
      </c>
    </row>
    <row r="61" spans="1:12">
      <c r="A61" s="179" t="s">
        <v>1</v>
      </c>
      <c r="B61" s="738">
        <f>IF(AND($A61&gt;='Efficient Site Offices'!B$11,$A61&lt;='Efficient Site Offices'!B$12),IF(B$37='Efficient Site Offices'!$A$19,((100-B$36)/100)*('Efficient Site Offices'!B$19)*'Actual-CO2 Calculations'!$D28,IF('Efficient Site Offices'!B$140&gt;0,((100-B$36)/100)*'Efficient Site Offices'!B45*'Data Entry Electricity'!$L27,0)),0)</f>
        <v>0</v>
      </c>
      <c r="C61" s="738">
        <f>IF(AND($A61&gt;='Efficient Site Offices'!C$11,$A61&lt;='Efficient Site Offices'!C$12),IF(C$37='Efficient Site Offices'!$A$19,((100-C$36)/100)*('Efficient Site Offices'!C$19)*'Actual-CO2 Calculations'!$D28,IF('Efficient Site Offices'!C$140&gt;0,((100-C$36)/100)*'Efficient Site Offices'!C45*'Data Entry Electricity'!$L27,0)),0)</f>
        <v>0</v>
      </c>
      <c r="D61" s="738">
        <f>IF(AND($A61&gt;='Efficient Site Offices'!D$11,$A61&lt;='Efficient Site Offices'!D$12),IF(D$37='Efficient Site Offices'!$A$19,((100-D$36)/100)*('Efficient Site Offices'!D$19)*'Actual-CO2 Calculations'!$D28,IF('Efficient Site Offices'!D$140&gt;0,((100-D$36)/100)*'Efficient Site Offices'!D45*'Data Entry Electricity'!$L27,0)),0)</f>
        <v>0</v>
      </c>
      <c r="E61" s="738">
        <f>IF(AND($A61&gt;='Efficient Site Offices'!E$11,$A61&lt;='Efficient Site Offices'!E$12),IF(E$37='Efficient Site Offices'!$A$19,((100-E$36)/100)*('Efficient Site Offices'!E$19)*'Actual-CO2 Calculations'!$D28,IF('Efficient Site Offices'!E$140&gt;0,((100-E$36)/100)*'Efficient Site Offices'!E45*'Data Entry Electricity'!$L27,0)),0)</f>
        <v>0</v>
      </c>
      <c r="F61" s="738">
        <f>IF(AND($A61&gt;='Efficient Site Offices'!F$11,$A61&lt;='Efficient Site Offices'!F$12),IF(F$37='Efficient Site Offices'!$A$19,((100-F$36)/100)*('Efficient Site Offices'!F$19)*'Actual-CO2 Calculations'!$D28,IF('Efficient Site Offices'!F$140&gt;0,((100-F$36)/100)*'Efficient Site Offices'!F45*'Data Entry Electricity'!$L27,0)),0)</f>
        <v>0</v>
      </c>
      <c r="H61" s="664">
        <f t="shared" si="0"/>
        <v>0</v>
      </c>
    </row>
    <row r="62" spans="1:12">
      <c r="A62" s="179" t="s">
        <v>2</v>
      </c>
      <c r="B62" s="738">
        <f>IF(AND($A62&gt;='Efficient Site Offices'!B$11,$A62&lt;='Efficient Site Offices'!B$12),IF(B$37='Efficient Site Offices'!$A$19,((100-B$36)/100)*('Efficient Site Offices'!B$19)*'Actual-CO2 Calculations'!$D29,IF('Efficient Site Offices'!B$140&gt;0,((100-B$36)/100)*'Efficient Site Offices'!B46*'Data Entry Electricity'!$L28,0)),0)</f>
        <v>0</v>
      </c>
      <c r="C62" s="738">
        <f>IF(AND($A62&gt;='Efficient Site Offices'!C$11,$A62&lt;='Efficient Site Offices'!C$12),IF(C$37='Efficient Site Offices'!$A$19,((100-C$36)/100)*('Efficient Site Offices'!C$19)*'Actual-CO2 Calculations'!$D29,IF('Efficient Site Offices'!C$140&gt;0,((100-C$36)/100)*'Efficient Site Offices'!C46*'Data Entry Electricity'!$L28,0)),0)</f>
        <v>0</v>
      </c>
      <c r="D62" s="738">
        <f>IF(AND($A62&gt;='Efficient Site Offices'!D$11,$A62&lt;='Efficient Site Offices'!D$12),IF(D$37='Efficient Site Offices'!$A$19,((100-D$36)/100)*('Efficient Site Offices'!D$19)*'Actual-CO2 Calculations'!$D29,IF('Efficient Site Offices'!D$140&gt;0,((100-D$36)/100)*'Efficient Site Offices'!D46*'Data Entry Electricity'!$L28,0)),0)</f>
        <v>0</v>
      </c>
      <c r="E62" s="738">
        <f>IF(AND($A62&gt;='Efficient Site Offices'!E$11,$A62&lt;='Efficient Site Offices'!E$12),IF(E$37='Efficient Site Offices'!$A$19,((100-E$36)/100)*('Efficient Site Offices'!E$19)*'Actual-CO2 Calculations'!$D29,IF('Efficient Site Offices'!E$140&gt;0,((100-E$36)/100)*'Efficient Site Offices'!E46*'Data Entry Electricity'!$L28,0)),0)</f>
        <v>0</v>
      </c>
      <c r="F62" s="738">
        <f>IF(AND($A62&gt;='Efficient Site Offices'!F$11,$A62&lt;='Efficient Site Offices'!F$12),IF(F$37='Efficient Site Offices'!$A$19,((100-F$36)/100)*('Efficient Site Offices'!F$19)*'Actual-CO2 Calculations'!$D29,IF('Efficient Site Offices'!F$140&gt;0,((100-F$36)/100)*'Efficient Site Offices'!F46*'Data Entry Electricity'!$L28,0)),0)</f>
        <v>0</v>
      </c>
      <c r="H62" s="664">
        <f t="shared" si="0"/>
        <v>0</v>
      </c>
    </row>
    <row r="63" spans="1:12">
      <c r="A63" s="179" t="s">
        <v>3</v>
      </c>
      <c r="B63" s="738">
        <f>IF(AND($A63&gt;='Efficient Site Offices'!B$11,$A63&lt;='Efficient Site Offices'!B$12),IF(B$37='Efficient Site Offices'!$A$19,((100-B$36)/100)*('Efficient Site Offices'!B$19)*'Actual-CO2 Calculations'!$D30,IF('Efficient Site Offices'!B$140&gt;0,((100-B$36)/100)*'Efficient Site Offices'!B47*'Data Entry Electricity'!$L29,0)),0)</f>
        <v>0</v>
      </c>
      <c r="C63" s="738">
        <f>IF(AND($A63&gt;='Efficient Site Offices'!C$11,$A63&lt;='Efficient Site Offices'!C$12),IF(C$37='Efficient Site Offices'!$A$19,((100-C$36)/100)*('Efficient Site Offices'!C$19)*'Actual-CO2 Calculations'!$D30,IF('Efficient Site Offices'!C$140&gt;0,((100-C$36)/100)*'Efficient Site Offices'!C47*'Data Entry Electricity'!$L29,0)),0)</f>
        <v>0</v>
      </c>
      <c r="D63" s="738">
        <f>IF(AND($A63&gt;='Efficient Site Offices'!D$11,$A63&lt;='Efficient Site Offices'!D$12),IF(D$37='Efficient Site Offices'!$A$19,((100-D$36)/100)*('Efficient Site Offices'!D$19)*'Actual-CO2 Calculations'!$D30,IF('Efficient Site Offices'!D$140&gt;0,((100-D$36)/100)*'Efficient Site Offices'!D47*'Data Entry Electricity'!$L29,0)),0)</f>
        <v>0</v>
      </c>
      <c r="E63" s="738">
        <f>IF(AND($A63&gt;='Efficient Site Offices'!E$11,$A63&lt;='Efficient Site Offices'!E$12),IF(E$37='Efficient Site Offices'!$A$19,((100-E$36)/100)*('Efficient Site Offices'!E$19)*'Actual-CO2 Calculations'!$D30,IF('Efficient Site Offices'!E$140&gt;0,((100-E$36)/100)*'Efficient Site Offices'!E47*'Data Entry Electricity'!$L29,0)),0)</f>
        <v>0</v>
      </c>
      <c r="F63" s="738">
        <f>IF(AND($A63&gt;='Efficient Site Offices'!F$11,$A63&lt;='Efficient Site Offices'!F$12),IF(F$37='Efficient Site Offices'!$A$19,((100-F$36)/100)*('Efficient Site Offices'!F$19)*'Actual-CO2 Calculations'!$D30,IF('Efficient Site Offices'!F$140&gt;0,((100-F$36)/100)*'Efficient Site Offices'!F47*'Data Entry Electricity'!$L29,0)),0)</f>
        <v>0</v>
      </c>
      <c r="H63" s="664">
        <f t="shared" si="0"/>
        <v>0</v>
      </c>
    </row>
    <row r="64" spans="1:12">
      <c r="A64" s="179" t="s">
        <v>49</v>
      </c>
      <c r="B64" s="738">
        <f>IF(AND($A64&gt;='Efficient Site Offices'!B$11,$A64&lt;='Efficient Site Offices'!B$12),IF(B$37='Efficient Site Offices'!$A$19,((100-B$36)/100)*('Efficient Site Offices'!B$19)*'Actual-CO2 Calculations'!$D31,IF('Efficient Site Offices'!B$140&gt;0,((100-B$36)/100)*'Efficient Site Offices'!B48*'Data Entry Electricity'!$L30,0)),0)</f>
        <v>0</v>
      </c>
      <c r="C64" s="738">
        <f>IF(AND($A64&gt;='Efficient Site Offices'!C$11,$A64&lt;='Efficient Site Offices'!C$12),IF(C$37='Efficient Site Offices'!$A$19,((100-C$36)/100)*('Efficient Site Offices'!C$19)*'Actual-CO2 Calculations'!$D31,IF('Efficient Site Offices'!C$140&gt;0,((100-C$36)/100)*'Efficient Site Offices'!C48*'Data Entry Electricity'!$L30,0)),0)</f>
        <v>0</v>
      </c>
      <c r="D64" s="738">
        <f>IF(AND($A64&gt;='Efficient Site Offices'!D$11,$A64&lt;='Efficient Site Offices'!D$12),IF(D$37='Efficient Site Offices'!$A$19,((100-D$36)/100)*('Efficient Site Offices'!D$19)*'Actual-CO2 Calculations'!$D31,IF('Efficient Site Offices'!D$140&gt;0,((100-D$36)/100)*'Efficient Site Offices'!D48*'Data Entry Electricity'!$L30,0)),0)</f>
        <v>0</v>
      </c>
      <c r="E64" s="738">
        <f>IF(AND($A64&gt;='Efficient Site Offices'!E$11,$A64&lt;='Efficient Site Offices'!E$12),IF(E$37='Efficient Site Offices'!$A$19,((100-E$36)/100)*('Efficient Site Offices'!E$19)*'Actual-CO2 Calculations'!$D31,IF('Efficient Site Offices'!E$140&gt;0,((100-E$36)/100)*'Efficient Site Offices'!E48*'Data Entry Electricity'!$L30,0)),0)</f>
        <v>0</v>
      </c>
      <c r="F64" s="738">
        <f>IF(AND($A64&gt;='Efficient Site Offices'!F$11,$A64&lt;='Efficient Site Offices'!F$12),IF(F$37='Efficient Site Offices'!$A$19,((100-F$36)/100)*('Efficient Site Offices'!F$19)*'Actual-CO2 Calculations'!$D31,IF('Efficient Site Offices'!F$140&gt;0,((100-F$36)/100)*'Efficient Site Offices'!F48*'Data Entry Electricity'!$L30,0)),0)</f>
        <v>0</v>
      </c>
      <c r="H64" s="664">
        <f t="shared" si="0"/>
        <v>0</v>
      </c>
    </row>
    <row r="65" spans="1:8">
      <c r="A65" s="179" t="s">
        <v>50</v>
      </c>
      <c r="B65" s="738">
        <f>IF(AND($A65&gt;='Efficient Site Offices'!B$11,$A65&lt;='Efficient Site Offices'!B$12),IF(B$37='Efficient Site Offices'!$A$19,((100-B$36)/100)*('Efficient Site Offices'!B$19)*'Actual-CO2 Calculations'!$D32,IF('Efficient Site Offices'!B$140&gt;0,((100-B$36)/100)*'Efficient Site Offices'!B49*'Data Entry Electricity'!$L31,0)),0)</f>
        <v>0</v>
      </c>
      <c r="C65" s="738">
        <f>IF(AND($A65&gt;='Efficient Site Offices'!C$11,$A65&lt;='Efficient Site Offices'!C$12),IF(C$37='Efficient Site Offices'!$A$19,((100-C$36)/100)*('Efficient Site Offices'!C$19)*'Actual-CO2 Calculations'!$D32,IF('Efficient Site Offices'!C$140&gt;0,((100-C$36)/100)*'Efficient Site Offices'!C49*'Data Entry Electricity'!$L31,0)),0)</f>
        <v>0</v>
      </c>
      <c r="D65" s="738">
        <f>IF(AND($A65&gt;='Efficient Site Offices'!D$11,$A65&lt;='Efficient Site Offices'!D$12),IF(D$37='Efficient Site Offices'!$A$19,((100-D$36)/100)*('Efficient Site Offices'!D$19)*'Actual-CO2 Calculations'!$D32,IF('Efficient Site Offices'!D$140&gt;0,((100-D$36)/100)*'Efficient Site Offices'!D49*'Data Entry Electricity'!$L31,0)),0)</f>
        <v>0</v>
      </c>
      <c r="E65" s="738">
        <f>IF(AND($A65&gt;='Efficient Site Offices'!E$11,$A65&lt;='Efficient Site Offices'!E$12),IF(E$37='Efficient Site Offices'!$A$19,((100-E$36)/100)*('Efficient Site Offices'!E$19)*'Actual-CO2 Calculations'!$D32,IF('Efficient Site Offices'!E$140&gt;0,((100-E$36)/100)*'Efficient Site Offices'!E49*'Data Entry Electricity'!$L31,0)),0)</f>
        <v>0</v>
      </c>
      <c r="F65" s="738">
        <f>IF(AND($A65&gt;='Efficient Site Offices'!F$11,$A65&lt;='Efficient Site Offices'!F$12),IF(F$37='Efficient Site Offices'!$A$19,((100-F$36)/100)*('Efficient Site Offices'!F$19)*'Actual-CO2 Calculations'!$D32,IF('Efficient Site Offices'!F$140&gt;0,((100-F$36)/100)*'Efficient Site Offices'!F49*'Data Entry Electricity'!$L31,0)),0)</f>
        <v>0</v>
      </c>
      <c r="H65" s="664">
        <f t="shared" si="0"/>
        <v>0</v>
      </c>
    </row>
    <row r="66" spans="1:8">
      <c r="A66" s="179" t="s">
        <v>51</v>
      </c>
      <c r="B66" s="738">
        <f>IF(AND($A66&gt;='Efficient Site Offices'!B$11,$A66&lt;='Efficient Site Offices'!B$12),IF(B$37='Efficient Site Offices'!$A$19,((100-B$36)/100)*('Efficient Site Offices'!B$19)*'Actual-CO2 Calculations'!$D33,IF('Efficient Site Offices'!B$140&gt;0,((100-B$36)/100)*'Efficient Site Offices'!B50*'Data Entry Electricity'!$L32,0)),0)</f>
        <v>0</v>
      </c>
      <c r="C66" s="738">
        <f>IF(AND($A66&gt;='Efficient Site Offices'!C$11,$A66&lt;='Efficient Site Offices'!C$12),IF(C$37='Efficient Site Offices'!$A$19,((100-C$36)/100)*('Efficient Site Offices'!C$19)*'Actual-CO2 Calculations'!$D33,IF('Efficient Site Offices'!C$140&gt;0,((100-C$36)/100)*'Efficient Site Offices'!C50*'Data Entry Electricity'!$L32,0)),0)</f>
        <v>0</v>
      </c>
      <c r="D66" s="738">
        <f>IF(AND($A66&gt;='Efficient Site Offices'!D$11,$A66&lt;='Efficient Site Offices'!D$12),IF(D$37='Efficient Site Offices'!$A$19,((100-D$36)/100)*('Efficient Site Offices'!D$19)*'Actual-CO2 Calculations'!$D33,IF('Efficient Site Offices'!D$140&gt;0,((100-D$36)/100)*'Efficient Site Offices'!D50*'Data Entry Electricity'!$L32,0)),0)</f>
        <v>0</v>
      </c>
      <c r="E66" s="738">
        <f>IF(AND($A66&gt;='Efficient Site Offices'!E$11,$A66&lt;='Efficient Site Offices'!E$12),IF(E$37='Efficient Site Offices'!$A$19,((100-E$36)/100)*('Efficient Site Offices'!E$19)*'Actual-CO2 Calculations'!$D33,IF('Efficient Site Offices'!E$140&gt;0,((100-E$36)/100)*'Efficient Site Offices'!E50*'Data Entry Electricity'!$L32,0)),0)</f>
        <v>0</v>
      </c>
      <c r="F66" s="738">
        <f>IF(AND($A66&gt;='Efficient Site Offices'!F$11,$A66&lt;='Efficient Site Offices'!F$12),IF(F$37='Efficient Site Offices'!$A$19,((100-F$36)/100)*('Efficient Site Offices'!F$19)*'Actual-CO2 Calculations'!$D33,IF('Efficient Site Offices'!F$140&gt;0,((100-F$36)/100)*'Efficient Site Offices'!F50*'Data Entry Electricity'!$L32,0)),0)</f>
        <v>0</v>
      </c>
      <c r="H66" s="664">
        <f t="shared" si="0"/>
        <v>0</v>
      </c>
    </row>
    <row r="67" spans="1:8">
      <c r="A67" s="179" t="s">
        <v>52</v>
      </c>
      <c r="B67" s="738">
        <f>IF(AND($A67&gt;='Efficient Site Offices'!B$11,$A67&lt;='Efficient Site Offices'!B$12),IF(B$37='Efficient Site Offices'!$A$19,((100-B$36)/100)*('Efficient Site Offices'!B$19)*'Actual-CO2 Calculations'!$D34,IF('Efficient Site Offices'!B$140&gt;0,((100-B$36)/100)*'Efficient Site Offices'!B51*'Data Entry Electricity'!$L33,0)),0)</f>
        <v>0</v>
      </c>
      <c r="C67" s="738">
        <f>IF(AND($A67&gt;='Efficient Site Offices'!C$11,$A67&lt;='Efficient Site Offices'!C$12),IF(C$37='Efficient Site Offices'!$A$19,((100-C$36)/100)*('Efficient Site Offices'!C$19)*'Actual-CO2 Calculations'!$D34,IF('Efficient Site Offices'!C$140&gt;0,((100-C$36)/100)*'Efficient Site Offices'!C51*'Data Entry Electricity'!$L33,0)),0)</f>
        <v>0</v>
      </c>
      <c r="D67" s="738">
        <f>IF(AND($A67&gt;='Efficient Site Offices'!D$11,$A67&lt;='Efficient Site Offices'!D$12),IF(D$37='Efficient Site Offices'!$A$19,((100-D$36)/100)*('Efficient Site Offices'!D$19)*'Actual-CO2 Calculations'!$D34,IF('Efficient Site Offices'!D$140&gt;0,((100-D$36)/100)*'Efficient Site Offices'!D51*'Data Entry Electricity'!$L33,0)),0)</f>
        <v>0</v>
      </c>
      <c r="E67" s="738">
        <f>IF(AND($A67&gt;='Efficient Site Offices'!E$11,$A67&lt;='Efficient Site Offices'!E$12),IF(E$37='Efficient Site Offices'!$A$19,((100-E$36)/100)*('Efficient Site Offices'!E$19)*'Actual-CO2 Calculations'!$D34,IF('Efficient Site Offices'!E$140&gt;0,((100-E$36)/100)*'Efficient Site Offices'!E51*'Data Entry Electricity'!$L33,0)),0)</f>
        <v>0</v>
      </c>
      <c r="F67" s="738">
        <f>IF(AND($A67&gt;='Efficient Site Offices'!F$11,$A67&lt;='Efficient Site Offices'!F$12),IF(F$37='Efficient Site Offices'!$A$19,((100-F$36)/100)*('Efficient Site Offices'!F$19)*'Actual-CO2 Calculations'!$D34,IF('Efficient Site Offices'!F$140&gt;0,((100-F$36)/100)*'Efficient Site Offices'!F51*'Data Entry Electricity'!$L33,0)),0)</f>
        <v>0</v>
      </c>
      <c r="H67" s="664">
        <f t="shared" si="0"/>
        <v>0</v>
      </c>
    </row>
    <row r="68" spans="1:8">
      <c r="A68" s="179" t="s">
        <v>53</v>
      </c>
      <c r="B68" s="738">
        <f>IF(AND($A68&gt;='Efficient Site Offices'!B$11,$A68&lt;='Efficient Site Offices'!B$12),IF(B$37='Efficient Site Offices'!$A$19,((100-B$36)/100)*('Efficient Site Offices'!B$19)*'Actual-CO2 Calculations'!$D35,IF('Efficient Site Offices'!B$140&gt;0,((100-B$36)/100)*'Efficient Site Offices'!B52*'Data Entry Electricity'!$L34,0)),0)</f>
        <v>0</v>
      </c>
      <c r="C68" s="738">
        <f>IF(AND($A68&gt;='Efficient Site Offices'!C$11,$A68&lt;='Efficient Site Offices'!C$12),IF(C$37='Efficient Site Offices'!$A$19,((100-C$36)/100)*('Efficient Site Offices'!C$19)*'Actual-CO2 Calculations'!$D35,IF('Efficient Site Offices'!C$140&gt;0,((100-C$36)/100)*'Efficient Site Offices'!C52*'Data Entry Electricity'!$L34,0)),0)</f>
        <v>0</v>
      </c>
      <c r="D68" s="738">
        <f>IF(AND($A68&gt;='Efficient Site Offices'!D$11,$A68&lt;='Efficient Site Offices'!D$12),IF(D$37='Efficient Site Offices'!$A$19,((100-D$36)/100)*('Efficient Site Offices'!D$19)*'Actual-CO2 Calculations'!$D35,IF('Efficient Site Offices'!D$140&gt;0,((100-D$36)/100)*'Efficient Site Offices'!D52*'Data Entry Electricity'!$L34,0)),0)</f>
        <v>0</v>
      </c>
      <c r="E68" s="738">
        <f>IF(AND($A68&gt;='Efficient Site Offices'!E$11,$A68&lt;='Efficient Site Offices'!E$12),IF(E$37='Efficient Site Offices'!$A$19,((100-E$36)/100)*('Efficient Site Offices'!E$19)*'Actual-CO2 Calculations'!$D35,IF('Efficient Site Offices'!E$140&gt;0,((100-E$36)/100)*'Efficient Site Offices'!E52*'Data Entry Electricity'!$L34,0)),0)</f>
        <v>0</v>
      </c>
      <c r="F68" s="738">
        <f>IF(AND($A68&gt;='Efficient Site Offices'!F$11,$A68&lt;='Efficient Site Offices'!F$12),IF(F$37='Efficient Site Offices'!$A$19,((100-F$36)/100)*('Efficient Site Offices'!F$19)*'Actual-CO2 Calculations'!$D35,IF('Efficient Site Offices'!F$140&gt;0,((100-F$36)/100)*'Efficient Site Offices'!F52*'Data Entry Electricity'!$L34,0)),0)</f>
        <v>0</v>
      </c>
      <c r="H68" s="664">
        <f t="shared" si="0"/>
        <v>0</v>
      </c>
    </row>
    <row r="69" spans="1:8">
      <c r="A69" s="179" t="s">
        <v>54</v>
      </c>
      <c r="B69" s="738">
        <f>IF(AND($A69&gt;='Efficient Site Offices'!B$11,$A69&lt;='Efficient Site Offices'!B$12),IF(B$37='Efficient Site Offices'!$A$19,((100-B$36)/100)*('Efficient Site Offices'!B$19)*'Actual-CO2 Calculations'!$D36,IF('Efficient Site Offices'!B$140&gt;0,((100-B$36)/100)*'Efficient Site Offices'!B53*'Data Entry Electricity'!$L35,0)),0)</f>
        <v>0</v>
      </c>
      <c r="C69" s="738">
        <f>IF(AND($A69&gt;='Efficient Site Offices'!C$11,$A69&lt;='Efficient Site Offices'!C$12),IF(C$37='Efficient Site Offices'!$A$19,((100-C$36)/100)*('Efficient Site Offices'!C$19)*'Actual-CO2 Calculations'!$D36,IF('Efficient Site Offices'!C$140&gt;0,((100-C$36)/100)*'Efficient Site Offices'!C53*'Data Entry Electricity'!$L35,0)),0)</f>
        <v>0</v>
      </c>
      <c r="D69" s="738">
        <f>IF(AND($A69&gt;='Efficient Site Offices'!D$11,$A69&lt;='Efficient Site Offices'!D$12),IF(D$37='Efficient Site Offices'!$A$19,((100-D$36)/100)*('Efficient Site Offices'!D$19)*'Actual-CO2 Calculations'!$D36,IF('Efficient Site Offices'!D$140&gt;0,((100-D$36)/100)*'Efficient Site Offices'!D53*'Data Entry Electricity'!$L35,0)),0)</f>
        <v>0</v>
      </c>
      <c r="E69" s="738">
        <f>IF(AND($A69&gt;='Efficient Site Offices'!E$11,$A69&lt;='Efficient Site Offices'!E$12),IF(E$37='Efficient Site Offices'!$A$19,((100-E$36)/100)*('Efficient Site Offices'!E$19)*'Actual-CO2 Calculations'!$D36,IF('Efficient Site Offices'!E$140&gt;0,((100-E$36)/100)*'Efficient Site Offices'!E53*'Data Entry Electricity'!$L35,0)),0)</f>
        <v>0</v>
      </c>
      <c r="F69" s="738">
        <f>IF(AND($A69&gt;='Efficient Site Offices'!F$11,$A69&lt;='Efficient Site Offices'!F$12),IF(F$37='Efficient Site Offices'!$A$19,((100-F$36)/100)*('Efficient Site Offices'!F$19)*'Actual-CO2 Calculations'!$D36,IF('Efficient Site Offices'!F$140&gt;0,((100-F$36)/100)*'Efficient Site Offices'!F53*'Data Entry Electricity'!$L35,0)),0)</f>
        <v>0</v>
      </c>
      <c r="H69" s="664">
        <f t="shared" si="0"/>
        <v>0</v>
      </c>
    </row>
    <row r="70" spans="1:8">
      <c r="A70" s="179" t="s">
        <v>55</v>
      </c>
      <c r="B70" s="738">
        <f>IF(AND($A70&gt;='Efficient Site Offices'!B$11,$A70&lt;='Efficient Site Offices'!B$12),IF(B$37='Efficient Site Offices'!$A$19,((100-B$36)/100)*('Efficient Site Offices'!B$19)*'Actual-CO2 Calculations'!$D37,IF('Efficient Site Offices'!B$140&gt;0,((100-B$36)/100)*'Efficient Site Offices'!B54*'Data Entry Electricity'!$L36,0)),0)</f>
        <v>0</v>
      </c>
      <c r="C70" s="738">
        <f>IF(AND($A70&gt;='Efficient Site Offices'!C$11,$A70&lt;='Efficient Site Offices'!C$12),IF(C$37='Efficient Site Offices'!$A$19,((100-C$36)/100)*('Efficient Site Offices'!C$19)*'Actual-CO2 Calculations'!$D37,IF('Efficient Site Offices'!C$140&gt;0,((100-C$36)/100)*'Efficient Site Offices'!C54*'Data Entry Electricity'!$L36,0)),0)</f>
        <v>0</v>
      </c>
      <c r="D70" s="738">
        <f>IF(AND($A70&gt;='Efficient Site Offices'!D$11,$A70&lt;='Efficient Site Offices'!D$12),IF(D$37='Efficient Site Offices'!$A$19,((100-D$36)/100)*('Efficient Site Offices'!D$19)*'Actual-CO2 Calculations'!$D37,IF('Efficient Site Offices'!D$140&gt;0,((100-D$36)/100)*'Efficient Site Offices'!D54*'Data Entry Electricity'!$L36,0)),0)</f>
        <v>0</v>
      </c>
      <c r="E70" s="738">
        <f>IF(AND($A70&gt;='Efficient Site Offices'!E$11,$A70&lt;='Efficient Site Offices'!E$12),IF(E$37='Efficient Site Offices'!$A$19,((100-E$36)/100)*('Efficient Site Offices'!E$19)*'Actual-CO2 Calculations'!$D37,IF('Efficient Site Offices'!E$140&gt;0,((100-E$36)/100)*'Efficient Site Offices'!E54*'Data Entry Electricity'!$L36,0)),0)</f>
        <v>0</v>
      </c>
      <c r="F70" s="738">
        <f>IF(AND($A70&gt;='Efficient Site Offices'!F$11,$A70&lt;='Efficient Site Offices'!F$12),IF(F$37='Efficient Site Offices'!$A$19,((100-F$36)/100)*('Efficient Site Offices'!F$19)*'Actual-CO2 Calculations'!$D37,IF('Efficient Site Offices'!F$140&gt;0,((100-F$36)/100)*'Efficient Site Offices'!F54*'Data Entry Electricity'!$L36,0)),0)</f>
        <v>0</v>
      </c>
      <c r="H70" s="664">
        <f t="shared" si="0"/>
        <v>0</v>
      </c>
    </row>
    <row r="71" spans="1:8">
      <c r="A71" s="179" t="s">
        <v>56</v>
      </c>
      <c r="B71" s="738">
        <f>IF(AND($A71&gt;='Efficient Site Offices'!B$11,$A71&lt;='Efficient Site Offices'!B$12),IF(B$37='Efficient Site Offices'!$A$19,((100-B$36)/100)*('Efficient Site Offices'!B$19)*'Actual-CO2 Calculations'!$D38,IF('Efficient Site Offices'!B$140&gt;0,((100-B$36)/100)*'Efficient Site Offices'!B55*'Data Entry Electricity'!$L37,0)),0)</f>
        <v>0</v>
      </c>
      <c r="C71" s="738">
        <f>IF(AND($A71&gt;='Efficient Site Offices'!C$11,$A71&lt;='Efficient Site Offices'!C$12),IF(C$37='Efficient Site Offices'!$A$19,((100-C$36)/100)*('Efficient Site Offices'!C$19)*'Actual-CO2 Calculations'!$D38,IF('Efficient Site Offices'!C$140&gt;0,((100-C$36)/100)*'Efficient Site Offices'!C55*'Data Entry Electricity'!$L37,0)),0)</f>
        <v>0</v>
      </c>
      <c r="D71" s="738">
        <f>IF(AND($A71&gt;='Efficient Site Offices'!D$11,$A71&lt;='Efficient Site Offices'!D$12),IF(D$37='Efficient Site Offices'!$A$19,((100-D$36)/100)*('Efficient Site Offices'!D$19)*'Actual-CO2 Calculations'!$D38,IF('Efficient Site Offices'!D$140&gt;0,((100-D$36)/100)*'Efficient Site Offices'!D55*'Data Entry Electricity'!$L37,0)),0)</f>
        <v>0</v>
      </c>
      <c r="E71" s="738">
        <f>IF(AND($A71&gt;='Efficient Site Offices'!E$11,$A71&lt;='Efficient Site Offices'!E$12),IF(E$37='Efficient Site Offices'!$A$19,((100-E$36)/100)*('Efficient Site Offices'!E$19)*'Actual-CO2 Calculations'!$D38,IF('Efficient Site Offices'!E$140&gt;0,((100-E$36)/100)*'Efficient Site Offices'!E55*'Data Entry Electricity'!$L37,0)),0)</f>
        <v>0</v>
      </c>
      <c r="F71" s="738">
        <f>IF(AND($A71&gt;='Efficient Site Offices'!F$11,$A71&lt;='Efficient Site Offices'!F$12),IF(F$37='Efficient Site Offices'!$A$19,((100-F$36)/100)*('Efficient Site Offices'!F$19)*'Actual-CO2 Calculations'!$D38,IF('Efficient Site Offices'!F$140&gt;0,((100-F$36)/100)*'Efficient Site Offices'!F55*'Data Entry Electricity'!$L37,0)),0)</f>
        <v>0</v>
      </c>
      <c r="H71" s="664">
        <f t="shared" si="0"/>
        <v>0</v>
      </c>
    </row>
    <row r="72" spans="1:8">
      <c r="A72" s="179" t="s">
        <v>57</v>
      </c>
      <c r="B72" s="738">
        <f>IF(AND($A72&gt;='Efficient Site Offices'!B$11,$A72&lt;='Efficient Site Offices'!B$12),IF(B$37='Efficient Site Offices'!$A$19,((100-B$36)/100)*('Efficient Site Offices'!B$19)*'Actual-CO2 Calculations'!$D39,IF('Efficient Site Offices'!B$140&gt;0,((100-B$36)/100)*'Efficient Site Offices'!B56*'Data Entry Electricity'!$L38,0)),0)</f>
        <v>0</v>
      </c>
      <c r="C72" s="738">
        <f>IF(AND($A72&gt;='Efficient Site Offices'!C$11,$A72&lt;='Efficient Site Offices'!C$12),IF(C$37='Efficient Site Offices'!$A$19,((100-C$36)/100)*('Efficient Site Offices'!C$19)*'Actual-CO2 Calculations'!$D39,IF('Efficient Site Offices'!C$140&gt;0,((100-C$36)/100)*'Efficient Site Offices'!C56*'Data Entry Electricity'!$L38,0)),0)</f>
        <v>0</v>
      </c>
      <c r="D72" s="738">
        <f>IF(AND($A72&gt;='Efficient Site Offices'!D$11,$A72&lt;='Efficient Site Offices'!D$12),IF(D$37='Efficient Site Offices'!$A$19,((100-D$36)/100)*('Efficient Site Offices'!D$19)*'Actual-CO2 Calculations'!$D39,IF('Efficient Site Offices'!D$140&gt;0,((100-D$36)/100)*'Efficient Site Offices'!D56*'Data Entry Electricity'!$L38,0)),0)</f>
        <v>0</v>
      </c>
      <c r="E72" s="738">
        <f>IF(AND($A72&gt;='Efficient Site Offices'!E$11,$A72&lt;='Efficient Site Offices'!E$12),IF(E$37='Efficient Site Offices'!$A$19,((100-E$36)/100)*('Efficient Site Offices'!E$19)*'Actual-CO2 Calculations'!$D39,IF('Efficient Site Offices'!E$140&gt;0,((100-E$36)/100)*'Efficient Site Offices'!E56*'Data Entry Electricity'!$L38,0)),0)</f>
        <v>0</v>
      </c>
      <c r="F72" s="738">
        <f>IF(AND($A72&gt;='Efficient Site Offices'!F$11,$A72&lt;='Efficient Site Offices'!F$12),IF(F$37='Efficient Site Offices'!$A$19,((100-F$36)/100)*('Efficient Site Offices'!F$19)*'Actual-CO2 Calculations'!$D39,IF('Efficient Site Offices'!F$140&gt;0,((100-F$36)/100)*'Efficient Site Offices'!F56*'Data Entry Electricity'!$L38,0)),0)</f>
        <v>0</v>
      </c>
      <c r="H72" s="664">
        <f t="shared" si="0"/>
        <v>0</v>
      </c>
    </row>
    <row r="73" spans="1:8">
      <c r="A73" s="179" t="s">
        <v>4</v>
      </c>
      <c r="B73" s="738">
        <f>IF(AND($A73&gt;='Efficient Site Offices'!B$11,$A73&lt;='Efficient Site Offices'!B$12),IF(B$37='Efficient Site Offices'!$A$19,((100-B$36)/100)*('Efficient Site Offices'!B$19)*'Actual-CO2 Calculations'!$D40,IF('Efficient Site Offices'!B$140&gt;0,((100-B$36)/100)*'Efficient Site Offices'!B57*'Data Entry Electricity'!$L39,0)),0)</f>
        <v>0</v>
      </c>
      <c r="C73" s="738">
        <f>IF(AND($A73&gt;='Efficient Site Offices'!C$11,$A73&lt;='Efficient Site Offices'!C$12),IF(C$37='Efficient Site Offices'!$A$19,((100-C$36)/100)*('Efficient Site Offices'!C$19)*'Actual-CO2 Calculations'!$D40,IF('Efficient Site Offices'!C$140&gt;0,((100-C$36)/100)*'Efficient Site Offices'!C57*'Data Entry Electricity'!$L39,0)),0)</f>
        <v>0</v>
      </c>
      <c r="D73" s="738">
        <f>IF(AND($A73&gt;='Efficient Site Offices'!D$11,$A73&lt;='Efficient Site Offices'!D$12),IF(D$37='Efficient Site Offices'!$A$19,((100-D$36)/100)*('Efficient Site Offices'!D$19)*'Actual-CO2 Calculations'!$D40,IF('Efficient Site Offices'!D$140&gt;0,((100-D$36)/100)*'Efficient Site Offices'!D57*'Data Entry Electricity'!$L39,0)),0)</f>
        <v>0</v>
      </c>
      <c r="E73" s="738">
        <f>IF(AND($A73&gt;='Efficient Site Offices'!E$11,$A73&lt;='Efficient Site Offices'!E$12),IF(E$37='Efficient Site Offices'!$A$19,((100-E$36)/100)*('Efficient Site Offices'!E$19)*'Actual-CO2 Calculations'!$D40,IF('Efficient Site Offices'!E$140&gt;0,((100-E$36)/100)*'Efficient Site Offices'!E57*'Data Entry Electricity'!$L39,0)),0)</f>
        <v>0</v>
      </c>
      <c r="F73" s="738">
        <f>IF(AND($A73&gt;='Efficient Site Offices'!F$11,$A73&lt;='Efficient Site Offices'!F$12),IF(F$37='Efficient Site Offices'!$A$19,((100-F$36)/100)*('Efficient Site Offices'!F$19)*'Actual-CO2 Calculations'!$D40,IF('Efficient Site Offices'!F$140&gt;0,((100-F$36)/100)*'Efficient Site Offices'!F57*'Data Entry Electricity'!$L39,0)),0)</f>
        <v>0</v>
      </c>
      <c r="H73" s="664">
        <f t="shared" si="0"/>
        <v>0</v>
      </c>
    </row>
    <row r="74" spans="1:8">
      <c r="A74" s="179" t="s">
        <v>5</v>
      </c>
      <c r="B74" s="738">
        <f>IF(AND($A74&gt;='Efficient Site Offices'!B$11,$A74&lt;='Efficient Site Offices'!B$12),IF(B$37='Efficient Site Offices'!$A$19,((100-B$36)/100)*('Efficient Site Offices'!B$19)*'Actual-CO2 Calculations'!$D41,IF('Efficient Site Offices'!B$140&gt;0,((100-B$36)/100)*'Efficient Site Offices'!B58*'Data Entry Electricity'!$L40,0)),0)</f>
        <v>0</v>
      </c>
      <c r="C74" s="738">
        <f>IF(AND($A74&gt;='Efficient Site Offices'!C$11,$A74&lt;='Efficient Site Offices'!C$12),IF(C$37='Efficient Site Offices'!$A$19,((100-C$36)/100)*('Efficient Site Offices'!C$19)*'Actual-CO2 Calculations'!$D41,IF('Efficient Site Offices'!C$140&gt;0,((100-C$36)/100)*'Efficient Site Offices'!C58*'Data Entry Electricity'!$L40,0)),0)</f>
        <v>0</v>
      </c>
      <c r="D74" s="738">
        <f>IF(AND($A74&gt;='Efficient Site Offices'!D$11,$A74&lt;='Efficient Site Offices'!D$12),IF(D$37='Efficient Site Offices'!$A$19,((100-D$36)/100)*('Efficient Site Offices'!D$19)*'Actual-CO2 Calculations'!$D41,IF('Efficient Site Offices'!D$140&gt;0,((100-D$36)/100)*'Efficient Site Offices'!D58*'Data Entry Electricity'!$L40,0)),0)</f>
        <v>0</v>
      </c>
      <c r="E74" s="738">
        <f>IF(AND($A74&gt;='Efficient Site Offices'!E$11,$A74&lt;='Efficient Site Offices'!E$12),IF(E$37='Efficient Site Offices'!$A$19,((100-E$36)/100)*('Efficient Site Offices'!E$19)*'Actual-CO2 Calculations'!$D41,IF('Efficient Site Offices'!E$140&gt;0,((100-E$36)/100)*'Efficient Site Offices'!E58*'Data Entry Electricity'!$L40,0)),0)</f>
        <v>0</v>
      </c>
      <c r="F74" s="738">
        <f>IF(AND($A74&gt;='Efficient Site Offices'!F$11,$A74&lt;='Efficient Site Offices'!F$12),IF(F$37='Efficient Site Offices'!$A$19,((100-F$36)/100)*('Efficient Site Offices'!F$19)*'Actual-CO2 Calculations'!$D41,IF('Efficient Site Offices'!F$140&gt;0,((100-F$36)/100)*'Efficient Site Offices'!F58*'Data Entry Electricity'!$L40,0)),0)</f>
        <v>0</v>
      </c>
      <c r="H74" s="664">
        <f t="shared" si="0"/>
        <v>0</v>
      </c>
    </row>
    <row r="75" spans="1:8">
      <c r="A75" s="179" t="s">
        <v>6</v>
      </c>
      <c r="B75" s="738">
        <f>IF(AND($A75&gt;='Efficient Site Offices'!B$11,$A75&lt;='Efficient Site Offices'!B$12),IF(B$37='Efficient Site Offices'!$A$19,((100-B$36)/100)*('Efficient Site Offices'!B$19)*'Actual-CO2 Calculations'!$D42,IF('Efficient Site Offices'!B$140&gt;0,((100-B$36)/100)*'Efficient Site Offices'!B59*'Data Entry Electricity'!$L41,0)),0)</f>
        <v>0</v>
      </c>
      <c r="C75" s="738">
        <f>IF(AND($A75&gt;='Efficient Site Offices'!C$11,$A75&lt;='Efficient Site Offices'!C$12),IF(C$37='Efficient Site Offices'!$A$19,((100-C$36)/100)*('Efficient Site Offices'!C$19)*'Actual-CO2 Calculations'!$D42,IF('Efficient Site Offices'!C$140&gt;0,((100-C$36)/100)*'Efficient Site Offices'!C59*'Data Entry Electricity'!$L41,0)),0)</f>
        <v>0</v>
      </c>
      <c r="D75" s="738">
        <f>IF(AND($A75&gt;='Efficient Site Offices'!D$11,$A75&lt;='Efficient Site Offices'!D$12),IF(D$37='Efficient Site Offices'!$A$19,((100-D$36)/100)*('Efficient Site Offices'!D$19)*'Actual-CO2 Calculations'!$D42,IF('Efficient Site Offices'!D$140&gt;0,((100-D$36)/100)*'Efficient Site Offices'!D59*'Data Entry Electricity'!$L41,0)),0)</f>
        <v>0</v>
      </c>
      <c r="E75" s="738">
        <f>IF(AND($A75&gt;='Efficient Site Offices'!E$11,$A75&lt;='Efficient Site Offices'!E$12),IF(E$37='Efficient Site Offices'!$A$19,((100-E$36)/100)*('Efficient Site Offices'!E$19)*'Actual-CO2 Calculations'!$D42,IF('Efficient Site Offices'!E$140&gt;0,((100-E$36)/100)*'Efficient Site Offices'!E59*'Data Entry Electricity'!$L41,0)),0)</f>
        <v>0</v>
      </c>
      <c r="F75" s="738">
        <f>IF(AND($A75&gt;='Efficient Site Offices'!F$11,$A75&lt;='Efficient Site Offices'!F$12),IF(F$37='Efficient Site Offices'!$A$19,((100-F$36)/100)*('Efficient Site Offices'!F$19)*'Actual-CO2 Calculations'!$D42,IF('Efficient Site Offices'!F$140&gt;0,((100-F$36)/100)*'Efficient Site Offices'!F59*'Data Entry Electricity'!$L41,0)),0)</f>
        <v>0</v>
      </c>
      <c r="H75" s="664">
        <f t="shared" si="0"/>
        <v>0</v>
      </c>
    </row>
    <row r="76" spans="1:8">
      <c r="A76" s="179" t="s">
        <v>7</v>
      </c>
      <c r="B76" s="738">
        <f>IF(AND($A76&gt;='Efficient Site Offices'!B$11,$A76&lt;='Efficient Site Offices'!B$12),IF(B$37='Efficient Site Offices'!$A$19,((100-B$36)/100)*('Efficient Site Offices'!B$19)*'Actual-CO2 Calculations'!$D43,IF('Efficient Site Offices'!B$140&gt;0,((100-B$36)/100)*'Efficient Site Offices'!B60*'Data Entry Electricity'!$L42,0)),0)</f>
        <v>0</v>
      </c>
      <c r="C76" s="738">
        <f>IF(AND($A76&gt;='Efficient Site Offices'!C$11,$A76&lt;='Efficient Site Offices'!C$12),IF(C$37='Efficient Site Offices'!$A$19,((100-C$36)/100)*('Efficient Site Offices'!C$19)*'Actual-CO2 Calculations'!$D43,IF('Efficient Site Offices'!C$140&gt;0,((100-C$36)/100)*'Efficient Site Offices'!C60*'Data Entry Electricity'!$L42,0)),0)</f>
        <v>0</v>
      </c>
      <c r="D76" s="738">
        <f>IF(AND($A76&gt;='Efficient Site Offices'!D$11,$A76&lt;='Efficient Site Offices'!D$12),IF(D$37='Efficient Site Offices'!$A$19,((100-D$36)/100)*('Efficient Site Offices'!D$19)*'Actual-CO2 Calculations'!$D43,IF('Efficient Site Offices'!D$140&gt;0,((100-D$36)/100)*'Efficient Site Offices'!D60*'Data Entry Electricity'!$L42,0)),0)</f>
        <v>0</v>
      </c>
      <c r="E76" s="738">
        <f>IF(AND($A76&gt;='Efficient Site Offices'!E$11,$A76&lt;='Efficient Site Offices'!E$12),IF(E$37='Efficient Site Offices'!$A$19,((100-E$36)/100)*('Efficient Site Offices'!E$19)*'Actual-CO2 Calculations'!$D43,IF('Efficient Site Offices'!E$140&gt;0,((100-E$36)/100)*'Efficient Site Offices'!E60*'Data Entry Electricity'!$L42,0)),0)</f>
        <v>0</v>
      </c>
      <c r="F76" s="738">
        <f>IF(AND($A76&gt;='Efficient Site Offices'!F$11,$A76&lt;='Efficient Site Offices'!F$12),IF(F$37='Efficient Site Offices'!$A$19,((100-F$36)/100)*('Efficient Site Offices'!F$19)*'Actual-CO2 Calculations'!$D43,IF('Efficient Site Offices'!F$140&gt;0,((100-F$36)/100)*'Efficient Site Offices'!F60*'Data Entry Electricity'!$L42,0)),0)</f>
        <v>0</v>
      </c>
      <c r="H76" s="664">
        <f t="shared" si="0"/>
        <v>0</v>
      </c>
    </row>
    <row r="77" spans="1:8">
      <c r="A77" s="179" t="s">
        <v>58</v>
      </c>
      <c r="B77" s="738">
        <f>IF(AND($A77&gt;='Efficient Site Offices'!B$11,$A77&lt;='Efficient Site Offices'!B$12),IF(B$37='Efficient Site Offices'!$A$19,((100-B$36)/100)*('Efficient Site Offices'!B$19)*'Actual-CO2 Calculations'!$D44,IF('Efficient Site Offices'!B$140&gt;0,((100-B$36)/100)*'Efficient Site Offices'!B61*'Data Entry Electricity'!$L43,0)),0)</f>
        <v>0</v>
      </c>
      <c r="C77" s="738">
        <f>IF(AND($A77&gt;='Efficient Site Offices'!C$11,$A77&lt;='Efficient Site Offices'!C$12),IF(C$37='Efficient Site Offices'!$A$19,((100-C$36)/100)*('Efficient Site Offices'!C$19)*'Actual-CO2 Calculations'!$D44,IF('Efficient Site Offices'!C$140&gt;0,((100-C$36)/100)*'Efficient Site Offices'!C61*'Data Entry Electricity'!$L43,0)),0)</f>
        <v>0</v>
      </c>
      <c r="D77" s="738">
        <f>IF(AND($A77&gt;='Efficient Site Offices'!D$11,$A77&lt;='Efficient Site Offices'!D$12),IF(D$37='Efficient Site Offices'!$A$19,((100-D$36)/100)*('Efficient Site Offices'!D$19)*'Actual-CO2 Calculations'!$D44,IF('Efficient Site Offices'!D$140&gt;0,((100-D$36)/100)*'Efficient Site Offices'!D61*'Data Entry Electricity'!$L43,0)),0)</f>
        <v>0</v>
      </c>
      <c r="E77" s="738">
        <f>IF(AND($A77&gt;='Efficient Site Offices'!E$11,$A77&lt;='Efficient Site Offices'!E$12),IF(E$37='Efficient Site Offices'!$A$19,((100-E$36)/100)*('Efficient Site Offices'!E$19)*'Actual-CO2 Calculations'!$D44,IF('Efficient Site Offices'!E$140&gt;0,((100-E$36)/100)*'Efficient Site Offices'!E61*'Data Entry Electricity'!$L43,0)),0)</f>
        <v>0</v>
      </c>
      <c r="F77" s="738">
        <f>IF(AND($A77&gt;='Efficient Site Offices'!F$11,$A77&lt;='Efficient Site Offices'!F$12),IF(F$37='Efficient Site Offices'!$A$19,((100-F$36)/100)*('Efficient Site Offices'!F$19)*'Actual-CO2 Calculations'!$D44,IF('Efficient Site Offices'!F$140&gt;0,((100-F$36)/100)*'Efficient Site Offices'!F61*'Data Entry Electricity'!$L43,0)),0)</f>
        <v>0</v>
      </c>
      <c r="H77" s="664">
        <f t="shared" si="0"/>
        <v>0</v>
      </c>
    </row>
    <row r="78" spans="1:8">
      <c r="A78" s="179" t="s">
        <v>59</v>
      </c>
      <c r="B78" s="738">
        <f>IF(AND($A78&gt;='Efficient Site Offices'!B$11,$A78&lt;='Efficient Site Offices'!B$12),IF(B$37='Efficient Site Offices'!$A$19,((100-B$36)/100)*('Efficient Site Offices'!B$19)*'Actual-CO2 Calculations'!$D45,IF('Efficient Site Offices'!B$140&gt;0,((100-B$36)/100)*'Efficient Site Offices'!B62*'Data Entry Electricity'!$L44,0)),0)</f>
        <v>0</v>
      </c>
      <c r="C78" s="738">
        <f>IF(AND($A78&gt;='Efficient Site Offices'!C$11,$A78&lt;='Efficient Site Offices'!C$12),IF(C$37='Efficient Site Offices'!$A$19,((100-C$36)/100)*('Efficient Site Offices'!C$19)*'Actual-CO2 Calculations'!$D45,IF('Efficient Site Offices'!C$140&gt;0,((100-C$36)/100)*'Efficient Site Offices'!C62*'Data Entry Electricity'!$L44,0)),0)</f>
        <v>0</v>
      </c>
      <c r="D78" s="738">
        <f>IF(AND($A78&gt;='Efficient Site Offices'!D$11,$A78&lt;='Efficient Site Offices'!D$12),IF(D$37='Efficient Site Offices'!$A$19,((100-D$36)/100)*('Efficient Site Offices'!D$19)*'Actual-CO2 Calculations'!$D45,IF('Efficient Site Offices'!D$140&gt;0,((100-D$36)/100)*'Efficient Site Offices'!D62*'Data Entry Electricity'!$L44,0)),0)</f>
        <v>0</v>
      </c>
      <c r="E78" s="738">
        <f>IF(AND($A78&gt;='Efficient Site Offices'!E$11,$A78&lt;='Efficient Site Offices'!E$12),IF(E$37='Efficient Site Offices'!$A$19,((100-E$36)/100)*('Efficient Site Offices'!E$19)*'Actual-CO2 Calculations'!$D45,IF('Efficient Site Offices'!E$140&gt;0,((100-E$36)/100)*'Efficient Site Offices'!E62*'Data Entry Electricity'!$L44,0)),0)</f>
        <v>0</v>
      </c>
      <c r="F78" s="738">
        <f>IF(AND($A78&gt;='Efficient Site Offices'!F$11,$A78&lt;='Efficient Site Offices'!F$12),IF(F$37='Efficient Site Offices'!$A$19,((100-F$36)/100)*('Efficient Site Offices'!F$19)*'Actual-CO2 Calculations'!$D45,IF('Efficient Site Offices'!F$140&gt;0,((100-F$36)/100)*'Efficient Site Offices'!F62*'Data Entry Electricity'!$L44,0)),0)</f>
        <v>0</v>
      </c>
      <c r="H78" s="664">
        <f t="shared" si="0"/>
        <v>0</v>
      </c>
    </row>
    <row r="79" spans="1:8">
      <c r="A79" s="179" t="s">
        <v>60</v>
      </c>
      <c r="B79" s="738">
        <f>IF(AND($A79&gt;='Efficient Site Offices'!B$11,$A79&lt;='Efficient Site Offices'!B$12),IF(B$37='Efficient Site Offices'!$A$19,((100-B$36)/100)*('Efficient Site Offices'!B$19)*'Actual-CO2 Calculations'!$D46,IF('Efficient Site Offices'!B$140&gt;0,((100-B$36)/100)*'Efficient Site Offices'!B63*'Data Entry Electricity'!$L45,0)),0)</f>
        <v>0</v>
      </c>
      <c r="C79" s="738">
        <f>IF(AND($A79&gt;='Efficient Site Offices'!C$11,$A79&lt;='Efficient Site Offices'!C$12),IF(C$37='Efficient Site Offices'!$A$19,((100-C$36)/100)*('Efficient Site Offices'!C$19)*'Actual-CO2 Calculations'!$D46,IF('Efficient Site Offices'!C$140&gt;0,((100-C$36)/100)*'Efficient Site Offices'!C63*'Data Entry Electricity'!$L45,0)),0)</f>
        <v>0</v>
      </c>
      <c r="D79" s="738">
        <f>IF(AND($A79&gt;='Efficient Site Offices'!D$11,$A79&lt;='Efficient Site Offices'!D$12),IF(D$37='Efficient Site Offices'!$A$19,((100-D$36)/100)*('Efficient Site Offices'!D$19)*'Actual-CO2 Calculations'!$D46,IF('Efficient Site Offices'!D$140&gt;0,((100-D$36)/100)*'Efficient Site Offices'!D63*'Data Entry Electricity'!$L45,0)),0)</f>
        <v>0</v>
      </c>
      <c r="E79" s="738">
        <f>IF(AND($A79&gt;='Efficient Site Offices'!E$11,$A79&lt;='Efficient Site Offices'!E$12),IF(E$37='Efficient Site Offices'!$A$19,((100-E$36)/100)*('Efficient Site Offices'!E$19)*'Actual-CO2 Calculations'!$D46,IF('Efficient Site Offices'!E$140&gt;0,((100-E$36)/100)*'Efficient Site Offices'!E63*'Data Entry Electricity'!$L45,0)),0)</f>
        <v>0</v>
      </c>
      <c r="F79" s="738">
        <f>IF(AND($A79&gt;='Efficient Site Offices'!F$11,$A79&lt;='Efficient Site Offices'!F$12),IF(F$37='Efficient Site Offices'!$A$19,((100-F$36)/100)*('Efficient Site Offices'!F$19)*'Actual-CO2 Calculations'!$D46,IF('Efficient Site Offices'!F$140&gt;0,((100-F$36)/100)*'Efficient Site Offices'!F63*'Data Entry Electricity'!$L45,0)),0)</f>
        <v>0</v>
      </c>
      <c r="H79" s="664">
        <f t="shared" si="0"/>
        <v>0</v>
      </c>
    </row>
    <row r="80" spans="1:8">
      <c r="A80" s="179" t="s">
        <v>61</v>
      </c>
      <c r="B80" s="738">
        <f>IF(AND($A80&gt;='Efficient Site Offices'!B$11,$A80&lt;='Efficient Site Offices'!B$12),IF(B$37='Efficient Site Offices'!$A$19,((100-B$36)/100)*('Efficient Site Offices'!B$19)*'Actual-CO2 Calculations'!$D47,IF('Efficient Site Offices'!B$140&gt;0,((100-B$36)/100)*'Efficient Site Offices'!B64*'Data Entry Electricity'!$L46,0)),0)</f>
        <v>0</v>
      </c>
      <c r="C80" s="738">
        <f>IF(AND($A80&gt;='Efficient Site Offices'!C$11,$A80&lt;='Efficient Site Offices'!C$12),IF(C$37='Efficient Site Offices'!$A$19,((100-C$36)/100)*('Efficient Site Offices'!C$19)*'Actual-CO2 Calculations'!$D47,IF('Efficient Site Offices'!C$140&gt;0,((100-C$36)/100)*'Efficient Site Offices'!C64*'Data Entry Electricity'!$L46,0)),0)</f>
        <v>0</v>
      </c>
      <c r="D80" s="738">
        <f>IF(AND($A80&gt;='Efficient Site Offices'!D$11,$A80&lt;='Efficient Site Offices'!D$12),IF(D$37='Efficient Site Offices'!$A$19,((100-D$36)/100)*('Efficient Site Offices'!D$19)*'Actual-CO2 Calculations'!$D47,IF('Efficient Site Offices'!D$140&gt;0,((100-D$36)/100)*'Efficient Site Offices'!D64*'Data Entry Electricity'!$L46,0)),0)</f>
        <v>0</v>
      </c>
      <c r="E80" s="738">
        <f>IF(AND($A80&gt;='Efficient Site Offices'!E$11,$A80&lt;='Efficient Site Offices'!E$12),IF(E$37='Efficient Site Offices'!$A$19,((100-E$36)/100)*('Efficient Site Offices'!E$19)*'Actual-CO2 Calculations'!$D47,IF('Efficient Site Offices'!E$140&gt;0,((100-E$36)/100)*'Efficient Site Offices'!E64*'Data Entry Electricity'!$L46,0)),0)</f>
        <v>0</v>
      </c>
      <c r="F80" s="738">
        <f>IF(AND($A80&gt;='Efficient Site Offices'!F$11,$A80&lt;='Efficient Site Offices'!F$12),IF(F$37='Efficient Site Offices'!$A$19,((100-F$36)/100)*('Efficient Site Offices'!F$19)*'Actual-CO2 Calculations'!$D47,IF('Efficient Site Offices'!F$140&gt;0,((100-F$36)/100)*'Efficient Site Offices'!F64*'Data Entry Electricity'!$L46,0)),0)</f>
        <v>0</v>
      </c>
      <c r="H80" s="664">
        <f t="shared" si="0"/>
        <v>0</v>
      </c>
    </row>
    <row r="81" spans="1:8">
      <c r="A81" s="179" t="s">
        <v>62</v>
      </c>
      <c r="B81" s="738">
        <f>IF(AND($A81&gt;='Efficient Site Offices'!B$11,$A81&lt;='Efficient Site Offices'!B$12),IF(B$37='Efficient Site Offices'!$A$19,((100-B$36)/100)*('Efficient Site Offices'!B$19)*'Actual-CO2 Calculations'!$D48,IF('Efficient Site Offices'!B$140&gt;0,((100-B$36)/100)*'Efficient Site Offices'!B65*'Data Entry Electricity'!$L47,0)),0)</f>
        <v>0</v>
      </c>
      <c r="C81" s="738">
        <f>IF(AND($A81&gt;='Efficient Site Offices'!C$11,$A81&lt;='Efficient Site Offices'!C$12),IF(C$37='Efficient Site Offices'!$A$19,((100-C$36)/100)*('Efficient Site Offices'!C$19)*'Actual-CO2 Calculations'!$D48,IF('Efficient Site Offices'!C$140&gt;0,((100-C$36)/100)*'Efficient Site Offices'!C65*'Data Entry Electricity'!$L47,0)),0)</f>
        <v>0</v>
      </c>
      <c r="D81" s="738">
        <f>IF(AND($A81&gt;='Efficient Site Offices'!D$11,$A81&lt;='Efficient Site Offices'!D$12),IF(D$37='Efficient Site Offices'!$A$19,((100-D$36)/100)*('Efficient Site Offices'!D$19)*'Actual-CO2 Calculations'!$D48,IF('Efficient Site Offices'!D$140&gt;0,((100-D$36)/100)*'Efficient Site Offices'!D65*'Data Entry Electricity'!$L47,0)),0)</f>
        <v>0</v>
      </c>
      <c r="E81" s="738">
        <f>IF(AND($A81&gt;='Efficient Site Offices'!E$11,$A81&lt;='Efficient Site Offices'!E$12),IF(E$37='Efficient Site Offices'!$A$19,((100-E$36)/100)*('Efficient Site Offices'!E$19)*'Actual-CO2 Calculations'!$D48,IF('Efficient Site Offices'!E$140&gt;0,((100-E$36)/100)*'Efficient Site Offices'!E65*'Data Entry Electricity'!$L47,0)),0)</f>
        <v>0</v>
      </c>
      <c r="F81" s="738">
        <f>IF(AND($A81&gt;='Efficient Site Offices'!F$11,$A81&lt;='Efficient Site Offices'!F$12),IF(F$37='Efficient Site Offices'!$A$19,((100-F$36)/100)*('Efficient Site Offices'!F$19)*'Actual-CO2 Calculations'!$D48,IF('Efficient Site Offices'!F$140&gt;0,((100-F$36)/100)*'Efficient Site Offices'!F65*'Data Entry Electricity'!$L47,0)),0)</f>
        <v>0</v>
      </c>
      <c r="H81" s="664">
        <f t="shared" si="0"/>
        <v>0</v>
      </c>
    </row>
    <row r="82" spans="1:8">
      <c r="A82" s="179" t="s">
        <v>63</v>
      </c>
      <c r="B82" s="738">
        <f>IF(AND($A82&gt;='Efficient Site Offices'!B$11,$A82&lt;='Efficient Site Offices'!B$12),IF(B$37='Efficient Site Offices'!$A$19,((100-B$36)/100)*('Efficient Site Offices'!B$19)*'Actual-CO2 Calculations'!$D49,IF('Efficient Site Offices'!B$140&gt;0,((100-B$36)/100)*'Efficient Site Offices'!B66*'Data Entry Electricity'!$L48,0)),0)</f>
        <v>0</v>
      </c>
      <c r="C82" s="738">
        <f>IF(AND($A82&gt;='Efficient Site Offices'!C$11,$A82&lt;='Efficient Site Offices'!C$12),IF(C$37='Efficient Site Offices'!$A$19,((100-C$36)/100)*('Efficient Site Offices'!C$19)*'Actual-CO2 Calculations'!$D49,IF('Efficient Site Offices'!C$140&gt;0,((100-C$36)/100)*'Efficient Site Offices'!C66*'Data Entry Electricity'!$L48,0)),0)</f>
        <v>0</v>
      </c>
      <c r="D82" s="738">
        <f>IF(AND($A82&gt;='Efficient Site Offices'!D$11,$A82&lt;='Efficient Site Offices'!D$12),IF(D$37='Efficient Site Offices'!$A$19,((100-D$36)/100)*('Efficient Site Offices'!D$19)*'Actual-CO2 Calculations'!$D49,IF('Efficient Site Offices'!D$140&gt;0,((100-D$36)/100)*'Efficient Site Offices'!D66*'Data Entry Electricity'!$L48,0)),0)</f>
        <v>0</v>
      </c>
      <c r="E82" s="738">
        <f>IF(AND($A82&gt;='Efficient Site Offices'!E$11,$A82&lt;='Efficient Site Offices'!E$12),IF(E$37='Efficient Site Offices'!$A$19,((100-E$36)/100)*('Efficient Site Offices'!E$19)*'Actual-CO2 Calculations'!$D49,IF('Efficient Site Offices'!E$140&gt;0,((100-E$36)/100)*'Efficient Site Offices'!E66*'Data Entry Electricity'!$L48,0)),0)</f>
        <v>0</v>
      </c>
      <c r="F82" s="738">
        <f>IF(AND($A82&gt;='Efficient Site Offices'!F$11,$A82&lt;='Efficient Site Offices'!F$12),IF(F$37='Efficient Site Offices'!$A$19,((100-F$36)/100)*('Efficient Site Offices'!F$19)*'Actual-CO2 Calculations'!$D49,IF('Efficient Site Offices'!F$140&gt;0,((100-F$36)/100)*'Efficient Site Offices'!F66*'Data Entry Electricity'!$L48,0)),0)</f>
        <v>0</v>
      </c>
      <c r="H82" s="664">
        <f t="shared" si="0"/>
        <v>0</v>
      </c>
    </row>
    <row r="83" spans="1:8">
      <c r="A83" s="179" t="s">
        <v>64</v>
      </c>
      <c r="B83" s="738">
        <f>IF(AND($A83&gt;='Efficient Site Offices'!B$11,$A83&lt;='Efficient Site Offices'!B$12),IF(B$37='Efficient Site Offices'!$A$19,((100-B$36)/100)*('Efficient Site Offices'!B$19)*'Actual-CO2 Calculations'!$D50,IF('Efficient Site Offices'!B$140&gt;0,((100-B$36)/100)*'Efficient Site Offices'!B67*'Data Entry Electricity'!$L49,0)),0)</f>
        <v>0</v>
      </c>
      <c r="C83" s="738">
        <f>IF(AND($A83&gt;='Efficient Site Offices'!C$11,$A83&lt;='Efficient Site Offices'!C$12),IF(C$37='Efficient Site Offices'!$A$19,((100-C$36)/100)*('Efficient Site Offices'!C$19)*'Actual-CO2 Calculations'!$D50,IF('Efficient Site Offices'!C$140&gt;0,((100-C$36)/100)*'Efficient Site Offices'!C67*'Data Entry Electricity'!$L49,0)),0)</f>
        <v>0</v>
      </c>
      <c r="D83" s="738">
        <f>IF(AND($A83&gt;='Efficient Site Offices'!D$11,$A83&lt;='Efficient Site Offices'!D$12),IF(D$37='Efficient Site Offices'!$A$19,((100-D$36)/100)*('Efficient Site Offices'!D$19)*'Actual-CO2 Calculations'!$D50,IF('Efficient Site Offices'!D$140&gt;0,((100-D$36)/100)*'Efficient Site Offices'!D67*'Data Entry Electricity'!$L49,0)),0)</f>
        <v>0</v>
      </c>
      <c r="E83" s="738">
        <f>IF(AND($A83&gt;='Efficient Site Offices'!E$11,$A83&lt;='Efficient Site Offices'!E$12),IF(E$37='Efficient Site Offices'!$A$19,((100-E$36)/100)*('Efficient Site Offices'!E$19)*'Actual-CO2 Calculations'!$D50,IF('Efficient Site Offices'!E$140&gt;0,((100-E$36)/100)*'Efficient Site Offices'!E67*'Data Entry Electricity'!$L49,0)),0)</f>
        <v>0</v>
      </c>
      <c r="F83" s="738">
        <f>IF(AND($A83&gt;='Efficient Site Offices'!F$11,$A83&lt;='Efficient Site Offices'!F$12),IF(F$37='Efficient Site Offices'!$A$19,((100-F$36)/100)*('Efficient Site Offices'!F$19)*'Actual-CO2 Calculations'!$D50,IF('Efficient Site Offices'!F$140&gt;0,((100-F$36)/100)*'Efficient Site Offices'!F67*'Data Entry Electricity'!$L49,0)),0)</f>
        <v>0</v>
      </c>
      <c r="H83" s="664">
        <f t="shared" si="0"/>
        <v>0</v>
      </c>
    </row>
    <row r="84" spans="1:8">
      <c r="A84" s="179" t="s">
        <v>65</v>
      </c>
      <c r="B84" s="738">
        <f>IF(AND($A84&gt;='Efficient Site Offices'!B$11,$A84&lt;='Efficient Site Offices'!B$12),IF(B$37='Efficient Site Offices'!$A$19,((100-B$36)/100)*('Efficient Site Offices'!B$19)*'Actual-CO2 Calculations'!$D51,IF('Efficient Site Offices'!B$140&gt;0,((100-B$36)/100)*'Efficient Site Offices'!B68*'Data Entry Electricity'!$L50,0)),0)</f>
        <v>0</v>
      </c>
      <c r="C84" s="738">
        <f>IF(AND($A84&gt;='Efficient Site Offices'!C$11,$A84&lt;='Efficient Site Offices'!C$12),IF(C$37='Efficient Site Offices'!$A$19,((100-C$36)/100)*('Efficient Site Offices'!C$19)*'Actual-CO2 Calculations'!$D51,IF('Efficient Site Offices'!C$140&gt;0,((100-C$36)/100)*'Efficient Site Offices'!C68*'Data Entry Electricity'!$L50,0)),0)</f>
        <v>0</v>
      </c>
      <c r="D84" s="738">
        <f>IF(AND($A84&gt;='Efficient Site Offices'!D$11,$A84&lt;='Efficient Site Offices'!D$12),IF(D$37='Efficient Site Offices'!$A$19,((100-D$36)/100)*('Efficient Site Offices'!D$19)*'Actual-CO2 Calculations'!$D51,IF('Efficient Site Offices'!D$140&gt;0,((100-D$36)/100)*'Efficient Site Offices'!D68*'Data Entry Electricity'!$L50,0)),0)</f>
        <v>0</v>
      </c>
      <c r="E84" s="738">
        <f>IF(AND($A84&gt;='Efficient Site Offices'!E$11,$A84&lt;='Efficient Site Offices'!E$12),IF(E$37='Efficient Site Offices'!$A$19,((100-E$36)/100)*('Efficient Site Offices'!E$19)*'Actual-CO2 Calculations'!$D51,IF('Efficient Site Offices'!E$140&gt;0,((100-E$36)/100)*'Efficient Site Offices'!E68*'Data Entry Electricity'!$L50,0)),0)</f>
        <v>0</v>
      </c>
      <c r="F84" s="738">
        <f>IF(AND($A84&gt;='Efficient Site Offices'!F$11,$A84&lt;='Efficient Site Offices'!F$12),IF(F$37='Efficient Site Offices'!$A$19,((100-F$36)/100)*('Efficient Site Offices'!F$19)*'Actual-CO2 Calculations'!$D51,IF('Efficient Site Offices'!F$140&gt;0,((100-F$36)/100)*'Efficient Site Offices'!F68*'Data Entry Electricity'!$L50,0)),0)</f>
        <v>0</v>
      </c>
      <c r="H84" s="664">
        <f t="shared" si="0"/>
        <v>0</v>
      </c>
    </row>
    <row r="85" spans="1:8">
      <c r="A85" s="179" t="s">
        <v>66</v>
      </c>
      <c r="B85" s="738">
        <f>IF(AND($A85&gt;='Efficient Site Offices'!B$11,$A85&lt;='Efficient Site Offices'!B$12),IF(B$37='Efficient Site Offices'!$A$19,((100-B$36)/100)*('Efficient Site Offices'!B$19)*'Actual-CO2 Calculations'!$D52,IF('Efficient Site Offices'!B$140&gt;0,((100-B$36)/100)*'Efficient Site Offices'!B69*'Data Entry Electricity'!$L51,0)),0)</f>
        <v>0</v>
      </c>
      <c r="C85" s="738">
        <f>IF(AND($A85&gt;='Efficient Site Offices'!C$11,$A85&lt;='Efficient Site Offices'!C$12),IF(C$37='Efficient Site Offices'!$A$19,((100-C$36)/100)*('Efficient Site Offices'!C$19)*'Actual-CO2 Calculations'!$D52,IF('Efficient Site Offices'!C$140&gt;0,((100-C$36)/100)*'Efficient Site Offices'!C69*'Data Entry Electricity'!$L51,0)),0)</f>
        <v>0</v>
      </c>
      <c r="D85" s="738">
        <f>IF(AND($A85&gt;='Efficient Site Offices'!D$11,$A85&lt;='Efficient Site Offices'!D$12),IF(D$37='Efficient Site Offices'!$A$19,((100-D$36)/100)*('Efficient Site Offices'!D$19)*'Actual-CO2 Calculations'!$D52,IF('Efficient Site Offices'!D$140&gt;0,((100-D$36)/100)*'Efficient Site Offices'!D69*'Data Entry Electricity'!$L51,0)),0)</f>
        <v>0</v>
      </c>
      <c r="E85" s="738">
        <f>IF(AND($A85&gt;='Efficient Site Offices'!E$11,$A85&lt;='Efficient Site Offices'!E$12),IF(E$37='Efficient Site Offices'!$A$19,((100-E$36)/100)*('Efficient Site Offices'!E$19)*'Actual-CO2 Calculations'!$D52,IF('Efficient Site Offices'!E$140&gt;0,((100-E$36)/100)*'Efficient Site Offices'!E69*'Data Entry Electricity'!$L51,0)),0)</f>
        <v>0</v>
      </c>
      <c r="F85" s="738">
        <f>IF(AND($A85&gt;='Efficient Site Offices'!F$11,$A85&lt;='Efficient Site Offices'!F$12),IF(F$37='Efficient Site Offices'!$A$19,((100-F$36)/100)*('Efficient Site Offices'!F$19)*'Actual-CO2 Calculations'!$D52,IF('Efficient Site Offices'!F$140&gt;0,((100-F$36)/100)*'Efficient Site Offices'!F69*'Data Entry Electricity'!$L51,0)),0)</f>
        <v>0</v>
      </c>
      <c r="H85" s="664">
        <f t="shared" si="0"/>
        <v>0</v>
      </c>
    </row>
    <row r="86" spans="1:8">
      <c r="A86" s="179" t="s">
        <v>8</v>
      </c>
      <c r="B86" s="738">
        <f>IF(AND($A86&gt;='Efficient Site Offices'!B$11,$A86&lt;='Efficient Site Offices'!B$12),IF(B$37='Efficient Site Offices'!$A$19,((100-B$36)/100)*('Efficient Site Offices'!B$19)*'Actual-CO2 Calculations'!$D53,IF('Efficient Site Offices'!B$140&gt;0,((100-B$36)/100)*'Efficient Site Offices'!B70*'Data Entry Electricity'!$L52,0)),0)</f>
        <v>0</v>
      </c>
      <c r="C86" s="738">
        <f>IF(AND($A86&gt;='Efficient Site Offices'!C$11,$A86&lt;='Efficient Site Offices'!C$12),IF(C$37='Efficient Site Offices'!$A$19,((100-C$36)/100)*('Efficient Site Offices'!C$19)*'Actual-CO2 Calculations'!$D53,IF('Efficient Site Offices'!C$140&gt;0,((100-C$36)/100)*'Efficient Site Offices'!C70*'Data Entry Electricity'!$L52,0)),0)</f>
        <v>0</v>
      </c>
      <c r="D86" s="738">
        <f>IF(AND($A86&gt;='Efficient Site Offices'!D$11,$A86&lt;='Efficient Site Offices'!D$12),IF(D$37='Efficient Site Offices'!$A$19,((100-D$36)/100)*('Efficient Site Offices'!D$19)*'Actual-CO2 Calculations'!$D53,IF('Efficient Site Offices'!D$140&gt;0,((100-D$36)/100)*'Efficient Site Offices'!D70*'Data Entry Electricity'!$L52,0)),0)</f>
        <v>0</v>
      </c>
      <c r="E86" s="738">
        <f>IF(AND($A86&gt;='Efficient Site Offices'!E$11,$A86&lt;='Efficient Site Offices'!E$12),IF(E$37='Efficient Site Offices'!$A$19,((100-E$36)/100)*('Efficient Site Offices'!E$19)*'Actual-CO2 Calculations'!$D53,IF('Efficient Site Offices'!E$140&gt;0,((100-E$36)/100)*'Efficient Site Offices'!E70*'Data Entry Electricity'!$L52,0)),0)</f>
        <v>0</v>
      </c>
      <c r="F86" s="738">
        <f>IF(AND($A86&gt;='Efficient Site Offices'!F$11,$A86&lt;='Efficient Site Offices'!F$12),IF(F$37='Efficient Site Offices'!$A$19,((100-F$36)/100)*('Efficient Site Offices'!F$19)*'Actual-CO2 Calculations'!$D53,IF('Efficient Site Offices'!F$140&gt;0,((100-F$36)/100)*'Efficient Site Offices'!F70*'Data Entry Electricity'!$L52,0)),0)</f>
        <v>0</v>
      </c>
      <c r="H86" s="664">
        <f t="shared" si="0"/>
        <v>0</v>
      </c>
    </row>
    <row r="87" spans="1:8">
      <c r="A87" s="179" t="s">
        <v>9</v>
      </c>
      <c r="B87" s="738">
        <f>IF(AND($A87&gt;='Efficient Site Offices'!B$11,$A87&lt;='Efficient Site Offices'!B$12),IF(B$37='Efficient Site Offices'!$A$19,((100-B$36)/100)*('Efficient Site Offices'!B$19)*'Actual-CO2 Calculations'!$D54,IF('Efficient Site Offices'!B$140&gt;0,((100-B$36)/100)*'Efficient Site Offices'!B71*'Data Entry Electricity'!$L53,0)),0)</f>
        <v>0</v>
      </c>
      <c r="C87" s="738">
        <f>IF(AND($A87&gt;='Efficient Site Offices'!C$11,$A87&lt;='Efficient Site Offices'!C$12),IF(C$37='Efficient Site Offices'!$A$19,((100-C$36)/100)*('Efficient Site Offices'!C$19)*'Actual-CO2 Calculations'!$D54,IF('Efficient Site Offices'!C$140&gt;0,((100-C$36)/100)*'Efficient Site Offices'!C71*'Data Entry Electricity'!$L53,0)),0)</f>
        <v>0</v>
      </c>
      <c r="D87" s="738">
        <f>IF(AND($A87&gt;='Efficient Site Offices'!D$11,$A87&lt;='Efficient Site Offices'!D$12),IF(D$37='Efficient Site Offices'!$A$19,((100-D$36)/100)*('Efficient Site Offices'!D$19)*'Actual-CO2 Calculations'!$D54,IF('Efficient Site Offices'!D$140&gt;0,((100-D$36)/100)*'Efficient Site Offices'!D71*'Data Entry Electricity'!$L53,0)),0)</f>
        <v>0</v>
      </c>
      <c r="E87" s="738">
        <f>IF(AND($A87&gt;='Efficient Site Offices'!E$11,$A87&lt;='Efficient Site Offices'!E$12),IF(E$37='Efficient Site Offices'!$A$19,((100-E$36)/100)*('Efficient Site Offices'!E$19)*'Actual-CO2 Calculations'!$D54,IF('Efficient Site Offices'!E$140&gt;0,((100-E$36)/100)*'Efficient Site Offices'!E71*'Data Entry Electricity'!$L53,0)),0)</f>
        <v>0</v>
      </c>
      <c r="F87" s="738">
        <f>IF(AND($A87&gt;='Efficient Site Offices'!F$11,$A87&lt;='Efficient Site Offices'!F$12),IF(F$37='Efficient Site Offices'!$A$19,((100-F$36)/100)*('Efficient Site Offices'!F$19)*'Actual-CO2 Calculations'!$D54,IF('Efficient Site Offices'!F$140&gt;0,((100-F$36)/100)*'Efficient Site Offices'!F71*'Data Entry Electricity'!$L53,0)),0)</f>
        <v>0</v>
      </c>
      <c r="H87" s="664">
        <f t="shared" si="0"/>
        <v>0</v>
      </c>
    </row>
    <row r="88" spans="1:8">
      <c r="A88" s="179" t="s">
        <v>10</v>
      </c>
      <c r="B88" s="738">
        <f>IF(AND($A88&gt;='Efficient Site Offices'!B$11,$A88&lt;='Efficient Site Offices'!B$12),IF(B$37='Efficient Site Offices'!$A$19,((100-B$36)/100)*('Efficient Site Offices'!B$19)*'Actual-CO2 Calculations'!$D55,IF('Efficient Site Offices'!B$140&gt;0,((100-B$36)/100)*'Efficient Site Offices'!B72*'Data Entry Electricity'!$L54,0)),0)</f>
        <v>0</v>
      </c>
      <c r="C88" s="738">
        <f>IF(AND($A88&gt;='Efficient Site Offices'!C$11,$A88&lt;='Efficient Site Offices'!C$12),IF(C$37='Efficient Site Offices'!$A$19,((100-C$36)/100)*('Efficient Site Offices'!C$19)*'Actual-CO2 Calculations'!$D55,IF('Efficient Site Offices'!C$140&gt;0,((100-C$36)/100)*'Efficient Site Offices'!C72*'Data Entry Electricity'!$L54,0)),0)</f>
        <v>0</v>
      </c>
      <c r="D88" s="738">
        <f>IF(AND($A88&gt;='Efficient Site Offices'!D$11,$A88&lt;='Efficient Site Offices'!D$12),IF(D$37='Efficient Site Offices'!$A$19,((100-D$36)/100)*('Efficient Site Offices'!D$19)*'Actual-CO2 Calculations'!$D55,IF('Efficient Site Offices'!D$140&gt;0,((100-D$36)/100)*'Efficient Site Offices'!D72*'Data Entry Electricity'!$L54,0)),0)</f>
        <v>0</v>
      </c>
      <c r="E88" s="738">
        <f>IF(AND($A88&gt;='Efficient Site Offices'!E$11,$A88&lt;='Efficient Site Offices'!E$12),IF(E$37='Efficient Site Offices'!$A$19,((100-E$36)/100)*('Efficient Site Offices'!E$19)*'Actual-CO2 Calculations'!$D55,IF('Efficient Site Offices'!E$140&gt;0,((100-E$36)/100)*'Efficient Site Offices'!E72*'Data Entry Electricity'!$L54,0)),0)</f>
        <v>0</v>
      </c>
      <c r="F88" s="738">
        <f>IF(AND($A88&gt;='Efficient Site Offices'!F$11,$A88&lt;='Efficient Site Offices'!F$12),IF(F$37='Efficient Site Offices'!$A$19,((100-F$36)/100)*('Efficient Site Offices'!F$19)*'Actual-CO2 Calculations'!$D55,IF('Efficient Site Offices'!F$140&gt;0,((100-F$36)/100)*'Efficient Site Offices'!F72*'Data Entry Electricity'!$L54,0)),0)</f>
        <v>0</v>
      </c>
      <c r="H88" s="664">
        <f t="shared" si="0"/>
        <v>0</v>
      </c>
    </row>
    <row r="89" spans="1:8">
      <c r="A89" s="179" t="s">
        <v>11</v>
      </c>
      <c r="B89" s="738">
        <f>IF(AND($A89&gt;='Efficient Site Offices'!B$11,$A89&lt;='Efficient Site Offices'!B$12),IF(B$37='Efficient Site Offices'!$A$19,((100-B$36)/100)*('Efficient Site Offices'!B$19)*'Actual-CO2 Calculations'!$D56,IF('Efficient Site Offices'!B$140&gt;0,((100-B$36)/100)*'Efficient Site Offices'!B73*'Data Entry Electricity'!$L55,0)),0)</f>
        <v>0</v>
      </c>
      <c r="C89" s="738">
        <f>IF(AND($A89&gt;='Efficient Site Offices'!C$11,$A89&lt;='Efficient Site Offices'!C$12),IF(C$37='Efficient Site Offices'!$A$19,((100-C$36)/100)*('Efficient Site Offices'!C$19)*'Actual-CO2 Calculations'!$D56,IF('Efficient Site Offices'!C$140&gt;0,((100-C$36)/100)*'Efficient Site Offices'!C73*'Data Entry Electricity'!$L55,0)),0)</f>
        <v>0</v>
      </c>
      <c r="D89" s="738">
        <f>IF(AND($A89&gt;='Efficient Site Offices'!D$11,$A89&lt;='Efficient Site Offices'!D$12),IF(D$37='Efficient Site Offices'!$A$19,((100-D$36)/100)*('Efficient Site Offices'!D$19)*'Actual-CO2 Calculations'!$D56,IF('Efficient Site Offices'!D$140&gt;0,((100-D$36)/100)*'Efficient Site Offices'!D73*'Data Entry Electricity'!$L55,0)),0)</f>
        <v>0</v>
      </c>
      <c r="E89" s="738">
        <f>IF(AND($A89&gt;='Efficient Site Offices'!E$11,$A89&lt;='Efficient Site Offices'!E$12),IF(E$37='Efficient Site Offices'!$A$19,((100-E$36)/100)*('Efficient Site Offices'!E$19)*'Actual-CO2 Calculations'!$D56,IF('Efficient Site Offices'!E$140&gt;0,((100-E$36)/100)*'Efficient Site Offices'!E73*'Data Entry Electricity'!$L55,0)),0)</f>
        <v>0</v>
      </c>
      <c r="F89" s="738">
        <f>IF(AND($A89&gt;='Efficient Site Offices'!F$11,$A89&lt;='Efficient Site Offices'!F$12),IF(F$37='Efficient Site Offices'!$A$19,((100-F$36)/100)*('Efficient Site Offices'!F$19)*'Actual-CO2 Calculations'!$D56,IF('Efficient Site Offices'!F$140&gt;0,((100-F$36)/100)*'Efficient Site Offices'!F73*'Data Entry Electricity'!$L55,0)),0)</f>
        <v>0</v>
      </c>
      <c r="H89" s="664">
        <f t="shared" si="0"/>
        <v>0</v>
      </c>
    </row>
    <row r="90" spans="1:8">
      <c r="A90" s="179" t="s">
        <v>67</v>
      </c>
      <c r="B90" s="738">
        <f>IF(AND($A90&gt;='Efficient Site Offices'!B$11,$A90&lt;='Efficient Site Offices'!B$12),IF(B$37='Efficient Site Offices'!$A$19,((100-B$36)/100)*('Efficient Site Offices'!B$19)*'Actual-CO2 Calculations'!$D57,IF('Efficient Site Offices'!B$140&gt;0,((100-B$36)/100)*'Efficient Site Offices'!B74*'Data Entry Electricity'!$L56,0)),0)</f>
        <v>314.77839540000002</v>
      </c>
      <c r="C90" s="738">
        <f>IF(AND($A90&gt;='Efficient Site Offices'!C$11,$A90&lt;='Efficient Site Offices'!C$12),IF(C$37='Efficient Site Offices'!$A$19,((100-C$36)/100)*('Efficient Site Offices'!C$19)*'Actual-CO2 Calculations'!$D57,IF('Efficient Site Offices'!C$140&gt;0,((100-C$36)/100)*'Efficient Site Offices'!C74*'Data Entry Electricity'!$L56,0)),0)</f>
        <v>0</v>
      </c>
      <c r="D90" s="738">
        <f>IF(AND($A90&gt;='Efficient Site Offices'!D$11,$A90&lt;='Efficient Site Offices'!D$12),IF(D$37='Efficient Site Offices'!$A$19,((100-D$36)/100)*('Efficient Site Offices'!D$19)*'Actual-CO2 Calculations'!$D57,IF('Efficient Site Offices'!D$140&gt;0,((100-D$36)/100)*'Efficient Site Offices'!D74*'Data Entry Electricity'!$L56,0)),0)</f>
        <v>0</v>
      </c>
      <c r="E90" s="738">
        <f>IF(AND($A90&gt;='Efficient Site Offices'!E$11,$A90&lt;='Efficient Site Offices'!E$12),IF(E$37='Efficient Site Offices'!$A$19,((100-E$36)/100)*('Efficient Site Offices'!E$19)*'Actual-CO2 Calculations'!$D57,IF('Efficient Site Offices'!E$140&gt;0,((100-E$36)/100)*'Efficient Site Offices'!E74*'Data Entry Electricity'!$L56,0)),0)</f>
        <v>0</v>
      </c>
      <c r="F90" s="738">
        <f>IF(AND($A90&gt;='Efficient Site Offices'!F$11,$A90&lt;='Efficient Site Offices'!F$12),IF(F$37='Efficient Site Offices'!$A$19,((100-F$36)/100)*('Efficient Site Offices'!F$19)*'Actual-CO2 Calculations'!$D57,IF('Efficient Site Offices'!F$140&gt;0,((100-F$36)/100)*'Efficient Site Offices'!F74*'Data Entry Electricity'!$L56,0)),0)</f>
        <v>0</v>
      </c>
      <c r="H90" s="664">
        <f t="shared" si="0"/>
        <v>314.77839540000002</v>
      </c>
    </row>
    <row r="91" spans="1:8">
      <c r="A91" s="179" t="s">
        <v>68</v>
      </c>
      <c r="B91" s="738">
        <f>IF(AND($A91&gt;='Efficient Site Offices'!B$11,$A91&lt;='Efficient Site Offices'!B$12),IF(B$37='Efficient Site Offices'!$A$19,((100-B$36)/100)*('Efficient Site Offices'!B$19)*'Actual-CO2 Calculations'!$D58,IF('Efficient Site Offices'!B$140&gt;0,((100-B$36)/100)*'Efficient Site Offices'!B75*'Data Entry Electricity'!$L57,0)),0)</f>
        <v>454.90078829999999</v>
      </c>
      <c r="C91" s="738">
        <f>IF(AND($A91&gt;='Efficient Site Offices'!C$11,$A91&lt;='Efficient Site Offices'!C$12),IF(C$37='Efficient Site Offices'!$A$19,((100-C$36)/100)*('Efficient Site Offices'!C$19)*'Actual-CO2 Calculations'!$D58,IF('Efficient Site Offices'!C$140&gt;0,((100-C$36)/100)*'Efficient Site Offices'!C75*'Data Entry Electricity'!$L57,0)),0)</f>
        <v>363.92063064000001</v>
      </c>
      <c r="D91" s="738">
        <f>IF(AND($A91&gt;='Efficient Site Offices'!D$11,$A91&lt;='Efficient Site Offices'!D$12),IF(D$37='Efficient Site Offices'!$A$19,((100-D$36)/100)*('Efficient Site Offices'!D$19)*'Actual-CO2 Calculations'!$D58,IF('Efficient Site Offices'!D$140&gt;0,((100-D$36)/100)*'Efficient Site Offices'!D75*'Data Entry Electricity'!$L57,0)),0)</f>
        <v>0</v>
      </c>
      <c r="E91" s="738">
        <f>IF(AND($A91&gt;='Efficient Site Offices'!E$11,$A91&lt;='Efficient Site Offices'!E$12),IF(E$37='Efficient Site Offices'!$A$19,((100-E$36)/100)*('Efficient Site Offices'!E$19)*'Actual-CO2 Calculations'!$D58,IF('Efficient Site Offices'!E$140&gt;0,((100-E$36)/100)*'Efficient Site Offices'!E75*'Data Entry Electricity'!$L57,0)),0)</f>
        <v>0</v>
      </c>
      <c r="F91" s="738">
        <f>IF(AND($A91&gt;='Efficient Site Offices'!F$11,$A91&lt;='Efficient Site Offices'!F$12),IF(F$37='Efficient Site Offices'!$A$19,((100-F$36)/100)*('Efficient Site Offices'!F$19)*'Actual-CO2 Calculations'!$D58,IF('Efficient Site Offices'!F$140&gt;0,((100-F$36)/100)*'Efficient Site Offices'!F75*'Data Entry Electricity'!$L57,0)),0)</f>
        <v>0</v>
      </c>
      <c r="H91" s="664">
        <f t="shared" si="0"/>
        <v>818.82141894000006</v>
      </c>
    </row>
    <row r="92" spans="1:8">
      <c r="A92" s="179" t="s">
        <v>69</v>
      </c>
      <c r="B92" s="738">
        <f>IF(AND($A92&gt;='Efficient Site Offices'!B$11,$A92&lt;='Efficient Site Offices'!B$12),IF(B$37='Efficient Site Offices'!$A$19,((100-B$36)/100)*('Efficient Site Offices'!B$19)*'Actual-CO2 Calculations'!$D59,IF('Efficient Site Offices'!B$140&gt;0,((100-B$36)/100)*'Efficient Site Offices'!B76*'Data Entry Electricity'!$L58,0)),0)</f>
        <v>564.20149694999998</v>
      </c>
      <c r="C92" s="738">
        <f>IF(AND($A92&gt;='Efficient Site Offices'!C$11,$A92&lt;='Efficient Site Offices'!C$12),IF(C$37='Efficient Site Offices'!$A$19,((100-C$36)/100)*('Efficient Site Offices'!C$19)*'Actual-CO2 Calculations'!$D59,IF('Efficient Site Offices'!C$140&gt;0,((100-C$36)/100)*'Efficient Site Offices'!C76*'Data Entry Electricity'!$L58,0)),0)</f>
        <v>451.36119755999999</v>
      </c>
      <c r="D92" s="738">
        <f>IF(AND($A92&gt;='Efficient Site Offices'!D$11,$A92&lt;='Efficient Site Offices'!D$12),IF(D$37='Efficient Site Offices'!$A$19,((100-D$36)/100)*('Efficient Site Offices'!D$19)*'Actual-CO2 Calculations'!$D59,IF('Efficient Site Offices'!D$140&gt;0,((100-D$36)/100)*'Efficient Site Offices'!D76*'Data Entry Electricity'!$L58,0)),0)</f>
        <v>0</v>
      </c>
      <c r="E92" s="738">
        <f>IF(AND($A92&gt;='Efficient Site Offices'!E$11,$A92&lt;='Efficient Site Offices'!E$12),IF(E$37='Efficient Site Offices'!$A$19,((100-E$36)/100)*('Efficient Site Offices'!E$19)*'Actual-CO2 Calculations'!$D59,IF('Efficient Site Offices'!E$140&gt;0,((100-E$36)/100)*'Efficient Site Offices'!E76*'Data Entry Electricity'!$L58,0)),0)</f>
        <v>0</v>
      </c>
      <c r="F92" s="738">
        <f>IF(AND($A92&gt;='Efficient Site Offices'!F$11,$A92&lt;='Efficient Site Offices'!F$12),IF(F$37='Efficient Site Offices'!$A$19,((100-F$36)/100)*('Efficient Site Offices'!F$19)*'Actual-CO2 Calculations'!$D59,IF('Efficient Site Offices'!F$140&gt;0,((100-F$36)/100)*'Efficient Site Offices'!F76*'Data Entry Electricity'!$L58,0)),0)</f>
        <v>0</v>
      </c>
      <c r="H92" s="664">
        <f t="shared" si="0"/>
        <v>1015.56269451</v>
      </c>
    </row>
    <row r="93" spans="1:8">
      <c r="A93" s="179" t="s">
        <v>70</v>
      </c>
      <c r="B93" s="738">
        <f>IF(AND($A93&gt;='Efficient Site Offices'!B$11,$A93&lt;='Efficient Site Offices'!B$12),IF(B$37='Efficient Site Offices'!$A$19,((100-B$36)/100)*('Efficient Site Offices'!B$19)*'Actual-CO2 Calculations'!$D60,IF('Efficient Site Offices'!B$140&gt;0,((100-B$36)/100)*'Efficient Site Offices'!B77*'Data Entry Electricity'!$L59,0)),0)</f>
        <v>443.08061264999998</v>
      </c>
      <c r="C93" s="738">
        <f>IF(AND($A93&gt;='Efficient Site Offices'!C$11,$A93&lt;='Efficient Site Offices'!C$12),IF(C$37='Efficient Site Offices'!$A$19,((100-C$36)/100)*('Efficient Site Offices'!C$19)*'Actual-CO2 Calculations'!$D60,IF('Efficient Site Offices'!C$140&gt;0,((100-C$36)/100)*'Efficient Site Offices'!C77*'Data Entry Electricity'!$L59,0)),0)</f>
        <v>354.46449011999999</v>
      </c>
      <c r="D93" s="738">
        <f>IF(AND($A93&gt;='Efficient Site Offices'!D$11,$A93&lt;='Efficient Site Offices'!D$12),IF(D$37='Efficient Site Offices'!$A$19,((100-D$36)/100)*('Efficient Site Offices'!D$19)*'Actual-CO2 Calculations'!$D60,IF('Efficient Site Offices'!D$140&gt;0,((100-D$36)/100)*'Efficient Site Offices'!D77*'Data Entry Electricity'!$L59,0)),0)</f>
        <v>0</v>
      </c>
      <c r="E93" s="738">
        <f>IF(AND($A93&gt;='Efficient Site Offices'!E$11,$A93&lt;='Efficient Site Offices'!E$12),IF(E$37='Efficient Site Offices'!$A$19,((100-E$36)/100)*('Efficient Site Offices'!E$19)*'Actual-CO2 Calculations'!$D60,IF('Efficient Site Offices'!E$140&gt;0,((100-E$36)/100)*'Efficient Site Offices'!E77*'Data Entry Electricity'!$L59,0)),0)</f>
        <v>0</v>
      </c>
      <c r="F93" s="738">
        <f>IF(AND($A93&gt;='Efficient Site Offices'!F$11,$A93&lt;='Efficient Site Offices'!F$12),IF(F$37='Efficient Site Offices'!$A$19,((100-F$36)/100)*('Efficient Site Offices'!F$19)*'Actual-CO2 Calculations'!$D60,IF('Efficient Site Offices'!F$140&gt;0,((100-F$36)/100)*'Efficient Site Offices'!F77*'Data Entry Electricity'!$L59,0)),0)</f>
        <v>0</v>
      </c>
      <c r="H93" s="664">
        <f t="shared" si="0"/>
        <v>797.54510276999997</v>
      </c>
    </row>
    <row r="94" spans="1:8">
      <c r="A94" s="179" t="s">
        <v>71</v>
      </c>
      <c r="B94" s="738">
        <f>IF(AND($A94&gt;='Efficient Site Offices'!B$11,$A94&lt;='Efficient Site Offices'!B$12),IF(B$37='Efficient Site Offices'!$A$19,((100-B$36)/100)*('Efficient Site Offices'!B$19)*'Actual-CO2 Calculations'!$D61,IF('Efficient Site Offices'!B$140&gt;0,((100-B$36)/100)*'Efficient Site Offices'!B78*'Data Entry Electricity'!$L60,0)),0)</f>
        <v>869.39839740000002</v>
      </c>
      <c r="C94" s="738">
        <f>IF(AND($A94&gt;='Efficient Site Offices'!C$11,$A94&lt;='Efficient Site Offices'!C$12),IF(C$37='Efficient Site Offices'!$A$19,((100-C$36)/100)*('Efficient Site Offices'!C$19)*'Actual-CO2 Calculations'!$D61,IF('Efficient Site Offices'!C$140&gt;0,((100-C$36)/100)*'Efficient Site Offices'!C78*'Data Entry Electricity'!$L60,0)),0)</f>
        <v>695.51871792000009</v>
      </c>
      <c r="D94" s="738">
        <f>IF(AND($A94&gt;='Efficient Site Offices'!D$11,$A94&lt;='Efficient Site Offices'!D$12),IF(D$37='Efficient Site Offices'!$A$19,((100-D$36)/100)*('Efficient Site Offices'!D$19)*'Actual-CO2 Calculations'!$D61,IF('Efficient Site Offices'!D$140&gt;0,((100-D$36)/100)*'Efficient Site Offices'!D78*'Data Entry Electricity'!$L60,0)),0)</f>
        <v>0</v>
      </c>
      <c r="E94" s="738">
        <f>IF(AND($A94&gt;='Efficient Site Offices'!E$11,$A94&lt;='Efficient Site Offices'!E$12),IF(E$37='Efficient Site Offices'!$A$19,((100-E$36)/100)*('Efficient Site Offices'!E$19)*'Actual-CO2 Calculations'!$D61,IF('Efficient Site Offices'!E$140&gt;0,((100-E$36)/100)*'Efficient Site Offices'!E78*'Data Entry Electricity'!$L60,0)),0)</f>
        <v>0</v>
      </c>
      <c r="F94" s="738">
        <f>IF(AND($A94&gt;='Efficient Site Offices'!F$11,$A94&lt;='Efficient Site Offices'!F$12),IF(F$37='Efficient Site Offices'!$A$19,((100-F$36)/100)*('Efficient Site Offices'!F$19)*'Actual-CO2 Calculations'!$D61,IF('Efficient Site Offices'!F$140&gt;0,((100-F$36)/100)*'Efficient Site Offices'!F78*'Data Entry Electricity'!$L60,0)),0)</f>
        <v>0</v>
      </c>
      <c r="H94" s="664">
        <f t="shared" si="0"/>
        <v>1564.91711532</v>
      </c>
    </row>
    <row r="95" spans="1:8">
      <c r="A95" s="179" t="s">
        <v>72</v>
      </c>
      <c r="B95" s="738">
        <f>IF(AND($A95&gt;='Efficient Site Offices'!B$11,$A95&lt;='Efficient Site Offices'!B$12),IF(B$37='Efficient Site Offices'!$A$19,((100-B$36)/100)*('Efficient Site Offices'!B$19)*'Actual-CO2 Calculations'!$D62,IF('Efficient Site Offices'!B$140&gt;0,((100-B$36)/100)*'Efficient Site Offices'!B79*'Data Entry Electricity'!$L61,0)),0)</f>
        <v>863.47469130000002</v>
      </c>
      <c r="C95" s="738">
        <f>IF(AND($A95&gt;='Efficient Site Offices'!C$11,$A95&lt;='Efficient Site Offices'!C$12),IF(C$37='Efficient Site Offices'!$A$19,((100-C$36)/100)*('Efficient Site Offices'!C$19)*'Actual-CO2 Calculations'!$D62,IF('Efficient Site Offices'!C$140&gt;0,((100-C$36)/100)*'Efficient Site Offices'!C79*'Data Entry Electricity'!$L61,0)),0)</f>
        <v>690.77975304000006</v>
      </c>
      <c r="D95" s="738">
        <f>IF(AND($A95&gt;='Efficient Site Offices'!D$11,$A95&lt;='Efficient Site Offices'!D$12),IF(D$37='Efficient Site Offices'!$A$19,((100-D$36)/100)*('Efficient Site Offices'!D$19)*'Actual-CO2 Calculations'!$D62,IF('Efficient Site Offices'!D$140&gt;0,((100-D$36)/100)*'Efficient Site Offices'!D79*'Data Entry Electricity'!$L61,0)),0)</f>
        <v>0</v>
      </c>
      <c r="E95" s="738">
        <f>IF(AND($A95&gt;='Efficient Site Offices'!E$11,$A95&lt;='Efficient Site Offices'!E$12),IF(E$37='Efficient Site Offices'!$A$19,((100-E$36)/100)*('Efficient Site Offices'!E$19)*'Actual-CO2 Calculations'!$D62,IF('Efficient Site Offices'!E$140&gt;0,((100-E$36)/100)*'Efficient Site Offices'!E79*'Data Entry Electricity'!$L61,0)),0)</f>
        <v>0</v>
      </c>
      <c r="F95" s="738">
        <f>IF(AND($A95&gt;='Efficient Site Offices'!F$11,$A95&lt;='Efficient Site Offices'!F$12),IF(F$37='Efficient Site Offices'!$A$19,((100-F$36)/100)*('Efficient Site Offices'!F$19)*'Actual-CO2 Calculations'!$D62,IF('Efficient Site Offices'!F$140&gt;0,((100-F$36)/100)*'Efficient Site Offices'!F79*'Data Entry Electricity'!$L61,0)),0)</f>
        <v>0</v>
      </c>
      <c r="H95" s="664">
        <f t="shared" si="0"/>
        <v>1554.2544443400002</v>
      </c>
    </row>
    <row r="96" spans="1:8">
      <c r="A96" s="179" t="s">
        <v>73</v>
      </c>
      <c r="B96" s="738">
        <f>IF(AND($A96&gt;='Efficient Site Offices'!B$11,$A96&lt;='Efficient Site Offices'!B$12),IF(B$37='Efficient Site Offices'!$A$19,((100-B$36)/100)*('Efficient Site Offices'!B$19)*'Actual-CO2 Calculations'!$D63,IF('Efficient Site Offices'!B$140&gt;0,((100-B$36)/100)*'Efficient Site Offices'!B80*'Data Entry Electricity'!$L62,0)),0)</f>
        <v>792.70530884999994</v>
      </c>
      <c r="C96" s="738">
        <f>IF(AND($A96&gt;='Efficient Site Offices'!C$11,$A96&lt;='Efficient Site Offices'!C$12),IF(C$37='Efficient Site Offices'!$A$19,((100-C$36)/100)*('Efficient Site Offices'!C$19)*'Actual-CO2 Calculations'!$D63,IF('Efficient Site Offices'!C$140&gt;0,((100-C$36)/100)*'Efficient Site Offices'!C80*'Data Entry Electricity'!$L62,0)),0)</f>
        <v>0</v>
      </c>
      <c r="D96" s="738">
        <f>IF(AND($A96&gt;='Efficient Site Offices'!D$11,$A96&lt;='Efficient Site Offices'!D$12),IF(D$37='Efficient Site Offices'!$A$19,((100-D$36)/100)*('Efficient Site Offices'!D$19)*'Actual-CO2 Calculations'!$D63,IF('Efficient Site Offices'!D$140&gt;0,((100-D$36)/100)*'Efficient Site Offices'!D80*'Data Entry Electricity'!$L62,0)),0)</f>
        <v>0</v>
      </c>
      <c r="E96" s="738">
        <f>IF(AND($A96&gt;='Efficient Site Offices'!E$11,$A96&lt;='Efficient Site Offices'!E$12),IF(E$37='Efficient Site Offices'!$A$19,((100-E$36)/100)*('Efficient Site Offices'!E$19)*'Actual-CO2 Calculations'!$D63,IF('Efficient Site Offices'!E$140&gt;0,((100-E$36)/100)*'Efficient Site Offices'!E80*'Data Entry Electricity'!$L62,0)),0)</f>
        <v>0</v>
      </c>
      <c r="F96" s="738">
        <f>IF(AND($A96&gt;='Efficient Site Offices'!F$11,$A96&lt;='Efficient Site Offices'!F$12),IF(F$37='Efficient Site Offices'!$A$19,((100-F$36)/100)*('Efficient Site Offices'!F$19)*'Actual-CO2 Calculations'!$D63,IF('Efficient Site Offices'!F$140&gt;0,((100-F$36)/100)*'Efficient Site Offices'!F80*'Data Entry Electricity'!$L62,0)),0)</f>
        <v>0</v>
      </c>
      <c r="H96" s="664">
        <f t="shared" si="0"/>
        <v>792.70530884999994</v>
      </c>
    </row>
    <row r="97" spans="1:8">
      <c r="A97" s="179" t="s">
        <v>74</v>
      </c>
      <c r="B97" s="738">
        <f>IF(AND($A97&gt;='Efficient Site Offices'!B$11,$A97&lt;='Efficient Site Offices'!B$12),IF(B$37='Efficient Site Offices'!$A$19,((100-B$36)/100)*('Efficient Site Offices'!B$19)*'Actual-CO2 Calculations'!$D64,IF('Efficient Site Offices'!B$140&gt;0,((100-B$36)/100)*'Efficient Site Offices'!B81*'Data Entry Electricity'!$L63,0)),0)</f>
        <v>1399.5070751999999</v>
      </c>
      <c r="C97" s="738">
        <f>IF(AND($A97&gt;='Efficient Site Offices'!C$11,$A97&lt;='Efficient Site Offices'!C$12),IF(C$37='Efficient Site Offices'!$A$19,((100-C$36)/100)*('Efficient Site Offices'!C$19)*'Actual-CO2 Calculations'!$D64,IF('Efficient Site Offices'!C$140&gt;0,((100-C$36)/100)*'Efficient Site Offices'!C81*'Data Entry Electricity'!$L63,0)),0)</f>
        <v>0</v>
      </c>
      <c r="D97" s="738">
        <f>IF(AND($A97&gt;='Efficient Site Offices'!D$11,$A97&lt;='Efficient Site Offices'!D$12),IF(D$37='Efficient Site Offices'!$A$19,((100-D$36)/100)*('Efficient Site Offices'!D$19)*'Actual-CO2 Calculations'!$D64,IF('Efficient Site Offices'!D$140&gt;0,((100-D$36)/100)*'Efficient Site Offices'!D81*'Data Entry Electricity'!$L63,0)),0)</f>
        <v>1119.6056601600001</v>
      </c>
      <c r="E97" s="738">
        <f>IF(AND($A97&gt;='Efficient Site Offices'!E$11,$A97&lt;='Efficient Site Offices'!E$12),IF(E$37='Efficient Site Offices'!$A$19,((100-E$36)/100)*('Efficient Site Offices'!E$19)*'Actual-CO2 Calculations'!$D64,IF('Efficient Site Offices'!E$140&gt;0,((100-E$36)/100)*'Efficient Site Offices'!E81*'Data Entry Electricity'!$L63,0)),0)</f>
        <v>0</v>
      </c>
      <c r="F97" s="738">
        <f>IF(AND($A97&gt;='Efficient Site Offices'!F$11,$A97&lt;='Efficient Site Offices'!F$12),IF(F$37='Efficient Site Offices'!$A$19,((100-F$36)/100)*('Efficient Site Offices'!F$19)*'Actual-CO2 Calculations'!$D64,IF('Efficient Site Offices'!F$140&gt;0,((100-F$36)/100)*'Efficient Site Offices'!F81*'Data Entry Electricity'!$L63,0)),0)</f>
        <v>0</v>
      </c>
      <c r="H97" s="664">
        <f t="shared" si="0"/>
        <v>2519.11273536</v>
      </c>
    </row>
    <row r="98" spans="1:8">
      <c r="A98" s="179" t="s">
        <v>75</v>
      </c>
      <c r="B98" s="738">
        <f>IF(AND($A98&gt;='Efficient Site Offices'!B$11,$A98&lt;='Efficient Site Offices'!B$12),IF(B$37='Efficient Site Offices'!$A$19,((100-B$36)/100)*('Efficient Site Offices'!B$19)*'Actual-CO2 Calculations'!$D65,IF('Efficient Site Offices'!B$140&gt;0,((100-B$36)/100)*'Efficient Site Offices'!B82*'Data Entry Electricity'!$L64,0)),0)</f>
        <v>658.03552229999991</v>
      </c>
      <c r="C98" s="738">
        <f>IF(AND($A98&gt;='Efficient Site Offices'!C$11,$A98&lt;='Efficient Site Offices'!C$12),IF(C$37='Efficient Site Offices'!$A$19,((100-C$36)/100)*('Efficient Site Offices'!C$19)*'Actual-CO2 Calculations'!$D65,IF('Efficient Site Offices'!C$140&gt;0,((100-C$36)/100)*'Efficient Site Offices'!C82*'Data Entry Electricity'!$L64,0)),0)</f>
        <v>0</v>
      </c>
      <c r="D98" s="738">
        <f>IF(AND($A98&gt;='Efficient Site Offices'!D$11,$A98&lt;='Efficient Site Offices'!D$12),IF(D$37='Efficient Site Offices'!$A$19,((100-D$36)/100)*('Efficient Site Offices'!D$19)*'Actual-CO2 Calculations'!$D65,IF('Efficient Site Offices'!D$140&gt;0,((100-D$36)/100)*'Efficient Site Offices'!D82*'Data Entry Electricity'!$L64,0)),0)</f>
        <v>526.42841783999995</v>
      </c>
      <c r="E98" s="738">
        <f>IF(AND($A98&gt;='Efficient Site Offices'!E$11,$A98&lt;='Efficient Site Offices'!E$12),IF(E$37='Efficient Site Offices'!$A$19,((100-E$36)/100)*('Efficient Site Offices'!E$19)*'Actual-CO2 Calculations'!$D65,IF('Efficient Site Offices'!E$140&gt;0,((100-E$36)/100)*'Efficient Site Offices'!E82*'Data Entry Electricity'!$L64,0)),0)</f>
        <v>0</v>
      </c>
      <c r="F98" s="738">
        <f>IF(AND($A98&gt;='Efficient Site Offices'!F$11,$A98&lt;='Efficient Site Offices'!F$12),IF(F$37='Efficient Site Offices'!$A$19,((100-F$36)/100)*('Efficient Site Offices'!F$19)*'Actual-CO2 Calculations'!$D65,IF('Efficient Site Offices'!F$140&gt;0,((100-F$36)/100)*'Efficient Site Offices'!F82*'Data Entry Electricity'!$L64,0)),0)</f>
        <v>0</v>
      </c>
      <c r="H98" s="664">
        <f t="shared" si="0"/>
        <v>1184.46394014</v>
      </c>
    </row>
    <row r="99" spans="1:8">
      <c r="A99" s="179" t="s">
        <v>12</v>
      </c>
      <c r="B99" s="738">
        <f>IF(AND($A99&gt;='Efficient Site Offices'!B$11,$A99&lt;='Efficient Site Offices'!B$12),IF(B$37='Efficient Site Offices'!$A$19,((100-B$36)/100)*('Efficient Site Offices'!B$19)*'Actual-CO2 Calculations'!$D66,IF('Efficient Site Offices'!B$140&gt;0,((100-B$36)/100)*'Efficient Site Offices'!B83*'Data Entry Electricity'!$L65,0)),0)</f>
        <v>672.46667864999995</v>
      </c>
      <c r="C99" s="738">
        <f>IF(AND($A99&gt;='Efficient Site Offices'!C$11,$A99&lt;='Efficient Site Offices'!C$12),IF(C$37='Efficient Site Offices'!$A$19,((100-C$36)/100)*('Efficient Site Offices'!C$19)*'Actual-CO2 Calculations'!$D66,IF('Efficient Site Offices'!C$140&gt;0,((100-C$36)/100)*'Efficient Site Offices'!C83*'Data Entry Electricity'!$L65,0)),0)</f>
        <v>0</v>
      </c>
      <c r="D99" s="738">
        <f>IF(AND($A99&gt;='Efficient Site Offices'!D$11,$A99&lt;='Efficient Site Offices'!D$12),IF(D$37='Efficient Site Offices'!$A$19,((100-D$36)/100)*('Efficient Site Offices'!D$19)*'Actual-CO2 Calculations'!$D66,IF('Efficient Site Offices'!D$140&gt;0,((100-D$36)/100)*'Efficient Site Offices'!D83*'Data Entry Electricity'!$L65,0)),0)</f>
        <v>537.97334292000005</v>
      </c>
      <c r="E99" s="738">
        <f>IF(AND($A99&gt;='Efficient Site Offices'!E$11,$A99&lt;='Efficient Site Offices'!E$12),IF(E$37='Efficient Site Offices'!$A$19,((100-E$36)/100)*('Efficient Site Offices'!E$19)*'Actual-CO2 Calculations'!$D66,IF('Efficient Site Offices'!E$140&gt;0,((100-E$36)/100)*'Efficient Site Offices'!E83*'Data Entry Electricity'!$L65,0)),0)</f>
        <v>0</v>
      </c>
      <c r="F99" s="738">
        <f>IF(AND($A99&gt;='Efficient Site Offices'!F$11,$A99&lt;='Efficient Site Offices'!F$12),IF(F$37='Efficient Site Offices'!$A$19,((100-F$36)/100)*('Efficient Site Offices'!F$19)*'Actual-CO2 Calculations'!$D66,IF('Efficient Site Offices'!F$140&gt;0,((100-F$36)/100)*'Efficient Site Offices'!F83*'Data Entry Electricity'!$L65,0)),0)</f>
        <v>0</v>
      </c>
      <c r="H99" s="664">
        <f t="shared" si="0"/>
        <v>1210.44002157</v>
      </c>
    </row>
    <row r="100" spans="1:8">
      <c r="A100" s="179" t="s">
        <v>13</v>
      </c>
      <c r="B100" s="738">
        <f>IF(AND($A100&gt;='Efficient Site Offices'!B$11,$A100&lt;='Efficient Site Offices'!B$12),IF(B$37='Efficient Site Offices'!$A$19,((100-B$36)/100)*('Efficient Site Offices'!B$19)*'Actual-CO2 Calculations'!$D67,IF('Efficient Site Offices'!B$140&gt;0,((100-B$36)/100)*'Efficient Site Offices'!B84*'Data Entry Electricity'!$L66,0)),0)</f>
        <v>644.73869264999996</v>
      </c>
      <c r="C100" s="738">
        <f>IF(AND($A100&gt;='Efficient Site Offices'!C$11,$A100&lt;='Efficient Site Offices'!C$12),IF(C$37='Efficient Site Offices'!$A$19,((100-C$36)/100)*('Efficient Site Offices'!C$19)*'Actual-CO2 Calculations'!$D67,IF('Efficient Site Offices'!C$140&gt;0,((100-C$36)/100)*'Efficient Site Offices'!C84*'Data Entry Electricity'!$L66,0)),0)</f>
        <v>0</v>
      </c>
      <c r="D100" s="738">
        <f>IF(AND($A100&gt;='Efficient Site Offices'!D$11,$A100&lt;='Efficient Site Offices'!D$12),IF(D$37='Efficient Site Offices'!$A$19,((100-D$36)/100)*('Efficient Site Offices'!D$19)*'Actual-CO2 Calculations'!$D67,IF('Efficient Site Offices'!D$140&gt;0,((100-D$36)/100)*'Efficient Site Offices'!D84*'Data Entry Electricity'!$L66,0)),0)</f>
        <v>0</v>
      </c>
      <c r="E100" s="738">
        <f>IF(AND($A100&gt;='Efficient Site Offices'!E$11,$A100&lt;='Efficient Site Offices'!E$12),IF(E$37='Efficient Site Offices'!$A$19,((100-E$36)/100)*('Efficient Site Offices'!E$19)*'Actual-CO2 Calculations'!$D67,IF('Efficient Site Offices'!E$140&gt;0,((100-E$36)/100)*'Efficient Site Offices'!E84*'Data Entry Electricity'!$L66,0)),0)</f>
        <v>0</v>
      </c>
      <c r="F100" s="738">
        <f>IF(AND($A100&gt;='Efficient Site Offices'!F$11,$A100&lt;='Efficient Site Offices'!F$12),IF(F$37='Efficient Site Offices'!$A$19,((100-F$36)/100)*('Efficient Site Offices'!F$19)*'Actual-CO2 Calculations'!$D67,IF('Efficient Site Offices'!F$140&gt;0,((100-F$36)/100)*'Efficient Site Offices'!F84*'Data Entry Electricity'!$L66,0)),0)</f>
        <v>0</v>
      </c>
      <c r="H100" s="664">
        <f t="shared" si="0"/>
        <v>644.73869264999996</v>
      </c>
    </row>
    <row r="101" spans="1:8">
      <c r="A101" s="179" t="s">
        <v>14</v>
      </c>
      <c r="B101" s="738">
        <f>IF(AND($A101&gt;='Efficient Site Offices'!B$11,$A101&lt;='Efficient Site Offices'!B$12),IF(B$37='Efficient Site Offices'!$A$19,((100-B$36)/100)*('Efficient Site Offices'!B$19)*'Actual-CO2 Calculations'!$D68,IF('Efficient Site Offices'!B$140&gt;0,((100-B$36)/100)*'Efficient Site Offices'!B85*'Data Entry Electricity'!$L67,0)),0)</f>
        <v>629.48830034999992</v>
      </c>
      <c r="C101" s="738">
        <f>IF(AND($A101&gt;='Efficient Site Offices'!C$11,$A101&lt;='Efficient Site Offices'!C$12),IF(C$37='Efficient Site Offices'!$A$19,((100-C$36)/100)*('Efficient Site Offices'!C$19)*'Actual-CO2 Calculations'!$D68,IF('Efficient Site Offices'!C$140&gt;0,((100-C$36)/100)*'Efficient Site Offices'!C85*'Data Entry Electricity'!$L67,0)),0)</f>
        <v>0</v>
      </c>
      <c r="D101" s="738">
        <f>IF(AND($A101&gt;='Efficient Site Offices'!D$11,$A101&lt;='Efficient Site Offices'!D$12),IF(D$37='Efficient Site Offices'!$A$19,((100-D$36)/100)*('Efficient Site Offices'!D$19)*'Actual-CO2 Calculations'!$D68,IF('Efficient Site Offices'!D$140&gt;0,((100-D$36)/100)*'Efficient Site Offices'!D85*'Data Entry Electricity'!$L67,0)),0)</f>
        <v>0</v>
      </c>
      <c r="E101" s="738">
        <f>IF(AND($A101&gt;='Efficient Site Offices'!E$11,$A101&lt;='Efficient Site Offices'!E$12),IF(E$37='Efficient Site Offices'!$A$19,((100-E$36)/100)*('Efficient Site Offices'!E$19)*'Actual-CO2 Calculations'!$D68,IF('Efficient Site Offices'!E$140&gt;0,((100-E$36)/100)*'Efficient Site Offices'!E85*'Data Entry Electricity'!$L67,0)),0)</f>
        <v>503.59064028</v>
      </c>
      <c r="F101" s="738">
        <f>IF(AND($A101&gt;='Efficient Site Offices'!F$11,$A101&lt;='Efficient Site Offices'!F$12),IF(F$37='Efficient Site Offices'!$A$19,((100-F$36)/100)*('Efficient Site Offices'!F$19)*'Actual-CO2 Calculations'!$D68,IF('Efficient Site Offices'!F$140&gt;0,((100-F$36)/100)*'Efficient Site Offices'!F85*'Data Entry Electricity'!$L67,0)),0)</f>
        <v>0</v>
      </c>
      <c r="H101" s="664">
        <f t="shared" si="0"/>
        <v>1133.07894063</v>
      </c>
    </row>
    <row r="102" spans="1:8">
      <c r="A102" s="179" t="s">
        <v>15</v>
      </c>
      <c r="B102" s="738">
        <f>IF(AND($A102&gt;='Efficient Site Offices'!B$11,$A102&lt;='Efficient Site Offices'!B$12),IF(B$37='Efficient Site Offices'!$A$19,((100-B$36)/100)*('Efficient Site Offices'!B$19)*'Actual-CO2 Calculations'!$D69,IF('Efficient Site Offices'!B$140&gt;0,((100-B$36)/100)*'Efficient Site Offices'!B86*'Data Entry Electricity'!$L68,0)),0)</f>
        <v>615.12016214999994</v>
      </c>
      <c r="C102" s="738">
        <f>IF(AND($A102&gt;='Efficient Site Offices'!C$11,$A102&lt;='Efficient Site Offices'!C$12),IF(C$37='Efficient Site Offices'!$A$19,((100-C$36)/100)*('Efficient Site Offices'!C$19)*'Actual-CO2 Calculations'!$D69,IF('Efficient Site Offices'!C$140&gt;0,((100-C$36)/100)*'Efficient Site Offices'!C86*'Data Entry Electricity'!$L68,0)),0)</f>
        <v>0</v>
      </c>
      <c r="D102" s="738">
        <f>IF(AND($A102&gt;='Efficient Site Offices'!D$11,$A102&lt;='Efficient Site Offices'!D$12),IF(D$37='Efficient Site Offices'!$A$19,((100-D$36)/100)*('Efficient Site Offices'!D$19)*'Actual-CO2 Calculations'!$D69,IF('Efficient Site Offices'!D$140&gt;0,((100-D$36)/100)*'Efficient Site Offices'!D86*'Data Entry Electricity'!$L68,0)),0)</f>
        <v>0</v>
      </c>
      <c r="E102" s="738">
        <f>IF(AND($A102&gt;='Efficient Site Offices'!E$11,$A102&lt;='Efficient Site Offices'!E$12),IF(E$37='Efficient Site Offices'!$A$19,((100-E$36)/100)*('Efficient Site Offices'!E$19)*'Actual-CO2 Calculations'!$D69,IF('Efficient Site Offices'!E$140&gt;0,((100-E$36)/100)*'Efficient Site Offices'!E86*'Data Entry Electricity'!$L68,0)),0)</f>
        <v>492.09612972000002</v>
      </c>
      <c r="F102" s="738">
        <f>IF(AND($A102&gt;='Efficient Site Offices'!F$11,$A102&lt;='Efficient Site Offices'!F$12),IF(F$37='Efficient Site Offices'!$A$19,((100-F$36)/100)*('Efficient Site Offices'!F$19)*'Actual-CO2 Calculations'!$D69,IF('Efficient Site Offices'!F$140&gt;0,((100-F$36)/100)*'Efficient Site Offices'!F86*'Data Entry Electricity'!$L68,0)),0)</f>
        <v>0</v>
      </c>
      <c r="H102" s="664">
        <f t="shared" si="0"/>
        <v>1107.2162918700001</v>
      </c>
    </row>
    <row r="103" spans="1:8">
      <c r="A103" s="179" t="s">
        <v>76</v>
      </c>
      <c r="B103" s="738">
        <f>IF(AND($A103&gt;='Efficient Site Offices'!B$11,$A103&lt;='Efficient Site Offices'!B$12),IF(B$37='Efficient Site Offices'!$A$19,((100-B$36)/100)*('Efficient Site Offices'!B$19)*'Actual-CO2 Calculations'!$D70,IF('Efficient Site Offices'!B$140&gt;0,((100-B$36)/100)*'Efficient Site Offices'!B87*'Data Entry Electricity'!$L69,0)),0)</f>
        <v>599.74373355</v>
      </c>
      <c r="C103" s="738">
        <f>IF(AND($A103&gt;='Efficient Site Offices'!C$11,$A103&lt;='Efficient Site Offices'!C$12),IF(C$37='Efficient Site Offices'!$A$19,((100-C$36)/100)*('Efficient Site Offices'!C$19)*'Actual-CO2 Calculations'!$D70,IF('Efficient Site Offices'!C$140&gt;0,((100-C$36)/100)*'Efficient Site Offices'!C87*'Data Entry Electricity'!$L69,0)),0)</f>
        <v>0</v>
      </c>
      <c r="D103" s="738">
        <f>IF(AND($A103&gt;='Efficient Site Offices'!D$11,$A103&lt;='Efficient Site Offices'!D$12),IF(D$37='Efficient Site Offices'!$A$19,((100-D$36)/100)*('Efficient Site Offices'!D$19)*'Actual-CO2 Calculations'!$D70,IF('Efficient Site Offices'!D$140&gt;0,((100-D$36)/100)*'Efficient Site Offices'!D87*'Data Entry Electricity'!$L69,0)),0)</f>
        <v>0</v>
      </c>
      <c r="E103" s="738">
        <f>IF(AND($A103&gt;='Efficient Site Offices'!E$11,$A103&lt;='Efficient Site Offices'!E$12),IF(E$37='Efficient Site Offices'!$A$19,((100-E$36)/100)*('Efficient Site Offices'!E$19)*'Actual-CO2 Calculations'!$D70,IF('Efficient Site Offices'!E$140&gt;0,((100-E$36)/100)*'Efficient Site Offices'!E87*'Data Entry Electricity'!$L69,0)),0)</f>
        <v>479.79498683999998</v>
      </c>
      <c r="F103" s="738">
        <f>IF(AND($A103&gt;='Efficient Site Offices'!F$11,$A103&lt;='Efficient Site Offices'!F$12),IF(F$37='Efficient Site Offices'!$A$19,((100-F$36)/100)*('Efficient Site Offices'!F$19)*'Actual-CO2 Calculations'!$D70,IF('Efficient Site Offices'!F$140&gt;0,((100-F$36)/100)*'Efficient Site Offices'!F87*'Data Entry Electricity'!$L69,0)),0)</f>
        <v>0</v>
      </c>
      <c r="H103" s="664">
        <f t="shared" ref="H103:H166" si="1">SUM(B103:F103)</f>
        <v>1079.53872039</v>
      </c>
    </row>
    <row r="104" spans="1:8">
      <c r="A104" s="179" t="s">
        <v>77</v>
      </c>
      <c r="B104" s="738">
        <f>IF(AND($A104&gt;='Efficient Site Offices'!B$11,$A104&lt;='Efficient Site Offices'!B$12),IF(B$37='Efficient Site Offices'!$A$19,((100-B$36)/100)*('Efficient Site Offices'!B$19)*'Actual-CO2 Calculations'!$D71,IF('Efficient Site Offices'!B$140&gt;0,((100-B$36)/100)*'Efficient Site Offices'!B88*'Data Entry Electricity'!$L70,0)),0)</f>
        <v>586.44690390000005</v>
      </c>
      <c r="C104" s="738">
        <f>IF(AND($A104&gt;='Efficient Site Offices'!C$11,$A104&lt;='Efficient Site Offices'!C$12),IF(C$37='Efficient Site Offices'!$A$19,((100-C$36)/100)*('Efficient Site Offices'!C$19)*'Actual-CO2 Calculations'!$D71,IF('Efficient Site Offices'!C$140&gt;0,((100-C$36)/100)*'Efficient Site Offices'!C88*'Data Entry Electricity'!$L70,0)),0)</f>
        <v>0</v>
      </c>
      <c r="D104" s="738">
        <f>IF(AND($A104&gt;='Efficient Site Offices'!D$11,$A104&lt;='Efficient Site Offices'!D$12),IF(D$37='Efficient Site Offices'!$A$19,((100-D$36)/100)*('Efficient Site Offices'!D$19)*'Actual-CO2 Calculations'!$D71,IF('Efficient Site Offices'!D$140&gt;0,((100-D$36)/100)*'Efficient Site Offices'!D88*'Data Entry Electricity'!$L70,0)),0)</f>
        <v>0</v>
      </c>
      <c r="E104" s="738">
        <f>IF(AND($A104&gt;='Efficient Site Offices'!E$11,$A104&lt;='Efficient Site Offices'!E$12),IF(E$37='Efficient Site Offices'!$A$19,((100-E$36)/100)*('Efficient Site Offices'!E$19)*'Actual-CO2 Calculations'!$D71,IF('Efficient Site Offices'!E$140&gt;0,((100-E$36)/100)*'Efficient Site Offices'!E88*'Data Entry Electricity'!$L70,0)),0)</f>
        <v>469.15752312000006</v>
      </c>
      <c r="F104" s="738">
        <f>IF(AND($A104&gt;='Efficient Site Offices'!F$11,$A104&lt;='Efficient Site Offices'!F$12),IF(F$37='Efficient Site Offices'!$A$19,((100-F$36)/100)*('Efficient Site Offices'!F$19)*'Actual-CO2 Calculations'!$D71,IF('Efficient Site Offices'!F$140&gt;0,((100-F$36)/100)*'Efficient Site Offices'!F88*'Data Entry Electricity'!$L70,0)),0)</f>
        <v>0</v>
      </c>
      <c r="H104" s="664">
        <f t="shared" si="1"/>
        <v>1055.60442702</v>
      </c>
    </row>
    <row r="105" spans="1:8">
      <c r="A105" s="179" t="s">
        <v>78</v>
      </c>
      <c r="B105" s="738">
        <f>IF(AND($A105&gt;='Efficient Site Offices'!B$11,$A105&lt;='Efficient Site Offices'!B$12),IF(B$37='Efficient Site Offices'!$A$19,((100-B$36)/100)*('Efficient Site Offices'!B$19)*'Actual-CO2 Calculations'!$D72,IF('Efficient Site Offices'!B$140&gt;0,((100-B$36)/100)*'Efficient Site Offices'!B89*'Data Entry Electricity'!$L71,0)),0)</f>
        <v>535.61711268975012</v>
      </c>
      <c r="C105" s="738">
        <f>IF(AND($A105&gt;='Efficient Site Offices'!C$11,$A105&lt;='Efficient Site Offices'!C$12),IF(C$37='Efficient Site Offices'!$A$19,((100-C$36)/100)*('Efficient Site Offices'!C$19)*'Actual-CO2 Calculations'!$D72,IF('Efficient Site Offices'!C$140&gt;0,((100-C$36)/100)*'Efficient Site Offices'!C89*'Data Entry Electricity'!$L71,0)),0)</f>
        <v>0</v>
      </c>
      <c r="D105" s="738">
        <f>IF(AND($A105&gt;='Efficient Site Offices'!D$11,$A105&lt;='Efficient Site Offices'!D$12),IF(D$37='Efficient Site Offices'!$A$19,((100-D$36)/100)*('Efficient Site Offices'!D$19)*'Actual-CO2 Calculations'!$D72,IF('Efficient Site Offices'!D$140&gt;0,((100-D$36)/100)*'Efficient Site Offices'!D89*'Data Entry Electricity'!$L71,0)),0)</f>
        <v>0</v>
      </c>
      <c r="E105" s="738">
        <f>IF(AND($A105&gt;='Efficient Site Offices'!E$11,$A105&lt;='Efficient Site Offices'!E$12),IF(E$37='Efficient Site Offices'!$A$19,((100-E$36)/100)*('Efficient Site Offices'!E$19)*'Actual-CO2 Calculations'!$D72,IF('Efficient Site Offices'!E$140&gt;0,((100-E$36)/100)*'Efficient Site Offices'!E89*'Data Entry Electricity'!$L71,0)),0)</f>
        <v>428.49369015180008</v>
      </c>
      <c r="F105" s="738">
        <f>IF(AND($A105&gt;='Efficient Site Offices'!F$11,$A105&lt;='Efficient Site Offices'!F$12),IF(F$37='Efficient Site Offices'!$A$19,((100-F$36)/100)*('Efficient Site Offices'!F$19)*'Actual-CO2 Calculations'!$D72,IF('Efficient Site Offices'!F$140&gt;0,((100-F$36)/100)*'Efficient Site Offices'!F89*'Data Entry Electricity'!$L71,0)),0)</f>
        <v>0</v>
      </c>
      <c r="H105" s="664">
        <f t="shared" si="1"/>
        <v>964.11080284155014</v>
      </c>
    </row>
    <row r="106" spans="1:8">
      <c r="A106" s="179" t="s">
        <v>79</v>
      </c>
      <c r="B106" s="738">
        <f>IF(AND($A106&gt;='Efficient Site Offices'!B$11,$A106&lt;='Efficient Site Offices'!B$12),IF(B$37='Efficient Site Offices'!$A$19,((100-B$36)/100)*('Efficient Site Offices'!B$19)*'Actual-CO2 Calculations'!$D73,IF('Efficient Site Offices'!B$140&gt;0,((100-B$36)/100)*'Efficient Site Offices'!B90*'Data Entry Electricity'!$L72,0)),0)</f>
        <v>530.37231974999997</v>
      </c>
      <c r="C106" s="738">
        <f>IF(AND($A106&gt;='Efficient Site Offices'!C$11,$A106&lt;='Efficient Site Offices'!C$12),IF(C$37='Efficient Site Offices'!$A$19,((100-C$36)/100)*('Efficient Site Offices'!C$19)*'Actual-CO2 Calculations'!$D73,IF('Efficient Site Offices'!C$140&gt;0,((100-C$36)/100)*'Efficient Site Offices'!C90*'Data Entry Electricity'!$L72,0)),0)</f>
        <v>0</v>
      </c>
      <c r="D106" s="738">
        <f>IF(AND($A106&gt;='Efficient Site Offices'!D$11,$A106&lt;='Efficient Site Offices'!D$12),IF(D$37='Efficient Site Offices'!$A$19,((100-D$36)/100)*('Efficient Site Offices'!D$19)*'Actual-CO2 Calculations'!$D73,IF('Efficient Site Offices'!D$140&gt;0,((100-D$36)/100)*'Efficient Site Offices'!D90*'Data Entry Electricity'!$L72,0)),0)</f>
        <v>0</v>
      </c>
      <c r="E106" s="738">
        <f>IF(AND($A106&gt;='Efficient Site Offices'!E$11,$A106&lt;='Efficient Site Offices'!E$12),IF(E$37='Efficient Site Offices'!$A$19,((100-E$36)/100)*('Efficient Site Offices'!E$19)*'Actual-CO2 Calculations'!$D73,IF('Efficient Site Offices'!E$140&gt;0,((100-E$36)/100)*'Efficient Site Offices'!E90*'Data Entry Electricity'!$L72,0)),0)</f>
        <v>424.29785580000004</v>
      </c>
      <c r="F106" s="738">
        <f>IF(AND($A106&gt;='Efficient Site Offices'!F$11,$A106&lt;='Efficient Site Offices'!F$12),IF(F$37='Efficient Site Offices'!$A$19,((100-F$36)/100)*('Efficient Site Offices'!F$19)*'Actual-CO2 Calculations'!$D73,IF('Efficient Site Offices'!F$140&gt;0,((100-F$36)/100)*'Efficient Site Offices'!F90*'Data Entry Electricity'!$L72,0)),0)</f>
        <v>0</v>
      </c>
      <c r="H106" s="664">
        <f t="shared" si="1"/>
        <v>954.67017555000007</v>
      </c>
    </row>
    <row r="107" spans="1:8">
      <c r="A107" s="179" t="s">
        <v>80</v>
      </c>
      <c r="B107" s="738">
        <f>IF(AND($A107&gt;='Efficient Site Offices'!B$11,$A107&lt;='Efficient Site Offices'!B$12),IF(B$37='Efficient Site Offices'!$A$19,((100-B$36)/100)*('Efficient Site Offices'!B$19)*'Actual-CO2 Calculations'!$D74,IF('Efficient Site Offices'!B$140&gt;0,((100-B$36)/100)*'Efficient Site Offices'!B91*'Data Entry Electricity'!$L73,0)),0)</f>
        <v>530.37231974999997</v>
      </c>
      <c r="C107" s="738">
        <f>IF(AND($A107&gt;='Efficient Site Offices'!C$11,$A107&lt;='Efficient Site Offices'!C$12),IF(C$37='Efficient Site Offices'!$A$19,((100-C$36)/100)*('Efficient Site Offices'!C$19)*'Actual-CO2 Calculations'!$D74,IF('Efficient Site Offices'!C$140&gt;0,((100-C$36)/100)*'Efficient Site Offices'!C91*'Data Entry Electricity'!$L73,0)),0)</f>
        <v>0</v>
      </c>
      <c r="D107" s="738">
        <f>IF(AND($A107&gt;='Efficient Site Offices'!D$11,$A107&lt;='Efficient Site Offices'!D$12),IF(D$37='Efficient Site Offices'!$A$19,((100-D$36)/100)*('Efficient Site Offices'!D$19)*'Actual-CO2 Calculations'!$D74,IF('Efficient Site Offices'!D$140&gt;0,((100-D$36)/100)*'Efficient Site Offices'!D91*'Data Entry Electricity'!$L73,0)),0)</f>
        <v>0</v>
      </c>
      <c r="E107" s="738">
        <f>IF(AND($A107&gt;='Efficient Site Offices'!E$11,$A107&lt;='Efficient Site Offices'!E$12),IF(E$37='Efficient Site Offices'!$A$19,((100-E$36)/100)*('Efficient Site Offices'!E$19)*'Actual-CO2 Calculations'!$D74,IF('Efficient Site Offices'!E$140&gt;0,((100-E$36)/100)*'Efficient Site Offices'!E91*'Data Entry Electricity'!$L73,0)),0)</f>
        <v>424.29785580000004</v>
      </c>
      <c r="F107" s="738">
        <f>IF(AND($A107&gt;='Efficient Site Offices'!F$11,$A107&lt;='Efficient Site Offices'!F$12),IF(F$37='Efficient Site Offices'!$A$19,((100-F$36)/100)*('Efficient Site Offices'!F$19)*'Actual-CO2 Calculations'!$D74,IF('Efficient Site Offices'!F$140&gt;0,((100-F$36)/100)*'Efficient Site Offices'!F91*'Data Entry Electricity'!$L73,0)),0)</f>
        <v>0</v>
      </c>
      <c r="H107" s="664">
        <f t="shared" si="1"/>
        <v>954.67017555000007</v>
      </c>
    </row>
    <row r="108" spans="1:8">
      <c r="A108" s="179" t="s">
        <v>81</v>
      </c>
      <c r="B108" s="738">
        <f>IF(AND($A108&gt;='Efficient Site Offices'!B$11,$A108&lt;='Efficient Site Offices'!B$12),IF(B$37='Efficient Site Offices'!$A$19,((100-B$36)/100)*('Efficient Site Offices'!B$19)*'Actual-CO2 Calculations'!$D75,IF('Efficient Site Offices'!B$140&gt;0,((100-B$36)/100)*'Efficient Site Offices'!B92*'Data Entry Electricity'!$L74,0)),0)</f>
        <v>530.37231974999997</v>
      </c>
      <c r="C108" s="738">
        <f>IF(AND($A108&gt;='Efficient Site Offices'!C$11,$A108&lt;='Efficient Site Offices'!C$12),IF(C$37='Efficient Site Offices'!$A$19,((100-C$36)/100)*('Efficient Site Offices'!C$19)*'Actual-CO2 Calculations'!$D75,IF('Efficient Site Offices'!C$140&gt;0,((100-C$36)/100)*'Efficient Site Offices'!C92*'Data Entry Electricity'!$L74,0)),0)</f>
        <v>0</v>
      </c>
      <c r="D108" s="738">
        <f>IF(AND($A108&gt;='Efficient Site Offices'!D$11,$A108&lt;='Efficient Site Offices'!D$12),IF(D$37='Efficient Site Offices'!$A$19,((100-D$36)/100)*('Efficient Site Offices'!D$19)*'Actual-CO2 Calculations'!$D75,IF('Efficient Site Offices'!D$140&gt;0,((100-D$36)/100)*'Efficient Site Offices'!D92*'Data Entry Electricity'!$L74,0)),0)</f>
        <v>0</v>
      </c>
      <c r="E108" s="738">
        <f>IF(AND($A108&gt;='Efficient Site Offices'!E$11,$A108&lt;='Efficient Site Offices'!E$12),IF(E$37='Efficient Site Offices'!$A$19,((100-E$36)/100)*('Efficient Site Offices'!E$19)*'Actual-CO2 Calculations'!$D75,IF('Efficient Site Offices'!E$140&gt;0,((100-E$36)/100)*'Efficient Site Offices'!E92*'Data Entry Electricity'!$L74,0)),0)</f>
        <v>424.29785580000004</v>
      </c>
      <c r="F108" s="738">
        <f>IF(AND($A108&gt;='Efficient Site Offices'!F$11,$A108&lt;='Efficient Site Offices'!F$12),IF(F$37='Efficient Site Offices'!$A$19,((100-F$36)/100)*('Efficient Site Offices'!F$19)*'Actual-CO2 Calculations'!$D75,IF('Efficient Site Offices'!F$140&gt;0,((100-F$36)/100)*'Efficient Site Offices'!F92*'Data Entry Electricity'!$L74,0)),0)</f>
        <v>0</v>
      </c>
      <c r="H108" s="664">
        <f t="shared" si="1"/>
        <v>954.67017555000007</v>
      </c>
    </row>
    <row r="109" spans="1:8">
      <c r="A109" s="179" t="s">
        <v>82</v>
      </c>
      <c r="B109" s="738">
        <f>IF(AND($A109&gt;='Efficient Site Offices'!B$11,$A109&lt;='Efficient Site Offices'!B$12),IF(B$37='Efficient Site Offices'!$A$19,((100-B$36)/100)*('Efficient Site Offices'!B$19)*'Actual-CO2 Calculations'!$D76,IF('Efficient Site Offices'!B$140&gt;0,((100-B$36)/100)*'Efficient Site Offices'!B93*'Data Entry Electricity'!$L75,0)),0)</f>
        <v>530.37231974999997</v>
      </c>
      <c r="C109" s="738">
        <f>IF(AND($A109&gt;='Efficient Site Offices'!C$11,$A109&lt;='Efficient Site Offices'!C$12),IF(C$37='Efficient Site Offices'!$A$19,((100-C$36)/100)*('Efficient Site Offices'!C$19)*'Actual-CO2 Calculations'!$D76,IF('Efficient Site Offices'!C$140&gt;0,((100-C$36)/100)*'Efficient Site Offices'!C93*'Data Entry Electricity'!$L75,0)),0)</f>
        <v>0</v>
      </c>
      <c r="D109" s="738">
        <f>IF(AND($A109&gt;='Efficient Site Offices'!D$11,$A109&lt;='Efficient Site Offices'!D$12),IF(D$37='Efficient Site Offices'!$A$19,((100-D$36)/100)*('Efficient Site Offices'!D$19)*'Actual-CO2 Calculations'!$D76,IF('Efficient Site Offices'!D$140&gt;0,((100-D$36)/100)*'Efficient Site Offices'!D93*'Data Entry Electricity'!$L75,0)),0)</f>
        <v>0</v>
      </c>
      <c r="E109" s="738">
        <f>IF(AND($A109&gt;='Efficient Site Offices'!E$11,$A109&lt;='Efficient Site Offices'!E$12),IF(E$37='Efficient Site Offices'!$A$19,((100-E$36)/100)*('Efficient Site Offices'!E$19)*'Actual-CO2 Calculations'!$D76,IF('Efficient Site Offices'!E$140&gt;0,((100-E$36)/100)*'Efficient Site Offices'!E93*'Data Entry Electricity'!$L75,0)),0)</f>
        <v>424.29785580000004</v>
      </c>
      <c r="F109" s="738">
        <f>IF(AND($A109&gt;='Efficient Site Offices'!F$11,$A109&lt;='Efficient Site Offices'!F$12),IF(F$37='Efficient Site Offices'!$A$19,((100-F$36)/100)*('Efficient Site Offices'!F$19)*'Actual-CO2 Calculations'!$D76,IF('Efficient Site Offices'!F$140&gt;0,((100-F$36)/100)*'Efficient Site Offices'!F93*'Data Entry Electricity'!$L75,0)),0)</f>
        <v>0</v>
      </c>
      <c r="H109" s="664">
        <f t="shared" si="1"/>
        <v>954.67017555000007</v>
      </c>
    </row>
    <row r="110" spans="1:8">
      <c r="A110" s="179" t="s">
        <v>83</v>
      </c>
      <c r="B110" s="738">
        <f>IF(AND($A110&gt;='Efficient Site Offices'!B$11,$A110&lt;='Efficient Site Offices'!B$12),IF(B$37='Efficient Site Offices'!$A$19,((100-B$36)/100)*('Efficient Site Offices'!B$19)*'Actual-CO2 Calculations'!$D77,IF('Efficient Site Offices'!B$140&gt;0,((100-B$36)/100)*'Efficient Site Offices'!B94*'Data Entry Electricity'!$L76,0)),0)</f>
        <v>412.51180425000001</v>
      </c>
      <c r="C110" s="738">
        <f>IF(AND($A110&gt;='Efficient Site Offices'!C$11,$A110&lt;='Efficient Site Offices'!C$12),IF(C$37='Efficient Site Offices'!$A$19,((100-C$36)/100)*('Efficient Site Offices'!C$19)*'Actual-CO2 Calculations'!$D77,IF('Efficient Site Offices'!C$140&gt;0,((100-C$36)/100)*'Efficient Site Offices'!C94*'Data Entry Electricity'!$L76,0)),0)</f>
        <v>0</v>
      </c>
      <c r="D110" s="738">
        <f>IF(AND($A110&gt;='Efficient Site Offices'!D$11,$A110&lt;='Efficient Site Offices'!D$12),IF(D$37='Efficient Site Offices'!$A$19,((100-D$36)/100)*('Efficient Site Offices'!D$19)*'Actual-CO2 Calculations'!$D77,IF('Efficient Site Offices'!D$140&gt;0,((100-D$36)/100)*'Efficient Site Offices'!D94*'Data Entry Electricity'!$L76,0)),0)</f>
        <v>0</v>
      </c>
      <c r="E110" s="738">
        <f>IF(AND($A110&gt;='Efficient Site Offices'!E$11,$A110&lt;='Efficient Site Offices'!E$12),IF(E$37='Efficient Site Offices'!$A$19,((100-E$36)/100)*('Efficient Site Offices'!E$19)*'Actual-CO2 Calculations'!$D77,IF('Efficient Site Offices'!E$140&gt;0,((100-E$36)/100)*'Efficient Site Offices'!E94*'Data Entry Electricity'!$L76,0)),0)</f>
        <v>330.00944340000001</v>
      </c>
      <c r="F110" s="738">
        <f>IF(AND($A110&gt;='Efficient Site Offices'!F$11,$A110&lt;='Efficient Site Offices'!F$12),IF(F$37='Efficient Site Offices'!$A$19,((100-F$36)/100)*('Efficient Site Offices'!F$19)*'Actual-CO2 Calculations'!$D77,IF('Efficient Site Offices'!F$140&gt;0,((100-F$36)/100)*'Efficient Site Offices'!F94*'Data Entry Electricity'!$L76,0)),0)</f>
        <v>0</v>
      </c>
      <c r="H110" s="664">
        <f t="shared" si="1"/>
        <v>742.52124765000008</v>
      </c>
    </row>
    <row r="111" spans="1:8">
      <c r="A111" s="179" t="s">
        <v>84</v>
      </c>
      <c r="B111" s="738">
        <f>IF(AND($A111&gt;='Efficient Site Offices'!B$11,$A111&lt;='Efficient Site Offices'!B$12),IF(B$37='Efficient Site Offices'!$A$19,((100-B$36)/100)*('Efficient Site Offices'!B$19)*'Actual-CO2 Calculations'!$D78,IF('Efficient Site Offices'!B$140&gt;0,((100-B$36)/100)*'Efficient Site Offices'!B95*'Data Entry Electricity'!$L77,0)),0)</f>
        <v>412.51180425000001</v>
      </c>
      <c r="C111" s="738">
        <f>IF(AND($A111&gt;='Efficient Site Offices'!C$11,$A111&lt;='Efficient Site Offices'!C$12),IF(C$37='Efficient Site Offices'!$A$19,((100-C$36)/100)*('Efficient Site Offices'!C$19)*'Actual-CO2 Calculations'!$D78,IF('Efficient Site Offices'!C$140&gt;0,((100-C$36)/100)*'Efficient Site Offices'!C95*'Data Entry Electricity'!$L77,0)),0)</f>
        <v>0</v>
      </c>
      <c r="D111" s="738">
        <f>IF(AND($A111&gt;='Efficient Site Offices'!D$11,$A111&lt;='Efficient Site Offices'!D$12),IF(D$37='Efficient Site Offices'!$A$19,((100-D$36)/100)*('Efficient Site Offices'!D$19)*'Actual-CO2 Calculations'!$D78,IF('Efficient Site Offices'!D$140&gt;0,((100-D$36)/100)*'Efficient Site Offices'!D95*'Data Entry Electricity'!$L77,0)),0)</f>
        <v>0</v>
      </c>
      <c r="E111" s="738">
        <f>IF(AND($A111&gt;='Efficient Site Offices'!E$11,$A111&lt;='Efficient Site Offices'!E$12),IF(E$37='Efficient Site Offices'!$A$19,((100-E$36)/100)*('Efficient Site Offices'!E$19)*'Actual-CO2 Calculations'!$D78,IF('Efficient Site Offices'!E$140&gt;0,((100-E$36)/100)*'Efficient Site Offices'!E95*'Data Entry Electricity'!$L77,0)),0)</f>
        <v>330.00944340000001</v>
      </c>
      <c r="F111" s="738">
        <f>IF(AND($A111&gt;='Efficient Site Offices'!F$11,$A111&lt;='Efficient Site Offices'!F$12),IF(F$37='Efficient Site Offices'!$A$19,((100-F$36)/100)*('Efficient Site Offices'!F$19)*'Actual-CO2 Calculations'!$D78,IF('Efficient Site Offices'!F$140&gt;0,((100-F$36)/100)*'Efficient Site Offices'!F95*'Data Entry Electricity'!$L77,0)),0)</f>
        <v>0</v>
      </c>
      <c r="H111" s="664">
        <f t="shared" si="1"/>
        <v>742.52124765000008</v>
      </c>
    </row>
    <row r="112" spans="1:8">
      <c r="A112" s="179" t="s">
        <v>16</v>
      </c>
      <c r="B112" s="738">
        <f>IF(AND($A112&gt;='Efficient Site Offices'!B$11,$A112&lt;='Efficient Site Offices'!B$12),IF(B$37='Efficient Site Offices'!$A$19,((100-B$36)/100)*('Efficient Site Offices'!B$19)*'Actual-CO2 Calculations'!$D79,IF('Efficient Site Offices'!B$140&gt;0,((100-B$36)/100)*'Efficient Site Offices'!B96*'Data Entry Electricity'!$L78,0)),0)</f>
        <v>412.51180425000001</v>
      </c>
      <c r="C112" s="738">
        <f>IF(AND($A112&gt;='Efficient Site Offices'!C$11,$A112&lt;='Efficient Site Offices'!C$12),IF(C$37='Efficient Site Offices'!$A$19,((100-C$36)/100)*('Efficient Site Offices'!C$19)*'Actual-CO2 Calculations'!$D79,IF('Efficient Site Offices'!C$140&gt;0,((100-C$36)/100)*'Efficient Site Offices'!C96*'Data Entry Electricity'!$L78,0)),0)</f>
        <v>0</v>
      </c>
      <c r="D112" s="738">
        <f>IF(AND($A112&gt;='Efficient Site Offices'!D$11,$A112&lt;='Efficient Site Offices'!D$12),IF(D$37='Efficient Site Offices'!$A$19,((100-D$36)/100)*('Efficient Site Offices'!D$19)*'Actual-CO2 Calculations'!$D79,IF('Efficient Site Offices'!D$140&gt;0,((100-D$36)/100)*'Efficient Site Offices'!D96*'Data Entry Electricity'!$L78,0)),0)</f>
        <v>0</v>
      </c>
      <c r="E112" s="738">
        <f>IF(AND($A112&gt;='Efficient Site Offices'!E$11,$A112&lt;='Efficient Site Offices'!E$12),IF(E$37='Efficient Site Offices'!$A$19,((100-E$36)/100)*('Efficient Site Offices'!E$19)*'Actual-CO2 Calculations'!$D79,IF('Efficient Site Offices'!E$140&gt;0,((100-E$36)/100)*'Efficient Site Offices'!E96*'Data Entry Electricity'!$L78,0)),0)</f>
        <v>330.00944340000001</v>
      </c>
      <c r="F112" s="738">
        <f>IF(AND($A112&gt;='Efficient Site Offices'!F$11,$A112&lt;='Efficient Site Offices'!F$12),IF(F$37='Efficient Site Offices'!$A$19,((100-F$36)/100)*('Efficient Site Offices'!F$19)*'Actual-CO2 Calculations'!$D79,IF('Efficient Site Offices'!F$140&gt;0,((100-F$36)/100)*'Efficient Site Offices'!F96*'Data Entry Electricity'!$L78,0)),0)</f>
        <v>0</v>
      </c>
      <c r="H112" s="664">
        <f t="shared" si="1"/>
        <v>742.52124765000008</v>
      </c>
    </row>
    <row r="113" spans="1:8">
      <c r="A113" s="179" t="s">
        <v>17</v>
      </c>
      <c r="B113" s="738">
        <f>IF(AND($A113&gt;='Efficient Site Offices'!B$11,$A113&lt;='Efficient Site Offices'!B$12),IF(B$37='Efficient Site Offices'!$A$19,((100-B$36)/100)*('Efficient Site Offices'!B$19)*'Actual-CO2 Calculations'!$D80,IF('Efficient Site Offices'!B$140&gt;0,((100-B$36)/100)*'Efficient Site Offices'!B97*'Data Entry Electricity'!$L79,0)),0)</f>
        <v>294.65128874999999</v>
      </c>
      <c r="C113" s="738">
        <f>IF(AND($A113&gt;='Efficient Site Offices'!C$11,$A113&lt;='Efficient Site Offices'!C$12),IF(C$37='Efficient Site Offices'!$A$19,((100-C$36)/100)*('Efficient Site Offices'!C$19)*'Actual-CO2 Calculations'!$D80,IF('Efficient Site Offices'!C$140&gt;0,((100-C$36)/100)*'Efficient Site Offices'!C97*'Data Entry Electricity'!$L79,0)),0)</f>
        <v>0</v>
      </c>
      <c r="D113" s="738">
        <f>IF(AND($A113&gt;='Efficient Site Offices'!D$11,$A113&lt;='Efficient Site Offices'!D$12),IF(D$37='Efficient Site Offices'!$A$19,((100-D$36)/100)*('Efficient Site Offices'!D$19)*'Actual-CO2 Calculations'!$D80,IF('Efficient Site Offices'!D$140&gt;0,((100-D$36)/100)*'Efficient Site Offices'!D97*'Data Entry Electricity'!$L79,0)),0)</f>
        <v>0</v>
      </c>
      <c r="E113" s="738">
        <f>IF(AND($A113&gt;='Efficient Site Offices'!E$11,$A113&lt;='Efficient Site Offices'!E$12),IF(E$37='Efficient Site Offices'!$A$19,((100-E$36)/100)*('Efficient Site Offices'!E$19)*'Actual-CO2 Calculations'!$D80,IF('Efficient Site Offices'!E$140&gt;0,((100-E$36)/100)*'Efficient Site Offices'!E97*'Data Entry Electricity'!$L79,0)),0)</f>
        <v>235.72103100000001</v>
      </c>
      <c r="F113" s="738">
        <f>IF(AND($A113&gt;='Efficient Site Offices'!F$11,$A113&lt;='Efficient Site Offices'!F$12),IF(F$37='Efficient Site Offices'!$A$19,((100-F$36)/100)*('Efficient Site Offices'!F$19)*'Actual-CO2 Calculations'!$D80,IF('Efficient Site Offices'!F$140&gt;0,((100-F$36)/100)*'Efficient Site Offices'!F97*'Data Entry Electricity'!$L79,0)),0)</f>
        <v>0</v>
      </c>
      <c r="H113" s="664">
        <f t="shared" si="1"/>
        <v>530.37231974999997</v>
      </c>
    </row>
    <row r="114" spans="1:8">
      <c r="A114" s="179" t="s">
        <v>18</v>
      </c>
      <c r="B114" s="738">
        <f>IF(AND($A114&gt;='Efficient Site Offices'!B$11,$A114&lt;='Efficient Site Offices'!B$12),IF(B$37='Efficient Site Offices'!$A$19,((100-B$36)/100)*('Efficient Site Offices'!B$19)*'Actual-CO2 Calculations'!$D81,IF('Efficient Site Offices'!B$140&gt;0,((100-B$36)/100)*'Efficient Site Offices'!B98*'Data Entry Electricity'!$L80,0)),0)</f>
        <v>294.65128874999999</v>
      </c>
      <c r="C114" s="738">
        <f>IF(AND($A114&gt;='Efficient Site Offices'!C$11,$A114&lt;='Efficient Site Offices'!C$12),IF(C$37='Efficient Site Offices'!$A$19,((100-C$36)/100)*('Efficient Site Offices'!C$19)*'Actual-CO2 Calculations'!$D81,IF('Efficient Site Offices'!C$140&gt;0,((100-C$36)/100)*'Efficient Site Offices'!C98*'Data Entry Electricity'!$L80,0)),0)</f>
        <v>0</v>
      </c>
      <c r="D114" s="738">
        <f>IF(AND($A114&gt;='Efficient Site Offices'!D$11,$A114&lt;='Efficient Site Offices'!D$12),IF(D$37='Efficient Site Offices'!$A$19,((100-D$36)/100)*('Efficient Site Offices'!D$19)*'Actual-CO2 Calculations'!$D81,IF('Efficient Site Offices'!D$140&gt;0,((100-D$36)/100)*'Efficient Site Offices'!D98*'Data Entry Electricity'!$L80,0)),0)</f>
        <v>0</v>
      </c>
      <c r="E114" s="738">
        <f>IF(AND($A114&gt;='Efficient Site Offices'!E$11,$A114&lt;='Efficient Site Offices'!E$12),IF(E$37='Efficient Site Offices'!$A$19,((100-E$36)/100)*('Efficient Site Offices'!E$19)*'Actual-CO2 Calculations'!$D81,IF('Efficient Site Offices'!E$140&gt;0,((100-E$36)/100)*'Efficient Site Offices'!E98*'Data Entry Electricity'!$L80,0)),0)</f>
        <v>235.72103100000001</v>
      </c>
      <c r="F114" s="738">
        <f>IF(AND($A114&gt;='Efficient Site Offices'!F$11,$A114&lt;='Efficient Site Offices'!F$12),IF(F$37='Efficient Site Offices'!$A$19,((100-F$36)/100)*('Efficient Site Offices'!F$19)*'Actual-CO2 Calculations'!$D81,IF('Efficient Site Offices'!F$140&gt;0,((100-F$36)/100)*'Efficient Site Offices'!F98*'Data Entry Electricity'!$L80,0)),0)</f>
        <v>0</v>
      </c>
      <c r="H114" s="664">
        <f t="shared" si="1"/>
        <v>530.37231974999997</v>
      </c>
    </row>
    <row r="115" spans="1:8">
      <c r="A115" s="179" t="s">
        <v>19</v>
      </c>
      <c r="B115" s="738">
        <f>IF(AND($A115&gt;='Efficient Site Offices'!B$11,$A115&lt;='Efficient Site Offices'!B$12),IF(B$37='Efficient Site Offices'!$A$19,((100-B$36)/100)*('Efficient Site Offices'!B$19)*'Actual-CO2 Calculations'!$D82,IF('Efficient Site Offices'!B$140&gt;0,((100-B$36)/100)*'Efficient Site Offices'!B99*'Data Entry Electricity'!$L81,0)),0)</f>
        <v>294.65128874999999</v>
      </c>
      <c r="C115" s="738">
        <f>IF(AND($A115&gt;='Efficient Site Offices'!C$11,$A115&lt;='Efficient Site Offices'!C$12),IF(C$37='Efficient Site Offices'!$A$19,((100-C$36)/100)*('Efficient Site Offices'!C$19)*'Actual-CO2 Calculations'!$D82,IF('Efficient Site Offices'!C$140&gt;0,((100-C$36)/100)*'Efficient Site Offices'!C99*'Data Entry Electricity'!$L81,0)),0)</f>
        <v>0</v>
      </c>
      <c r="D115" s="738">
        <f>IF(AND($A115&gt;='Efficient Site Offices'!D$11,$A115&lt;='Efficient Site Offices'!D$12),IF(D$37='Efficient Site Offices'!$A$19,((100-D$36)/100)*('Efficient Site Offices'!D$19)*'Actual-CO2 Calculations'!$D82,IF('Efficient Site Offices'!D$140&gt;0,((100-D$36)/100)*'Efficient Site Offices'!D99*'Data Entry Electricity'!$L81,0)),0)</f>
        <v>0</v>
      </c>
      <c r="E115" s="738">
        <f>IF(AND($A115&gt;='Efficient Site Offices'!E$11,$A115&lt;='Efficient Site Offices'!E$12),IF(E$37='Efficient Site Offices'!$A$19,((100-E$36)/100)*('Efficient Site Offices'!E$19)*'Actual-CO2 Calculations'!$D82,IF('Efficient Site Offices'!E$140&gt;0,((100-E$36)/100)*'Efficient Site Offices'!E99*'Data Entry Electricity'!$L81,0)),0)</f>
        <v>235.72103100000001</v>
      </c>
      <c r="F115" s="738">
        <f>IF(AND($A115&gt;='Efficient Site Offices'!F$11,$A115&lt;='Efficient Site Offices'!F$12),IF(F$37='Efficient Site Offices'!$A$19,((100-F$36)/100)*('Efficient Site Offices'!F$19)*'Actual-CO2 Calculations'!$D82,IF('Efficient Site Offices'!F$140&gt;0,((100-F$36)/100)*'Efficient Site Offices'!F99*'Data Entry Electricity'!$L81,0)),0)</f>
        <v>0</v>
      </c>
      <c r="H115" s="664">
        <f t="shared" si="1"/>
        <v>530.37231974999997</v>
      </c>
    </row>
    <row r="116" spans="1:8">
      <c r="A116" s="179" t="s">
        <v>85</v>
      </c>
      <c r="B116" s="738">
        <f>IF(AND($A116&gt;='Efficient Site Offices'!B$11,$A116&lt;='Efficient Site Offices'!B$12),IF(B$37='Efficient Site Offices'!$A$19,((100-B$36)/100)*('Efficient Site Offices'!B$19)*'Actual-CO2 Calculations'!$D83,IF('Efficient Site Offices'!B$140&gt;0,((100-B$36)/100)*'Efficient Site Offices'!B100*'Data Entry Electricity'!$L82,0)),0)</f>
        <v>0</v>
      </c>
      <c r="C116" s="738">
        <f>IF(AND($A116&gt;='Efficient Site Offices'!C$11,$A116&lt;='Efficient Site Offices'!C$12),IF(C$37='Efficient Site Offices'!$A$19,((100-C$36)/100)*('Efficient Site Offices'!C$19)*'Actual-CO2 Calculations'!$D83,IF('Efficient Site Offices'!C$140&gt;0,((100-C$36)/100)*'Efficient Site Offices'!C100*'Data Entry Electricity'!$L82,0)),0)</f>
        <v>0</v>
      </c>
      <c r="D116" s="738">
        <f>IF(AND($A116&gt;='Efficient Site Offices'!D$11,$A116&lt;='Efficient Site Offices'!D$12),IF(D$37='Efficient Site Offices'!$A$19,((100-D$36)/100)*('Efficient Site Offices'!D$19)*'Actual-CO2 Calculations'!$D83,IF('Efficient Site Offices'!D$140&gt;0,((100-D$36)/100)*'Efficient Site Offices'!D100*'Data Entry Electricity'!$L82,0)),0)</f>
        <v>0</v>
      </c>
      <c r="E116" s="738">
        <f>IF(AND($A116&gt;='Efficient Site Offices'!E$11,$A116&lt;='Efficient Site Offices'!E$12),IF(E$37='Efficient Site Offices'!$A$19,((100-E$36)/100)*('Efficient Site Offices'!E$19)*'Actual-CO2 Calculations'!$D83,IF('Efficient Site Offices'!E$140&gt;0,((100-E$36)/100)*'Efficient Site Offices'!E100*'Data Entry Electricity'!$L82,0)),0)</f>
        <v>0</v>
      </c>
      <c r="F116" s="738">
        <f>IF(AND($A116&gt;='Efficient Site Offices'!F$11,$A116&lt;='Efficient Site Offices'!F$12),IF(F$37='Efficient Site Offices'!$A$19,((100-F$36)/100)*('Efficient Site Offices'!F$19)*'Actual-CO2 Calculations'!$D83,IF('Efficient Site Offices'!F$140&gt;0,((100-F$36)/100)*'Efficient Site Offices'!F100*'Data Entry Electricity'!$L82,0)),0)</f>
        <v>0</v>
      </c>
      <c r="H116" s="664">
        <f t="shared" si="1"/>
        <v>0</v>
      </c>
    </row>
    <row r="117" spans="1:8">
      <c r="A117" s="179" t="s">
        <v>86</v>
      </c>
      <c r="B117" s="738">
        <f>IF(AND($A117&gt;='Efficient Site Offices'!B$11,$A117&lt;='Efficient Site Offices'!B$12),IF(B$37='Efficient Site Offices'!$A$19,((100-B$36)/100)*('Efficient Site Offices'!B$19)*'Actual-CO2 Calculations'!$D84,IF('Efficient Site Offices'!B$140&gt;0,((100-B$36)/100)*'Efficient Site Offices'!B101*'Data Entry Electricity'!$L83,0)),0)</f>
        <v>0</v>
      </c>
      <c r="C117" s="738">
        <f>IF(AND($A117&gt;='Efficient Site Offices'!C$11,$A117&lt;='Efficient Site Offices'!C$12),IF(C$37='Efficient Site Offices'!$A$19,((100-C$36)/100)*('Efficient Site Offices'!C$19)*'Actual-CO2 Calculations'!$D84,IF('Efficient Site Offices'!C$140&gt;0,((100-C$36)/100)*'Efficient Site Offices'!C101*'Data Entry Electricity'!$L83,0)),0)</f>
        <v>0</v>
      </c>
      <c r="D117" s="738">
        <f>IF(AND($A117&gt;='Efficient Site Offices'!D$11,$A117&lt;='Efficient Site Offices'!D$12),IF(D$37='Efficient Site Offices'!$A$19,((100-D$36)/100)*('Efficient Site Offices'!D$19)*'Actual-CO2 Calculations'!$D84,IF('Efficient Site Offices'!D$140&gt;0,((100-D$36)/100)*'Efficient Site Offices'!D101*'Data Entry Electricity'!$L83,0)),0)</f>
        <v>0</v>
      </c>
      <c r="E117" s="738">
        <f>IF(AND($A117&gt;='Efficient Site Offices'!E$11,$A117&lt;='Efficient Site Offices'!E$12),IF(E$37='Efficient Site Offices'!$A$19,((100-E$36)/100)*('Efficient Site Offices'!E$19)*'Actual-CO2 Calculations'!$D84,IF('Efficient Site Offices'!E$140&gt;0,((100-E$36)/100)*'Efficient Site Offices'!E101*'Data Entry Electricity'!$L83,0)),0)</f>
        <v>0</v>
      </c>
      <c r="F117" s="738">
        <f>IF(AND($A117&gt;='Efficient Site Offices'!F$11,$A117&lt;='Efficient Site Offices'!F$12),IF(F$37='Efficient Site Offices'!$A$19,((100-F$36)/100)*('Efficient Site Offices'!F$19)*'Actual-CO2 Calculations'!$D84,IF('Efficient Site Offices'!F$140&gt;0,((100-F$36)/100)*'Efficient Site Offices'!F101*'Data Entry Electricity'!$L83,0)),0)</f>
        <v>0</v>
      </c>
      <c r="H117" s="664">
        <f t="shared" si="1"/>
        <v>0</v>
      </c>
    </row>
    <row r="118" spans="1:8">
      <c r="A118" s="179" t="s">
        <v>87</v>
      </c>
      <c r="B118" s="738">
        <f>IF(AND($A118&gt;='Efficient Site Offices'!B$11,$A118&lt;='Efficient Site Offices'!B$12),IF(B$37='Efficient Site Offices'!$A$19,((100-B$36)/100)*('Efficient Site Offices'!B$19)*'Actual-CO2 Calculations'!$D85,IF('Efficient Site Offices'!B$140&gt;0,((100-B$36)/100)*'Efficient Site Offices'!B102*'Data Entry Electricity'!$L84,0)),0)</f>
        <v>0</v>
      </c>
      <c r="C118" s="738">
        <f>IF(AND($A118&gt;='Efficient Site Offices'!C$11,$A118&lt;='Efficient Site Offices'!C$12),IF(C$37='Efficient Site Offices'!$A$19,((100-C$36)/100)*('Efficient Site Offices'!C$19)*'Actual-CO2 Calculations'!$D85,IF('Efficient Site Offices'!C$140&gt;0,((100-C$36)/100)*'Efficient Site Offices'!C102*'Data Entry Electricity'!$L84,0)),0)</f>
        <v>0</v>
      </c>
      <c r="D118" s="738">
        <f>IF(AND($A118&gt;='Efficient Site Offices'!D$11,$A118&lt;='Efficient Site Offices'!D$12),IF(D$37='Efficient Site Offices'!$A$19,((100-D$36)/100)*('Efficient Site Offices'!D$19)*'Actual-CO2 Calculations'!$D85,IF('Efficient Site Offices'!D$140&gt;0,((100-D$36)/100)*'Efficient Site Offices'!D102*'Data Entry Electricity'!$L84,0)),0)</f>
        <v>0</v>
      </c>
      <c r="E118" s="738">
        <f>IF(AND($A118&gt;='Efficient Site Offices'!E$11,$A118&lt;='Efficient Site Offices'!E$12),IF(E$37='Efficient Site Offices'!$A$19,((100-E$36)/100)*('Efficient Site Offices'!E$19)*'Actual-CO2 Calculations'!$D85,IF('Efficient Site Offices'!E$140&gt;0,((100-E$36)/100)*'Efficient Site Offices'!E102*'Data Entry Electricity'!$L84,0)),0)</f>
        <v>0</v>
      </c>
      <c r="F118" s="738">
        <f>IF(AND($A118&gt;='Efficient Site Offices'!F$11,$A118&lt;='Efficient Site Offices'!F$12),IF(F$37='Efficient Site Offices'!$A$19,((100-F$36)/100)*('Efficient Site Offices'!F$19)*'Actual-CO2 Calculations'!$D85,IF('Efficient Site Offices'!F$140&gt;0,((100-F$36)/100)*'Efficient Site Offices'!F102*'Data Entry Electricity'!$L84,0)),0)</f>
        <v>0</v>
      </c>
      <c r="H118" s="664">
        <f t="shared" si="1"/>
        <v>0</v>
      </c>
    </row>
    <row r="119" spans="1:8">
      <c r="A119" s="179" t="s">
        <v>88</v>
      </c>
      <c r="B119" s="738">
        <f>IF(AND($A119&gt;='Efficient Site Offices'!B$11,$A119&lt;='Efficient Site Offices'!B$12),IF(B$37='Efficient Site Offices'!$A$19,((100-B$36)/100)*('Efficient Site Offices'!B$19)*'Actual-CO2 Calculations'!$D86,IF('Efficient Site Offices'!B$140&gt;0,((100-B$36)/100)*'Efficient Site Offices'!B103*'Data Entry Electricity'!$L85,0)),0)</f>
        <v>0</v>
      </c>
      <c r="C119" s="738">
        <f>IF(AND($A119&gt;='Efficient Site Offices'!C$11,$A119&lt;='Efficient Site Offices'!C$12),IF(C$37='Efficient Site Offices'!$A$19,((100-C$36)/100)*('Efficient Site Offices'!C$19)*'Actual-CO2 Calculations'!$D86,IF('Efficient Site Offices'!C$140&gt;0,((100-C$36)/100)*'Efficient Site Offices'!C103*'Data Entry Electricity'!$L85,0)),0)</f>
        <v>0</v>
      </c>
      <c r="D119" s="738">
        <f>IF(AND($A119&gt;='Efficient Site Offices'!D$11,$A119&lt;='Efficient Site Offices'!D$12),IF(D$37='Efficient Site Offices'!$A$19,((100-D$36)/100)*('Efficient Site Offices'!D$19)*'Actual-CO2 Calculations'!$D86,IF('Efficient Site Offices'!D$140&gt;0,((100-D$36)/100)*'Efficient Site Offices'!D103*'Data Entry Electricity'!$L85,0)),0)</f>
        <v>0</v>
      </c>
      <c r="E119" s="738">
        <f>IF(AND($A119&gt;='Efficient Site Offices'!E$11,$A119&lt;='Efficient Site Offices'!E$12),IF(E$37='Efficient Site Offices'!$A$19,((100-E$36)/100)*('Efficient Site Offices'!E$19)*'Actual-CO2 Calculations'!$D86,IF('Efficient Site Offices'!E$140&gt;0,((100-E$36)/100)*'Efficient Site Offices'!E103*'Data Entry Electricity'!$L85,0)),0)</f>
        <v>0</v>
      </c>
      <c r="F119" s="738">
        <f>IF(AND($A119&gt;='Efficient Site Offices'!F$11,$A119&lt;='Efficient Site Offices'!F$12),IF(F$37='Efficient Site Offices'!$A$19,((100-F$36)/100)*('Efficient Site Offices'!F$19)*'Actual-CO2 Calculations'!$D86,IF('Efficient Site Offices'!F$140&gt;0,((100-F$36)/100)*'Efficient Site Offices'!F103*'Data Entry Electricity'!$L85,0)),0)</f>
        <v>0</v>
      </c>
      <c r="H119" s="664">
        <f t="shared" si="1"/>
        <v>0</v>
      </c>
    </row>
    <row r="120" spans="1:8">
      <c r="A120" s="179" t="s">
        <v>89</v>
      </c>
      <c r="B120" s="738">
        <f>IF(AND($A120&gt;='Efficient Site Offices'!B$11,$A120&lt;='Efficient Site Offices'!B$12),IF(B$37='Efficient Site Offices'!$A$19,((100-B$36)/100)*('Efficient Site Offices'!B$19)*'Actual-CO2 Calculations'!$D87,IF('Efficient Site Offices'!B$140&gt;0,((100-B$36)/100)*'Efficient Site Offices'!B104*'Data Entry Electricity'!$L86,0)),0)</f>
        <v>0</v>
      </c>
      <c r="C120" s="738">
        <f>IF(AND($A120&gt;='Efficient Site Offices'!C$11,$A120&lt;='Efficient Site Offices'!C$12),IF(C$37='Efficient Site Offices'!$A$19,((100-C$36)/100)*('Efficient Site Offices'!C$19)*'Actual-CO2 Calculations'!$D87,IF('Efficient Site Offices'!C$140&gt;0,((100-C$36)/100)*'Efficient Site Offices'!C104*'Data Entry Electricity'!$L86,0)),0)</f>
        <v>0</v>
      </c>
      <c r="D120" s="738">
        <f>IF(AND($A120&gt;='Efficient Site Offices'!D$11,$A120&lt;='Efficient Site Offices'!D$12),IF(D$37='Efficient Site Offices'!$A$19,((100-D$36)/100)*('Efficient Site Offices'!D$19)*'Actual-CO2 Calculations'!$D87,IF('Efficient Site Offices'!D$140&gt;0,((100-D$36)/100)*'Efficient Site Offices'!D104*'Data Entry Electricity'!$L86,0)),0)</f>
        <v>0</v>
      </c>
      <c r="E120" s="738">
        <f>IF(AND($A120&gt;='Efficient Site Offices'!E$11,$A120&lt;='Efficient Site Offices'!E$12),IF(E$37='Efficient Site Offices'!$A$19,((100-E$36)/100)*('Efficient Site Offices'!E$19)*'Actual-CO2 Calculations'!$D87,IF('Efficient Site Offices'!E$140&gt;0,((100-E$36)/100)*'Efficient Site Offices'!E104*'Data Entry Electricity'!$L86,0)),0)</f>
        <v>0</v>
      </c>
      <c r="F120" s="738">
        <f>IF(AND($A120&gt;='Efficient Site Offices'!F$11,$A120&lt;='Efficient Site Offices'!F$12),IF(F$37='Efficient Site Offices'!$A$19,((100-F$36)/100)*('Efficient Site Offices'!F$19)*'Actual-CO2 Calculations'!$D87,IF('Efficient Site Offices'!F$140&gt;0,((100-F$36)/100)*'Efficient Site Offices'!F104*'Data Entry Electricity'!$L86,0)),0)</f>
        <v>0</v>
      </c>
      <c r="H120" s="664">
        <f t="shared" si="1"/>
        <v>0</v>
      </c>
    </row>
    <row r="121" spans="1:8">
      <c r="A121" s="179" t="s">
        <v>90</v>
      </c>
      <c r="B121" s="738">
        <f>IF(AND($A121&gt;='Efficient Site Offices'!B$11,$A121&lt;='Efficient Site Offices'!B$12),IF(B$37='Efficient Site Offices'!$A$19,((100-B$36)/100)*('Efficient Site Offices'!B$19)*'Actual-CO2 Calculations'!$D88,IF('Efficient Site Offices'!B$140&gt;0,((100-B$36)/100)*'Efficient Site Offices'!B105*'Data Entry Electricity'!$L87,0)),0)</f>
        <v>0</v>
      </c>
      <c r="C121" s="738">
        <f>IF(AND($A121&gt;='Efficient Site Offices'!C$11,$A121&lt;='Efficient Site Offices'!C$12),IF(C$37='Efficient Site Offices'!$A$19,((100-C$36)/100)*('Efficient Site Offices'!C$19)*'Actual-CO2 Calculations'!$D88,IF('Efficient Site Offices'!C$140&gt;0,((100-C$36)/100)*'Efficient Site Offices'!C105*'Data Entry Electricity'!$L87,0)),0)</f>
        <v>0</v>
      </c>
      <c r="D121" s="738">
        <f>IF(AND($A121&gt;='Efficient Site Offices'!D$11,$A121&lt;='Efficient Site Offices'!D$12),IF(D$37='Efficient Site Offices'!$A$19,((100-D$36)/100)*('Efficient Site Offices'!D$19)*'Actual-CO2 Calculations'!$D88,IF('Efficient Site Offices'!D$140&gt;0,((100-D$36)/100)*'Efficient Site Offices'!D105*'Data Entry Electricity'!$L87,0)),0)</f>
        <v>0</v>
      </c>
      <c r="E121" s="738">
        <f>IF(AND($A121&gt;='Efficient Site Offices'!E$11,$A121&lt;='Efficient Site Offices'!E$12),IF(E$37='Efficient Site Offices'!$A$19,((100-E$36)/100)*('Efficient Site Offices'!E$19)*'Actual-CO2 Calculations'!$D88,IF('Efficient Site Offices'!E$140&gt;0,((100-E$36)/100)*'Efficient Site Offices'!E105*'Data Entry Electricity'!$L87,0)),0)</f>
        <v>0</v>
      </c>
      <c r="F121" s="738">
        <f>IF(AND($A121&gt;='Efficient Site Offices'!F$11,$A121&lt;='Efficient Site Offices'!F$12),IF(F$37='Efficient Site Offices'!$A$19,((100-F$36)/100)*('Efficient Site Offices'!F$19)*'Actual-CO2 Calculations'!$D88,IF('Efficient Site Offices'!F$140&gt;0,((100-F$36)/100)*'Efficient Site Offices'!F105*'Data Entry Electricity'!$L87,0)),0)</f>
        <v>0</v>
      </c>
      <c r="H121" s="664">
        <f t="shared" si="1"/>
        <v>0</v>
      </c>
    </row>
    <row r="122" spans="1:8">
      <c r="A122" s="179" t="s">
        <v>91</v>
      </c>
      <c r="B122" s="738">
        <f>IF(AND($A122&gt;='Efficient Site Offices'!B$11,$A122&lt;='Efficient Site Offices'!B$12),IF(B$37='Efficient Site Offices'!$A$19,((100-B$36)/100)*('Efficient Site Offices'!B$19)*'Actual-CO2 Calculations'!$D89,IF('Efficient Site Offices'!B$140&gt;0,((100-B$36)/100)*'Efficient Site Offices'!B106*'Data Entry Electricity'!$L88,0)),0)</f>
        <v>0</v>
      </c>
      <c r="C122" s="738">
        <f>IF(AND($A122&gt;='Efficient Site Offices'!C$11,$A122&lt;='Efficient Site Offices'!C$12),IF(C$37='Efficient Site Offices'!$A$19,((100-C$36)/100)*('Efficient Site Offices'!C$19)*'Actual-CO2 Calculations'!$D89,IF('Efficient Site Offices'!C$140&gt;0,((100-C$36)/100)*'Efficient Site Offices'!C106*'Data Entry Electricity'!$L88,0)),0)</f>
        <v>0</v>
      </c>
      <c r="D122" s="738">
        <f>IF(AND($A122&gt;='Efficient Site Offices'!D$11,$A122&lt;='Efficient Site Offices'!D$12),IF(D$37='Efficient Site Offices'!$A$19,((100-D$36)/100)*('Efficient Site Offices'!D$19)*'Actual-CO2 Calculations'!$D89,IF('Efficient Site Offices'!D$140&gt;0,((100-D$36)/100)*'Efficient Site Offices'!D106*'Data Entry Electricity'!$L88,0)),0)</f>
        <v>0</v>
      </c>
      <c r="E122" s="738">
        <f>IF(AND($A122&gt;='Efficient Site Offices'!E$11,$A122&lt;='Efficient Site Offices'!E$12),IF(E$37='Efficient Site Offices'!$A$19,((100-E$36)/100)*('Efficient Site Offices'!E$19)*'Actual-CO2 Calculations'!$D89,IF('Efficient Site Offices'!E$140&gt;0,((100-E$36)/100)*'Efficient Site Offices'!E106*'Data Entry Electricity'!$L88,0)),0)</f>
        <v>0</v>
      </c>
      <c r="F122" s="738">
        <f>IF(AND($A122&gt;='Efficient Site Offices'!F$11,$A122&lt;='Efficient Site Offices'!F$12),IF(F$37='Efficient Site Offices'!$A$19,((100-F$36)/100)*('Efficient Site Offices'!F$19)*'Actual-CO2 Calculations'!$D89,IF('Efficient Site Offices'!F$140&gt;0,((100-F$36)/100)*'Efficient Site Offices'!F106*'Data Entry Electricity'!$L88,0)),0)</f>
        <v>0</v>
      </c>
      <c r="H122" s="664">
        <f t="shared" si="1"/>
        <v>0</v>
      </c>
    </row>
    <row r="123" spans="1:8">
      <c r="A123" s="179" t="s">
        <v>92</v>
      </c>
      <c r="B123" s="738">
        <f>IF(AND($A123&gt;='Efficient Site Offices'!B$11,$A123&lt;='Efficient Site Offices'!B$12),IF(B$37='Efficient Site Offices'!$A$19,((100-B$36)/100)*('Efficient Site Offices'!B$19)*'Actual-CO2 Calculations'!$D90,IF('Efficient Site Offices'!B$140&gt;0,((100-B$36)/100)*'Efficient Site Offices'!B107*'Data Entry Electricity'!$L89,0)),0)</f>
        <v>0</v>
      </c>
      <c r="C123" s="738">
        <f>IF(AND($A123&gt;='Efficient Site Offices'!C$11,$A123&lt;='Efficient Site Offices'!C$12),IF(C$37='Efficient Site Offices'!$A$19,((100-C$36)/100)*('Efficient Site Offices'!C$19)*'Actual-CO2 Calculations'!$D90,IF('Efficient Site Offices'!C$140&gt;0,((100-C$36)/100)*'Efficient Site Offices'!C107*'Data Entry Electricity'!$L89,0)),0)</f>
        <v>0</v>
      </c>
      <c r="D123" s="738">
        <f>IF(AND($A123&gt;='Efficient Site Offices'!D$11,$A123&lt;='Efficient Site Offices'!D$12),IF(D$37='Efficient Site Offices'!$A$19,((100-D$36)/100)*('Efficient Site Offices'!D$19)*'Actual-CO2 Calculations'!$D90,IF('Efficient Site Offices'!D$140&gt;0,((100-D$36)/100)*'Efficient Site Offices'!D107*'Data Entry Electricity'!$L89,0)),0)</f>
        <v>0</v>
      </c>
      <c r="E123" s="738">
        <f>IF(AND($A123&gt;='Efficient Site Offices'!E$11,$A123&lt;='Efficient Site Offices'!E$12),IF(E$37='Efficient Site Offices'!$A$19,((100-E$36)/100)*('Efficient Site Offices'!E$19)*'Actual-CO2 Calculations'!$D90,IF('Efficient Site Offices'!E$140&gt;0,((100-E$36)/100)*'Efficient Site Offices'!E107*'Data Entry Electricity'!$L89,0)),0)</f>
        <v>0</v>
      </c>
      <c r="F123" s="738">
        <f>IF(AND($A123&gt;='Efficient Site Offices'!F$11,$A123&lt;='Efficient Site Offices'!F$12),IF(F$37='Efficient Site Offices'!$A$19,((100-F$36)/100)*('Efficient Site Offices'!F$19)*'Actual-CO2 Calculations'!$D90,IF('Efficient Site Offices'!F$140&gt;0,((100-F$36)/100)*'Efficient Site Offices'!F107*'Data Entry Electricity'!$L89,0)),0)</f>
        <v>0</v>
      </c>
      <c r="H123" s="664">
        <f t="shared" si="1"/>
        <v>0</v>
      </c>
    </row>
    <row r="124" spans="1:8">
      <c r="A124" s="179" t="s">
        <v>93</v>
      </c>
      <c r="B124" s="738">
        <f>IF(AND($A124&gt;='Efficient Site Offices'!B$11,$A124&lt;='Efficient Site Offices'!B$12),IF(B$37='Efficient Site Offices'!$A$19,((100-B$36)/100)*('Efficient Site Offices'!B$19)*'Actual-CO2 Calculations'!$D91,IF('Efficient Site Offices'!B$140&gt;0,((100-B$36)/100)*'Efficient Site Offices'!B108*'Data Entry Electricity'!$L90,0)),0)</f>
        <v>0</v>
      </c>
      <c r="C124" s="738">
        <f>IF(AND($A124&gt;='Efficient Site Offices'!C$11,$A124&lt;='Efficient Site Offices'!C$12),IF(C$37='Efficient Site Offices'!$A$19,((100-C$36)/100)*('Efficient Site Offices'!C$19)*'Actual-CO2 Calculations'!$D91,IF('Efficient Site Offices'!C$140&gt;0,((100-C$36)/100)*'Efficient Site Offices'!C108*'Data Entry Electricity'!$L90,0)),0)</f>
        <v>0</v>
      </c>
      <c r="D124" s="738">
        <f>IF(AND($A124&gt;='Efficient Site Offices'!D$11,$A124&lt;='Efficient Site Offices'!D$12),IF(D$37='Efficient Site Offices'!$A$19,((100-D$36)/100)*('Efficient Site Offices'!D$19)*'Actual-CO2 Calculations'!$D91,IF('Efficient Site Offices'!D$140&gt;0,((100-D$36)/100)*'Efficient Site Offices'!D108*'Data Entry Electricity'!$L90,0)),0)</f>
        <v>0</v>
      </c>
      <c r="E124" s="738">
        <f>IF(AND($A124&gt;='Efficient Site Offices'!E$11,$A124&lt;='Efficient Site Offices'!E$12),IF(E$37='Efficient Site Offices'!$A$19,((100-E$36)/100)*('Efficient Site Offices'!E$19)*'Actual-CO2 Calculations'!$D91,IF('Efficient Site Offices'!E$140&gt;0,((100-E$36)/100)*'Efficient Site Offices'!E108*'Data Entry Electricity'!$L90,0)),0)</f>
        <v>0</v>
      </c>
      <c r="F124" s="738">
        <f>IF(AND($A124&gt;='Efficient Site Offices'!F$11,$A124&lt;='Efficient Site Offices'!F$12),IF(F$37='Efficient Site Offices'!$A$19,((100-F$36)/100)*('Efficient Site Offices'!F$19)*'Actual-CO2 Calculations'!$D91,IF('Efficient Site Offices'!F$140&gt;0,((100-F$36)/100)*'Efficient Site Offices'!F108*'Data Entry Electricity'!$L90,0)),0)</f>
        <v>0</v>
      </c>
      <c r="H124" s="664">
        <f t="shared" si="1"/>
        <v>0</v>
      </c>
    </row>
    <row r="125" spans="1:8">
      <c r="A125" s="179" t="s">
        <v>20</v>
      </c>
      <c r="B125" s="738">
        <f>IF(AND($A125&gt;='Efficient Site Offices'!B$11,$A125&lt;='Efficient Site Offices'!B$12),IF(B$37='Efficient Site Offices'!$A$19,((100-B$36)/100)*('Efficient Site Offices'!B$19)*'Actual-CO2 Calculations'!$D92,IF('Efficient Site Offices'!B$140&gt;0,((100-B$36)/100)*'Efficient Site Offices'!B109*'Data Entry Electricity'!$L91,0)),0)</f>
        <v>0</v>
      </c>
      <c r="C125" s="738">
        <f>IF(AND($A125&gt;='Efficient Site Offices'!C$11,$A125&lt;='Efficient Site Offices'!C$12),IF(C$37='Efficient Site Offices'!$A$19,((100-C$36)/100)*('Efficient Site Offices'!C$19)*'Actual-CO2 Calculations'!$D92,IF('Efficient Site Offices'!C$140&gt;0,((100-C$36)/100)*'Efficient Site Offices'!C109*'Data Entry Electricity'!$L91,0)),0)</f>
        <v>0</v>
      </c>
      <c r="D125" s="738">
        <f>IF(AND($A125&gt;='Efficient Site Offices'!D$11,$A125&lt;='Efficient Site Offices'!D$12),IF(D$37='Efficient Site Offices'!$A$19,((100-D$36)/100)*('Efficient Site Offices'!D$19)*'Actual-CO2 Calculations'!$D92,IF('Efficient Site Offices'!D$140&gt;0,((100-D$36)/100)*'Efficient Site Offices'!D109*'Data Entry Electricity'!$L91,0)),0)</f>
        <v>0</v>
      </c>
      <c r="E125" s="738">
        <f>IF(AND($A125&gt;='Efficient Site Offices'!E$11,$A125&lt;='Efficient Site Offices'!E$12),IF(E$37='Efficient Site Offices'!$A$19,((100-E$36)/100)*('Efficient Site Offices'!E$19)*'Actual-CO2 Calculations'!$D92,IF('Efficient Site Offices'!E$140&gt;0,((100-E$36)/100)*'Efficient Site Offices'!E109*'Data Entry Electricity'!$L91,0)),0)</f>
        <v>0</v>
      </c>
      <c r="F125" s="738">
        <f>IF(AND($A125&gt;='Efficient Site Offices'!F$11,$A125&lt;='Efficient Site Offices'!F$12),IF(F$37='Efficient Site Offices'!$A$19,((100-F$36)/100)*('Efficient Site Offices'!F$19)*'Actual-CO2 Calculations'!$D92,IF('Efficient Site Offices'!F$140&gt;0,((100-F$36)/100)*'Efficient Site Offices'!F109*'Data Entry Electricity'!$L91,0)),0)</f>
        <v>0</v>
      </c>
      <c r="H125" s="664">
        <f t="shared" si="1"/>
        <v>0</v>
      </c>
    </row>
    <row r="126" spans="1:8">
      <c r="A126" s="179" t="s">
        <v>21</v>
      </c>
      <c r="B126" s="738">
        <f>IF(AND($A126&gt;='Efficient Site Offices'!B$11,$A126&lt;='Efficient Site Offices'!B$12),IF(B$37='Efficient Site Offices'!$A$19,((100-B$36)/100)*('Efficient Site Offices'!B$19)*'Actual-CO2 Calculations'!$D93,IF('Efficient Site Offices'!B$140&gt;0,((100-B$36)/100)*'Efficient Site Offices'!B110*'Data Entry Electricity'!$L92,0)),0)</f>
        <v>0</v>
      </c>
      <c r="C126" s="738">
        <f>IF(AND($A126&gt;='Efficient Site Offices'!C$11,$A126&lt;='Efficient Site Offices'!C$12),IF(C$37='Efficient Site Offices'!$A$19,((100-C$36)/100)*('Efficient Site Offices'!C$19)*'Actual-CO2 Calculations'!$D93,IF('Efficient Site Offices'!C$140&gt;0,((100-C$36)/100)*'Efficient Site Offices'!C110*'Data Entry Electricity'!$L92,0)),0)</f>
        <v>0</v>
      </c>
      <c r="D126" s="738">
        <f>IF(AND($A126&gt;='Efficient Site Offices'!D$11,$A126&lt;='Efficient Site Offices'!D$12),IF(D$37='Efficient Site Offices'!$A$19,((100-D$36)/100)*('Efficient Site Offices'!D$19)*'Actual-CO2 Calculations'!$D93,IF('Efficient Site Offices'!D$140&gt;0,((100-D$36)/100)*'Efficient Site Offices'!D110*'Data Entry Electricity'!$L92,0)),0)</f>
        <v>0</v>
      </c>
      <c r="E126" s="738">
        <f>IF(AND($A126&gt;='Efficient Site Offices'!E$11,$A126&lt;='Efficient Site Offices'!E$12),IF(E$37='Efficient Site Offices'!$A$19,((100-E$36)/100)*('Efficient Site Offices'!E$19)*'Actual-CO2 Calculations'!$D93,IF('Efficient Site Offices'!E$140&gt;0,((100-E$36)/100)*'Efficient Site Offices'!E110*'Data Entry Electricity'!$L92,0)),0)</f>
        <v>0</v>
      </c>
      <c r="F126" s="738">
        <f>IF(AND($A126&gt;='Efficient Site Offices'!F$11,$A126&lt;='Efficient Site Offices'!F$12),IF(F$37='Efficient Site Offices'!$A$19,((100-F$36)/100)*('Efficient Site Offices'!F$19)*'Actual-CO2 Calculations'!$D93,IF('Efficient Site Offices'!F$140&gt;0,((100-F$36)/100)*'Efficient Site Offices'!F110*'Data Entry Electricity'!$L92,0)),0)</f>
        <v>0</v>
      </c>
      <c r="H126" s="664">
        <f t="shared" si="1"/>
        <v>0</v>
      </c>
    </row>
    <row r="127" spans="1:8">
      <c r="A127" s="179" t="s">
        <v>22</v>
      </c>
      <c r="B127" s="738">
        <f>IF(AND($A127&gt;='Efficient Site Offices'!B$11,$A127&lt;='Efficient Site Offices'!B$12),IF(B$37='Efficient Site Offices'!$A$19,((100-B$36)/100)*('Efficient Site Offices'!B$19)*'Actual-CO2 Calculations'!$D94,IF('Efficient Site Offices'!B$140&gt;0,((100-B$36)/100)*'Efficient Site Offices'!B111*'Data Entry Electricity'!$L93,0)),0)</f>
        <v>0</v>
      </c>
      <c r="C127" s="738">
        <f>IF(AND($A127&gt;='Efficient Site Offices'!C$11,$A127&lt;='Efficient Site Offices'!C$12),IF(C$37='Efficient Site Offices'!$A$19,((100-C$36)/100)*('Efficient Site Offices'!C$19)*'Actual-CO2 Calculations'!$D94,IF('Efficient Site Offices'!C$140&gt;0,((100-C$36)/100)*'Efficient Site Offices'!C111*'Data Entry Electricity'!$L93,0)),0)</f>
        <v>0</v>
      </c>
      <c r="D127" s="738">
        <f>IF(AND($A127&gt;='Efficient Site Offices'!D$11,$A127&lt;='Efficient Site Offices'!D$12),IF(D$37='Efficient Site Offices'!$A$19,((100-D$36)/100)*('Efficient Site Offices'!D$19)*'Actual-CO2 Calculations'!$D94,IF('Efficient Site Offices'!D$140&gt;0,((100-D$36)/100)*'Efficient Site Offices'!D111*'Data Entry Electricity'!$L93,0)),0)</f>
        <v>0</v>
      </c>
      <c r="E127" s="738">
        <f>IF(AND($A127&gt;='Efficient Site Offices'!E$11,$A127&lt;='Efficient Site Offices'!E$12),IF(E$37='Efficient Site Offices'!$A$19,((100-E$36)/100)*('Efficient Site Offices'!E$19)*'Actual-CO2 Calculations'!$D94,IF('Efficient Site Offices'!E$140&gt;0,((100-E$36)/100)*'Efficient Site Offices'!E111*'Data Entry Electricity'!$L93,0)),0)</f>
        <v>0</v>
      </c>
      <c r="F127" s="738">
        <f>IF(AND($A127&gt;='Efficient Site Offices'!F$11,$A127&lt;='Efficient Site Offices'!F$12),IF(F$37='Efficient Site Offices'!$A$19,((100-F$36)/100)*('Efficient Site Offices'!F$19)*'Actual-CO2 Calculations'!$D94,IF('Efficient Site Offices'!F$140&gt;0,((100-F$36)/100)*'Efficient Site Offices'!F111*'Data Entry Electricity'!$L93,0)),0)</f>
        <v>0</v>
      </c>
      <c r="H127" s="664">
        <f t="shared" si="1"/>
        <v>0</v>
      </c>
    </row>
    <row r="128" spans="1:8">
      <c r="A128" s="179" t="s">
        <v>23</v>
      </c>
      <c r="B128" s="738">
        <f>IF(AND($A128&gt;='Efficient Site Offices'!B$11,$A128&lt;='Efficient Site Offices'!B$12),IF(B$37='Efficient Site Offices'!$A$19,((100-B$36)/100)*('Efficient Site Offices'!B$19)*'Actual-CO2 Calculations'!$D95,IF('Efficient Site Offices'!B$140&gt;0,((100-B$36)/100)*'Efficient Site Offices'!B112*'Data Entry Electricity'!$L94,0)),0)</f>
        <v>0</v>
      </c>
      <c r="C128" s="738">
        <f>IF(AND($A128&gt;='Efficient Site Offices'!C$11,$A128&lt;='Efficient Site Offices'!C$12),IF(C$37='Efficient Site Offices'!$A$19,((100-C$36)/100)*('Efficient Site Offices'!C$19)*'Actual-CO2 Calculations'!$D95,IF('Efficient Site Offices'!C$140&gt;0,((100-C$36)/100)*'Efficient Site Offices'!C112*'Data Entry Electricity'!$L94,0)),0)</f>
        <v>0</v>
      </c>
      <c r="D128" s="738">
        <f>IF(AND($A128&gt;='Efficient Site Offices'!D$11,$A128&lt;='Efficient Site Offices'!D$12),IF(D$37='Efficient Site Offices'!$A$19,((100-D$36)/100)*('Efficient Site Offices'!D$19)*'Actual-CO2 Calculations'!$D95,IF('Efficient Site Offices'!D$140&gt;0,((100-D$36)/100)*'Efficient Site Offices'!D112*'Data Entry Electricity'!$L94,0)),0)</f>
        <v>0</v>
      </c>
      <c r="E128" s="738">
        <f>IF(AND($A128&gt;='Efficient Site Offices'!E$11,$A128&lt;='Efficient Site Offices'!E$12),IF(E$37='Efficient Site Offices'!$A$19,((100-E$36)/100)*('Efficient Site Offices'!E$19)*'Actual-CO2 Calculations'!$D95,IF('Efficient Site Offices'!E$140&gt;0,((100-E$36)/100)*'Efficient Site Offices'!E112*'Data Entry Electricity'!$L94,0)),0)</f>
        <v>0</v>
      </c>
      <c r="F128" s="738">
        <f>IF(AND($A128&gt;='Efficient Site Offices'!F$11,$A128&lt;='Efficient Site Offices'!F$12),IF(F$37='Efficient Site Offices'!$A$19,((100-F$36)/100)*('Efficient Site Offices'!F$19)*'Actual-CO2 Calculations'!$D95,IF('Efficient Site Offices'!F$140&gt;0,((100-F$36)/100)*'Efficient Site Offices'!F112*'Data Entry Electricity'!$L94,0)),0)</f>
        <v>0</v>
      </c>
      <c r="H128" s="664">
        <f t="shared" si="1"/>
        <v>0</v>
      </c>
    </row>
    <row r="129" spans="1:8" s="179" customFormat="1">
      <c r="A129" s="179" t="s">
        <v>974</v>
      </c>
      <c r="B129" s="738">
        <f>IF(AND($A129&gt;='Efficient Site Offices'!B$11,$A129&lt;='Efficient Site Offices'!B$12),IF(B$37='Efficient Site Offices'!$A$19,((100-B$36)/100)*('Efficient Site Offices'!B$19)*'Actual-CO2 Calculations'!$D96,IF('Efficient Site Offices'!B$140&gt;0,((100-B$36)/100)*'Efficient Site Offices'!B113*'Data Entry Electricity'!$L95,0)),0)</f>
        <v>0</v>
      </c>
      <c r="C129" s="738">
        <f>IF(AND($A129&gt;='Efficient Site Offices'!C$11,$A129&lt;='Efficient Site Offices'!C$12),IF(C$37='Efficient Site Offices'!$A$19,((100-C$36)/100)*('Efficient Site Offices'!C$19)*'Actual-CO2 Calculations'!$D96,IF('Efficient Site Offices'!C$140&gt;0,((100-C$36)/100)*'Efficient Site Offices'!C113*'Data Entry Electricity'!$L95,0)),0)</f>
        <v>0</v>
      </c>
      <c r="D129" s="738">
        <f>IF(AND($A129&gt;='Efficient Site Offices'!D$11,$A129&lt;='Efficient Site Offices'!D$12),IF(D$37='Efficient Site Offices'!$A$19,((100-D$36)/100)*('Efficient Site Offices'!D$19)*'Actual-CO2 Calculations'!$D96,IF('Efficient Site Offices'!D$140&gt;0,((100-D$36)/100)*'Efficient Site Offices'!D113*'Data Entry Electricity'!$L95,0)),0)</f>
        <v>0</v>
      </c>
      <c r="E129" s="738">
        <f>IF(AND($A129&gt;='Efficient Site Offices'!E$11,$A129&lt;='Efficient Site Offices'!E$12),IF(E$37='Efficient Site Offices'!$A$19,((100-E$36)/100)*('Efficient Site Offices'!E$19)*'Actual-CO2 Calculations'!$D96,IF('Efficient Site Offices'!E$140&gt;0,((100-E$36)/100)*'Efficient Site Offices'!E113*'Data Entry Electricity'!$L95,0)),0)</f>
        <v>0</v>
      </c>
      <c r="F129" s="738">
        <f>IF(AND($A129&gt;='Efficient Site Offices'!F$11,$A129&lt;='Efficient Site Offices'!F$12),IF(F$37='Efficient Site Offices'!$A$19,((100-F$36)/100)*('Efficient Site Offices'!F$19)*'Actual-CO2 Calculations'!$D96,IF('Efficient Site Offices'!F$140&gt;0,((100-F$36)/100)*'Efficient Site Offices'!F113*'Data Entry Electricity'!$L95,0)),0)</f>
        <v>0</v>
      </c>
      <c r="H129" s="664">
        <f t="shared" si="1"/>
        <v>0</v>
      </c>
    </row>
    <row r="130" spans="1:8" s="179" customFormat="1">
      <c r="A130" s="179" t="s">
        <v>975</v>
      </c>
      <c r="B130" s="738">
        <f>IF(AND($A130&gt;='Efficient Site Offices'!B$11,$A130&lt;='Efficient Site Offices'!B$12),IF(B$37='Efficient Site Offices'!$A$19,((100-B$36)/100)*('Efficient Site Offices'!B$19)*'Actual-CO2 Calculations'!$D97,IF('Efficient Site Offices'!B$140&gt;0,((100-B$36)/100)*'Efficient Site Offices'!B114*'Data Entry Electricity'!$L96,0)),0)</f>
        <v>0</v>
      </c>
      <c r="C130" s="738">
        <f>IF(AND($A130&gt;='Efficient Site Offices'!C$11,$A130&lt;='Efficient Site Offices'!C$12),IF(C$37='Efficient Site Offices'!$A$19,((100-C$36)/100)*('Efficient Site Offices'!C$19)*'Actual-CO2 Calculations'!$D97,IF('Efficient Site Offices'!C$140&gt;0,((100-C$36)/100)*'Efficient Site Offices'!C114*'Data Entry Electricity'!$L96,0)),0)</f>
        <v>0</v>
      </c>
      <c r="D130" s="738">
        <f>IF(AND($A130&gt;='Efficient Site Offices'!D$11,$A130&lt;='Efficient Site Offices'!D$12),IF(D$37='Efficient Site Offices'!$A$19,((100-D$36)/100)*('Efficient Site Offices'!D$19)*'Actual-CO2 Calculations'!$D97,IF('Efficient Site Offices'!D$140&gt;0,((100-D$36)/100)*'Efficient Site Offices'!D114*'Data Entry Electricity'!$L96,0)),0)</f>
        <v>0</v>
      </c>
      <c r="E130" s="738">
        <f>IF(AND($A130&gt;='Efficient Site Offices'!E$11,$A130&lt;='Efficient Site Offices'!E$12),IF(E$37='Efficient Site Offices'!$A$19,((100-E$36)/100)*('Efficient Site Offices'!E$19)*'Actual-CO2 Calculations'!$D97,IF('Efficient Site Offices'!E$140&gt;0,((100-E$36)/100)*'Efficient Site Offices'!E114*'Data Entry Electricity'!$L96,0)),0)</f>
        <v>0</v>
      </c>
      <c r="F130" s="738">
        <f>IF(AND($A130&gt;='Efficient Site Offices'!F$11,$A130&lt;='Efficient Site Offices'!F$12),IF(F$37='Efficient Site Offices'!$A$19,((100-F$36)/100)*('Efficient Site Offices'!F$19)*'Actual-CO2 Calculations'!$D97,IF('Efficient Site Offices'!F$140&gt;0,((100-F$36)/100)*'Efficient Site Offices'!F114*'Data Entry Electricity'!$L96,0)),0)</f>
        <v>0</v>
      </c>
      <c r="H130" s="664">
        <f t="shared" si="1"/>
        <v>0</v>
      </c>
    </row>
    <row r="131" spans="1:8" s="179" customFormat="1">
      <c r="A131" s="179" t="s">
        <v>976</v>
      </c>
      <c r="B131" s="738">
        <f>IF(AND($A131&gt;='Efficient Site Offices'!B$11,$A131&lt;='Efficient Site Offices'!B$12),IF(B$37='Efficient Site Offices'!$A$19,((100-B$36)/100)*('Efficient Site Offices'!B$19)*'Actual-CO2 Calculations'!$D98,IF('Efficient Site Offices'!B$140&gt;0,((100-B$36)/100)*'Efficient Site Offices'!B115*'Data Entry Electricity'!$L97,0)),0)</f>
        <v>0</v>
      </c>
      <c r="C131" s="738">
        <f>IF(AND($A131&gt;='Efficient Site Offices'!C$11,$A131&lt;='Efficient Site Offices'!C$12),IF(C$37='Efficient Site Offices'!$A$19,((100-C$36)/100)*('Efficient Site Offices'!C$19)*'Actual-CO2 Calculations'!$D98,IF('Efficient Site Offices'!C$140&gt;0,((100-C$36)/100)*'Efficient Site Offices'!C115*'Data Entry Electricity'!$L97,0)),0)</f>
        <v>0</v>
      </c>
      <c r="D131" s="738">
        <f>IF(AND($A131&gt;='Efficient Site Offices'!D$11,$A131&lt;='Efficient Site Offices'!D$12),IF(D$37='Efficient Site Offices'!$A$19,((100-D$36)/100)*('Efficient Site Offices'!D$19)*'Actual-CO2 Calculations'!$D98,IF('Efficient Site Offices'!D$140&gt;0,((100-D$36)/100)*'Efficient Site Offices'!D115*'Data Entry Electricity'!$L97,0)),0)</f>
        <v>0</v>
      </c>
      <c r="E131" s="738">
        <f>IF(AND($A131&gt;='Efficient Site Offices'!E$11,$A131&lt;='Efficient Site Offices'!E$12),IF(E$37='Efficient Site Offices'!$A$19,((100-E$36)/100)*('Efficient Site Offices'!E$19)*'Actual-CO2 Calculations'!$D98,IF('Efficient Site Offices'!E$140&gt;0,((100-E$36)/100)*'Efficient Site Offices'!E115*'Data Entry Electricity'!$L97,0)),0)</f>
        <v>0</v>
      </c>
      <c r="F131" s="738">
        <f>IF(AND($A131&gt;='Efficient Site Offices'!F$11,$A131&lt;='Efficient Site Offices'!F$12),IF(F$37='Efficient Site Offices'!$A$19,((100-F$36)/100)*('Efficient Site Offices'!F$19)*'Actual-CO2 Calculations'!$D98,IF('Efficient Site Offices'!F$140&gt;0,((100-F$36)/100)*'Efficient Site Offices'!F115*'Data Entry Electricity'!$L97,0)),0)</f>
        <v>0</v>
      </c>
      <c r="H131" s="664">
        <f t="shared" si="1"/>
        <v>0</v>
      </c>
    </row>
    <row r="132" spans="1:8" s="179" customFormat="1">
      <c r="A132" s="179" t="s">
        <v>977</v>
      </c>
      <c r="B132" s="738">
        <f>IF(AND($A132&gt;='Efficient Site Offices'!B$11,$A132&lt;='Efficient Site Offices'!B$12),IF(B$37='Efficient Site Offices'!$A$19,((100-B$36)/100)*('Efficient Site Offices'!B$19)*'Actual-CO2 Calculations'!$D99,IF('Efficient Site Offices'!B$140&gt;0,((100-B$36)/100)*'Efficient Site Offices'!B116*'Data Entry Electricity'!$L98,0)),0)</f>
        <v>0</v>
      </c>
      <c r="C132" s="738">
        <f>IF(AND($A132&gt;='Efficient Site Offices'!C$11,$A132&lt;='Efficient Site Offices'!C$12),IF(C$37='Efficient Site Offices'!$A$19,((100-C$36)/100)*('Efficient Site Offices'!C$19)*'Actual-CO2 Calculations'!$D99,IF('Efficient Site Offices'!C$140&gt;0,((100-C$36)/100)*'Efficient Site Offices'!C116*'Data Entry Electricity'!$L98,0)),0)</f>
        <v>0</v>
      </c>
      <c r="D132" s="738">
        <f>IF(AND($A132&gt;='Efficient Site Offices'!D$11,$A132&lt;='Efficient Site Offices'!D$12),IF(D$37='Efficient Site Offices'!$A$19,((100-D$36)/100)*('Efficient Site Offices'!D$19)*'Actual-CO2 Calculations'!$D99,IF('Efficient Site Offices'!D$140&gt;0,((100-D$36)/100)*'Efficient Site Offices'!D116*'Data Entry Electricity'!$L98,0)),0)</f>
        <v>0</v>
      </c>
      <c r="E132" s="738">
        <f>IF(AND($A132&gt;='Efficient Site Offices'!E$11,$A132&lt;='Efficient Site Offices'!E$12),IF(E$37='Efficient Site Offices'!$A$19,((100-E$36)/100)*('Efficient Site Offices'!E$19)*'Actual-CO2 Calculations'!$D99,IF('Efficient Site Offices'!E$140&gt;0,((100-E$36)/100)*'Efficient Site Offices'!E116*'Data Entry Electricity'!$L98,0)),0)</f>
        <v>0</v>
      </c>
      <c r="F132" s="738">
        <f>IF(AND($A132&gt;='Efficient Site Offices'!F$11,$A132&lt;='Efficient Site Offices'!F$12),IF(F$37='Efficient Site Offices'!$A$19,((100-F$36)/100)*('Efficient Site Offices'!F$19)*'Actual-CO2 Calculations'!$D99,IF('Efficient Site Offices'!F$140&gt;0,((100-F$36)/100)*'Efficient Site Offices'!F116*'Data Entry Electricity'!$L98,0)),0)</f>
        <v>0</v>
      </c>
      <c r="H132" s="664">
        <f t="shared" si="1"/>
        <v>0</v>
      </c>
    </row>
    <row r="133" spans="1:8" s="179" customFormat="1">
      <c r="A133" s="179" t="s">
        <v>978</v>
      </c>
      <c r="B133" s="738">
        <f>IF(AND($A133&gt;='Efficient Site Offices'!B$11,$A133&lt;='Efficient Site Offices'!B$12),IF(B$37='Efficient Site Offices'!$A$19,((100-B$36)/100)*('Efficient Site Offices'!B$19)*'Actual-CO2 Calculations'!$D100,IF('Efficient Site Offices'!B$140&gt;0,((100-B$36)/100)*'Efficient Site Offices'!B117*'Data Entry Electricity'!$L99,0)),0)</f>
        <v>0</v>
      </c>
      <c r="C133" s="738">
        <f>IF(AND($A133&gt;='Efficient Site Offices'!C$11,$A133&lt;='Efficient Site Offices'!C$12),IF(C$37='Efficient Site Offices'!$A$19,((100-C$36)/100)*('Efficient Site Offices'!C$19)*'Actual-CO2 Calculations'!$D100,IF('Efficient Site Offices'!C$140&gt;0,((100-C$36)/100)*'Efficient Site Offices'!C117*'Data Entry Electricity'!$L99,0)),0)</f>
        <v>0</v>
      </c>
      <c r="D133" s="738">
        <f>IF(AND($A133&gt;='Efficient Site Offices'!D$11,$A133&lt;='Efficient Site Offices'!D$12),IF(D$37='Efficient Site Offices'!$A$19,((100-D$36)/100)*('Efficient Site Offices'!D$19)*'Actual-CO2 Calculations'!$D100,IF('Efficient Site Offices'!D$140&gt;0,((100-D$36)/100)*'Efficient Site Offices'!D117*'Data Entry Electricity'!$L99,0)),0)</f>
        <v>0</v>
      </c>
      <c r="E133" s="738">
        <f>IF(AND($A133&gt;='Efficient Site Offices'!E$11,$A133&lt;='Efficient Site Offices'!E$12),IF(E$37='Efficient Site Offices'!$A$19,((100-E$36)/100)*('Efficient Site Offices'!E$19)*'Actual-CO2 Calculations'!$D100,IF('Efficient Site Offices'!E$140&gt;0,((100-E$36)/100)*'Efficient Site Offices'!E117*'Data Entry Electricity'!$L99,0)),0)</f>
        <v>0</v>
      </c>
      <c r="F133" s="738">
        <f>IF(AND($A133&gt;='Efficient Site Offices'!F$11,$A133&lt;='Efficient Site Offices'!F$12),IF(F$37='Efficient Site Offices'!$A$19,((100-F$36)/100)*('Efficient Site Offices'!F$19)*'Actual-CO2 Calculations'!$D100,IF('Efficient Site Offices'!F$140&gt;0,((100-F$36)/100)*'Efficient Site Offices'!F117*'Data Entry Electricity'!$L99,0)),0)</f>
        <v>0</v>
      </c>
      <c r="H133" s="664">
        <f t="shared" si="1"/>
        <v>0</v>
      </c>
    </row>
    <row r="134" spans="1:8" s="179" customFormat="1">
      <c r="A134" s="179" t="s">
        <v>979</v>
      </c>
      <c r="B134" s="738">
        <f>IF(AND($A134&gt;='Efficient Site Offices'!B$11,$A134&lt;='Efficient Site Offices'!B$12),IF(B$37='Efficient Site Offices'!$A$19,((100-B$36)/100)*('Efficient Site Offices'!B$19)*'Actual-CO2 Calculations'!$D101,IF('Efficient Site Offices'!B$140&gt;0,((100-B$36)/100)*'Efficient Site Offices'!B118*'Data Entry Electricity'!$L100,0)),0)</f>
        <v>0</v>
      </c>
      <c r="C134" s="738">
        <f>IF(AND($A134&gt;='Efficient Site Offices'!C$11,$A134&lt;='Efficient Site Offices'!C$12),IF(C$37='Efficient Site Offices'!$A$19,((100-C$36)/100)*('Efficient Site Offices'!C$19)*'Actual-CO2 Calculations'!$D101,IF('Efficient Site Offices'!C$140&gt;0,((100-C$36)/100)*'Efficient Site Offices'!C118*'Data Entry Electricity'!$L100,0)),0)</f>
        <v>0</v>
      </c>
      <c r="D134" s="738">
        <f>IF(AND($A134&gt;='Efficient Site Offices'!D$11,$A134&lt;='Efficient Site Offices'!D$12),IF(D$37='Efficient Site Offices'!$A$19,((100-D$36)/100)*('Efficient Site Offices'!D$19)*'Actual-CO2 Calculations'!$D101,IF('Efficient Site Offices'!D$140&gt;0,((100-D$36)/100)*'Efficient Site Offices'!D118*'Data Entry Electricity'!$L100,0)),0)</f>
        <v>0</v>
      </c>
      <c r="E134" s="738">
        <f>IF(AND($A134&gt;='Efficient Site Offices'!E$11,$A134&lt;='Efficient Site Offices'!E$12),IF(E$37='Efficient Site Offices'!$A$19,((100-E$36)/100)*('Efficient Site Offices'!E$19)*'Actual-CO2 Calculations'!$D101,IF('Efficient Site Offices'!E$140&gt;0,((100-E$36)/100)*'Efficient Site Offices'!E118*'Data Entry Electricity'!$L100,0)),0)</f>
        <v>0</v>
      </c>
      <c r="F134" s="738">
        <f>IF(AND($A134&gt;='Efficient Site Offices'!F$11,$A134&lt;='Efficient Site Offices'!F$12),IF(F$37='Efficient Site Offices'!$A$19,((100-F$36)/100)*('Efficient Site Offices'!F$19)*'Actual-CO2 Calculations'!$D101,IF('Efficient Site Offices'!F$140&gt;0,((100-F$36)/100)*'Efficient Site Offices'!F118*'Data Entry Electricity'!$L100,0)),0)</f>
        <v>0</v>
      </c>
      <c r="H134" s="664">
        <f t="shared" si="1"/>
        <v>0</v>
      </c>
    </row>
    <row r="135" spans="1:8" s="179" customFormat="1">
      <c r="A135" s="179" t="s">
        <v>980</v>
      </c>
      <c r="B135" s="738">
        <f>IF(AND($A135&gt;='Efficient Site Offices'!B$11,$A135&lt;='Efficient Site Offices'!B$12),IF(B$37='Efficient Site Offices'!$A$19,((100-B$36)/100)*('Efficient Site Offices'!B$19)*'Actual-CO2 Calculations'!$D102,IF('Efficient Site Offices'!B$140&gt;0,((100-B$36)/100)*'Efficient Site Offices'!B119*'Data Entry Electricity'!$L101,0)),0)</f>
        <v>0</v>
      </c>
      <c r="C135" s="738">
        <f>IF(AND($A135&gt;='Efficient Site Offices'!C$11,$A135&lt;='Efficient Site Offices'!C$12),IF(C$37='Efficient Site Offices'!$A$19,((100-C$36)/100)*('Efficient Site Offices'!C$19)*'Actual-CO2 Calculations'!$D102,IF('Efficient Site Offices'!C$140&gt;0,((100-C$36)/100)*'Efficient Site Offices'!C119*'Data Entry Electricity'!$L101,0)),0)</f>
        <v>0</v>
      </c>
      <c r="D135" s="738">
        <f>IF(AND($A135&gt;='Efficient Site Offices'!D$11,$A135&lt;='Efficient Site Offices'!D$12),IF(D$37='Efficient Site Offices'!$A$19,((100-D$36)/100)*('Efficient Site Offices'!D$19)*'Actual-CO2 Calculations'!$D102,IF('Efficient Site Offices'!D$140&gt;0,((100-D$36)/100)*'Efficient Site Offices'!D119*'Data Entry Electricity'!$L101,0)),0)</f>
        <v>0</v>
      </c>
      <c r="E135" s="738">
        <f>IF(AND($A135&gt;='Efficient Site Offices'!E$11,$A135&lt;='Efficient Site Offices'!E$12),IF(E$37='Efficient Site Offices'!$A$19,((100-E$36)/100)*('Efficient Site Offices'!E$19)*'Actual-CO2 Calculations'!$D102,IF('Efficient Site Offices'!E$140&gt;0,((100-E$36)/100)*'Efficient Site Offices'!E119*'Data Entry Electricity'!$L101,0)),0)</f>
        <v>0</v>
      </c>
      <c r="F135" s="738">
        <f>IF(AND($A135&gt;='Efficient Site Offices'!F$11,$A135&lt;='Efficient Site Offices'!F$12),IF(F$37='Efficient Site Offices'!$A$19,((100-F$36)/100)*('Efficient Site Offices'!F$19)*'Actual-CO2 Calculations'!$D102,IF('Efficient Site Offices'!F$140&gt;0,((100-F$36)/100)*'Efficient Site Offices'!F119*'Data Entry Electricity'!$L101,0)),0)</f>
        <v>0</v>
      </c>
      <c r="H135" s="664">
        <f t="shared" si="1"/>
        <v>0</v>
      </c>
    </row>
    <row r="136" spans="1:8" s="179" customFormat="1">
      <c r="A136" s="179" t="s">
        <v>981</v>
      </c>
      <c r="B136" s="738">
        <f>IF(AND($A136&gt;='Efficient Site Offices'!B$11,$A136&lt;='Efficient Site Offices'!B$12),IF(B$37='Efficient Site Offices'!$A$19,((100-B$36)/100)*('Efficient Site Offices'!B$19)*'Actual-CO2 Calculations'!$D103,IF('Efficient Site Offices'!B$140&gt;0,((100-B$36)/100)*'Efficient Site Offices'!B120*'Data Entry Electricity'!$L102,0)),0)</f>
        <v>0</v>
      </c>
      <c r="C136" s="738">
        <f>IF(AND($A136&gt;='Efficient Site Offices'!C$11,$A136&lt;='Efficient Site Offices'!C$12),IF(C$37='Efficient Site Offices'!$A$19,((100-C$36)/100)*('Efficient Site Offices'!C$19)*'Actual-CO2 Calculations'!$D103,IF('Efficient Site Offices'!C$140&gt;0,((100-C$36)/100)*'Efficient Site Offices'!C120*'Data Entry Electricity'!$L102,0)),0)</f>
        <v>0</v>
      </c>
      <c r="D136" s="738">
        <f>IF(AND($A136&gt;='Efficient Site Offices'!D$11,$A136&lt;='Efficient Site Offices'!D$12),IF(D$37='Efficient Site Offices'!$A$19,((100-D$36)/100)*('Efficient Site Offices'!D$19)*'Actual-CO2 Calculations'!$D103,IF('Efficient Site Offices'!D$140&gt;0,((100-D$36)/100)*'Efficient Site Offices'!D120*'Data Entry Electricity'!$L102,0)),0)</f>
        <v>0</v>
      </c>
      <c r="E136" s="738">
        <f>IF(AND($A136&gt;='Efficient Site Offices'!E$11,$A136&lt;='Efficient Site Offices'!E$12),IF(E$37='Efficient Site Offices'!$A$19,((100-E$36)/100)*('Efficient Site Offices'!E$19)*'Actual-CO2 Calculations'!$D103,IF('Efficient Site Offices'!E$140&gt;0,((100-E$36)/100)*'Efficient Site Offices'!E120*'Data Entry Electricity'!$L102,0)),0)</f>
        <v>0</v>
      </c>
      <c r="F136" s="738">
        <f>IF(AND($A136&gt;='Efficient Site Offices'!F$11,$A136&lt;='Efficient Site Offices'!F$12),IF(F$37='Efficient Site Offices'!$A$19,((100-F$36)/100)*('Efficient Site Offices'!F$19)*'Actual-CO2 Calculations'!$D103,IF('Efficient Site Offices'!F$140&gt;0,((100-F$36)/100)*'Efficient Site Offices'!F120*'Data Entry Electricity'!$L102,0)),0)</f>
        <v>0</v>
      </c>
      <c r="H136" s="664">
        <f t="shared" si="1"/>
        <v>0</v>
      </c>
    </row>
    <row r="137" spans="1:8" s="179" customFormat="1">
      <c r="A137" s="179" t="s">
        <v>982</v>
      </c>
      <c r="B137" s="738">
        <f>IF(AND($A137&gt;='Efficient Site Offices'!B$11,$A137&lt;='Efficient Site Offices'!B$12),IF(B$37='Efficient Site Offices'!$A$19,((100-B$36)/100)*('Efficient Site Offices'!B$19)*'Actual-CO2 Calculations'!$D104,IF('Efficient Site Offices'!B$140&gt;0,((100-B$36)/100)*'Efficient Site Offices'!B121*'Data Entry Electricity'!$L103,0)),0)</f>
        <v>0</v>
      </c>
      <c r="C137" s="738">
        <f>IF(AND($A137&gt;='Efficient Site Offices'!C$11,$A137&lt;='Efficient Site Offices'!C$12),IF(C$37='Efficient Site Offices'!$A$19,((100-C$36)/100)*('Efficient Site Offices'!C$19)*'Actual-CO2 Calculations'!$D104,IF('Efficient Site Offices'!C$140&gt;0,((100-C$36)/100)*'Efficient Site Offices'!C121*'Data Entry Electricity'!$L103,0)),0)</f>
        <v>0</v>
      </c>
      <c r="D137" s="738">
        <f>IF(AND($A137&gt;='Efficient Site Offices'!D$11,$A137&lt;='Efficient Site Offices'!D$12),IF(D$37='Efficient Site Offices'!$A$19,((100-D$36)/100)*('Efficient Site Offices'!D$19)*'Actual-CO2 Calculations'!$D104,IF('Efficient Site Offices'!D$140&gt;0,((100-D$36)/100)*'Efficient Site Offices'!D121*'Data Entry Electricity'!$L103,0)),0)</f>
        <v>0</v>
      </c>
      <c r="E137" s="738">
        <f>IF(AND($A137&gt;='Efficient Site Offices'!E$11,$A137&lt;='Efficient Site Offices'!E$12),IF(E$37='Efficient Site Offices'!$A$19,((100-E$36)/100)*('Efficient Site Offices'!E$19)*'Actual-CO2 Calculations'!$D104,IF('Efficient Site Offices'!E$140&gt;0,((100-E$36)/100)*'Efficient Site Offices'!E121*'Data Entry Electricity'!$L103,0)),0)</f>
        <v>0</v>
      </c>
      <c r="F137" s="738">
        <f>IF(AND($A137&gt;='Efficient Site Offices'!F$11,$A137&lt;='Efficient Site Offices'!F$12),IF(F$37='Efficient Site Offices'!$A$19,((100-F$36)/100)*('Efficient Site Offices'!F$19)*'Actual-CO2 Calculations'!$D104,IF('Efficient Site Offices'!F$140&gt;0,((100-F$36)/100)*'Efficient Site Offices'!F121*'Data Entry Electricity'!$L103,0)),0)</f>
        <v>0</v>
      </c>
      <c r="H137" s="664">
        <f t="shared" si="1"/>
        <v>0</v>
      </c>
    </row>
    <row r="138" spans="1:8" s="179" customFormat="1">
      <c r="A138" s="179" t="s">
        <v>983</v>
      </c>
      <c r="B138" s="738">
        <f>IF(AND($A138&gt;='Efficient Site Offices'!B$11,$A138&lt;='Efficient Site Offices'!B$12),IF(B$37='Efficient Site Offices'!$A$19,((100-B$36)/100)*('Efficient Site Offices'!B$19)*'Actual-CO2 Calculations'!$D105,IF('Efficient Site Offices'!B$140&gt;0,((100-B$36)/100)*'Efficient Site Offices'!B122*'Data Entry Electricity'!$L104,0)),0)</f>
        <v>0</v>
      </c>
      <c r="C138" s="738">
        <f>IF(AND($A138&gt;='Efficient Site Offices'!C$11,$A138&lt;='Efficient Site Offices'!C$12),IF(C$37='Efficient Site Offices'!$A$19,((100-C$36)/100)*('Efficient Site Offices'!C$19)*'Actual-CO2 Calculations'!$D105,IF('Efficient Site Offices'!C$140&gt;0,((100-C$36)/100)*'Efficient Site Offices'!C122*'Data Entry Electricity'!$L104,0)),0)</f>
        <v>0</v>
      </c>
      <c r="D138" s="738">
        <f>IF(AND($A138&gt;='Efficient Site Offices'!D$11,$A138&lt;='Efficient Site Offices'!D$12),IF(D$37='Efficient Site Offices'!$A$19,((100-D$36)/100)*('Efficient Site Offices'!D$19)*'Actual-CO2 Calculations'!$D105,IF('Efficient Site Offices'!D$140&gt;0,((100-D$36)/100)*'Efficient Site Offices'!D122*'Data Entry Electricity'!$L104,0)),0)</f>
        <v>0</v>
      </c>
      <c r="E138" s="738">
        <f>IF(AND($A138&gt;='Efficient Site Offices'!E$11,$A138&lt;='Efficient Site Offices'!E$12),IF(E$37='Efficient Site Offices'!$A$19,((100-E$36)/100)*('Efficient Site Offices'!E$19)*'Actual-CO2 Calculations'!$D105,IF('Efficient Site Offices'!E$140&gt;0,((100-E$36)/100)*'Efficient Site Offices'!E122*'Data Entry Electricity'!$L104,0)),0)</f>
        <v>0</v>
      </c>
      <c r="F138" s="738">
        <f>IF(AND($A138&gt;='Efficient Site Offices'!F$11,$A138&lt;='Efficient Site Offices'!F$12),IF(F$37='Efficient Site Offices'!$A$19,((100-F$36)/100)*('Efficient Site Offices'!F$19)*'Actual-CO2 Calculations'!$D105,IF('Efficient Site Offices'!F$140&gt;0,((100-F$36)/100)*'Efficient Site Offices'!F122*'Data Entry Electricity'!$L104,0)),0)</f>
        <v>0</v>
      </c>
      <c r="H138" s="664">
        <f t="shared" si="1"/>
        <v>0</v>
      </c>
    </row>
    <row r="139" spans="1:8" s="179" customFormat="1">
      <c r="A139" s="179" t="s">
        <v>984</v>
      </c>
      <c r="B139" s="738">
        <f>IF(AND($A139&gt;='Efficient Site Offices'!B$11,$A139&lt;='Efficient Site Offices'!B$12),IF(B$37='Efficient Site Offices'!$A$19,((100-B$36)/100)*('Efficient Site Offices'!B$19)*'Actual-CO2 Calculations'!$D106,IF('Efficient Site Offices'!B$140&gt;0,((100-B$36)/100)*'Efficient Site Offices'!B123*'Data Entry Electricity'!$L105,0)),0)</f>
        <v>0</v>
      </c>
      <c r="C139" s="738">
        <f>IF(AND($A139&gt;='Efficient Site Offices'!C$11,$A139&lt;='Efficient Site Offices'!C$12),IF(C$37='Efficient Site Offices'!$A$19,((100-C$36)/100)*('Efficient Site Offices'!C$19)*'Actual-CO2 Calculations'!$D106,IF('Efficient Site Offices'!C$140&gt;0,((100-C$36)/100)*'Efficient Site Offices'!C123*'Data Entry Electricity'!$L105,0)),0)</f>
        <v>0</v>
      </c>
      <c r="D139" s="738">
        <f>IF(AND($A139&gt;='Efficient Site Offices'!D$11,$A139&lt;='Efficient Site Offices'!D$12),IF(D$37='Efficient Site Offices'!$A$19,((100-D$36)/100)*('Efficient Site Offices'!D$19)*'Actual-CO2 Calculations'!$D106,IF('Efficient Site Offices'!D$140&gt;0,((100-D$36)/100)*'Efficient Site Offices'!D123*'Data Entry Electricity'!$L105,0)),0)</f>
        <v>0</v>
      </c>
      <c r="E139" s="738">
        <f>IF(AND($A139&gt;='Efficient Site Offices'!E$11,$A139&lt;='Efficient Site Offices'!E$12),IF(E$37='Efficient Site Offices'!$A$19,((100-E$36)/100)*('Efficient Site Offices'!E$19)*'Actual-CO2 Calculations'!$D106,IF('Efficient Site Offices'!E$140&gt;0,((100-E$36)/100)*'Efficient Site Offices'!E123*'Data Entry Electricity'!$L105,0)),0)</f>
        <v>0</v>
      </c>
      <c r="F139" s="738">
        <f>IF(AND($A139&gt;='Efficient Site Offices'!F$11,$A139&lt;='Efficient Site Offices'!F$12),IF(F$37='Efficient Site Offices'!$A$19,((100-F$36)/100)*('Efficient Site Offices'!F$19)*'Actual-CO2 Calculations'!$D106,IF('Efficient Site Offices'!F$140&gt;0,((100-F$36)/100)*'Efficient Site Offices'!F123*'Data Entry Electricity'!$L105,0)),0)</f>
        <v>0</v>
      </c>
      <c r="H139" s="664">
        <f t="shared" si="1"/>
        <v>0</v>
      </c>
    </row>
    <row r="140" spans="1:8" s="179" customFormat="1">
      <c r="A140" s="179" t="s">
        <v>985</v>
      </c>
      <c r="B140" s="738">
        <f>IF(AND($A140&gt;='Efficient Site Offices'!B$11,$A140&lt;='Efficient Site Offices'!B$12),IF(B$37='Efficient Site Offices'!$A$19,((100-B$36)/100)*('Efficient Site Offices'!B$19)*'Actual-CO2 Calculations'!$D107,IF('Efficient Site Offices'!B$140&gt;0,((100-B$36)/100)*'Efficient Site Offices'!B124*'Data Entry Electricity'!$L106,0)),0)</f>
        <v>0</v>
      </c>
      <c r="C140" s="738">
        <f>IF(AND($A140&gt;='Efficient Site Offices'!C$11,$A140&lt;='Efficient Site Offices'!C$12),IF(C$37='Efficient Site Offices'!$A$19,((100-C$36)/100)*('Efficient Site Offices'!C$19)*'Actual-CO2 Calculations'!$D107,IF('Efficient Site Offices'!C$140&gt;0,((100-C$36)/100)*'Efficient Site Offices'!C124*'Data Entry Electricity'!$L106,0)),0)</f>
        <v>0</v>
      </c>
      <c r="D140" s="738">
        <f>IF(AND($A140&gt;='Efficient Site Offices'!D$11,$A140&lt;='Efficient Site Offices'!D$12),IF(D$37='Efficient Site Offices'!$A$19,((100-D$36)/100)*('Efficient Site Offices'!D$19)*'Actual-CO2 Calculations'!$D107,IF('Efficient Site Offices'!D$140&gt;0,((100-D$36)/100)*'Efficient Site Offices'!D124*'Data Entry Electricity'!$L106,0)),0)</f>
        <v>0</v>
      </c>
      <c r="E140" s="738">
        <f>IF(AND($A140&gt;='Efficient Site Offices'!E$11,$A140&lt;='Efficient Site Offices'!E$12),IF(E$37='Efficient Site Offices'!$A$19,((100-E$36)/100)*('Efficient Site Offices'!E$19)*'Actual-CO2 Calculations'!$D107,IF('Efficient Site Offices'!E$140&gt;0,((100-E$36)/100)*'Efficient Site Offices'!E124*'Data Entry Electricity'!$L106,0)),0)</f>
        <v>0</v>
      </c>
      <c r="F140" s="738">
        <f>IF(AND($A140&gt;='Efficient Site Offices'!F$11,$A140&lt;='Efficient Site Offices'!F$12),IF(F$37='Efficient Site Offices'!$A$19,((100-F$36)/100)*('Efficient Site Offices'!F$19)*'Actual-CO2 Calculations'!$D107,IF('Efficient Site Offices'!F$140&gt;0,((100-F$36)/100)*'Efficient Site Offices'!F124*'Data Entry Electricity'!$L106,0)),0)</f>
        <v>0</v>
      </c>
      <c r="H140" s="664">
        <f t="shared" si="1"/>
        <v>0</v>
      </c>
    </row>
    <row r="141" spans="1:8" s="179" customFormat="1">
      <c r="A141" s="179" t="s">
        <v>986</v>
      </c>
      <c r="B141" s="738">
        <f>IF(AND($A141&gt;='Efficient Site Offices'!B$11,$A141&lt;='Efficient Site Offices'!B$12),IF(B$37='Efficient Site Offices'!$A$19,((100-B$36)/100)*('Efficient Site Offices'!B$19)*'Actual-CO2 Calculations'!$D108,IF('Efficient Site Offices'!B$140&gt;0,((100-B$36)/100)*'Efficient Site Offices'!B125*'Data Entry Electricity'!$L107,0)),0)</f>
        <v>0</v>
      </c>
      <c r="C141" s="738">
        <f>IF(AND($A141&gt;='Efficient Site Offices'!C$11,$A141&lt;='Efficient Site Offices'!C$12),IF(C$37='Efficient Site Offices'!$A$19,((100-C$36)/100)*('Efficient Site Offices'!C$19)*'Actual-CO2 Calculations'!$D108,IF('Efficient Site Offices'!C$140&gt;0,((100-C$36)/100)*'Efficient Site Offices'!C125*'Data Entry Electricity'!$L107,0)),0)</f>
        <v>0</v>
      </c>
      <c r="D141" s="738">
        <f>IF(AND($A141&gt;='Efficient Site Offices'!D$11,$A141&lt;='Efficient Site Offices'!D$12),IF(D$37='Efficient Site Offices'!$A$19,((100-D$36)/100)*('Efficient Site Offices'!D$19)*'Actual-CO2 Calculations'!$D108,IF('Efficient Site Offices'!D$140&gt;0,((100-D$36)/100)*'Efficient Site Offices'!D125*'Data Entry Electricity'!$L107,0)),0)</f>
        <v>0</v>
      </c>
      <c r="E141" s="738">
        <f>IF(AND($A141&gt;='Efficient Site Offices'!E$11,$A141&lt;='Efficient Site Offices'!E$12),IF(E$37='Efficient Site Offices'!$A$19,((100-E$36)/100)*('Efficient Site Offices'!E$19)*'Actual-CO2 Calculations'!$D108,IF('Efficient Site Offices'!E$140&gt;0,((100-E$36)/100)*'Efficient Site Offices'!E125*'Data Entry Electricity'!$L107,0)),0)</f>
        <v>0</v>
      </c>
      <c r="F141" s="738">
        <f>IF(AND($A141&gt;='Efficient Site Offices'!F$11,$A141&lt;='Efficient Site Offices'!F$12),IF(F$37='Efficient Site Offices'!$A$19,((100-F$36)/100)*('Efficient Site Offices'!F$19)*'Actual-CO2 Calculations'!$D108,IF('Efficient Site Offices'!F$140&gt;0,((100-F$36)/100)*'Efficient Site Offices'!F125*'Data Entry Electricity'!$L107,0)),0)</f>
        <v>0</v>
      </c>
      <c r="H141" s="664">
        <f t="shared" si="1"/>
        <v>0</v>
      </c>
    </row>
    <row r="142" spans="1:8" s="179" customFormat="1">
      <c r="A142" s="179" t="s">
        <v>987</v>
      </c>
      <c r="B142" s="738">
        <f>IF(AND($A142&gt;='Efficient Site Offices'!B$11,$A142&lt;='Efficient Site Offices'!B$12),IF(B$37='Efficient Site Offices'!$A$19,((100-B$36)/100)*('Efficient Site Offices'!B$19)*'Actual-CO2 Calculations'!$D109,IF('Efficient Site Offices'!B$140&gt;0,((100-B$36)/100)*'Efficient Site Offices'!B126*'Data Entry Electricity'!$L108,0)),0)</f>
        <v>0</v>
      </c>
      <c r="C142" s="738">
        <f>IF(AND($A142&gt;='Efficient Site Offices'!C$11,$A142&lt;='Efficient Site Offices'!C$12),IF(C$37='Efficient Site Offices'!$A$19,((100-C$36)/100)*('Efficient Site Offices'!C$19)*'Actual-CO2 Calculations'!$D109,IF('Efficient Site Offices'!C$140&gt;0,((100-C$36)/100)*'Efficient Site Offices'!C126*'Data Entry Electricity'!$L108,0)),0)</f>
        <v>0</v>
      </c>
      <c r="D142" s="738">
        <f>IF(AND($A142&gt;='Efficient Site Offices'!D$11,$A142&lt;='Efficient Site Offices'!D$12),IF(D$37='Efficient Site Offices'!$A$19,((100-D$36)/100)*('Efficient Site Offices'!D$19)*'Actual-CO2 Calculations'!$D109,IF('Efficient Site Offices'!D$140&gt;0,((100-D$36)/100)*'Efficient Site Offices'!D126*'Data Entry Electricity'!$L108,0)),0)</f>
        <v>0</v>
      </c>
      <c r="E142" s="738">
        <f>IF(AND($A142&gt;='Efficient Site Offices'!E$11,$A142&lt;='Efficient Site Offices'!E$12),IF(E$37='Efficient Site Offices'!$A$19,((100-E$36)/100)*('Efficient Site Offices'!E$19)*'Actual-CO2 Calculations'!$D109,IF('Efficient Site Offices'!E$140&gt;0,((100-E$36)/100)*'Efficient Site Offices'!E126*'Data Entry Electricity'!$L108,0)),0)</f>
        <v>0</v>
      </c>
      <c r="F142" s="738">
        <f>IF(AND($A142&gt;='Efficient Site Offices'!F$11,$A142&lt;='Efficient Site Offices'!F$12),IF(F$37='Efficient Site Offices'!$A$19,((100-F$36)/100)*('Efficient Site Offices'!F$19)*'Actual-CO2 Calculations'!$D109,IF('Efficient Site Offices'!F$140&gt;0,((100-F$36)/100)*'Efficient Site Offices'!F126*'Data Entry Electricity'!$L108,0)),0)</f>
        <v>0</v>
      </c>
      <c r="H142" s="664">
        <f t="shared" si="1"/>
        <v>0</v>
      </c>
    </row>
    <row r="143" spans="1:8" s="179" customFormat="1">
      <c r="A143" s="179" t="s">
        <v>988</v>
      </c>
      <c r="B143" s="738">
        <f>IF(AND($A143&gt;='Efficient Site Offices'!B$11,$A143&lt;='Efficient Site Offices'!B$12),IF(B$37='Efficient Site Offices'!$A$19,((100-B$36)/100)*('Efficient Site Offices'!B$19)*'Actual-CO2 Calculations'!$D110,IF('Efficient Site Offices'!B$140&gt;0,((100-B$36)/100)*'Efficient Site Offices'!B127*'Data Entry Electricity'!$L109,0)),0)</f>
        <v>0</v>
      </c>
      <c r="C143" s="738">
        <f>IF(AND($A143&gt;='Efficient Site Offices'!C$11,$A143&lt;='Efficient Site Offices'!C$12),IF(C$37='Efficient Site Offices'!$A$19,((100-C$36)/100)*('Efficient Site Offices'!C$19)*'Actual-CO2 Calculations'!$D110,IF('Efficient Site Offices'!C$140&gt;0,((100-C$36)/100)*'Efficient Site Offices'!C127*'Data Entry Electricity'!$L109,0)),0)</f>
        <v>0</v>
      </c>
      <c r="D143" s="738">
        <f>IF(AND($A143&gt;='Efficient Site Offices'!D$11,$A143&lt;='Efficient Site Offices'!D$12),IF(D$37='Efficient Site Offices'!$A$19,((100-D$36)/100)*('Efficient Site Offices'!D$19)*'Actual-CO2 Calculations'!$D110,IF('Efficient Site Offices'!D$140&gt;0,((100-D$36)/100)*'Efficient Site Offices'!D127*'Data Entry Electricity'!$L109,0)),0)</f>
        <v>0</v>
      </c>
      <c r="E143" s="738">
        <f>IF(AND($A143&gt;='Efficient Site Offices'!E$11,$A143&lt;='Efficient Site Offices'!E$12),IF(E$37='Efficient Site Offices'!$A$19,((100-E$36)/100)*('Efficient Site Offices'!E$19)*'Actual-CO2 Calculations'!$D110,IF('Efficient Site Offices'!E$140&gt;0,((100-E$36)/100)*'Efficient Site Offices'!E127*'Data Entry Electricity'!$L109,0)),0)</f>
        <v>0</v>
      </c>
      <c r="F143" s="738">
        <f>IF(AND($A143&gt;='Efficient Site Offices'!F$11,$A143&lt;='Efficient Site Offices'!F$12),IF(F$37='Efficient Site Offices'!$A$19,((100-F$36)/100)*('Efficient Site Offices'!F$19)*'Actual-CO2 Calculations'!$D110,IF('Efficient Site Offices'!F$140&gt;0,((100-F$36)/100)*'Efficient Site Offices'!F127*'Data Entry Electricity'!$L109,0)),0)</f>
        <v>0</v>
      </c>
      <c r="H143" s="664">
        <f t="shared" si="1"/>
        <v>0</v>
      </c>
    </row>
    <row r="144" spans="1:8" s="179" customFormat="1">
      <c r="A144" s="179" t="s">
        <v>989</v>
      </c>
      <c r="B144" s="738">
        <f>IF(AND($A144&gt;='Efficient Site Offices'!B$11,$A144&lt;='Efficient Site Offices'!B$12),IF(B$37='Efficient Site Offices'!$A$19,((100-B$36)/100)*('Efficient Site Offices'!B$19)*'Actual-CO2 Calculations'!$D111,IF('Efficient Site Offices'!B$140&gt;0,((100-B$36)/100)*'Efficient Site Offices'!B128*'Data Entry Electricity'!$L110,0)),0)</f>
        <v>0</v>
      </c>
      <c r="C144" s="738">
        <f>IF(AND($A144&gt;='Efficient Site Offices'!C$11,$A144&lt;='Efficient Site Offices'!C$12),IF(C$37='Efficient Site Offices'!$A$19,((100-C$36)/100)*('Efficient Site Offices'!C$19)*'Actual-CO2 Calculations'!$D111,IF('Efficient Site Offices'!C$140&gt;0,((100-C$36)/100)*'Efficient Site Offices'!C128*'Data Entry Electricity'!$L110,0)),0)</f>
        <v>0</v>
      </c>
      <c r="D144" s="738">
        <f>IF(AND($A144&gt;='Efficient Site Offices'!D$11,$A144&lt;='Efficient Site Offices'!D$12),IF(D$37='Efficient Site Offices'!$A$19,((100-D$36)/100)*('Efficient Site Offices'!D$19)*'Actual-CO2 Calculations'!$D111,IF('Efficient Site Offices'!D$140&gt;0,((100-D$36)/100)*'Efficient Site Offices'!D128*'Data Entry Electricity'!$L110,0)),0)</f>
        <v>0</v>
      </c>
      <c r="E144" s="738">
        <f>IF(AND($A144&gt;='Efficient Site Offices'!E$11,$A144&lt;='Efficient Site Offices'!E$12),IF(E$37='Efficient Site Offices'!$A$19,((100-E$36)/100)*('Efficient Site Offices'!E$19)*'Actual-CO2 Calculations'!$D111,IF('Efficient Site Offices'!E$140&gt;0,((100-E$36)/100)*'Efficient Site Offices'!E128*'Data Entry Electricity'!$L110,0)),0)</f>
        <v>0</v>
      </c>
      <c r="F144" s="738">
        <f>IF(AND($A144&gt;='Efficient Site Offices'!F$11,$A144&lt;='Efficient Site Offices'!F$12),IF(F$37='Efficient Site Offices'!$A$19,((100-F$36)/100)*('Efficient Site Offices'!F$19)*'Actual-CO2 Calculations'!$D111,IF('Efficient Site Offices'!F$140&gt;0,((100-F$36)/100)*'Efficient Site Offices'!F128*'Data Entry Electricity'!$L110,0)),0)</f>
        <v>0</v>
      </c>
      <c r="H144" s="664">
        <f t="shared" si="1"/>
        <v>0</v>
      </c>
    </row>
    <row r="145" spans="1:8" s="179" customFormat="1">
      <c r="A145" s="179" t="s">
        <v>990</v>
      </c>
      <c r="B145" s="738">
        <f>IF(AND($A145&gt;='Efficient Site Offices'!B$11,$A145&lt;='Efficient Site Offices'!B$12),IF(B$37='Efficient Site Offices'!$A$19,((100-B$36)/100)*('Efficient Site Offices'!B$19)*'Actual-CO2 Calculations'!$D112,IF('Efficient Site Offices'!B$140&gt;0,((100-B$36)/100)*'Efficient Site Offices'!B129*'Data Entry Electricity'!$L111,0)),0)</f>
        <v>0</v>
      </c>
      <c r="C145" s="738">
        <f>IF(AND($A145&gt;='Efficient Site Offices'!C$11,$A145&lt;='Efficient Site Offices'!C$12),IF(C$37='Efficient Site Offices'!$A$19,((100-C$36)/100)*('Efficient Site Offices'!C$19)*'Actual-CO2 Calculations'!$D112,IF('Efficient Site Offices'!C$140&gt;0,((100-C$36)/100)*'Efficient Site Offices'!C129*'Data Entry Electricity'!$L111,0)),0)</f>
        <v>0</v>
      </c>
      <c r="D145" s="738">
        <f>IF(AND($A145&gt;='Efficient Site Offices'!D$11,$A145&lt;='Efficient Site Offices'!D$12),IF(D$37='Efficient Site Offices'!$A$19,((100-D$36)/100)*('Efficient Site Offices'!D$19)*'Actual-CO2 Calculations'!$D112,IF('Efficient Site Offices'!D$140&gt;0,((100-D$36)/100)*'Efficient Site Offices'!D129*'Data Entry Electricity'!$L111,0)),0)</f>
        <v>0</v>
      </c>
      <c r="E145" s="738">
        <f>IF(AND($A145&gt;='Efficient Site Offices'!E$11,$A145&lt;='Efficient Site Offices'!E$12),IF(E$37='Efficient Site Offices'!$A$19,((100-E$36)/100)*('Efficient Site Offices'!E$19)*'Actual-CO2 Calculations'!$D112,IF('Efficient Site Offices'!E$140&gt;0,((100-E$36)/100)*'Efficient Site Offices'!E129*'Data Entry Electricity'!$L111,0)),0)</f>
        <v>0</v>
      </c>
      <c r="F145" s="738">
        <f>IF(AND($A145&gt;='Efficient Site Offices'!F$11,$A145&lt;='Efficient Site Offices'!F$12),IF(F$37='Efficient Site Offices'!$A$19,((100-F$36)/100)*('Efficient Site Offices'!F$19)*'Actual-CO2 Calculations'!$D112,IF('Efficient Site Offices'!F$140&gt;0,((100-F$36)/100)*'Efficient Site Offices'!F129*'Data Entry Electricity'!$L111,0)),0)</f>
        <v>0</v>
      </c>
      <c r="H145" s="664">
        <f t="shared" si="1"/>
        <v>0</v>
      </c>
    </row>
    <row r="146" spans="1:8" s="179" customFormat="1">
      <c r="A146" s="179" t="s">
        <v>991</v>
      </c>
      <c r="B146" s="738">
        <f>IF(AND($A146&gt;='Efficient Site Offices'!B$11,$A146&lt;='Efficient Site Offices'!B$12),IF(B$37='Efficient Site Offices'!$A$19,((100-B$36)/100)*('Efficient Site Offices'!B$19)*'Actual-CO2 Calculations'!$D113,IF('Efficient Site Offices'!B$140&gt;0,((100-B$36)/100)*'Efficient Site Offices'!B130*'Data Entry Electricity'!$L112,0)),0)</f>
        <v>0</v>
      </c>
      <c r="C146" s="738">
        <f>IF(AND($A146&gt;='Efficient Site Offices'!C$11,$A146&lt;='Efficient Site Offices'!C$12),IF(C$37='Efficient Site Offices'!$A$19,((100-C$36)/100)*('Efficient Site Offices'!C$19)*'Actual-CO2 Calculations'!$D113,IF('Efficient Site Offices'!C$140&gt;0,((100-C$36)/100)*'Efficient Site Offices'!C130*'Data Entry Electricity'!$L112,0)),0)</f>
        <v>0</v>
      </c>
      <c r="D146" s="738">
        <f>IF(AND($A146&gt;='Efficient Site Offices'!D$11,$A146&lt;='Efficient Site Offices'!D$12),IF(D$37='Efficient Site Offices'!$A$19,((100-D$36)/100)*('Efficient Site Offices'!D$19)*'Actual-CO2 Calculations'!$D113,IF('Efficient Site Offices'!D$140&gt;0,((100-D$36)/100)*'Efficient Site Offices'!D130*'Data Entry Electricity'!$L112,0)),0)</f>
        <v>0</v>
      </c>
      <c r="E146" s="738">
        <f>IF(AND($A146&gt;='Efficient Site Offices'!E$11,$A146&lt;='Efficient Site Offices'!E$12),IF(E$37='Efficient Site Offices'!$A$19,((100-E$36)/100)*('Efficient Site Offices'!E$19)*'Actual-CO2 Calculations'!$D113,IF('Efficient Site Offices'!E$140&gt;0,((100-E$36)/100)*'Efficient Site Offices'!E130*'Data Entry Electricity'!$L112,0)),0)</f>
        <v>0</v>
      </c>
      <c r="F146" s="738">
        <f>IF(AND($A146&gt;='Efficient Site Offices'!F$11,$A146&lt;='Efficient Site Offices'!F$12),IF(F$37='Efficient Site Offices'!$A$19,((100-F$36)/100)*('Efficient Site Offices'!F$19)*'Actual-CO2 Calculations'!$D113,IF('Efficient Site Offices'!F$140&gt;0,((100-F$36)/100)*'Efficient Site Offices'!F130*'Data Entry Electricity'!$L112,0)),0)</f>
        <v>0</v>
      </c>
      <c r="H146" s="664">
        <f t="shared" si="1"/>
        <v>0</v>
      </c>
    </row>
    <row r="147" spans="1:8" s="179" customFormat="1">
      <c r="A147" s="179" t="s">
        <v>992</v>
      </c>
      <c r="B147" s="738">
        <f>IF(AND($A147&gt;='Efficient Site Offices'!B$11,$A147&lt;='Efficient Site Offices'!B$12),IF(B$37='Efficient Site Offices'!$A$19,((100-B$36)/100)*('Efficient Site Offices'!B$19)*'Actual-CO2 Calculations'!$D114,IF('Efficient Site Offices'!B$140&gt;0,((100-B$36)/100)*'Efficient Site Offices'!B131*'Data Entry Electricity'!$L113,0)),0)</f>
        <v>0</v>
      </c>
      <c r="C147" s="738">
        <f>IF(AND($A147&gt;='Efficient Site Offices'!C$11,$A147&lt;='Efficient Site Offices'!C$12),IF(C$37='Efficient Site Offices'!$A$19,((100-C$36)/100)*('Efficient Site Offices'!C$19)*'Actual-CO2 Calculations'!$D114,IF('Efficient Site Offices'!C$140&gt;0,((100-C$36)/100)*'Efficient Site Offices'!C131*'Data Entry Electricity'!$L113,0)),0)</f>
        <v>0</v>
      </c>
      <c r="D147" s="738">
        <f>IF(AND($A147&gt;='Efficient Site Offices'!D$11,$A147&lt;='Efficient Site Offices'!D$12),IF(D$37='Efficient Site Offices'!$A$19,((100-D$36)/100)*('Efficient Site Offices'!D$19)*'Actual-CO2 Calculations'!$D114,IF('Efficient Site Offices'!D$140&gt;0,((100-D$36)/100)*'Efficient Site Offices'!D131*'Data Entry Electricity'!$L113,0)),0)</f>
        <v>0</v>
      </c>
      <c r="E147" s="738">
        <f>IF(AND($A147&gt;='Efficient Site Offices'!E$11,$A147&lt;='Efficient Site Offices'!E$12),IF(E$37='Efficient Site Offices'!$A$19,((100-E$36)/100)*('Efficient Site Offices'!E$19)*'Actual-CO2 Calculations'!$D114,IF('Efficient Site Offices'!E$140&gt;0,((100-E$36)/100)*'Efficient Site Offices'!E131*'Data Entry Electricity'!$L113,0)),0)</f>
        <v>0</v>
      </c>
      <c r="F147" s="738">
        <f>IF(AND($A147&gt;='Efficient Site Offices'!F$11,$A147&lt;='Efficient Site Offices'!F$12),IF(F$37='Efficient Site Offices'!$A$19,((100-F$36)/100)*('Efficient Site Offices'!F$19)*'Actual-CO2 Calculations'!$D114,IF('Efficient Site Offices'!F$140&gt;0,((100-F$36)/100)*'Efficient Site Offices'!F131*'Data Entry Electricity'!$L113,0)),0)</f>
        <v>0</v>
      </c>
      <c r="H147" s="664">
        <f t="shared" si="1"/>
        <v>0</v>
      </c>
    </row>
    <row r="148" spans="1:8" s="179" customFormat="1">
      <c r="A148" s="179" t="s">
        <v>993</v>
      </c>
      <c r="B148" s="738">
        <f>IF(AND($A148&gt;='Efficient Site Offices'!B$11,$A148&lt;='Efficient Site Offices'!B$12),IF(B$37='Efficient Site Offices'!$A$19,((100-B$36)/100)*('Efficient Site Offices'!B$19)*'Actual-CO2 Calculations'!$D115,IF('Efficient Site Offices'!B$140&gt;0,((100-B$36)/100)*'Efficient Site Offices'!B132*'Data Entry Electricity'!$L114,0)),0)</f>
        <v>0</v>
      </c>
      <c r="C148" s="738">
        <f>IF(AND($A148&gt;='Efficient Site Offices'!C$11,$A148&lt;='Efficient Site Offices'!C$12),IF(C$37='Efficient Site Offices'!$A$19,((100-C$36)/100)*('Efficient Site Offices'!C$19)*'Actual-CO2 Calculations'!$D115,IF('Efficient Site Offices'!C$140&gt;0,((100-C$36)/100)*'Efficient Site Offices'!C132*'Data Entry Electricity'!$L114,0)),0)</f>
        <v>0</v>
      </c>
      <c r="D148" s="738">
        <f>IF(AND($A148&gt;='Efficient Site Offices'!D$11,$A148&lt;='Efficient Site Offices'!D$12),IF(D$37='Efficient Site Offices'!$A$19,((100-D$36)/100)*('Efficient Site Offices'!D$19)*'Actual-CO2 Calculations'!$D115,IF('Efficient Site Offices'!D$140&gt;0,((100-D$36)/100)*'Efficient Site Offices'!D132*'Data Entry Electricity'!$L114,0)),0)</f>
        <v>0</v>
      </c>
      <c r="E148" s="738">
        <f>IF(AND($A148&gt;='Efficient Site Offices'!E$11,$A148&lt;='Efficient Site Offices'!E$12),IF(E$37='Efficient Site Offices'!$A$19,((100-E$36)/100)*('Efficient Site Offices'!E$19)*'Actual-CO2 Calculations'!$D115,IF('Efficient Site Offices'!E$140&gt;0,((100-E$36)/100)*'Efficient Site Offices'!E132*'Data Entry Electricity'!$L114,0)),0)</f>
        <v>0</v>
      </c>
      <c r="F148" s="738">
        <f>IF(AND($A148&gt;='Efficient Site Offices'!F$11,$A148&lt;='Efficient Site Offices'!F$12),IF(F$37='Efficient Site Offices'!$A$19,((100-F$36)/100)*('Efficient Site Offices'!F$19)*'Actual-CO2 Calculations'!$D115,IF('Efficient Site Offices'!F$140&gt;0,((100-F$36)/100)*'Efficient Site Offices'!F132*'Data Entry Electricity'!$L114,0)),0)</f>
        <v>0</v>
      </c>
      <c r="H148" s="664">
        <f t="shared" si="1"/>
        <v>0</v>
      </c>
    </row>
    <row r="149" spans="1:8" s="179" customFormat="1">
      <c r="A149" s="179" t="s">
        <v>994</v>
      </c>
      <c r="B149" s="738">
        <f>IF(AND($A149&gt;='Efficient Site Offices'!B$11,$A149&lt;='Efficient Site Offices'!B$12),IF(B$37='Efficient Site Offices'!$A$19,((100-B$36)/100)*('Efficient Site Offices'!B$19)*'Actual-CO2 Calculations'!$D116,IF('Efficient Site Offices'!B$140&gt;0,((100-B$36)/100)*'Efficient Site Offices'!B133*'Data Entry Electricity'!$L115,0)),0)</f>
        <v>0</v>
      </c>
      <c r="C149" s="738">
        <f>IF(AND($A149&gt;='Efficient Site Offices'!C$11,$A149&lt;='Efficient Site Offices'!C$12),IF(C$37='Efficient Site Offices'!$A$19,((100-C$36)/100)*('Efficient Site Offices'!C$19)*'Actual-CO2 Calculations'!$D116,IF('Efficient Site Offices'!C$140&gt;0,((100-C$36)/100)*'Efficient Site Offices'!C133*'Data Entry Electricity'!$L115,0)),0)</f>
        <v>0</v>
      </c>
      <c r="D149" s="738">
        <f>IF(AND($A149&gt;='Efficient Site Offices'!D$11,$A149&lt;='Efficient Site Offices'!D$12),IF(D$37='Efficient Site Offices'!$A$19,((100-D$36)/100)*('Efficient Site Offices'!D$19)*'Actual-CO2 Calculations'!$D116,IF('Efficient Site Offices'!D$140&gt;0,((100-D$36)/100)*'Efficient Site Offices'!D133*'Data Entry Electricity'!$L115,0)),0)</f>
        <v>0</v>
      </c>
      <c r="E149" s="738">
        <f>IF(AND($A149&gt;='Efficient Site Offices'!E$11,$A149&lt;='Efficient Site Offices'!E$12),IF(E$37='Efficient Site Offices'!$A$19,((100-E$36)/100)*('Efficient Site Offices'!E$19)*'Actual-CO2 Calculations'!$D116,IF('Efficient Site Offices'!E$140&gt;0,((100-E$36)/100)*'Efficient Site Offices'!E133*'Data Entry Electricity'!$L115,0)),0)</f>
        <v>0</v>
      </c>
      <c r="F149" s="738">
        <f>IF(AND($A149&gt;='Efficient Site Offices'!F$11,$A149&lt;='Efficient Site Offices'!F$12),IF(F$37='Efficient Site Offices'!$A$19,((100-F$36)/100)*('Efficient Site Offices'!F$19)*'Actual-CO2 Calculations'!$D116,IF('Efficient Site Offices'!F$140&gt;0,((100-F$36)/100)*'Efficient Site Offices'!F133*'Data Entry Electricity'!$L115,0)),0)</f>
        <v>0</v>
      </c>
      <c r="H149" s="664">
        <f t="shared" si="1"/>
        <v>0</v>
      </c>
    </row>
    <row r="150" spans="1:8" s="179" customFormat="1">
      <c r="A150" s="179" t="s">
        <v>995</v>
      </c>
      <c r="B150" s="738">
        <f>IF(AND($A150&gt;='Efficient Site Offices'!B$11,$A150&lt;='Efficient Site Offices'!B$12),IF(B$37='Efficient Site Offices'!$A$19,((100-B$36)/100)*('Efficient Site Offices'!B$19)*'Actual-CO2 Calculations'!$D117,IF('Efficient Site Offices'!B$140&gt;0,((100-B$36)/100)*'Efficient Site Offices'!B134*'Data Entry Electricity'!$L116,0)),0)</f>
        <v>0</v>
      </c>
      <c r="C150" s="738">
        <f>IF(AND($A150&gt;='Efficient Site Offices'!C$11,$A150&lt;='Efficient Site Offices'!C$12),IF(C$37='Efficient Site Offices'!$A$19,((100-C$36)/100)*('Efficient Site Offices'!C$19)*'Actual-CO2 Calculations'!$D117,IF('Efficient Site Offices'!C$140&gt;0,((100-C$36)/100)*'Efficient Site Offices'!C134*'Data Entry Electricity'!$L116,0)),0)</f>
        <v>0</v>
      </c>
      <c r="D150" s="738">
        <f>IF(AND($A150&gt;='Efficient Site Offices'!D$11,$A150&lt;='Efficient Site Offices'!D$12),IF(D$37='Efficient Site Offices'!$A$19,((100-D$36)/100)*('Efficient Site Offices'!D$19)*'Actual-CO2 Calculations'!$D117,IF('Efficient Site Offices'!D$140&gt;0,((100-D$36)/100)*'Efficient Site Offices'!D134*'Data Entry Electricity'!$L116,0)),0)</f>
        <v>0</v>
      </c>
      <c r="E150" s="738">
        <f>IF(AND($A150&gt;='Efficient Site Offices'!E$11,$A150&lt;='Efficient Site Offices'!E$12),IF(E$37='Efficient Site Offices'!$A$19,((100-E$36)/100)*('Efficient Site Offices'!E$19)*'Actual-CO2 Calculations'!$D117,IF('Efficient Site Offices'!E$140&gt;0,((100-E$36)/100)*'Efficient Site Offices'!E134*'Data Entry Electricity'!$L116,0)),0)</f>
        <v>0</v>
      </c>
      <c r="F150" s="738">
        <f>IF(AND($A150&gt;='Efficient Site Offices'!F$11,$A150&lt;='Efficient Site Offices'!F$12),IF(F$37='Efficient Site Offices'!$A$19,((100-F$36)/100)*('Efficient Site Offices'!F$19)*'Actual-CO2 Calculations'!$D117,IF('Efficient Site Offices'!F$140&gt;0,((100-F$36)/100)*'Efficient Site Offices'!F134*'Data Entry Electricity'!$L116,0)),0)</f>
        <v>0</v>
      </c>
      <c r="H150" s="664">
        <f t="shared" si="1"/>
        <v>0</v>
      </c>
    </row>
    <row r="151" spans="1:8" s="179" customFormat="1">
      <c r="A151" s="179" t="s">
        <v>996</v>
      </c>
      <c r="B151" s="738">
        <f>IF(AND($A151&gt;='Efficient Site Offices'!B$11,$A151&lt;='Efficient Site Offices'!B$12),IF(B$37='Efficient Site Offices'!$A$19,((100-B$36)/100)*('Efficient Site Offices'!B$19)*'Actual-CO2 Calculations'!$D118,IF('Efficient Site Offices'!B$140&gt;0,((100-B$36)/100)*'Efficient Site Offices'!B135*'Data Entry Electricity'!$L117,0)),0)</f>
        <v>0</v>
      </c>
      <c r="C151" s="738">
        <f>IF(AND($A151&gt;='Efficient Site Offices'!C$11,$A151&lt;='Efficient Site Offices'!C$12),IF(C$37='Efficient Site Offices'!$A$19,((100-C$36)/100)*('Efficient Site Offices'!C$19)*'Actual-CO2 Calculations'!$D118,IF('Efficient Site Offices'!C$140&gt;0,((100-C$36)/100)*'Efficient Site Offices'!C135*'Data Entry Electricity'!$L117,0)),0)</f>
        <v>0</v>
      </c>
      <c r="D151" s="738">
        <f>IF(AND($A151&gt;='Efficient Site Offices'!D$11,$A151&lt;='Efficient Site Offices'!D$12),IF(D$37='Efficient Site Offices'!$A$19,((100-D$36)/100)*('Efficient Site Offices'!D$19)*'Actual-CO2 Calculations'!$D118,IF('Efficient Site Offices'!D$140&gt;0,((100-D$36)/100)*'Efficient Site Offices'!D135*'Data Entry Electricity'!$L117,0)),0)</f>
        <v>0</v>
      </c>
      <c r="E151" s="738">
        <f>IF(AND($A151&gt;='Efficient Site Offices'!E$11,$A151&lt;='Efficient Site Offices'!E$12),IF(E$37='Efficient Site Offices'!$A$19,((100-E$36)/100)*('Efficient Site Offices'!E$19)*'Actual-CO2 Calculations'!$D118,IF('Efficient Site Offices'!E$140&gt;0,((100-E$36)/100)*'Efficient Site Offices'!E135*'Data Entry Electricity'!$L117,0)),0)</f>
        <v>0</v>
      </c>
      <c r="F151" s="738">
        <f>IF(AND($A151&gt;='Efficient Site Offices'!F$11,$A151&lt;='Efficient Site Offices'!F$12),IF(F$37='Efficient Site Offices'!$A$19,((100-F$36)/100)*('Efficient Site Offices'!F$19)*'Actual-CO2 Calculations'!$D118,IF('Efficient Site Offices'!F$140&gt;0,((100-F$36)/100)*'Efficient Site Offices'!F135*'Data Entry Electricity'!$L117,0)),0)</f>
        <v>0</v>
      </c>
      <c r="H151" s="664">
        <f t="shared" si="1"/>
        <v>0</v>
      </c>
    </row>
    <row r="152" spans="1:8" s="179" customFormat="1">
      <c r="A152" s="179" t="s">
        <v>997</v>
      </c>
      <c r="B152" s="738">
        <f>IF(AND($A152&gt;='Efficient Site Offices'!B$11,$A152&lt;='Efficient Site Offices'!B$12),IF(B$37='Efficient Site Offices'!$A$19,((100-B$36)/100)*('Efficient Site Offices'!B$19)*'Actual-CO2 Calculations'!$D119,IF('Efficient Site Offices'!B$140&gt;0,((100-B$36)/100)*'Efficient Site Offices'!B136*'Data Entry Electricity'!$L118,0)),0)</f>
        <v>0</v>
      </c>
      <c r="C152" s="738">
        <f>IF(AND($A152&gt;='Efficient Site Offices'!C$11,$A152&lt;='Efficient Site Offices'!C$12),IF(C$37='Efficient Site Offices'!$A$19,((100-C$36)/100)*('Efficient Site Offices'!C$19)*'Actual-CO2 Calculations'!$D119,IF('Efficient Site Offices'!C$140&gt;0,((100-C$36)/100)*'Efficient Site Offices'!C136*'Data Entry Electricity'!$L118,0)),0)</f>
        <v>0</v>
      </c>
      <c r="D152" s="738">
        <f>IF(AND($A152&gt;='Efficient Site Offices'!D$11,$A152&lt;='Efficient Site Offices'!D$12),IF(D$37='Efficient Site Offices'!$A$19,((100-D$36)/100)*('Efficient Site Offices'!D$19)*'Actual-CO2 Calculations'!$D119,IF('Efficient Site Offices'!D$140&gt;0,((100-D$36)/100)*'Efficient Site Offices'!D136*'Data Entry Electricity'!$L118,0)),0)</f>
        <v>0</v>
      </c>
      <c r="E152" s="738">
        <f>IF(AND($A152&gt;='Efficient Site Offices'!E$11,$A152&lt;='Efficient Site Offices'!E$12),IF(E$37='Efficient Site Offices'!$A$19,((100-E$36)/100)*('Efficient Site Offices'!E$19)*'Actual-CO2 Calculations'!$D119,IF('Efficient Site Offices'!E$140&gt;0,((100-E$36)/100)*'Efficient Site Offices'!E136*'Data Entry Electricity'!$L118,0)),0)</f>
        <v>0</v>
      </c>
      <c r="F152" s="738">
        <f>IF(AND($A152&gt;='Efficient Site Offices'!F$11,$A152&lt;='Efficient Site Offices'!F$12),IF(F$37='Efficient Site Offices'!$A$19,((100-F$36)/100)*('Efficient Site Offices'!F$19)*'Actual-CO2 Calculations'!$D119,IF('Efficient Site Offices'!F$140&gt;0,((100-F$36)/100)*'Efficient Site Offices'!F136*'Data Entry Electricity'!$L118,0)),0)</f>
        <v>0</v>
      </c>
      <c r="H152" s="664">
        <f t="shared" si="1"/>
        <v>0</v>
      </c>
    </row>
    <row r="153" spans="1:8" s="179" customFormat="1">
      <c r="A153" s="179" t="s">
        <v>998</v>
      </c>
      <c r="B153" s="738">
        <f>IF(AND($A153&gt;='Efficient Site Offices'!B$11,$A153&lt;='Efficient Site Offices'!B$12),IF(B$37='Efficient Site Offices'!$A$19,((100-B$36)/100)*('Efficient Site Offices'!B$19)*'Actual-CO2 Calculations'!$D120,IF('Efficient Site Offices'!B$140&gt;0,((100-B$36)/100)*'Efficient Site Offices'!B137*'Data Entry Electricity'!$L119,0)),0)</f>
        <v>0</v>
      </c>
      <c r="C153" s="738">
        <f>IF(AND($A153&gt;='Efficient Site Offices'!C$11,$A153&lt;='Efficient Site Offices'!C$12),IF(C$37='Efficient Site Offices'!$A$19,((100-C$36)/100)*('Efficient Site Offices'!C$19)*'Actual-CO2 Calculations'!$D120,IF('Efficient Site Offices'!C$140&gt;0,((100-C$36)/100)*'Efficient Site Offices'!C137*'Data Entry Electricity'!$L119,0)),0)</f>
        <v>0</v>
      </c>
      <c r="D153" s="738">
        <f>IF(AND($A153&gt;='Efficient Site Offices'!D$11,$A153&lt;='Efficient Site Offices'!D$12),IF(D$37='Efficient Site Offices'!$A$19,((100-D$36)/100)*('Efficient Site Offices'!D$19)*'Actual-CO2 Calculations'!$D120,IF('Efficient Site Offices'!D$140&gt;0,((100-D$36)/100)*'Efficient Site Offices'!D137*'Data Entry Electricity'!$L119,0)),0)</f>
        <v>0</v>
      </c>
      <c r="E153" s="738">
        <f>IF(AND($A153&gt;='Efficient Site Offices'!E$11,$A153&lt;='Efficient Site Offices'!E$12),IF(E$37='Efficient Site Offices'!$A$19,((100-E$36)/100)*('Efficient Site Offices'!E$19)*'Actual-CO2 Calculations'!$D120,IF('Efficient Site Offices'!E$140&gt;0,((100-E$36)/100)*'Efficient Site Offices'!E137*'Data Entry Electricity'!$L119,0)),0)</f>
        <v>0</v>
      </c>
      <c r="F153" s="738">
        <f>IF(AND($A153&gt;='Efficient Site Offices'!F$11,$A153&lt;='Efficient Site Offices'!F$12),IF(F$37='Efficient Site Offices'!$A$19,((100-F$36)/100)*('Efficient Site Offices'!F$19)*'Actual-CO2 Calculations'!$D120,IF('Efficient Site Offices'!F$140&gt;0,((100-F$36)/100)*'Efficient Site Offices'!F137*'Data Entry Electricity'!$L119,0)),0)</f>
        <v>0</v>
      </c>
      <c r="H153" s="664">
        <f t="shared" si="1"/>
        <v>0</v>
      </c>
    </row>
    <row r="154" spans="1:8" s="179" customFormat="1">
      <c r="A154" s="179" t="s">
        <v>999</v>
      </c>
      <c r="B154" s="738">
        <f>IF(AND($A154&gt;='Efficient Site Offices'!B$11,$A154&lt;='Efficient Site Offices'!B$12),IF(B$37='Efficient Site Offices'!$A$19,((100-B$36)/100)*('Efficient Site Offices'!B$19)*'Actual-CO2 Calculations'!$D121,IF('Efficient Site Offices'!B$140&gt;0,((100-B$36)/100)*'Efficient Site Offices'!B138*'Data Entry Electricity'!$L120,0)),0)</f>
        <v>0</v>
      </c>
      <c r="C154" s="738">
        <f>IF(AND($A154&gt;='Efficient Site Offices'!C$11,$A154&lt;='Efficient Site Offices'!C$12),IF(C$37='Efficient Site Offices'!$A$19,((100-C$36)/100)*('Efficient Site Offices'!C$19)*'Actual-CO2 Calculations'!$D121,IF('Efficient Site Offices'!C$140&gt;0,((100-C$36)/100)*'Efficient Site Offices'!C138*'Data Entry Electricity'!$L120,0)),0)</f>
        <v>0</v>
      </c>
      <c r="D154" s="738">
        <f>IF(AND($A154&gt;='Efficient Site Offices'!D$11,$A154&lt;='Efficient Site Offices'!D$12),IF(D$37='Efficient Site Offices'!$A$19,((100-D$36)/100)*('Efficient Site Offices'!D$19)*'Actual-CO2 Calculations'!$D121,IF('Efficient Site Offices'!D$140&gt;0,((100-D$36)/100)*'Efficient Site Offices'!D138*'Data Entry Electricity'!$L120,0)),0)</f>
        <v>0</v>
      </c>
      <c r="E154" s="738">
        <f>IF(AND($A154&gt;='Efficient Site Offices'!E$11,$A154&lt;='Efficient Site Offices'!E$12),IF(E$37='Efficient Site Offices'!$A$19,((100-E$36)/100)*('Efficient Site Offices'!E$19)*'Actual-CO2 Calculations'!$D121,IF('Efficient Site Offices'!E$140&gt;0,((100-E$36)/100)*'Efficient Site Offices'!E138*'Data Entry Electricity'!$L120,0)),0)</f>
        <v>0</v>
      </c>
      <c r="F154" s="738">
        <f>IF(AND($A154&gt;='Efficient Site Offices'!F$11,$A154&lt;='Efficient Site Offices'!F$12),IF(F$37='Efficient Site Offices'!$A$19,((100-F$36)/100)*('Efficient Site Offices'!F$19)*'Actual-CO2 Calculations'!$D121,IF('Efficient Site Offices'!F$140&gt;0,((100-F$36)/100)*'Efficient Site Offices'!F138*'Data Entry Electricity'!$L120,0)),0)</f>
        <v>0</v>
      </c>
      <c r="H154" s="664">
        <f t="shared" si="1"/>
        <v>0</v>
      </c>
    </row>
    <row r="155" spans="1:8">
      <c r="A155" s="179"/>
      <c r="H155" s="664"/>
    </row>
    <row r="156" spans="1:8">
      <c r="A156" s="179"/>
      <c r="H156" s="664"/>
    </row>
    <row r="157" spans="1:8">
      <c r="A157" s="179" t="s">
        <v>112</v>
      </c>
      <c r="B157">
        <f>SUM(B38:B154)</f>
        <v>14886.682430289748</v>
      </c>
      <c r="C157" s="179">
        <f t="shared" ref="C157:F157" si="2">SUM(C38:C154)</f>
        <v>2556.0447892800003</v>
      </c>
      <c r="D157" s="179">
        <f t="shared" si="2"/>
        <v>2184.0074209200002</v>
      </c>
      <c r="E157" s="179">
        <f t="shared" si="2"/>
        <v>5767.5158165118</v>
      </c>
      <c r="F157" s="179">
        <f t="shared" si="2"/>
        <v>0</v>
      </c>
      <c r="H157" s="664">
        <f t="shared" si="1"/>
        <v>25394.250457001548</v>
      </c>
    </row>
    <row r="158" spans="1:8">
      <c r="A158" s="179"/>
      <c r="H158" s="664"/>
    </row>
    <row r="159" spans="1:8">
      <c r="A159" s="179" t="s">
        <v>928</v>
      </c>
      <c r="H159" s="664"/>
    </row>
    <row r="160" spans="1:8">
      <c r="A160" s="179" t="s">
        <v>31</v>
      </c>
      <c r="B160">
        <f>B38</f>
        <v>0</v>
      </c>
      <c r="C160" s="179">
        <f t="shared" ref="C160:F160" si="3">C38</f>
        <v>0</v>
      </c>
      <c r="D160" s="179">
        <f t="shared" si="3"/>
        <v>0</v>
      </c>
      <c r="E160" s="179">
        <f t="shared" si="3"/>
        <v>0</v>
      </c>
      <c r="F160" s="179">
        <f t="shared" si="3"/>
        <v>0</v>
      </c>
      <c r="H160" s="664">
        <f t="shared" si="1"/>
        <v>0</v>
      </c>
    </row>
    <row r="161" spans="1:8">
      <c r="A161" s="179" t="s">
        <v>32</v>
      </c>
      <c r="B161">
        <f t="shared" ref="B161:B192" si="4">B39+B160</f>
        <v>0</v>
      </c>
      <c r="C161" s="179">
        <f t="shared" ref="C161:C192" si="5">C39+C160</f>
        <v>0</v>
      </c>
      <c r="D161" s="179">
        <f t="shared" ref="D161:D192" si="6">D39+D160</f>
        <v>0</v>
      </c>
      <c r="E161" s="179">
        <f t="shared" ref="E161:E192" si="7">E39+E160</f>
        <v>0</v>
      </c>
      <c r="F161" s="179">
        <f t="shared" ref="F161:F192" si="8">F39+F160</f>
        <v>0</v>
      </c>
      <c r="H161" s="664">
        <f t="shared" si="1"/>
        <v>0</v>
      </c>
    </row>
    <row r="162" spans="1:8">
      <c r="A162" s="179" t="s">
        <v>33</v>
      </c>
      <c r="B162" s="179">
        <f t="shared" si="4"/>
        <v>0</v>
      </c>
      <c r="C162" s="179">
        <f t="shared" si="5"/>
        <v>0</v>
      </c>
      <c r="D162" s="179">
        <f t="shared" si="6"/>
        <v>0</v>
      </c>
      <c r="E162" s="179">
        <f t="shared" si="7"/>
        <v>0</v>
      </c>
      <c r="F162" s="179">
        <f t="shared" si="8"/>
        <v>0</v>
      </c>
      <c r="H162" s="664">
        <f t="shared" si="1"/>
        <v>0</v>
      </c>
    </row>
    <row r="163" spans="1:8">
      <c r="A163" s="179" t="s">
        <v>34</v>
      </c>
      <c r="B163" s="179">
        <f t="shared" si="4"/>
        <v>0</v>
      </c>
      <c r="C163" s="179">
        <f t="shared" si="5"/>
        <v>0</v>
      </c>
      <c r="D163" s="179">
        <f t="shared" si="6"/>
        <v>0</v>
      </c>
      <c r="E163" s="179">
        <f t="shared" si="7"/>
        <v>0</v>
      </c>
      <c r="F163" s="179">
        <f t="shared" si="8"/>
        <v>0</v>
      </c>
      <c r="H163" s="664">
        <f t="shared" si="1"/>
        <v>0</v>
      </c>
    </row>
    <row r="164" spans="1:8">
      <c r="A164" s="179" t="s">
        <v>35</v>
      </c>
      <c r="B164" s="179">
        <f t="shared" si="4"/>
        <v>0</v>
      </c>
      <c r="C164" s="179">
        <f t="shared" si="5"/>
        <v>0</v>
      </c>
      <c r="D164" s="179">
        <f t="shared" si="6"/>
        <v>0</v>
      </c>
      <c r="E164" s="179">
        <f t="shared" si="7"/>
        <v>0</v>
      </c>
      <c r="F164" s="179">
        <f t="shared" si="8"/>
        <v>0</v>
      </c>
      <c r="H164" s="664">
        <f t="shared" si="1"/>
        <v>0</v>
      </c>
    </row>
    <row r="165" spans="1:8">
      <c r="A165" s="179" t="s">
        <v>36</v>
      </c>
      <c r="B165" s="179">
        <f t="shared" si="4"/>
        <v>0</v>
      </c>
      <c r="C165" s="179">
        <f t="shared" si="5"/>
        <v>0</v>
      </c>
      <c r="D165" s="179">
        <f t="shared" si="6"/>
        <v>0</v>
      </c>
      <c r="E165" s="179">
        <f t="shared" si="7"/>
        <v>0</v>
      </c>
      <c r="F165" s="179">
        <f t="shared" si="8"/>
        <v>0</v>
      </c>
      <c r="H165" s="664">
        <f t="shared" si="1"/>
        <v>0</v>
      </c>
    </row>
    <row r="166" spans="1:8">
      <c r="A166" s="179" t="s">
        <v>37</v>
      </c>
      <c r="B166" s="179">
        <f t="shared" si="4"/>
        <v>0</v>
      </c>
      <c r="C166" s="179">
        <f t="shared" si="5"/>
        <v>0</v>
      </c>
      <c r="D166" s="179">
        <f t="shared" si="6"/>
        <v>0</v>
      </c>
      <c r="E166" s="179">
        <f t="shared" si="7"/>
        <v>0</v>
      </c>
      <c r="F166" s="179">
        <f t="shared" si="8"/>
        <v>0</v>
      </c>
      <c r="H166" s="664">
        <f t="shared" si="1"/>
        <v>0</v>
      </c>
    </row>
    <row r="167" spans="1:8">
      <c r="A167" s="179" t="s">
        <v>38</v>
      </c>
      <c r="B167" s="179">
        <f t="shared" si="4"/>
        <v>0</v>
      </c>
      <c r="C167" s="179">
        <f t="shared" si="5"/>
        <v>0</v>
      </c>
      <c r="D167" s="179">
        <f t="shared" si="6"/>
        <v>0</v>
      </c>
      <c r="E167" s="179">
        <f t="shared" si="7"/>
        <v>0</v>
      </c>
      <c r="F167" s="179">
        <f t="shared" si="8"/>
        <v>0</v>
      </c>
      <c r="H167" s="664">
        <f t="shared" ref="H167:H230" si="9">SUM(B167:F167)</f>
        <v>0</v>
      </c>
    </row>
    <row r="168" spans="1:8">
      <c r="A168" s="179" t="s">
        <v>39</v>
      </c>
      <c r="B168" s="179">
        <f t="shared" si="4"/>
        <v>0</v>
      </c>
      <c r="C168" s="179">
        <f t="shared" si="5"/>
        <v>0</v>
      </c>
      <c r="D168" s="179">
        <f t="shared" si="6"/>
        <v>0</v>
      </c>
      <c r="E168" s="179">
        <f t="shared" si="7"/>
        <v>0</v>
      </c>
      <c r="F168" s="179">
        <f t="shared" si="8"/>
        <v>0</v>
      </c>
      <c r="H168" s="664">
        <f t="shared" si="9"/>
        <v>0</v>
      </c>
    </row>
    <row r="169" spans="1:8">
      <c r="A169" s="179" t="s">
        <v>25</v>
      </c>
      <c r="B169" s="179">
        <f t="shared" si="4"/>
        <v>0</v>
      </c>
      <c r="C169" s="179">
        <f t="shared" si="5"/>
        <v>0</v>
      </c>
      <c r="D169" s="179">
        <f t="shared" si="6"/>
        <v>0</v>
      </c>
      <c r="E169" s="179">
        <f t="shared" si="7"/>
        <v>0</v>
      </c>
      <c r="F169" s="179">
        <f t="shared" si="8"/>
        <v>0</v>
      </c>
      <c r="H169" s="664">
        <f t="shared" si="9"/>
        <v>0</v>
      </c>
    </row>
    <row r="170" spans="1:8">
      <c r="A170" s="179" t="s">
        <v>26</v>
      </c>
      <c r="B170" s="179">
        <f t="shared" si="4"/>
        <v>0</v>
      </c>
      <c r="C170" s="179">
        <f t="shared" si="5"/>
        <v>0</v>
      </c>
      <c r="D170" s="179">
        <f t="shared" si="6"/>
        <v>0</v>
      </c>
      <c r="E170" s="179">
        <f t="shared" si="7"/>
        <v>0</v>
      </c>
      <c r="F170" s="179">
        <f t="shared" si="8"/>
        <v>0</v>
      </c>
      <c r="H170" s="664">
        <f t="shared" si="9"/>
        <v>0</v>
      </c>
    </row>
    <row r="171" spans="1:8">
      <c r="A171" s="179" t="s">
        <v>27</v>
      </c>
      <c r="B171" s="179">
        <f t="shared" si="4"/>
        <v>0</v>
      </c>
      <c r="C171" s="179">
        <f t="shared" si="5"/>
        <v>0</v>
      </c>
      <c r="D171" s="179">
        <f t="shared" si="6"/>
        <v>0</v>
      </c>
      <c r="E171" s="179">
        <f t="shared" si="7"/>
        <v>0</v>
      </c>
      <c r="F171" s="179">
        <f t="shared" si="8"/>
        <v>0</v>
      </c>
      <c r="H171" s="664">
        <f t="shared" si="9"/>
        <v>0</v>
      </c>
    </row>
    <row r="172" spans="1:8">
      <c r="A172" s="179" t="s">
        <v>24</v>
      </c>
      <c r="B172" s="179">
        <f t="shared" si="4"/>
        <v>0</v>
      </c>
      <c r="C172" s="179">
        <f t="shared" si="5"/>
        <v>0</v>
      </c>
      <c r="D172" s="179">
        <f t="shared" si="6"/>
        <v>0</v>
      </c>
      <c r="E172" s="179">
        <f t="shared" si="7"/>
        <v>0</v>
      </c>
      <c r="F172" s="179">
        <f t="shared" si="8"/>
        <v>0</v>
      </c>
      <c r="H172" s="664">
        <f t="shared" si="9"/>
        <v>0</v>
      </c>
    </row>
    <row r="173" spans="1:8">
      <c r="A173" s="179" t="s">
        <v>40</v>
      </c>
      <c r="B173" s="179">
        <f t="shared" si="4"/>
        <v>0</v>
      </c>
      <c r="C173" s="179">
        <f t="shared" si="5"/>
        <v>0</v>
      </c>
      <c r="D173" s="179">
        <f t="shared" si="6"/>
        <v>0</v>
      </c>
      <c r="E173" s="179">
        <f t="shared" si="7"/>
        <v>0</v>
      </c>
      <c r="F173" s="179">
        <f t="shared" si="8"/>
        <v>0</v>
      </c>
      <c r="H173" s="664">
        <f t="shared" si="9"/>
        <v>0</v>
      </c>
    </row>
    <row r="174" spans="1:8">
      <c r="A174" s="179" t="s">
        <v>41</v>
      </c>
      <c r="B174" s="179">
        <f t="shared" si="4"/>
        <v>0</v>
      </c>
      <c r="C174" s="179">
        <f t="shared" si="5"/>
        <v>0</v>
      </c>
      <c r="D174" s="179">
        <f t="shared" si="6"/>
        <v>0</v>
      </c>
      <c r="E174" s="179">
        <f t="shared" si="7"/>
        <v>0</v>
      </c>
      <c r="F174" s="179">
        <f t="shared" si="8"/>
        <v>0</v>
      </c>
      <c r="H174" s="664">
        <f t="shared" si="9"/>
        <v>0</v>
      </c>
    </row>
    <row r="175" spans="1:8">
      <c r="A175" s="179" t="s">
        <v>42</v>
      </c>
      <c r="B175" s="179">
        <f t="shared" si="4"/>
        <v>0</v>
      </c>
      <c r="C175" s="179">
        <f t="shared" si="5"/>
        <v>0</v>
      </c>
      <c r="D175" s="179">
        <f t="shared" si="6"/>
        <v>0</v>
      </c>
      <c r="E175" s="179">
        <f t="shared" si="7"/>
        <v>0</v>
      </c>
      <c r="F175" s="179">
        <f t="shared" si="8"/>
        <v>0</v>
      </c>
      <c r="H175" s="664">
        <f t="shared" si="9"/>
        <v>0</v>
      </c>
    </row>
    <row r="176" spans="1:8">
      <c r="A176" s="179" t="s">
        <v>43</v>
      </c>
      <c r="B176" s="179">
        <f t="shared" si="4"/>
        <v>0</v>
      </c>
      <c r="C176" s="179">
        <f t="shared" si="5"/>
        <v>0</v>
      </c>
      <c r="D176" s="179">
        <f t="shared" si="6"/>
        <v>0</v>
      </c>
      <c r="E176" s="179">
        <f t="shared" si="7"/>
        <v>0</v>
      </c>
      <c r="F176" s="179">
        <f t="shared" si="8"/>
        <v>0</v>
      </c>
      <c r="H176" s="664">
        <f t="shared" si="9"/>
        <v>0</v>
      </c>
    </row>
    <row r="177" spans="1:8">
      <c r="A177" s="179" t="s">
        <v>44</v>
      </c>
      <c r="B177" s="179">
        <f t="shared" si="4"/>
        <v>0</v>
      </c>
      <c r="C177" s="179">
        <f t="shared" si="5"/>
        <v>0</v>
      </c>
      <c r="D177" s="179">
        <f t="shared" si="6"/>
        <v>0</v>
      </c>
      <c r="E177" s="179">
        <f t="shared" si="7"/>
        <v>0</v>
      </c>
      <c r="F177" s="179">
        <f t="shared" si="8"/>
        <v>0</v>
      </c>
      <c r="H177" s="664">
        <f t="shared" si="9"/>
        <v>0</v>
      </c>
    </row>
    <row r="178" spans="1:8">
      <c r="A178" s="179" t="s">
        <v>45</v>
      </c>
      <c r="B178" s="179">
        <f t="shared" si="4"/>
        <v>0</v>
      </c>
      <c r="C178" s="179">
        <f t="shared" si="5"/>
        <v>0</v>
      </c>
      <c r="D178" s="179">
        <f t="shared" si="6"/>
        <v>0</v>
      </c>
      <c r="E178" s="179">
        <f t="shared" si="7"/>
        <v>0</v>
      </c>
      <c r="F178" s="179">
        <f t="shared" si="8"/>
        <v>0</v>
      </c>
      <c r="H178" s="664">
        <f t="shared" si="9"/>
        <v>0</v>
      </c>
    </row>
    <row r="179" spans="1:8">
      <c r="A179" s="179" t="s">
        <v>46</v>
      </c>
      <c r="B179" s="179">
        <f t="shared" si="4"/>
        <v>0</v>
      </c>
      <c r="C179" s="179">
        <f t="shared" si="5"/>
        <v>0</v>
      </c>
      <c r="D179" s="179">
        <f t="shared" si="6"/>
        <v>0</v>
      </c>
      <c r="E179" s="179">
        <f t="shared" si="7"/>
        <v>0</v>
      </c>
      <c r="F179" s="179">
        <f t="shared" si="8"/>
        <v>0</v>
      </c>
      <c r="H179" s="664">
        <f t="shared" si="9"/>
        <v>0</v>
      </c>
    </row>
    <row r="180" spans="1:8">
      <c r="A180" s="179" t="s">
        <v>47</v>
      </c>
      <c r="B180" s="179">
        <f t="shared" si="4"/>
        <v>0</v>
      </c>
      <c r="C180" s="179">
        <f t="shared" si="5"/>
        <v>0</v>
      </c>
      <c r="D180" s="179">
        <f t="shared" si="6"/>
        <v>0</v>
      </c>
      <c r="E180" s="179">
        <f t="shared" si="7"/>
        <v>0</v>
      </c>
      <c r="F180" s="179">
        <f t="shared" si="8"/>
        <v>0</v>
      </c>
      <c r="H180" s="664">
        <f t="shared" si="9"/>
        <v>0</v>
      </c>
    </row>
    <row r="181" spans="1:8">
      <c r="A181" s="179" t="s">
        <v>48</v>
      </c>
      <c r="B181" s="179">
        <f t="shared" si="4"/>
        <v>0</v>
      </c>
      <c r="C181" s="179">
        <f t="shared" si="5"/>
        <v>0</v>
      </c>
      <c r="D181" s="179">
        <f t="shared" si="6"/>
        <v>0</v>
      </c>
      <c r="E181" s="179">
        <f t="shared" si="7"/>
        <v>0</v>
      </c>
      <c r="F181" s="179">
        <f t="shared" si="8"/>
        <v>0</v>
      </c>
      <c r="H181" s="664">
        <f t="shared" si="9"/>
        <v>0</v>
      </c>
    </row>
    <row r="182" spans="1:8">
      <c r="A182" s="179" t="s">
        <v>0</v>
      </c>
      <c r="B182" s="179">
        <f t="shared" si="4"/>
        <v>0</v>
      </c>
      <c r="C182" s="179">
        <f t="shared" si="5"/>
        <v>0</v>
      </c>
      <c r="D182" s="179">
        <f t="shared" si="6"/>
        <v>0</v>
      </c>
      <c r="E182" s="179">
        <f t="shared" si="7"/>
        <v>0</v>
      </c>
      <c r="F182" s="179">
        <f t="shared" si="8"/>
        <v>0</v>
      </c>
      <c r="H182" s="664">
        <f t="shared" si="9"/>
        <v>0</v>
      </c>
    </row>
    <row r="183" spans="1:8">
      <c r="A183" s="179" t="s">
        <v>1</v>
      </c>
      <c r="B183" s="179">
        <f t="shared" si="4"/>
        <v>0</v>
      </c>
      <c r="C183" s="179">
        <f t="shared" si="5"/>
        <v>0</v>
      </c>
      <c r="D183" s="179">
        <f t="shared" si="6"/>
        <v>0</v>
      </c>
      <c r="E183" s="179">
        <f t="shared" si="7"/>
        <v>0</v>
      </c>
      <c r="F183" s="179">
        <f t="shared" si="8"/>
        <v>0</v>
      </c>
      <c r="H183" s="664">
        <f t="shared" si="9"/>
        <v>0</v>
      </c>
    </row>
    <row r="184" spans="1:8">
      <c r="A184" s="179" t="s">
        <v>2</v>
      </c>
      <c r="B184" s="179">
        <f t="shared" si="4"/>
        <v>0</v>
      </c>
      <c r="C184" s="179">
        <f t="shared" si="5"/>
        <v>0</v>
      </c>
      <c r="D184" s="179">
        <f t="shared" si="6"/>
        <v>0</v>
      </c>
      <c r="E184" s="179">
        <f t="shared" si="7"/>
        <v>0</v>
      </c>
      <c r="F184" s="179">
        <f t="shared" si="8"/>
        <v>0</v>
      </c>
      <c r="H184" s="664">
        <f t="shared" si="9"/>
        <v>0</v>
      </c>
    </row>
    <row r="185" spans="1:8">
      <c r="A185" s="179" t="s">
        <v>3</v>
      </c>
      <c r="B185" s="179">
        <f t="shared" si="4"/>
        <v>0</v>
      </c>
      <c r="C185" s="179">
        <f t="shared" si="5"/>
        <v>0</v>
      </c>
      <c r="D185" s="179">
        <f t="shared" si="6"/>
        <v>0</v>
      </c>
      <c r="E185" s="179">
        <f t="shared" si="7"/>
        <v>0</v>
      </c>
      <c r="F185" s="179">
        <f t="shared" si="8"/>
        <v>0</v>
      </c>
      <c r="H185" s="664">
        <f t="shared" si="9"/>
        <v>0</v>
      </c>
    </row>
    <row r="186" spans="1:8">
      <c r="A186" s="179" t="s">
        <v>49</v>
      </c>
      <c r="B186" s="179">
        <f t="shared" si="4"/>
        <v>0</v>
      </c>
      <c r="C186" s="179">
        <f t="shared" si="5"/>
        <v>0</v>
      </c>
      <c r="D186" s="179">
        <f t="shared" si="6"/>
        <v>0</v>
      </c>
      <c r="E186" s="179">
        <f t="shared" si="7"/>
        <v>0</v>
      </c>
      <c r="F186" s="179">
        <f t="shared" si="8"/>
        <v>0</v>
      </c>
      <c r="H186" s="664">
        <f t="shared" si="9"/>
        <v>0</v>
      </c>
    </row>
    <row r="187" spans="1:8">
      <c r="A187" s="179" t="s">
        <v>50</v>
      </c>
      <c r="B187" s="179">
        <f t="shared" si="4"/>
        <v>0</v>
      </c>
      <c r="C187" s="179">
        <f t="shared" si="5"/>
        <v>0</v>
      </c>
      <c r="D187" s="179">
        <f t="shared" si="6"/>
        <v>0</v>
      </c>
      <c r="E187" s="179">
        <f t="shared" si="7"/>
        <v>0</v>
      </c>
      <c r="F187" s="179">
        <f t="shared" si="8"/>
        <v>0</v>
      </c>
      <c r="H187" s="664">
        <f t="shared" si="9"/>
        <v>0</v>
      </c>
    </row>
    <row r="188" spans="1:8">
      <c r="A188" s="179" t="s">
        <v>51</v>
      </c>
      <c r="B188" s="179">
        <f t="shared" si="4"/>
        <v>0</v>
      </c>
      <c r="C188" s="179">
        <f t="shared" si="5"/>
        <v>0</v>
      </c>
      <c r="D188" s="179">
        <f t="shared" si="6"/>
        <v>0</v>
      </c>
      <c r="E188" s="179">
        <f t="shared" si="7"/>
        <v>0</v>
      </c>
      <c r="F188" s="179">
        <f t="shared" si="8"/>
        <v>0</v>
      </c>
      <c r="H188" s="664">
        <f t="shared" si="9"/>
        <v>0</v>
      </c>
    </row>
    <row r="189" spans="1:8">
      <c r="A189" s="179" t="s">
        <v>52</v>
      </c>
      <c r="B189" s="179">
        <f t="shared" si="4"/>
        <v>0</v>
      </c>
      <c r="C189" s="179">
        <f t="shared" si="5"/>
        <v>0</v>
      </c>
      <c r="D189" s="179">
        <f t="shared" si="6"/>
        <v>0</v>
      </c>
      <c r="E189" s="179">
        <f t="shared" si="7"/>
        <v>0</v>
      </c>
      <c r="F189" s="179">
        <f t="shared" si="8"/>
        <v>0</v>
      </c>
      <c r="H189" s="664">
        <f t="shared" si="9"/>
        <v>0</v>
      </c>
    </row>
    <row r="190" spans="1:8">
      <c r="A190" s="179" t="s">
        <v>53</v>
      </c>
      <c r="B190" s="179">
        <f t="shared" si="4"/>
        <v>0</v>
      </c>
      <c r="C190" s="179">
        <f t="shared" si="5"/>
        <v>0</v>
      </c>
      <c r="D190" s="179">
        <f t="shared" si="6"/>
        <v>0</v>
      </c>
      <c r="E190" s="179">
        <f t="shared" si="7"/>
        <v>0</v>
      </c>
      <c r="F190" s="179">
        <f t="shared" si="8"/>
        <v>0</v>
      </c>
      <c r="H190" s="664">
        <f t="shared" si="9"/>
        <v>0</v>
      </c>
    </row>
    <row r="191" spans="1:8">
      <c r="A191" s="179" t="s">
        <v>54</v>
      </c>
      <c r="B191" s="179">
        <f t="shared" si="4"/>
        <v>0</v>
      </c>
      <c r="C191" s="179">
        <f t="shared" si="5"/>
        <v>0</v>
      </c>
      <c r="D191" s="179">
        <f t="shared" si="6"/>
        <v>0</v>
      </c>
      <c r="E191" s="179">
        <f t="shared" si="7"/>
        <v>0</v>
      </c>
      <c r="F191" s="179">
        <f t="shared" si="8"/>
        <v>0</v>
      </c>
      <c r="H191" s="664">
        <f t="shared" si="9"/>
        <v>0</v>
      </c>
    </row>
    <row r="192" spans="1:8">
      <c r="A192" s="179" t="s">
        <v>55</v>
      </c>
      <c r="B192" s="179">
        <f t="shared" si="4"/>
        <v>0</v>
      </c>
      <c r="C192" s="179">
        <f t="shared" si="5"/>
        <v>0</v>
      </c>
      <c r="D192" s="179">
        <f t="shared" si="6"/>
        <v>0</v>
      </c>
      <c r="E192" s="179">
        <f t="shared" si="7"/>
        <v>0</v>
      </c>
      <c r="F192" s="179">
        <f t="shared" si="8"/>
        <v>0</v>
      </c>
      <c r="H192" s="664">
        <f t="shared" si="9"/>
        <v>0</v>
      </c>
    </row>
    <row r="193" spans="1:8">
      <c r="A193" s="179" t="s">
        <v>56</v>
      </c>
      <c r="B193" s="179">
        <f t="shared" ref="B193:B224" si="10">B71+B192</f>
        <v>0</v>
      </c>
      <c r="C193" s="179">
        <f t="shared" ref="C193:C224" si="11">C71+C192</f>
        <v>0</v>
      </c>
      <c r="D193" s="179">
        <f t="shared" ref="D193:D224" si="12">D71+D192</f>
        <v>0</v>
      </c>
      <c r="E193" s="179">
        <f t="shared" ref="E193:E224" si="13">E71+E192</f>
        <v>0</v>
      </c>
      <c r="F193" s="179">
        <f t="shared" ref="F193:F224" si="14">F71+F192</f>
        <v>0</v>
      </c>
      <c r="H193" s="664">
        <f t="shared" si="9"/>
        <v>0</v>
      </c>
    </row>
    <row r="194" spans="1:8">
      <c r="A194" s="179" t="s">
        <v>57</v>
      </c>
      <c r="B194" s="179">
        <f t="shared" si="10"/>
        <v>0</v>
      </c>
      <c r="C194" s="179">
        <f t="shared" si="11"/>
        <v>0</v>
      </c>
      <c r="D194" s="179">
        <f t="shared" si="12"/>
        <v>0</v>
      </c>
      <c r="E194" s="179">
        <f t="shared" si="13"/>
        <v>0</v>
      </c>
      <c r="F194" s="179">
        <f t="shared" si="14"/>
        <v>0</v>
      </c>
      <c r="H194" s="664">
        <f t="shared" si="9"/>
        <v>0</v>
      </c>
    </row>
    <row r="195" spans="1:8">
      <c r="A195" s="179" t="s">
        <v>4</v>
      </c>
      <c r="B195" s="179">
        <f t="shared" si="10"/>
        <v>0</v>
      </c>
      <c r="C195" s="179">
        <f t="shared" si="11"/>
        <v>0</v>
      </c>
      <c r="D195" s="179">
        <f t="shared" si="12"/>
        <v>0</v>
      </c>
      <c r="E195" s="179">
        <f t="shared" si="13"/>
        <v>0</v>
      </c>
      <c r="F195" s="179">
        <f t="shared" si="14"/>
        <v>0</v>
      </c>
      <c r="H195" s="664">
        <f t="shared" si="9"/>
        <v>0</v>
      </c>
    </row>
    <row r="196" spans="1:8">
      <c r="A196" s="179" t="s">
        <v>5</v>
      </c>
      <c r="B196" s="179">
        <f t="shared" si="10"/>
        <v>0</v>
      </c>
      <c r="C196" s="179">
        <f t="shared" si="11"/>
        <v>0</v>
      </c>
      <c r="D196" s="179">
        <f t="shared" si="12"/>
        <v>0</v>
      </c>
      <c r="E196" s="179">
        <f t="shared" si="13"/>
        <v>0</v>
      </c>
      <c r="F196" s="179">
        <f t="shared" si="14"/>
        <v>0</v>
      </c>
      <c r="H196" s="664">
        <f t="shared" si="9"/>
        <v>0</v>
      </c>
    </row>
    <row r="197" spans="1:8">
      <c r="A197" s="179" t="s">
        <v>6</v>
      </c>
      <c r="B197" s="179">
        <f t="shared" si="10"/>
        <v>0</v>
      </c>
      <c r="C197" s="179">
        <f t="shared" si="11"/>
        <v>0</v>
      </c>
      <c r="D197" s="179">
        <f t="shared" si="12"/>
        <v>0</v>
      </c>
      <c r="E197" s="179">
        <f t="shared" si="13"/>
        <v>0</v>
      </c>
      <c r="F197" s="179">
        <f t="shared" si="14"/>
        <v>0</v>
      </c>
      <c r="H197" s="664">
        <f t="shared" si="9"/>
        <v>0</v>
      </c>
    </row>
    <row r="198" spans="1:8">
      <c r="A198" s="179" t="s">
        <v>7</v>
      </c>
      <c r="B198" s="179">
        <f t="shared" si="10"/>
        <v>0</v>
      </c>
      <c r="C198" s="179">
        <f t="shared" si="11"/>
        <v>0</v>
      </c>
      <c r="D198" s="179">
        <f t="shared" si="12"/>
        <v>0</v>
      </c>
      <c r="E198" s="179">
        <f t="shared" si="13"/>
        <v>0</v>
      </c>
      <c r="F198" s="179">
        <f t="shared" si="14"/>
        <v>0</v>
      </c>
      <c r="H198" s="664">
        <f t="shared" si="9"/>
        <v>0</v>
      </c>
    </row>
    <row r="199" spans="1:8">
      <c r="A199" s="179" t="s">
        <v>58</v>
      </c>
      <c r="B199" s="179">
        <f t="shared" si="10"/>
        <v>0</v>
      </c>
      <c r="C199" s="179">
        <f t="shared" si="11"/>
        <v>0</v>
      </c>
      <c r="D199" s="179">
        <f t="shared" si="12"/>
        <v>0</v>
      </c>
      <c r="E199" s="179">
        <f t="shared" si="13"/>
        <v>0</v>
      </c>
      <c r="F199" s="179">
        <f t="shared" si="14"/>
        <v>0</v>
      </c>
      <c r="H199" s="664">
        <f t="shared" si="9"/>
        <v>0</v>
      </c>
    </row>
    <row r="200" spans="1:8">
      <c r="A200" s="179" t="s">
        <v>59</v>
      </c>
      <c r="B200" s="179">
        <f t="shared" si="10"/>
        <v>0</v>
      </c>
      <c r="C200" s="179">
        <f t="shared" si="11"/>
        <v>0</v>
      </c>
      <c r="D200" s="179">
        <f t="shared" si="12"/>
        <v>0</v>
      </c>
      <c r="E200" s="179">
        <f t="shared" si="13"/>
        <v>0</v>
      </c>
      <c r="F200" s="179">
        <f t="shared" si="14"/>
        <v>0</v>
      </c>
      <c r="H200" s="664">
        <f t="shared" si="9"/>
        <v>0</v>
      </c>
    </row>
    <row r="201" spans="1:8">
      <c r="A201" s="179" t="s">
        <v>60</v>
      </c>
      <c r="B201" s="179">
        <f t="shared" si="10"/>
        <v>0</v>
      </c>
      <c r="C201" s="179">
        <f t="shared" si="11"/>
        <v>0</v>
      </c>
      <c r="D201" s="179">
        <f t="shared" si="12"/>
        <v>0</v>
      </c>
      <c r="E201" s="179">
        <f t="shared" si="13"/>
        <v>0</v>
      </c>
      <c r="F201" s="179">
        <f t="shared" si="14"/>
        <v>0</v>
      </c>
      <c r="H201" s="664">
        <f t="shared" si="9"/>
        <v>0</v>
      </c>
    </row>
    <row r="202" spans="1:8">
      <c r="A202" s="179" t="s">
        <v>61</v>
      </c>
      <c r="B202" s="179">
        <f t="shared" si="10"/>
        <v>0</v>
      </c>
      <c r="C202" s="179">
        <f t="shared" si="11"/>
        <v>0</v>
      </c>
      <c r="D202" s="179">
        <f t="shared" si="12"/>
        <v>0</v>
      </c>
      <c r="E202" s="179">
        <f t="shared" si="13"/>
        <v>0</v>
      </c>
      <c r="F202" s="179">
        <f t="shared" si="14"/>
        <v>0</v>
      </c>
      <c r="H202" s="664">
        <f t="shared" si="9"/>
        <v>0</v>
      </c>
    </row>
    <row r="203" spans="1:8">
      <c r="A203" s="179" t="s">
        <v>62</v>
      </c>
      <c r="B203" s="179">
        <f t="shared" si="10"/>
        <v>0</v>
      </c>
      <c r="C203" s="179">
        <f t="shared" si="11"/>
        <v>0</v>
      </c>
      <c r="D203" s="179">
        <f t="shared" si="12"/>
        <v>0</v>
      </c>
      <c r="E203" s="179">
        <f t="shared" si="13"/>
        <v>0</v>
      </c>
      <c r="F203" s="179">
        <f t="shared" si="14"/>
        <v>0</v>
      </c>
      <c r="H203" s="664">
        <f t="shared" si="9"/>
        <v>0</v>
      </c>
    </row>
    <row r="204" spans="1:8">
      <c r="A204" s="179" t="s">
        <v>63</v>
      </c>
      <c r="B204" s="179">
        <f t="shared" si="10"/>
        <v>0</v>
      </c>
      <c r="C204" s="179">
        <f t="shared" si="11"/>
        <v>0</v>
      </c>
      <c r="D204" s="179">
        <f t="shared" si="12"/>
        <v>0</v>
      </c>
      <c r="E204" s="179">
        <f t="shared" si="13"/>
        <v>0</v>
      </c>
      <c r="F204" s="179">
        <f t="shared" si="14"/>
        <v>0</v>
      </c>
      <c r="H204" s="664">
        <f t="shared" si="9"/>
        <v>0</v>
      </c>
    </row>
    <row r="205" spans="1:8">
      <c r="A205" s="179" t="s">
        <v>64</v>
      </c>
      <c r="B205" s="179">
        <f t="shared" si="10"/>
        <v>0</v>
      </c>
      <c r="C205" s="179">
        <f t="shared" si="11"/>
        <v>0</v>
      </c>
      <c r="D205" s="179">
        <f t="shared" si="12"/>
        <v>0</v>
      </c>
      <c r="E205" s="179">
        <f t="shared" si="13"/>
        <v>0</v>
      </c>
      <c r="F205" s="179">
        <f t="shared" si="14"/>
        <v>0</v>
      </c>
      <c r="H205" s="664">
        <f t="shared" si="9"/>
        <v>0</v>
      </c>
    </row>
    <row r="206" spans="1:8">
      <c r="A206" s="179" t="s">
        <v>65</v>
      </c>
      <c r="B206" s="179">
        <f t="shared" si="10"/>
        <v>0</v>
      </c>
      <c r="C206" s="179">
        <f t="shared" si="11"/>
        <v>0</v>
      </c>
      <c r="D206" s="179">
        <f t="shared" si="12"/>
        <v>0</v>
      </c>
      <c r="E206" s="179">
        <f t="shared" si="13"/>
        <v>0</v>
      </c>
      <c r="F206" s="179">
        <f t="shared" si="14"/>
        <v>0</v>
      </c>
      <c r="H206" s="664">
        <f t="shared" si="9"/>
        <v>0</v>
      </c>
    </row>
    <row r="207" spans="1:8">
      <c r="A207" s="179" t="s">
        <v>66</v>
      </c>
      <c r="B207" s="179">
        <f t="shared" si="10"/>
        <v>0</v>
      </c>
      <c r="C207" s="179">
        <f t="shared" si="11"/>
        <v>0</v>
      </c>
      <c r="D207" s="179">
        <f t="shared" si="12"/>
        <v>0</v>
      </c>
      <c r="E207" s="179">
        <f t="shared" si="13"/>
        <v>0</v>
      </c>
      <c r="F207" s="179">
        <f t="shared" si="14"/>
        <v>0</v>
      </c>
      <c r="H207" s="664">
        <f t="shared" si="9"/>
        <v>0</v>
      </c>
    </row>
    <row r="208" spans="1:8">
      <c r="A208" s="179" t="s">
        <v>8</v>
      </c>
      <c r="B208" s="179">
        <f t="shared" si="10"/>
        <v>0</v>
      </c>
      <c r="C208" s="179">
        <f t="shared" si="11"/>
        <v>0</v>
      </c>
      <c r="D208" s="179">
        <f t="shared" si="12"/>
        <v>0</v>
      </c>
      <c r="E208" s="179">
        <f t="shared" si="13"/>
        <v>0</v>
      </c>
      <c r="F208" s="179">
        <f t="shared" si="14"/>
        <v>0</v>
      </c>
      <c r="H208" s="664">
        <f t="shared" si="9"/>
        <v>0</v>
      </c>
    </row>
    <row r="209" spans="1:8">
      <c r="A209" s="179" t="s">
        <v>9</v>
      </c>
      <c r="B209" s="179">
        <f t="shared" si="10"/>
        <v>0</v>
      </c>
      <c r="C209" s="179">
        <f t="shared" si="11"/>
        <v>0</v>
      </c>
      <c r="D209" s="179">
        <f t="shared" si="12"/>
        <v>0</v>
      </c>
      <c r="E209" s="179">
        <f t="shared" si="13"/>
        <v>0</v>
      </c>
      <c r="F209" s="179">
        <f t="shared" si="14"/>
        <v>0</v>
      </c>
      <c r="H209" s="664">
        <f t="shared" si="9"/>
        <v>0</v>
      </c>
    </row>
    <row r="210" spans="1:8">
      <c r="A210" s="179" t="s">
        <v>10</v>
      </c>
      <c r="B210" s="179">
        <f t="shared" si="10"/>
        <v>0</v>
      </c>
      <c r="C210" s="179">
        <f t="shared" si="11"/>
        <v>0</v>
      </c>
      <c r="D210" s="179">
        <f t="shared" si="12"/>
        <v>0</v>
      </c>
      <c r="E210" s="179">
        <f t="shared" si="13"/>
        <v>0</v>
      </c>
      <c r="F210" s="179">
        <f t="shared" si="14"/>
        <v>0</v>
      </c>
      <c r="H210" s="664">
        <f t="shared" si="9"/>
        <v>0</v>
      </c>
    </row>
    <row r="211" spans="1:8">
      <c r="A211" s="179" t="s">
        <v>11</v>
      </c>
      <c r="B211" s="179">
        <f t="shared" si="10"/>
        <v>0</v>
      </c>
      <c r="C211" s="179">
        <f t="shared" si="11"/>
        <v>0</v>
      </c>
      <c r="D211" s="179">
        <f t="shared" si="12"/>
        <v>0</v>
      </c>
      <c r="E211" s="179">
        <f t="shared" si="13"/>
        <v>0</v>
      </c>
      <c r="F211" s="179">
        <f t="shared" si="14"/>
        <v>0</v>
      </c>
      <c r="H211" s="664">
        <f t="shared" si="9"/>
        <v>0</v>
      </c>
    </row>
    <row r="212" spans="1:8">
      <c r="A212" s="179" t="s">
        <v>67</v>
      </c>
      <c r="B212" s="179">
        <f t="shared" si="10"/>
        <v>314.77839540000002</v>
      </c>
      <c r="C212" s="179">
        <f t="shared" si="11"/>
        <v>0</v>
      </c>
      <c r="D212" s="179">
        <f t="shared" si="12"/>
        <v>0</v>
      </c>
      <c r="E212" s="179">
        <f t="shared" si="13"/>
        <v>0</v>
      </c>
      <c r="F212" s="179">
        <f t="shared" si="14"/>
        <v>0</v>
      </c>
      <c r="H212" s="664">
        <f t="shared" si="9"/>
        <v>314.77839540000002</v>
      </c>
    </row>
    <row r="213" spans="1:8">
      <c r="A213" s="179" t="s">
        <v>68</v>
      </c>
      <c r="B213" s="179">
        <f t="shared" si="10"/>
        <v>769.67918370000007</v>
      </c>
      <c r="C213" s="179">
        <f t="shared" si="11"/>
        <v>363.92063064000001</v>
      </c>
      <c r="D213" s="179">
        <f t="shared" si="12"/>
        <v>0</v>
      </c>
      <c r="E213" s="179">
        <f t="shared" si="13"/>
        <v>0</v>
      </c>
      <c r="F213" s="179">
        <f t="shared" si="14"/>
        <v>0</v>
      </c>
      <c r="H213" s="664">
        <f t="shared" si="9"/>
        <v>1133.5998143400002</v>
      </c>
    </row>
    <row r="214" spans="1:8">
      <c r="A214" s="179" t="s">
        <v>69</v>
      </c>
      <c r="B214" s="179">
        <f t="shared" si="10"/>
        <v>1333.8806806500002</v>
      </c>
      <c r="C214" s="179">
        <f t="shared" si="11"/>
        <v>815.28182820000006</v>
      </c>
      <c r="D214" s="179">
        <f t="shared" si="12"/>
        <v>0</v>
      </c>
      <c r="E214" s="179">
        <f t="shared" si="13"/>
        <v>0</v>
      </c>
      <c r="F214" s="179">
        <f t="shared" si="14"/>
        <v>0</v>
      </c>
      <c r="H214" s="664">
        <f t="shared" si="9"/>
        <v>2149.1625088500004</v>
      </c>
    </row>
    <row r="215" spans="1:8">
      <c r="A215" s="179" t="s">
        <v>70</v>
      </c>
      <c r="B215" s="179">
        <f t="shared" si="10"/>
        <v>1776.9612933000001</v>
      </c>
      <c r="C215" s="179">
        <f t="shared" si="11"/>
        <v>1169.74631832</v>
      </c>
      <c r="D215" s="179">
        <f t="shared" si="12"/>
        <v>0</v>
      </c>
      <c r="E215" s="179">
        <f t="shared" si="13"/>
        <v>0</v>
      </c>
      <c r="F215" s="179">
        <f t="shared" si="14"/>
        <v>0</v>
      </c>
      <c r="H215" s="664">
        <f t="shared" si="9"/>
        <v>2946.7076116200001</v>
      </c>
    </row>
    <row r="216" spans="1:8">
      <c r="A216" s="179" t="s">
        <v>71</v>
      </c>
      <c r="B216" s="179">
        <f t="shared" si="10"/>
        <v>2646.3596907000001</v>
      </c>
      <c r="C216" s="179">
        <f t="shared" si="11"/>
        <v>1865.26503624</v>
      </c>
      <c r="D216" s="179">
        <f t="shared" si="12"/>
        <v>0</v>
      </c>
      <c r="E216" s="179">
        <f t="shared" si="13"/>
        <v>0</v>
      </c>
      <c r="F216" s="179">
        <f t="shared" si="14"/>
        <v>0</v>
      </c>
      <c r="H216" s="664">
        <f t="shared" si="9"/>
        <v>4511.6247269400001</v>
      </c>
    </row>
    <row r="217" spans="1:8">
      <c r="A217" s="179" t="s">
        <v>72</v>
      </c>
      <c r="B217" s="179">
        <f t="shared" si="10"/>
        <v>3509.834382</v>
      </c>
      <c r="C217" s="179">
        <f t="shared" si="11"/>
        <v>2556.0447892800003</v>
      </c>
      <c r="D217" s="179">
        <f t="shared" si="12"/>
        <v>0</v>
      </c>
      <c r="E217" s="179">
        <f t="shared" si="13"/>
        <v>0</v>
      </c>
      <c r="F217" s="179">
        <f t="shared" si="14"/>
        <v>0</v>
      </c>
      <c r="H217" s="664">
        <f t="shared" si="9"/>
        <v>6065.8791712800003</v>
      </c>
    </row>
    <row r="218" spans="1:8">
      <c r="A218" s="179" t="s">
        <v>73</v>
      </c>
      <c r="B218" s="179">
        <f t="shared" si="10"/>
        <v>4302.5396908499997</v>
      </c>
      <c r="C218" s="179">
        <f t="shared" si="11"/>
        <v>2556.0447892800003</v>
      </c>
      <c r="D218" s="179">
        <f t="shared" si="12"/>
        <v>0</v>
      </c>
      <c r="E218" s="179">
        <f t="shared" si="13"/>
        <v>0</v>
      </c>
      <c r="F218" s="179">
        <f t="shared" si="14"/>
        <v>0</v>
      </c>
      <c r="H218" s="664">
        <f t="shared" si="9"/>
        <v>6858.58448013</v>
      </c>
    </row>
    <row r="219" spans="1:8">
      <c r="A219" s="179" t="s">
        <v>74</v>
      </c>
      <c r="B219" s="179">
        <f t="shared" si="10"/>
        <v>5702.0467660499999</v>
      </c>
      <c r="C219" s="179">
        <f t="shared" si="11"/>
        <v>2556.0447892800003</v>
      </c>
      <c r="D219" s="179">
        <f t="shared" si="12"/>
        <v>1119.6056601600001</v>
      </c>
      <c r="E219" s="179">
        <f t="shared" si="13"/>
        <v>0</v>
      </c>
      <c r="F219" s="179">
        <f t="shared" si="14"/>
        <v>0</v>
      </c>
      <c r="H219" s="664">
        <f t="shared" si="9"/>
        <v>9377.6972154899995</v>
      </c>
    </row>
    <row r="220" spans="1:8">
      <c r="A220" s="179" t="s">
        <v>75</v>
      </c>
      <c r="B220" s="179">
        <f t="shared" si="10"/>
        <v>6360.0822883499995</v>
      </c>
      <c r="C220" s="179">
        <f t="shared" si="11"/>
        <v>2556.0447892800003</v>
      </c>
      <c r="D220" s="179">
        <f t="shared" si="12"/>
        <v>1646.0340780000001</v>
      </c>
      <c r="E220" s="179">
        <f t="shared" si="13"/>
        <v>0</v>
      </c>
      <c r="F220" s="179">
        <f t="shared" si="14"/>
        <v>0</v>
      </c>
      <c r="H220" s="664">
        <f t="shared" si="9"/>
        <v>10562.161155630001</v>
      </c>
    </row>
    <row r="221" spans="1:8">
      <c r="A221" s="179" t="s">
        <v>12</v>
      </c>
      <c r="B221" s="179">
        <f t="shared" si="10"/>
        <v>7032.5489669999997</v>
      </c>
      <c r="C221" s="179">
        <f t="shared" si="11"/>
        <v>2556.0447892800003</v>
      </c>
      <c r="D221" s="179">
        <f t="shared" si="12"/>
        <v>2184.0074209200002</v>
      </c>
      <c r="E221" s="179">
        <f t="shared" si="13"/>
        <v>0</v>
      </c>
      <c r="F221" s="179">
        <f t="shared" si="14"/>
        <v>0</v>
      </c>
      <c r="H221" s="664">
        <f t="shared" si="9"/>
        <v>11772.601177199998</v>
      </c>
    </row>
    <row r="222" spans="1:8">
      <c r="A222" s="179" t="s">
        <v>13</v>
      </c>
      <c r="B222" s="179">
        <f t="shared" si="10"/>
        <v>7677.28765965</v>
      </c>
      <c r="C222" s="179">
        <f t="shared" si="11"/>
        <v>2556.0447892800003</v>
      </c>
      <c r="D222" s="179">
        <f t="shared" si="12"/>
        <v>2184.0074209200002</v>
      </c>
      <c r="E222" s="179">
        <f t="shared" si="13"/>
        <v>0</v>
      </c>
      <c r="F222" s="179">
        <f t="shared" si="14"/>
        <v>0</v>
      </c>
      <c r="H222" s="664">
        <f t="shared" si="9"/>
        <v>12417.339869849999</v>
      </c>
    </row>
    <row r="223" spans="1:8">
      <c r="A223" s="179" t="s">
        <v>14</v>
      </c>
      <c r="B223" s="179">
        <f t="shared" si="10"/>
        <v>8306.775959999999</v>
      </c>
      <c r="C223" s="179">
        <f t="shared" si="11"/>
        <v>2556.0447892800003</v>
      </c>
      <c r="D223" s="179">
        <f t="shared" si="12"/>
        <v>2184.0074209200002</v>
      </c>
      <c r="E223" s="179">
        <f t="shared" si="13"/>
        <v>503.59064028</v>
      </c>
      <c r="F223" s="179">
        <f t="shared" si="14"/>
        <v>0</v>
      </c>
      <c r="H223" s="664">
        <f t="shared" si="9"/>
        <v>13550.418810479998</v>
      </c>
    </row>
    <row r="224" spans="1:8">
      <c r="A224" s="179" t="s">
        <v>15</v>
      </c>
      <c r="B224" s="179">
        <f t="shared" si="10"/>
        <v>8921.8961221499994</v>
      </c>
      <c r="C224" s="179">
        <f t="shared" si="11"/>
        <v>2556.0447892800003</v>
      </c>
      <c r="D224" s="179">
        <f t="shared" si="12"/>
        <v>2184.0074209200002</v>
      </c>
      <c r="E224" s="179">
        <f t="shared" si="13"/>
        <v>995.68677000000002</v>
      </c>
      <c r="F224" s="179">
        <f t="shared" si="14"/>
        <v>0</v>
      </c>
      <c r="H224" s="664">
        <f t="shared" si="9"/>
        <v>14657.635102349999</v>
      </c>
    </row>
    <row r="225" spans="1:8">
      <c r="A225" s="179" t="s">
        <v>76</v>
      </c>
      <c r="B225" s="179">
        <f t="shared" ref="B225:B250" si="15">B103+B224</f>
        <v>9521.6398556999993</v>
      </c>
      <c r="C225" s="179">
        <f t="shared" ref="C225:C250" si="16">C103+C224</f>
        <v>2556.0447892800003</v>
      </c>
      <c r="D225" s="179">
        <f t="shared" ref="D225:D250" si="17">D103+D224</f>
        <v>2184.0074209200002</v>
      </c>
      <c r="E225" s="179">
        <f t="shared" ref="E225:E250" si="18">E103+E224</f>
        <v>1475.4817568399999</v>
      </c>
      <c r="F225" s="179">
        <f t="shared" ref="F225:F250" si="19">F103+F224</f>
        <v>0</v>
      </c>
      <c r="H225" s="664">
        <f t="shared" si="9"/>
        <v>15737.173822739998</v>
      </c>
    </row>
    <row r="226" spans="1:8">
      <c r="A226" s="179" t="s">
        <v>77</v>
      </c>
      <c r="B226" s="179">
        <f t="shared" si="15"/>
        <v>10108.086759599999</v>
      </c>
      <c r="C226" s="179">
        <f t="shared" si="16"/>
        <v>2556.0447892800003</v>
      </c>
      <c r="D226" s="179">
        <f t="shared" si="17"/>
        <v>2184.0074209200002</v>
      </c>
      <c r="E226" s="179">
        <f t="shared" si="18"/>
        <v>1944.6392799599998</v>
      </c>
      <c r="F226" s="179">
        <f t="shared" si="19"/>
        <v>0</v>
      </c>
      <c r="H226" s="664">
        <f t="shared" si="9"/>
        <v>16792.778249759998</v>
      </c>
    </row>
    <row r="227" spans="1:8">
      <c r="A227" s="179" t="s">
        <v>78</v>
      </c>
      <c r="B227" s="179">
        <f t="shared" si="15"/>
        <v>10643.703872289749</v>
      </c>
      <c r="C227" s="179">
        <f t="shared" si="16"/>
        <v>2556.0447892800003</v>
      </c>
      <c r="D227" s="179">
        <f t="shared" si="17"/>
        <v>2184.0074209200002</v>
      </c>
      <c r="E227" s="179">
        <f t="shared" si="18"/>
        <v>2373.1329701117998</v>
      </c>
      <c r="F227" s="179">
        <f t="shared" si="19"/>
        <v>0</v>
      </c>
      <c r="H227" s="664">
        <f t="shared" si="9"/>
        <v>17756.889052601549</v>
      </c>
    </row>
    <row r="228" spans="1:8">
      <c r="A228" s="179" t="s">
        <v>79</v>
      </c>
      <c r="B228" s="179">
        <f t="shared" si="15"/>
        <v>11174.076192039749</v>
      </c>
      <c r="C228" s="179">
        <f t="shared" si="16"/>
        <v>2556.0447892800003</v>
      </c>
      <c r="D228" s="179">
        <f t="shared" si="17"/>
        <v>2184.0074209200002</v>
      </c>
      <c r="E228" s="179">
        <f t="shared" si="18"/>
        <v>2797.4308259117997</v>
      </c>
      <c r="F228" s="179">
        <f t="shared" si="19"/>
        <v>0</v>
      </c>
      <c r="H228" s="664">
        <f t="shared" si="9"/>
        <v>18711.559228151549</v>
      </c>
    </row>
    <row r="229" spans="1:8">
      <c r="A229" s="179" t="s">
        <v>80</v>
      </c>
      <c r="B229" s="179">
        <f t="shared" si="15"/>
        <v>11704.448511789749</v>
      </c>
      <c r="C229" s="179">
        <f t="shared" si="16"/>
        <v>2556.0447892800003</v>
      </c>
      <c r="D229" s="179">
        <f t="shared" si="17"/>
        <v>2184.0074209200002</v>
      </c>
      <c r="E229" s="179">
        <f t="shared" si="18"/>
        <v>3221.7286817117997</v>
      </c>
      <c r="F229" s="179">
        <f t="shared" si="19"/>
        <v>0</v>
      </c>
      <c r="H229" s="664">
        <f t="shared" si="9"/>
        <v>19666.229403701549</v>
      </c>
    </row>
    <row r="230" spans="1:8">
      <c r="A230" s="179" t="s">
        <v>81</v>
      </c>
      <c r="B230" s="179">
        <f t="shared" si="15"/>
        <v>12234.82083153975</v>
      </c>
      <c r="C230" s="179">
        <f t="shared" si="16"/>
        <v>2556.0447892800003</v>
      </c>
      <c r="D230" s="179">
        <f t="shared" si="17"/>
        <v>2184.0074209200002</v>
      </c>
      <c r="E230" s="179">
        <f t="shared" si="18"/>
        <v>3646.0265375117997</v>
      </c>
      <c r="F230" s="179">
        <f t="shared" si="19"/>
        <v>0</v>
      </c>
      <c r="H230" s="664">
        <f t="shared" si="9"/>
        <v>20620.899579251549</v>
      </c>
    </row>
    <row r="231" spans="1:8">
      <c r="A231" s="179" t="s">
        <v>82</v>
      </c>
      <c r="B231" s="179">
        <f t="shared" si="15"/>
        <v>12765.19315128975</v>
      </c>
      <c r="C231" s="179">
        <f t="shared" si="16"/>
        <v>2556.0447892800003</v>
      </c>
      <c r="D231" s="179">
        <f t="shared" si="17"/>
        <v>2184.0074209200002</v>
      </c>
      <c r="E231" s="179">
        <f t="shared" si="18"/>
        <v>4070.3243933117997</v>
      </c>
      <c r="F231" s="179">
        <f t="shared" si="19"/>
        <v>0</v>
      </c>
      <c r="H231" s="664">
        <f t="shared" ref="H231:H276" si="20">SUM(B231:F231)</f>
        <v>21575.569754801549</v>
      </c>
    </row>
    <row r="232" spans="1:8">
      <c r="A232" s="179" t="s">
        <v>83</v>
      </c>
      <c r="B232" s="179">
        <f t="shared" si="15"/>
        <v>13177.70495553975</v>
      </c>
      <c r="C232" s="179">
        <f t="shared" si="16"/>
        <v>2556.0447892800003</v>
      </c>
      <c r="D232" s="179">
        <f t="shared" si="17"/>
        <v>2184.0074209200002</v>
      </c>
      <c r="E232" s="179">
        <f t="shared" si="18"/>
        <v>4400.3338367117994</v>
      </c>
      <c r="F232" s="179">
        <f t="shared" si="19"/>
        <v>0</v>
      </c>
      <c r="H232" s="664">
        <f t="shared" si="20"/>
        <v>22318.091002451547</v>
      </c>
    </row>
    <row r="233" spans="1:8">
      <c r="A233" s="179" t="s">
        <v>84</v>
      </c>
      <c r="B233" s="179">
        <f t="shared" si="15"/>
        <v>13590.21675978975</v>
      </c>
      <c r="C233" s="179">
        <f t="shared" si="16"/>
        <v>2556.0447892800003</v>
      </c>
      <c r="D233" s="179">
        <f t="shared" si="17"/>
        <v>2184.0074209200002</v>
      </c>
      <c r="E233" s="179">
        <f t="shared" si="18"/>
        <v>4730.3432801117997</v>
      </c>
      <c r="F233" s="179">
        <f t="shared" si="19"/>
        <v>0</v>
      </c>
      <c r="H233" s="664">
        <f t="shared" si="20"/>
        <v>23060.612250101549</v>
      </c>
    </row>
    <row r="234" spans="1:8">
      <c r="A234" s="179" t="s">
        <v>16</v>
      </c>
      <c r="B234" s="179">
        <f t="shared" si="15"/>
        <v>14002.728564039749</v>
      </c>
      <c r="C234" s="179">
        <f t="shared" si="16"/>
        <v>2556.0447892800003</v>
      </c>
      <c r="D234" s="179">
        <f t="shared" si="17"/>
        <v>2184.0074209200002</v>
      </c>
      <c r="E234" s="179">
        <f t="shared" si="18"/>
        <v>5060.3527235117999</v>
      </c>
      <c r="F234" s="179">
        <f t="shared" si="19"/>
        <v>0</v>
      </c>
      <c r="H234" s="664">
        <f t="shared" si="20"/>
        <v>23803.133497751551</v>
      </c>
    </row>
    <row r="235" spans="1:8">
      <c r="A235" s="179" t="s">
        <v>17</v>
      </c>
      <c r="B235" s="179">
        <f t="shared" si="15"/>
        <v>14297.379852789749</v>
      </c>
      <c r="C235" s="179">
        <f t="shared" si="16"/>
        <v>2556.0447892800003</v>
      </c>
      <c r="D235" s="179">
        <f t="shared" si="17"/>
        <v>2184.0074209200002</v>
      </c>
      <c r="E235" s="179">
        <f t="shared" si="18"/>
        <v>5296.0737545118</v>
      </c>
      <c r="F235" s="179">
        <f t="shared" si="19"/>
        <v>0</v>
      </c>
      <c r="H235" s="664">
        <f t="shared" si="20"/>
        <v>24333.505817501547</v>
      </c>
    </row>
    <row r="236" spans="1:8">
      <c r="A236" s="179" t="s">
        <v>18</v>
      </c>
      <c r="B236" s="179">
        <f t="shared" si="15"/>
        <v>14592.031141539748</v>
      </c>
      <c r="C236" s="179">
        <f t="shared" si="16"/>
        <v>2556.0447892800003</v>
      </c>
      <c r="D236" s="179">
        <f t="shared" si="17"/>
        <v>2184.0074209200002</v>
      </c>
      <c r="E236" s="179">
        <f t="shared" si="18"/>
        <v>5531.7947855118</v>
      </c>
      <c r="F236" s="179">
        <f t="shared" si="19"/>
        <v>0</v>
      </c>
      <c r="H236" s="664">
        <f t="shared" si="20"/>
        <v>24863.878137251548</v>
      </c>
    </row>
    <row r="237" spans="1:8">
      <c r="A237" s="179" t="s">
        <v>19</v>
      </c>
      <c r="B237" s="179">
        <f t="shared" si="15"/>
        <v>14886.682430289748</v>
      </c>
      <c r="C237" s="179">
        <f t="shared" si="16"/>
        <v>2556.0447892800003</v>
      </c>
      <c r="D237" s="179">
        <f t="shared" si="17"/>
        <v>2184.0074209200002</v>
      </c>
      <c r="E237" s="179">
        <f t="shared" si="18"/>
        <v>5767.5158165118</v>
      </c>
      <c r="F237" s="179">
        <f t="shared" si="19"/>
        <v>0</v>
      </c>
      <c r="H237" s="664">
        <f t="shared" si="20"/>
        <v>25394.250457001548</v>
      </c>
    </row>
    <row r="238" spans="1:8">
      <c r="A238" s="179" t="s">
        <v>85</v>
      </c>
      <c r="B238" s="179">
        <f t="shared" si="15"/>
        <v>14886.682430289748</v>
      </c>
      <c r="C238" s="179">
        <f t="shared" si="16"/>
        <v>2556.0447892800003</v>
      </c>
      <c r="D238" s="179">
        <f t="shared" si="17"/>
        <v>2184.0074209200002</v>
      </c>
      <c r="E238" s="179">
        <f t="shared" si="18"/>
        <v>5767.5158165118</v>
      </c>
      <c r="F238" s="179">
        <f t="shared" si="19"/>
        <v>0</v>
      </c>
      <c r="H238" s="664">
        <f t="shared" si="20"/>
        <v>25394.250457001548</v>
      </c>
    </row>
    <row r="239" spans="1:8">
      <c r="A239" s="179" t="s">
        <v>86</v>
      </c>
      <c r="B239" s="179">
        <f t="shared" si="15"/>
        <v>14886.682430289748</v>
      </c>
      <c r="C239" s="179">
        <f t="shared" si="16"/>
        <v>2556.0447892800003</v>
      </c>
      <c r="D239" s="179">
        <f t="shared" si="17"/>
        <v>2184.0074209200002</v>
      </c>
      <c r="E239" s="179">
        <f t="shared" si="18"/>
        <v>5767.5158165118</v>
      </c>
      <c r="F239" s="179">
        <f t="shared" si="19"/>
        <v>0</v>
      </c>
      <c r="H239" s="664">
        <f t="shared" si="20"/>
        <v>25394.250457001548</v>
      </c>
    </row>
    <row r="240" spans="1:8">
      <c r="A240" s="179" t="s">
        <v>87</v>
      </c>
      <c r="B240" s="179">
        <f t="shared" si="15"/>
        <v>14886.682430289748</v>
      </c>
      <c r="C240" s="179">
        <f t="shared" si="16"/>
        <v>2556.0447892800003</v>
      </c>
      <c r="D240" s="179">
        <f t="shared" si="17"/>
        <v>2184.0074209200002</v>
      </c>
      <c r="E240" s="179">
        <f t="shared" si="18"/>
        <v>5767.5158165118</v>
      </c>
      <c r="F240" s="179">
        <f t="shared" si="19"/>
        <v>0</v>
      </c>
      <c r="H240" s="664">
        <f t="shared" si="20"/>
        <v>25394.250457001548</v>
      </c>
    </row>
    <row r="241" spans="1:8">
      <c r="A241" s="179" t="s">
        <v>88</v>
      </c>
      <c r="B241" s="179">
        <f t="shared" si="15"/>
        <v>14886.682430289748</v>
      </c>
      <c r="C241" s="179">
        <f t="shared" si="16"/>
        <v>2556.0447892800003</v>
      </c>
      <c r="D241" s="179">
        <f t="shared" si="17"/>
        <v>2184.0074209200002</v>
      </c>
      <c r="E241" s="179">
        <f t="shared" si="18"/>
        <v>5767.5158165118</v>
      </c>
      <c r="F241" s="179">
        <f t="shared" si="19"/>
        <v>0</v>
      </c>
      <c r="H241" s="664">
        <f t="shared" si="20"/>
        <v>25394.250457001548</v>
      </c>
    </row>
    <row r="242" spans="1:8">
      <c r="A242" s="179" t="s">
        <v>89</v>
      </c>
      <c r="B242" s="179">
        <f t="shared" si="15"/>
        <v>14886.682430289748</v>
      </c>
      <c r="C242" s="179">
        <f t="shared" si="16"/>
        <v>2556.0447892800003</v>
      </c>
      <c r="D242" s="179">
        <f t="shared" si="17"/>
        <v>2184.0074209200002</v>
      </c>
      <c r="E242" s="179">
        <f t="shared" si="18"/>
        <v>5767.5158165118</v>
      </c>
      <c r="F242" s="179">
        <f t="shared" si="19"/>
        <v>0</v>
      </c>
      <c r="H242" s="664">
        <f t="shared" si="20"/>
        <v>25394.250457001548</v>
      </c>
    </row>
    <row r="243" spans="1:8">
      <c r="A243" s="179" t="s">
        <v>90</v>
      </c>
      <c r="B243" s="179">
        <f t="shared" si="15"/>
        <v>14886.682430289748</v>
      </c>
      <c r="C243" s="179">
        <f t="shared" si="16"/>
        <v>2556.0447892800003</v>
      </c>
      <c r="D243" s="179">
        <f t="shared" si="17"/>
        <v>2184.0074209200002</v>
      </c>
      <c r="E243" s="179">
        <f t="shared" si="18"/>
        <v>5767.5158165118</v>
      </c>
      <c r="F243" s="179">
        <f t="shared" si="19"/>
        <v>0</v>
      </c>
      <c r="H243" s="664">
        <f t="shared" si="20"/>
        <v>25394.250457001548</v>
      </c>
    </row>
    <row r="244" spans="1:8">
      <c r="A244" s="179" t="s">
        <v>91</v>
      </c>
      <c r="B244" s="179">
        <f t="shared" si="15"/>
        <v>14886.682430289748</v>
      </c>
      <c r="C244" s="179">
        <f t="shared" si="16"/>
        <v>2556.0447892800003</v>
      </c>
      <c r="D244" s="179">
        <f t="shared" si="17"/>
        <v>2184.0074209200002</v>
      </c>
      <c r="E244" s="179">
        <f t="shared" si="18"/>
        <v>5767.5158165118</v>
      </c>
      <c r="F244" s="179">
        <f t="shared" si="19"/>
        <v>0</v>
      </c>
      <c r="H244" s="664">
        <f t="shared" si="20"/>
        <v>25394.250457001548</v>
      </c>
    </row>
    <row r="245" spans="1:8">
      <c r="A245" s="179" t="s">
        <v>92</v>
      </c>
      <c r="B245" s="179">
        <f t="shared" si="15"/>
        <v>14886.682430289748</v>
      </c>
      <c r="C245" s="179">
        <f t="shared" si="16"/>
        <v>2556.0447892800003</v>
      </c>
      <c r="D245" s="179">
        <f t="shared" si="17"/>
        <v>2184.0074209200002</v>
      </c>
      <c r="E245" s="179">
        <f t="shared" si="18"/>
        <v>5767.5158165118</v>
      </c>
      <c r="F245" s="179">
        <f t="shared" si="19"/>
        <v>0</v>
      </c>
      <c r="H245" s="664">
        <f t="shared" si="20"/>
        <v>25394.250457001548</v>
      </c>
    </row>
    <row r="246" spans="1:8">
      <c r="A246" s="179" t="s">
        <v>93</v>
      </c>
      <c r="B246" s="179">
        <f t="shared" si="15"/>
        <v>14886.682430289748</v>
      </c>
      <c r="C246" s="179">
        <f t="shared" si="16"/>
        <v>2556.0447892800003</v>
      </c>
      <c r="D246" s="179">
        <f t="shared" si="17"/>
        <v>2184.0074209200002</v>
      </c>
      <c r="E246" s="179">
        <f t="shared" si="18"/>
        <v>5767.5158165118</v>
      </c>
      <c r="F246" s="179">
        <f t="shared" si="19"/>
        <v>0</v>
      </c>
      <c r="H246" s="664">
        <f t="shared" si="20"/>
        <v>25394.250457001548</v>
      </c>
    </row>
    <row r="247" spans="1:8">
      <c r="A247" s="179" t="s">
        <v>20</v>
      </c>
      <c r="B247" s="179">
        <f t="shared" si="15"/>
        <v>14886.682430289748</v>
      </c>
      <c r="C247" s="179">
        <f t="shared" si="16"/>
        <v>2556.0447892800003</v>
      </c>
      <c r="D247" s="179">
        <f t="shared" si="17"/>
        <v>2184.0074209200002</v>
      </c>
      <c r="E247" s="179">
        <f t="shared" si="18"/>
        <v>5767.5158165118</v>
      </c>
      <c r="F247" s="179">
        <f t="shared" si="19"/>
        <v>0</v>
      </c>
      <c r="H247" s="664">
        <f t="shared" si="20"/>
        <v>25394.250457001548</v>
      </c>
    </row>
    <row r="248" spans="1:8">
      <c r="A248" s="179" t="s">
        <v>21</v>
      </c>
      <c r="B248" s="179">
        <f t="shared" si="15"/>
        <v>14886.682430289748</v>
      </c>
      <c r="C248" s="179">
        <f t="shared" si="16"/>
        <v>2556.0447892800003</v>
      </c>
      <c r="D248" s="179">
        <f t="shared" si="17"/>
        <v>2184.0074209200002</v>
      </c>
      <c r="E248" s="179">
        <f t="shared" si="18"/>
        <v>5767.5158165118</v>
      </c>
      <c r="F248" s="179">
        <f t="shared" si="19"/>
        <v>0</v>
      </c>
      <c r="H248" s="664">
        <f t="shared" si="20"/>
        <v>25394.250457001548</v>
      </c>
    </row>
    <row r="249" spans="1:8">
      <c r="A249" s="179" t="s">
        <v>22</v>
      </c>
      <c r="B249" s="179">
        <f t="shared" si="15"/>
        <v>14886.682430289748</v>
      </c>
      <c r="C249" s="179">
        <f t="shared" si="16"/>
        <v>2556.0447892800003</v>
      </c>
      <c r="D249" s="179">
        <f t="shared" si="17"/>
        <v>2184.0074209200002</v>
      </c>
      <c r="E249" s="179">
        <f t="shared" si="18"/>
        <v>5767.5158165118</v>
      </c>
      <c r="F249" s="179">
        <f t="shared" si="19"/>
        <v>0</v>
      </c>
      <c r="H249" s="664">
        <f t="shared" si="20"/>
        <v>25394.250457001548</v>
      </c>
    </row>
    <row r="250" spans="1:8">
      <c r="A250" s="179" t="s">
        <v>23</v>
      </c>
      <c r="B250" s="179">
        <f t="shared" si="15"/>
        <v>14886.682430289748</v>
      </c>
      <c r="C250" s="179">
        <f t="shared" si="16"/>
        <v>2556.0447892800003</v>
      </c>
      <c r="D250" s="179">
        <f t="shared" si="17"/>
        <v>2184.0074209200002</v>
      </c>
      <c r="E250" s="179">
        <f t="shared" si="18"/>
        <v>5767.5158165118</v>
      </c>
      <c r="F250" s="179">
        <f t="shared" si="19"/>
        <v>0</v>
      </c>
      <c r="H250" s="664">
        <f t="shared" si="20"/>
        <v>25394.250457001548</v>
      </c>
    </row>
    <row r="251" spans="1:8">
      <c r="A251" s="179" t="s">
        <v>974</v>
      </c>
      <c r="B251" s="179">
        <f t="shared" ref="B251:F251" si="21">B129+B250</f>
        <v>14886.682430289748</v>
      </c>
      <c r="C251" s="179">
        <f t="shared" si="21"/>
        <v>2556.0447892800003</v>
      </c>
      <c r="D251" s="179">
        <f t="shared" si="21"/>
        <v>2184.0074209200002</v>
      </c>
      <c r="E251" s="179">
        <f t="shared" si="21"/>
        <v>5767.5158165118</v>
      </c>
      <c r="F251" s="179">
        <f t="shared" si="21"/>
        <v>0</v>
      </c>
      <c r="H251" s="664">
        <f t="shared" si="20"/>
        <v>25394.250457001548</v>
      </c>
    </row>
    <row r="252" spans="1:8">
      <c r="A252" s="179" t="s">
        <v>975</v>
      </c>
      <c r="B252" s="179">
        <f t="shared" ref="B252:F252" si="22">B130+B251</f>
        <v>14886.682430289748</v>
      </c>
      <c r="C252" s="179">
        <f t="shared" si="22"/>
        <v>2556.0447892800003</v>
      </c>
      <c r="D252" s="179">
        <f t="shared" si="22"/>
        <v>2184.0074209200002</v>
      </c>
      <c r="E252" s="179">
        <f t="shared" si="22"/>
        <v>5767.5158165118</v>
      </c>
      <c r="F252" s="179">
        <f t="shared" si="22"/>
        <v>0</v>
      </c>
      <c r="H252" s="664">
        <f t="shared" si="20"/>
        <v>25394.250457001548</v>
      </c>
    </row>
    <row r="253" spans="1:8">
      <c r="A253" s="179" t="s">
        <v>976</v>
      </c>
      <c r="B253" s="179">
        <f t="shared" ref="B253:F253" si="23">B131+B252</f>
        <v>14886.682430289748</v>
      </c>
      <c r="C253" s="179">
        <f t="shared" si="23"/>
        <v>2556.0447892800003</v>
      </c>
      <c r="D253" s="179">
        <f t="shared" si="23"/>
        <v>2184.0074209200002</v>
      </c>
      <c r="E253" s="179">
        <f t="shared" si="23"/>
        <v>5767.5158165118</v>
      </c>
      <c r="F253" s="179">
        <f t="shared" si="23"/>
        <v>0</v>
      </c>
      <c r="H253" s="664">
        <f t="shared" si="20"/>
        <v>25394.250457001548</v>
      </c>
    </row>
    <row r="254" spans="1:8">
      <c r="A254" s="179" t="s">
        <v>977</v>
      </c>
      <c r="B254" s="179">
        <f t="shared" ref="B254:F254" si="24">B132+B253</f>
        <v>14886.682430289748</v>
      </c>
      <c r="C254" s="179">
        <f t="shared" si="24"/>
        <v>2556.0447892800003</v>
      </c>
      <c r="D254" s="179">
        <f t="shared" si="24"/>
        <v>2184.0074209200002</v>
      </c>
      <c r="E254" s="179">
        <f t="shared" si="24"/>
        <v>5767.5158165118</v>
      </c>
      <c r="F254" s="179">
        <f t="shared" si="24"/>
        <v>0</v>
      </c>
      <c r="H254" s="664">
        <f t="shared" si="20"/>
        <v>25394.250457001548</v>
      </c>
    </row>
    <row r="255" spans="1:8">
      <c r="A255" s="179" t="s">
        <v>978</v>
      </c>
      <c r="B255" s="179">
        <f t="shared" ref="B255:F255" si="25">B133+B254</f>
        <v>14886.682430289748</v>
      </c>
      <c r="C255" s="179">
        <f t="shared" si="25"/>
        <v>2556.0447892800003</v>
      </c>
      <c r="D255" s="179">
        <f t="shared" si="25"/>
        <v>2184.0074209200002</v>
      </c>
      <c r="E255" s="179">
        <f t="shared" si="25"/>
        <v>5767.5158165118</v>
      </c>
      <c r="F255" s="179">
        <f t="shared" si="25"/>
        <v>0</v>
      </c>
      <c r="H255" s="664">
        <f t="shared" si="20"/>
        <v>25394.250457001548</v>
      </c>
    </row>
    <row r="256" spans="1:8">
      <c r="A256" s="179" t="s">
        <v>979</v>
      </c>
      <c r="B256" s="179">
        <f t="shared" ref="B256:F256" si="26">B134+B255</f>
        <v>14886.682430289748</v>
      </c>
      <c r="C256" s="179">
        <f t="shared" si="26"/>
        <v>2556.0447892800003</v>
      </c>
      <c r="D256" s="179">
        <f t="shared" si="26"/>
        <v>2184.0074209200002</v>
      </c>
      <c r="E256" s="179">
        <f t="shared" si="26"/>
        <v>5767.5158165118</v>
      </c>
      <c r="F256" s="179">
        <f t="shared" si="26"/>
        <v>0</v>
      </c>
      <c r="H256" s="664">
        <f t="shared" si="20"/>
        <v>25394.250457001548</v>
      </c>
    </row>
    <row r="257" spans="1:8">
      <c r="A257" s="179" t="s">
        <v>980</v>
      </c>
      <c r="B257" s="179">
        <f t="shared" ref="B257:F257" si="27">B135+B256</f>
        <v>14886.682430289748</v>
      </c>
      <c r="C257" s="179">
        <f t="shared" si="27"/>
        <v>2556.0447892800003</v>
      </c>
      <c r="D257" s="179">
        <f t="shared" si="27"/>
        <v>2184.0074209200002</v>
      </c>
      <c r="E257" s="179">
        <f t="shared" si="27"/>
        <v>5767.5158165118</v>
      </c>
      <c r="F257" s="179">
        <f t="shared" si="27"/>
        <v>0</v>
      </c>
      <c r="H257" s="664">
        <f t="shared" si="20"/>
        <v>25394.250457001548</v>
      </c>
    </row>
    <row r="258" spans="1:8">
      <c r="A258" s="179" t="s">
        <v>981</v>
      </c>
      <c r="B258" s="179">
        <f t="shared" ref="B258:F258" si="28">B136+B257</f>
        <v>14886.682430289748</v>
      </c>
      <c r="C258" s="179">
        <f t="shared" si="28"/>
        <v>2556.0447892800003</v>
      </c>
      <c r="D258" s="179">
        <f t="shared" si="28"/>
        <v>2184.0074209200002</v>
      </c>
      <c r="E258" s="179">
        <f t="shared" si="28"/>
        <v>5767.5158165118</v>
      </c>
      <c r="F258" s="179">
        <f t="shared" si="28"/>
        <v>0</v>
      </c>
      <c r="H258" s="664">
        <f t="shared" si="20"/>
        <v>25394.250457001548</v>
      </c>
    </row>
    <row r="259" spans="1:8">
      <c r="A259" s="179" t="s">
        <v>982</v>
      </c>
      <c r="B259" s="179">
        <f t="shared" ref="B259:F259" si="29">B137+B258</f>
        <v>14886.682430289748</v>
      </c>
      <c r="C259" s="179">
        <f t="shared" si="29"/>
        <v>2556.0447892800003</v>
      </c>
      <c r="D259" s="179">
        <f t="shared" si="29"/>
        <v>2184.0074209200002</v>
      </c>
      <c r="E259" s="179">
        <f t="shared" si="29"/>
        <v>5767.5158165118</v>
      </c>
      <c r="F259" s="179">
        <f t="shared" si="29"/>
        <v>0</v>
      </c>
      <c r="H259" s="664">
        <f t="shared" si="20"/>
        <v>25394.250457001548</v>
      </c>
    </row>
    <row r="260" spans="1:8">
      <c r="A260" s="179" t="s">
        <v>983</v>
      </c>
      <c r="B260" s="179">
        <f t="shared" ref="B260:F260" si="30">B138+B259</f>
        <v>14886.682430289748</v>
      </c>
      <c r="C260" s="179">
        <f t="shared" si="30"/>
        <v>2556.0447892800003</v>
      </c>
      <c r="D260" s="179">
        <f t="shared" si="30"/>
        <v>2184.0074209200002</v>
      </c>
      <c r="E260" s="179">
        <f t="shared" si="30"/>
        <v>5767.5158165118</v>
      </c>
      <c r="F260" s="179">
        <f t="shared" si="30"/>
        <v>0</v>
      </c>
      <c r="H260" s="664">
        <f t="shared" si="20"/>
        <v>25394.250457001548</v>
      </c>
    </row>
    <row r="261" spans="1:8">
      <c r="A261" s="179" t="s">
        <v>984</v>
      </c>
      <c r="B261" s="179">
        <f t="shared" ref="B261:F261" si="31">B139+B260</f>
        <v>14886.682430289748</v>
      </c>
      <c r="C261" s="179">
        <f t="shared" si="31"/>
        <v>2556.0447892800003</v>
      </c>
      <c r="D261" s="179">
        <f t="shared" si="31"/>
        <v>2184.0074209200002</v>
      </c>
      <c r="E261" s="179">
        <f t="shared" si="31"/>
        <v>5767.5158165118</v>
      </c>
      <c r="F261" s="179">
        <f t="shared" si="31"/>
        <v>0</v>
      </c>
      <c r="H261" s="664">
        <f t="shared" si="20"/>
        <v>25394.250457001548</v>
      </c>
    </row>
    <row r="262" spans="1:8">
      <c r="A262" s="179" t="s">
        <v>985</v>
      </c>
      <c r="B262" s="179">
        <f t="shared" ref="B262:F262" si="32">B140+B261</f>
        <v>14886.682430289748</v>
      </c>
      <c r="C262" s="179">
        <f t="shared" si="32"/>
        <v>2556.0447892800003</v>
      </c>
      <c r="D262" s="179">
        <f t="shared" si="32"/>
        <v>2184.0074209200002</v>
      </c>
      <c r="E262" s="179">
        <f t="shared" si="32"/>
        <v>5767.5158165118</v>
      </c>
      <c r="F262" s="179">
        <f t="shared" si="32"/>
        <v>0</v>
      </c>
      <c r="H262" s="664">
        <f t="shared" si="20"/>
        <v>25394.250457001548</v>
      </c>
    </row>
    <row r="263" spans="1:8">
      <c r="A263" s="179" t="s">
        <v>986</v>
      </c>
      <c r="B263" s="179">
        <f t="shared" ref="B263:F263" si="33">B141+B262</f>
        <v>14886.682430289748</v>
      </c>
      <c r="C263" s="179">
        <f t="shared" si="33"/>
        <v>2556.0447892800003</v>
      </c>
      <c r="D263" s="179">
        <f t="shared" si="33"/>
        <v>2184.0074209200002</v>
      </c>
      <c r="E263" s="179">
        <f t="shared" si="33"/>
        <v>5767.5158165118</v>
      </c>
      <c r="F263" s="179">
        <f t="shared" si="33"/>
        <v>0</v>
      </c>
      <c r="H263" s="664">
        <f t="shared" si="20"/>
        <v>25394.250457001548</v>
      </c>
    </row>
    <row r="264" spans="1:8">
      <c r="A264" s="179" t="s">
        <v>987</v>
      </c>
      <c r="B264" s="179">
        <f t="shared" ref="B264:F264" si="34">B142+B263</f>
        <v>14886.682430289748</v>
      </c>
      <c r="C264" s="179">
        <f t="shared" si="34"/>
        <v>2556.0447892800003</v>
      </c>
      <c r="D264" s="179">
        <f t="shared" si="34"/>
        <v>2184.0074209200002</v>
      </c>
      <c r="E264" s="179">
        <f t="shared" si="34"/>
        <v>5767.5158165118</v>
      </c>
      <c r="F264" s="179">
        <f t="shared" si="34"/>
        <v>0</v>
      </c>
      <c r="H264" s="664">
        <f t="shared" si="20"/>
        <v>25394.250457001548</v>
      </c>
    </row>
    <row r="265" spans="1:8">
      <c r="A265" s="179" t="s">
        <v>988</v>
      </c>
      <c r="B265" s="179">
        <f t="shared" ref="B265:F265" si="35">B143+B264</f>
        <v>14886.682430289748</v>
      </c>
      <c r="C265" s="179">
        <f t="shared" si="35"/>
        <v>2556.0447892800003</v>
      </c>
      <c r="D265" s="179">
        <f t="shared" si="35"/>
        <v>2184.0074209200002</v>
      </c>
      <c r="E265" s="179">
        <f t="shared" si="35"/>
        <v>5767.5158165118</v>
      </c>
      <c r="F265" s="179">
        <f t="shared" si="35"/>
        <v>0</v>
      </c>
      <c r="H265" s="664">
        <f t="shared" si="20"/>
        <v>25394.250457001548</v>
      </c>
    </row>
    <row r="266" spans="1:8">
      <c r="A266" s="179" t="s">
        <v>989</v>
      </c>
      <c r="B266" s="179">
        <f t="shared" ref="B266:F266" si="36">B144+B265</f>
        <v>14886.682430289748</v>
      </c>
      <c r="C266" s="179">
        <f t="shared" si="36"/>
        <v>2556.0447892800003</v>
      </c>
      <c r="D266" s="179">
        <f t="shared" si="36"/>
        <v>2184.0074209200002</v>
      </c>
      <c r="E266" s="179">
        <f t="shared" si="36"/>
        <v>5767.5158165118</v>
      </c>
      <c r="F266" s="179">
        <f t="shared" si="36"/>
        <v>0</v>
      </c>
      <c r="H266" s="664">
        <f t="shared" si="20"/>
        <v>25394.250457001548</v>
      </c>
    </row>
    <row r="267" spans="1:8">
      <c r="A267" s="179" t="s">
        <v>990</v>
      </c>
      <c r="B267" s="179">
        <f t="shared" ref="B267:F267" si="37">B145+B266</f>
        <v>14886.682430289748</v>
      </c>
      <c r="C267" s="179">
        <f t="shared" si="37"/>
        <v>2556.0447892800003</v>
      </c>
      <c r="D267" s="179">
        <f t="shared" si="37"/>
        <v>2184.0074209200002</v>
      </c>
      <c r="E267" s="179">
        <f t="shared" si="37"/>
        <v>5767.5158165118</v>
      </c>
      <c r="F267" s="179">
        <f t="shared" si="37"/>
        <v>0</v>
      </c>
      <c r="H267" s="664">
        <f t="shared" si="20"/>
        <v>25394.250457001548</v>
      </c>
    </row>
    <row r="268" spans="1:8">
      <c r="A268" s="179" t="s">
        <v>991</v>
      </c>
      <c r="B268" s="179">
        <f t="shared" ref="B268:F268" si="38">B146+B267</f>
        <v>14886.682430289748</v>
      </c>
      <c r="C268" s="179">
        <f t="shared" si="38"/>
        <v>2556.0447892800003</v>
      </c>
      <c r="D268" s="179">
        <f t="shared" si="38"/>
        <v>2184.0074209200002</v>
      </c>
      <c r="E268" s="179">
        <f t="shared" si="38"/>
        <v>5767.5158165118</v>
      </c>
      <c r="F268" s="179">
        <f t="shared" si="38"/>
        <v>0</v>
      </c>
      <c r="H268" s="664">
        <f t="shared" si="20"/>
        <v>25394.250457001548</v>
      </c>
    </row>
    <row r="269" spans="1:8">
      <c r="A269" s="179" t="s">
        <v>992</v>
      </c>
      <c r="B269" s="179">
        <f t="shared" ref="B269:F269" si="39">B147+B268</f>
        <v>14886.682430289748</v>
      </c>
      <c r="C269" s="179">
        <f t="shared" si="39"/>
        <v>2556.0447892800003</v>
      </c>
      <c r="D269" s="179">
        <f t="shared" si="39"/>
        <v>2184.0074209200002</v>
      </c>
      <c r="E269" s="179">
        <f t="shared" si="39"/>
        <v>5767.5158165118</v>
      </c>
      <c r="F269" s="179">
        <f t="shared" si="39"/>
        <v>0</v>
      </c>
      <c r="H269" s="664">
        <f t="shared" si="20"/>
        <v>25394.250457001548</v>
      </c>
    </row>
    <row r="270" spans="1:8">
      <c r="A270" s="179" t="s">
        <v>993</v>
      </c>
      <c r="B270" s="179">
        <f t="shared" ref="B270:F270" si="40">B148+B269</f>
        <v>14886.682430289748</v>
      </c>
      <c r="C270" s="179">
        <f t="shared" si="40"/>
        <v>2556.0447892800003</v>
      </c>
      <c r="D270" s="179">
        <f t="shared" si="40"/>
        <v>2184.0074209200002</v>
      </c>
      <c r="E270" s="179">
        <f t="shared" si="40"/>
        <v>5767.5158165118</v>
      </c>
      <c r="F270" s="179">
        <f t="shared" si="40"/>
        <v>0</v>
      </c>
      <c r="H270" s="664">
        <f t="shared" si="20"/>
        <v>25394.250457001548</v>
      </c>
    </row>
    <row r="271" spans="1:8">
      <c r="A271" s="179" t="s">
        <v>994</v>
      </c>
      <c r="B271" s="179">
        <f t="shared" ref="B271:F271" si="41">B149+B270</f>
        <v>14886.682430289748</v>
      </c>
      <c r="C271" s="179">
        <f t="shared" si="41"/>
        <v>2556.0447892800003</v>
      </c>
      <c r="D271" s="179">
        <f t="shared" si="41"/>
        <v>2184.0074209200002</v>
      </c>
      <c r="E271" s="179">
        <f t="shared" si="41"/>
        <v>5767.5158165118</v>
      </c>
      <c r="F271" s="179">
        <f t="shared" si="41"/>
        <v>0</v>
      </c>
      <c r="H271" s="664">
        <f t="shared" si="20"/>
        <v>25394.250457001548</v>
      </c>
    </row>
    <row r="272" spans="1:8">
      <c r="A272" s="179" t="s">
        <v>995</v>
      </c>
      <c r="B272" s="179">
        <f t="shared" ref="B272:F272" si="42">B150+B271</f>
        <v>14886.682430289748</v>
      </c>
      <c r="C272" s="179">
        <f t="shared" si="42"/>
        <v>2556.0447892800003</v>
      </c>
      <c r="D272" s="179">
        <f t="shared" si="42"/>
        <v>2184.0074209200002</v>
      </c>
      <c r="E272" s="179">
        <f t="shared" si="42"/>
        <v>5767.5158165118</v>
      </c>
      <c r="F272" s="179">
        <f t="shared" si="42"/>
        <v>0</v>
      </c>
      <c r="H272" s="664">
        <f t="shared" si="20"/>
        <v>25394.250457001548</v>
      </c>
    </row>
    <row r="273" spans="1:8">
      <c r="A273" s="179" t="s">
        <v>996</v>
      </c>
      <c r="B273" s="179">
        <f t="shared" ref="B273:F273" si="43">B151+B272</f>
        <v>14886.682430289748</v>
      </c>
      <c r="C273" s="179">
        <f t="shared" si="43"/>
        <v>2556.0447892800003</v>
      </c>
      <c r="D273" s="179">
        <f t="shared" si="43"/>
        <v>2184.0074209200002</v>
      </c>
      <c r="E273" s="179">
        <f t="shared" si="43"/>
        <v>5767.5158165118</v>
      </c>
      <c r="F273" s="179">
        <f t="shared" si="43"/>
        <v>0</v>
      </c>
      <c r="H273" s="664">
        <f t="shared" si="20"/>
        <v>25394.250457001548</v>
      </c>
    </row>
    <row r="274" spans="1:8">
      <c r="A274" s="179" t="s">
        <v>997</v>
      </c>
      <c r="B274" s="179">
        <f t="shared" ref="B274:F274" si="44">B152+B273</f>
        <v>14886.682430289748</v>
      </c>
      <c r="C274" s="179">
        <f t="shared" si="44"/>
        <v>2556.0447892800003</v>
      </c>
      <c r="D274" s="179">
        <f t="shared" si="44"/>
        <v>2184.0074209200002</v>
      </c>
      <c r="E274" s="179">
        <f t="shared" si="44"/>
        <v>5767.5158165118</v>
      </c>
      <c r="F274" s="179">
        <f t="shared" si="44"/>
        <v>0</v>
      </c>
      <c r="H274" s="664">
        <f t="shared" si="20"/>
        <v>25394.250457001548</v>
      </c>
    </row>
    <row r="275" spans="1:8">
      <c r="A275" s="179" t="s">
        <v>998</v>
      </c>
      <c r="B275" s="179">
        <f t="shared" ref="B275:F275" si="45">B153+B274</f>
        <v>14886.682430289748</v>
      </c>
      <c r="C275" s="179">
        <f t="shared" si="45"/>
        <v>2556.0447892800003</v>
      </c>
      <c r="D275" s="179">
        <f t="shared" si="45"/>
        <v>2184.0074209200002</v>
      </c>
      <c r="E275" s="179">
        <f t="shared" si="45"/>
        <v>5767.5158165118</v>
      </c>
      <c r="F275" s="179">
        <f t="shared" si="45"/>
        <v>0</v>
      </c>
      <c r="H275" s="664">
        <f t="shared" si="20"/>
        <v>25394.250457001548</v>
      </c>
    </row>
    <row r="276" spans="1:8">
      <c r="A276" s="179" t="s">
        <v>999</v>
      </c>
      <c r="B276" s="179">
        <f t="shared" ref="B276:F276" si="46">B154+B275</f>
        <v>14886.682430289748</v>
      </c>
      <c r="C276" s="179">
        <f t="shared" si="46"/>
        <v>2556.0447892800003</v>
      </c>
      <c r="D276" s="179">
        <f t="shared" si="46"/>
        <v>2184.0074209200002</v>
      </c>
      <c r="E276" s="179">
        <f t="shared" si="46"/>
        <v>5767.5158165118</v>
      </c>
      <c r="F276" s="179">
        <f t="shared" si="46"/>
        <v>0</v>
      </c>
      <c r="H276" s="664">
        <f t="shared" si="20"/>
        <v>25394.250457001548</v>
      </c>
    </row>
    <row r="277" spans="1:8">
      <c r="A277" s="179"/>
    </row>
    <row r="278" spans="1:8">
      <c r="A278" s="179"/>
    </row>
  </sheetData>
  <mergeCells count="4">
    <mergeCell ref="E3:H6"/>
    <mergeCell ref="N8:P20"/>
    <mergeCell ref="N21:P33"/>
    <mergeCell ref="I38:N41"/>
  </mergeCells>
  <pageMargins left="0.7" right="0.7" top="0.75" bottom="0.75" header="0.3" footer="0.3"/>
  <pageSetup paperSize="9" scale="38" orientation="portrait" verticalDpi="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736733DA0BB141BEE240EDABE6C268" ma:contentTypeVersion="1" ma:contentTypeDescription="Create a new document." ma:contentTypeScope="" ma:versionID="6dfa1b17955480351b6bb438d91405ee">
  <xsd:schema xmlns:xsd="http://www.w3.org/2001/XMLSchema" xmlns:xs="http://www.w3.org/2001/XMLSchema" xmlns:p="http://schemas.microsoft.com/office/2006/metadata/properties" xmlns:ns2="8644f05c-45d3-46fb-8d08-d04da4cf4f7b" targetNamespace="http://schemas.microsoft.com/office/2006/metadata/properties" ma:root="true" ma:fieldsID="f81ccb3d95303a942cd49369e43072ad" ns2:_="">
    <xsd:import namespace="8644f05c-45d3-46fb-8d08-d04da4cf4f7b"/>
    <xsd:element name="properties">
      <xsd:complexType>
        <xsd:sequence>
          <xsd:element name="documentManagement">
            <xsd:complexType>
              <xsd:all>
                <xsd:element ref="ns2:Document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4f05c-45d3-46fb-8d08-d04da4cf4f7b" elementFormDefault="qualified">
    <xsd:import namespace="http://schemas.microsoft.com/office/2006/documentManagement/types"/>
    <xsd:import namespace="http://schemas.microsoft.com/office/infopath/2007/PartnerControls"/>
    <xsd:element name="Document_x0020_Status" ma:index="8" nillable="true" ma:displayName="Document Status" ma:format="Dropdown" ma:internalName="Document_x0020_Status">
      <xsd:simpleType>
        <xsd:restriction base="dms:Choice">
          <xsd:enumeration value="Draft in progress"/>
          <xsd:enumeration value="In Peer Review"/>
          <xsd:enumeration value="In Amendment"/>
          <xsd:enumeration value="LL Review"/>
          <xsd:enumeration value="Uploaded to Website"/>
          <xsd:enumeration value="Publication review"/>
          <xsd:enumeration value="Published"/>
          <xsd:enumeration value="Not for Publication"/>
          <xsd:enumeration value="Working Document"/>
          <xsd:enumeration value="Dele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_x0020_Status xmlns="8644f05c-45d3-46fb-8d08-d04da4cf4f7b">Publication review</Document_x0020_Status>
  </documentManagement>
</p:properties>
</file>

<file path=customXml/itemProps1.xml><?xml version="1.0" encoding="utf-8"?>
<ds:datastoreItem xmlns:ds="http://schemas.openxmlformats.org/officeDocument/2006/customXml" ds:itemID="{0AA9A29A-5C6F-44B7-BA0D-B1465DD4C0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4f05c-45d3-46fb-8d08-d04da4cf4f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86893C-09C8-47BD-B575-8E9685C67E18}">
  <ds:schemaRefs>
    <ds:schemaRef ds:uri="http://schemas.microsoft.com/sharepoint/v3/contenttype/forms"/>
  </ds:schemaRefs>
</ds:datastoreItem>
</file>

<file path=customXml/itemProps3.xml><?xml version="1.0" encoding="utf-8"?>
<ds:datastoreItem xmlns:ds="http://schemas.openxmlformats.org/officeDocument/2006/customXml" ds:itemID="{FBDC995B-4C1A-4827-89A9-2DD2E0FB9712}">
  <ds:schemaRefs>
    <ds:schemaRef ds:uri="http://purl.org/dc/elements/1.1/"/>
    <ds:schemaRef ds:uri="http://purl.org/dc/term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8644f05c-45d3-46fb-8d08-d04da4cf4f7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Instructions</vt:lpstr>
      <vt:lpstr>Report</vt:lpstr>
      <vt:lpstr>Savings Calculator</vt:lpstr>
      <vt:lpstr>Actual-CO2 Calculations</vt:lpstr>
      <vt:lpstr>Fuel Equipment DD</vt:lpstr>
      <vt:lpstr>Fuel Equipment Savings Calculat</vt:lpstr>
      <vt:lpstr>Fuel Equipment</vt:lpstr>
      <vt:lpstr>Efficient Site Offices</vt:lpstr>
      <vt:lpstr>Efficient Site Offices DD &amp; Cal</vt:lpstr>
      <vt:lpstr>Power Factor Correction</vt:lpstr>
      <vt:lpstr>PFC Calculations</vt:lpstr>
      <vt:lpstr>Lighting</vt:lpstr>
      <vt:lpstr>Reduced Power Lighting Calculat</vt:lpstr>
      <vt:lpstr>PIR Lighting Calculations</vt:lpstr>
      <vt:lpstr>Hybrid Lighting Calculations</vt:lpstr>
      <vt:lpstr>Behaviours</vt:lpstr>
      <vt:lpstr>Behaviour Calculations</vt:lpstr>
      <vt:lpstr>Water Calculations</vt:lpstr>
      <vt:lpstr>Additional Initiatives</vt:lpstr>
      <vt:lpstr>Scope 3 Transport</vt:lpstr>
      <vt:lpstr>Scope 3 Embodied</vt:lpstr>
      <vt:lpstr>Data Entry Fuel</vt:lpstr>
      <vt:lpstr>Data Entry Electricity</vt:lpstr>
      <vt:lpstr>Reference.Evidence1</vt:lpstr>
      <vt:lpstr>Reference.Evidence2</vt:lpstr>
      <vt:lpstr>Password</vt:lpstr>
      <vt:lpstr>Cranes</vt:lpstr>
      <vt:lpstr>Dumpers</vt:lpstr>
      <vt:lpstr>Excavators</vt:lpstr>
      <vt:lpstr>Generators</vt:lpstr>
      <vt:lpstr>Scissor Lifts</vt:lpstr>
      <vt:lpstr>'Actual-CO2 Calculations'!Print_Area</vt:lpstr>
      <vt:lpstr>'Fuel Equipment Savings Calculat'!Print_Area</vt:lpstr>
    </vt:vector>
  </TitlesOfParts>
  <Company>Costain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 Energy emissions performance model</dc:title>
  <dc:creator>Damien Canning</dc:creator>
  <cp:lastModifiedBy>Simon Bennett</cp:lastModifiedBy>
  <cp:lastPrinted>2015-05-22T10:17:30Z</cp:lastPrinted>
  <dcterms:created xsi:type="dcterms:W3CDTF">2013-11-05T14:41:53Z</dcterms:created>
  <dcterms:modified xsi:type="dcterms:W3CDTF">2016-09-13T14:32:19Z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0x010100AE736733DA0BB141BEE240EDABE6C268</vt:lpwstr>
  </property>
  <property fmtid="{D5CDD505-2E9C-101B-9397-08002B2CF9AE}" pid="3" name="Category">
    <vt:lpwstr>Reporting</vt:lpwstr>
  </property>
  <property fmtid="{D5CDD505-2E9C-101B-9397-08002B2CF9AE}" pid="4" name="Environmental Topic">
    <vt:lpwstr>Energy emissions performance reporting</vt:lpwstr>
  </property>
  <property fmtid="{D5CDD505-2E9C-101B-9397-08002B2CF9AE}" pid="5" name="ReportDescription">
    <vt:lpwstr>Energy emissions performance reporting template</vt:lpwstr>
  </property>
  <property fmtid="{D5CDD505-2E9C-101B-9397-08002B2CF9AE}" pid="6" name="ReportStatus">
    <vt:lpwstr>Preliminary</vt:lpwstr>
  </property>
  <property fmtid="{D5CDD505-2E9C-101B-9397-08002B2CF9AE}" pid="7" name="Location">
    <vt:lpwstr>Crossrail central section</vt:lpwstr>
  </property>
  <property fmtid="{D5CDD505-2E9C-101B-9397-08002B2CF9AE}" pid="8" name="Contract">
    <vt:lpwstr>All</vt:lpwstr>
  </property>
</Properties>
</file>